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6615" windowWidth="15330" windowHeight="6900" tabRatio="663" firstSheet="3" activeTab="3"/>
  </bookViews>
  <sheets>
    <sheet name="Reg Equity Adj" sheetId="1" state="hidden" r:id="rId1"/>
    <sheet name="STD OS &amp; Int-old" sheetId="2" state="hidden" r:id="rId2"/>
    <sheet name="STD Comm Fees &amp; Exp" sheetId="3" state="hidden" r:id="rId3"/>
    <sheet name="ATTACHMENT A_Cost of LTD" sheetId="4" r:id="rId4"/>
    <sheet name="ATTACH B_Cost of LTD - New PCBs" sheetId="5" r:id="rId5"/>
    <sheet name="ATTCHMENT C_Cost of Capital " sheetId="6" r:id="rId6"/>
    <sheet name="Cost of PS" sheetId="7" state="hidden" r:id="rId7"/>
    <sheet name="Reacquired PS " sheetId="8" state="hidden" r:id="rId8"/>
  </sheets>
  <externalReferences>
    <externalReference r:id="rId11"/>
    <externalReference r:id="rId12"/>
    <externalReference r:id="rId13"/>
  </externalReferences>
  <definedNames>
    <definedName name="_C_._DOWN_TERM_">'[2]CST STD!'!#REF!</definedName>
    <definedName name="_DOWN___COUPON_">'[2]CST STD!'!#REF!</definedName>
    <definedName name="_END__DOWN__DOW">'[2]CST STD!'!#REF!</definedName>
    <definedName name="_GOTO_TABLE__PR">'[2]CST STD!'!#REF!</definedName>
    <definedName name="_HOME__GOTO_YIE">'[2]CST STD!'!#REF!</definedName>
    <definedName name="_LET_YIELD__IRR">'[2]CST STD!'!#REF!</definedName>
    <definedName name="_RECASHFLOWS_">'[2]CST STD!'!#REF!</definedName>
    <definedName name="_RNCCASHFLOWS__">'[2]CST STD!'!#REF!</definedName>
    <definedName name="_WINDOWSOFF__PA">'[2]CST STD!'!#REF!</definedName>
    <definedName name="a">'[1]STD Cost'!#REF!</definedName>
    <definedName name="CASHFLOWS">'[2]CST STD!'!#REF!</definedName>
    <definedName name="data">#REF!</definedName>
    <definedName name="data12">#REF!</definedName>
    <definedName name="MONTH">#REF!</definedName>
    <definedName name="MonthlyInput">#REF!</definedName>
    <definedName name="new">#REF!</definedName>
    <definedName name="new12">#REF!</definedName>
    <definedName name="NEWYTD">#REF!</definedName>
    <definedName name="P">#REF!</definedName>
    <definedName name="pagea">#REF!</definedName>
    <definedName name="pageb">#REF!</definedName>
    <definedName name="_xlnm.Print_Area" localSheetId="4">'ATTACH B_Cost of LTD - New PCBs'!$A$1:$W$52</definedName>
    <definedName name="_xlnm.Print_Area" localSheetId="3">'ATTACHMENT A_Cost of LTD'!$A$1:$W$39</definedName>
    <definedName name="_xlnm.Print_Area" localSheetId="5">'ATTCHMENT C_Cost of Capital '!$A$1:$F$39</definedName>
    <definedName name="_xlnm.Print_Area" localSheetId="6">'Cost of PS'!$A$1:$J$19</definedName>
    <definedName name="_xlnm.Print_Area" localSheetId="7">'Reacquired PS '!$A$1:$M$26</definedName>
    <definedName name="_xlnm.Print_Area" localSheetId="0">'Reg Equity Adj'!$A$2:$D$34</definedName>
    <definedName name="_xlnm.Print_Area" localSheetId="2">'STD Comm Fees &amp; Exp'!$A$1:$H$45</definedName>
    <definedName name="_xlnm.Print_Area" localSheetId="1">'STD OS &amp; Int-old'!$A$1:$P$43</definedName>
    <definedName name="_xlnm.Print_Titles" localSheetId="4">'ATTACH B_Cost of LTD - New PCBs'!$1:$8</definedName>
    <definedName name="_xlnm.Print_Titles" localSheetId="3">'ATTACHMENT A_Cost of LTD'!$1:$8</definedName>
    <definedName name="TABLE">'[2]CST STD!'!#REF!</definedName>
    <definedName name="Total_Annual_Charge">'[1]BONDRATE'!#REF!</definedName>
    <definedName name="Total_OS_Amount">'[1]BONDRATE'!#REF!</definedName>
    <definedName name="TwelveMoAvg">#REF!</definedName>
    <definedName name="wrn.Customer._.Counts._.Electric."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4" hidden="1">{#N/A,#N/A,FALSE,"Pg 6b CustCount_Gas";#N/A,#N/A,FALSE,"QA";#N/A,#N/A,FALSE,"Report";#N/A,#N/A,FALSE,"forecast"}</definedName>
    <definedName name="wrn.Customer._.Counts._.Gas." hidden="1">{#N/A,#N/A,FALSE,"Pg 6b CustCount_Gas";#N/A,#N/A,FALSE,"QA";#N/A,#N/A,FALSE,"Report";#N/A,#N/A,FALSE,"forecast"}</definedName>
    <definedName name="YEAR">#REF!</definedName>
    <definedName name="ytd">#REF!</definedName>
    <definedName name="YTDavg">#REF!</definedName>
  </definedNames>
  <calcPr fullCalcOnLoad="1"/>
</workbook>
</file>

<file path=xl/comments1.xml><?xml version="1.0" encoding="utf-8"?>
<comments xmlns="http://schemas.openxmlformats.org/spreadsheetml/2006/main">
  <authors>
    <author>pse</author>
    <author>jsant</author>
  </authors>
  <commentList>
    <comment ref="C9" authorId="0">
      <text>
        <r>
          <rPr>
            <sz val="8"/>
            <rFont val="Tahoma"/>
            <family val="2"/>
          </rPr>
          <t xml:space="preserve">Rainier Receivable net income is entirely eliminated in consolidation. </t>
        </r>
      </text>
    </comment>
    <comment ref="E39" authorId="1">
      <text>
        <r>
          <rPr>
            <sz val="8"/>
            <rFont val="Tahoma"/>
            <family val="2"/>
          </rPr>
          <t xml:space="preserve">For interest rate derivatives which amortize into interest expense, project the rate year further amortized balances. </t>
        </r>
        <r>
          <rPr>
            <sz val="8"/>
            <rFont val="Tahoma"/>
            <family val="2"/>
          </rPr>
          <t xml:space="preserve">
</t>
        </r>
      </text>
    </comment>
    <comment ref="E45" authorId="1">
      <text>
        <r>
          <rPr>
            <sz val="8"/>
            <rFont val="Tahoma"/>
            <family val="2"/>
          </rPr>
          <t xml:space="preserve">Maintain balance from end of test yr for these pension type OCI adjustments.
</t>
        </r>
      </text>
    </comment>
    <comment ref="A42" authorId="1">
      <text>
        <r>
          <rPr>
            <sz val="8"/>
            <rFont val="Tahoma"/>
            <family val="2"/>
          </rPr>
          <t>Monthly Amort pulled from SAP by Mike Ross 11/20/07.</t>
        </r>
        <r>
          <rPr>
            <sz val="8"/>
            <rFont val="Tahoma"/>
            <family val="2"/>
          </rPr>
          <t xml:space="preserve">
</t>
        </r>
      </text>
    </comment>
  </commentList>
</comments>
</file>

<file path=xl/comments3.xml><?xml version="1.0" encoding="utf-8"?>
<comments xmlns="http://schemas.openxmlformats.org/spreadsheetml/2006/main">
  <authors>
    <author>jsant</author>
  </authors>
  <commentList>
    <comment ref="F11" authorId="0">
      <text>
        <r>
          <rPr>
            <sz val="8"/>
            <rFont val="Tahoma"/>
            <family val="2"/>
          </rPr>
          <t>Goldendale Transmission and station service letters of credit required.  This level is the expected weighted amount for the rate year - the LC requirement reduces each year.</t>
        </r>
        <r>
          <rPr>
            <b/>
            <sz val="8"/>
            <rFont val="Tahoma"/>
            <family val="2"/>
          </rPr>
          <t xml:space="preserve">
</t>
        </r>
      </text>
    </comment>
    <comment ref="F31" authorId="0">
      <text>
        <r>
          <rPr>
            <sz val="8"/>
            <rFont val="Tahoma"/>
            <family val="2"/>
          </rPr>
          <t>Goldendale Transmission and station service letters of credit required.  This level is the expected weighted amount for the rate year - the LC requirement reduces each year.</t>
        </r>
        <r>
          <rPr>
            <b/>
            <sz val="8"/>
            <rFont val="Tahoma"/>
            <family val="2"/>
          </rPr>
          <t xml:space="preserve">
</t>
        </r>
      </text>
    </comment>
  </commentList>
</comments>
</file>

<file path=xl/sharedStrings.xml><?xml version="1.0" encoding="utf-8"?>
<sst xmlns="http://schemas.openxmlformats.org/spreadsheetml/2006/main" count="453" uniqueCount="245">
  <si>
    <t xml:space="preserve"> </t>
  </si>
  <si>
    <t>PUGET SOUND ENERGY, INC.</t>
  </si>
  <si>
    <t>(A)</t>
  </si>
  <si>
    <t>Utility Capital Structure</t>
  </si>
  <si>
    <t>Cost of</t>
  </si>
  <si>
    <t>Description</t>
  </si>
  <si>
    <t>Ratio</t>
  </si>
  <si>
    <t>Cost</t>
  </si>
  <si>
    <t>Capital</t>
  </si>
  <si>
    <t>Short Term Debt</t>
  </si>
  <si>
    <t>Long Term Debt</t>
  </si>
  <si>
    <t>Preferred Stock</t>
  </si>
  <si>
    <t>Common Stock</t>
  </si>
  <si>
    <t>Issue</t>
  </si>
  <si>
    <t>Rate</t>
  </si>
  <si>
    <t>MTN-A</t>
  </si>
  <si>
    <t>MTN-B</t>
  </si>
  <si>
    <t>MTN-C</t>
  </si>
  <si>
    <t>PCB</t>
  </si>
  <si>
    <t>Puget Sound Energy, Inc.</t>
  </si>
  <si>
    <t>(B)</t>
  </si>
  <si>
    <t>Par</t>
  </si>
  <si>
    <t xml:space="preserve">4.70% Series </t>
  </si>
  <si>
    <t>4.84% Series</t>
  </si>
  <si>
    <t xml:space="preserve">       PUGET SOUND ENERGY, INC</t>
  </si>
  <si>
    <t>Calculation of Amortization of Net Loss</t>
  </si>
  <si>
    <t>On Reacquired Preferred Stock</t>
  </si>
  <si>
    <t>Gain or Loss on Reacquired Preferred Stock</t>
  </si>
  <si>
    <t>Commercial Paper</t>
  </si>
  <si>
    <t>Interest</t>
  </si>
  <si>
    <t>Ending Date</t>
  </si>
  <si>
    <t>Days</t>
  </si>
  <si>
    <t>AR Securitization</t>
  </si>
  <si>
    <t>(C)</t>
  </si>
  <si>
    <t>Commitment Fees</t>
  </si>
  <si>
    <t>Issue Date</t>
  </si>
  <si>
    <t>Annual Cost</t>
  </si>
  <si>
    <t>Shares Issued</t>
  </si>
  <si>
    <t>Dividend Rate</t>
  </si>
  <si>
    <t>Call Price</t>
  </si>
  <si>
    <t>Reacquired Shares</t>
  </si>
  <si>
    <t>Original Issue Amount</t>
  </si>
  <si>
    <t xml:space="preserve">Net (Gain) or Loss </t>
  </si>
  <si>
    <t>Fee %</t>
  </si>
  <si>
    <t>(D)</t>
  </si>
  <si>
    <t>(E)</t>
  </si>
  <si>
    <t>(F)</t>
  </si>
  <si>
    <t>(G)</t>
  </si>
  <si>
    <t>(H)</t>
  </si>
  <si>
    <t>(I)</t>
  </si>
  <si>
    <t>End of Amortization Period</t>
  </si>
  <si>
    <t>Annual Amortization of Net Gain/( Loss) on Reacquired  Preferred Stock</t>
  </si>
  <si>
    <t>Maturity Date</t>
  </si>
  <si>
    <t>Sinking Fund</t>
  </si>
  <si>
    <t>Total Preferred Stock</t>
  </si>
  <si>
    <t>(J)</t>
  </si>
  <si>
    <t>(K)</t>
  </si>
  <si>
    <t>(L)</t>
  </si>
  <si>
    <t>(M)</t>
  </si>
  <si>
    <t>(N)</t>
  </si>
  <si>
    <t>(O)</t>
  </si>
  <si>
    <t>Monthly Amort</t>
  </si>
  <si>
    <t>Face Value Reaquired</t>
  </si>
  <si>
    <t>Prorated Net Loss (Gain)</t>
  </si>
  <si>
    <t>Annual Charge</t>
  </si>
  <si>
    <t>Cost Rate (iii)</t>
  </si>
  <si>
    <t>CP</t>
  </si>
  <si>
    <t>AR</t>
  </si>
  <si>
    <t>3 Month Libor</t>
  </si>
  <si>
    <t>Number of Days in Month</t>
  </si>
  <si>
    <t>Projected Short Term Rates</t>
  </si>
  <si>
    <t>Total STD Interest Expense</t>
  </si>
  <si>
    <t>Maturity</t>
  </si>
  <si>
    <t>Bond</t>
  </si>
  <si>
    <t>Date</t>
  </si>
  <si>
    <t>SN</t>
  </si>
  <si>
    <t>Average Borrowing Rate</t>
  </si>
  <si>
    <t>Est. AR Purchase Limit ( in 000's)</t>
  </si>
  <si>
    <t>STD Month End Balance (in 000's)</t>
  </si>
  <si>
    <t>Annual Amortization</t>
  </si>
  <si>
    <t>n/a</t>
  </si>
  <si>
    <t>Net Proceeds Per $100</t>
  </si>
  <si>
    <t>Puget Sound Energy</t>
  </si>
  <si>
    <t>CP Borrowing Rate</t>
  </si>
  <si>
    <t>Ave Monthly Borrowing Rate</t>
  </si>
  <si>
    <t>AR Securitization Rate</t>
  </si>
  <si>
    <t>CP Spread</t>
  </si>
  <si>
    <t>AR Spread</t>
  </si>
  <si>
    <r>
      <t xml:space="preserve">(i) </t>
    </r>
    <r>
      <rPr>
        <sz val="8"/>
        <rFont val="Arial"/>
        <family val="2"/>
      </rPr>
      <t>Commitment fees are calculated for actual days elapsed on the basis of a 360 day year</t>
    </r>
  </si>
  <si>
    <t>Month-End Balances Rollforward  ($ in millions)</t>
  </si>
  <si>
    <t>Net Proceeds Per $100 (i)</t>
  </si>
  <si>
    <t>(P)</t>
  </si>
  <si>
    <t>(Q)</t>
  </si>
  <si>
    <t>(R)</t>
  </si>
  <si>
    <t>(S)</t>
  </si>
  <si>
    <t>(T)</t>
  </si>
  <si>
    <t>(U)</t>
  </si>
  <si>
    <t>(V)</t>
  </si>
  <si>
    <t>Rates</t>
  </si>
  <si>
    <t>AR Availability After Proj Usage</t>
  </si>
  <si>
    <r>
      <t>(iii)</t>
    </r>
    <r>
      <rPr>
        <sz val="8"/>
        <rFont val="Arial"/>
        <family val="2"/>
      </rPr>
      <t xml:space="preserve"> Cost Rate for each bond is the yield to maturity based on net proceeds.</t>
    </r>
  </si>
  <si>
    <t>Date Re-acquired</t>
  </si>
  <si>
    <t>7.45% Series II</t>
  </si>
  <si>
    <t>No. of Years  (Gain) Loss To Be Amortized</t>
  </si>
  <si>
    <t>N/A</t>
  </si>
  <si>
    <t>Call Date</t>
  </si>
  <si>
    <t>Short Term Debt Commitment Fees &amp; Amortization of Debt Issuance Costs</t>
  </si>
  <si>
    <t>Monthly Amortization</t>
  </si>
  <si>
    <r>
      <t xml:space="preserve">Fee $  </t>
    </r>
    <r>
      <rPr>
        <b/>
        <sz val="8"/>
        <rFont val="Arial"/>
        <family val="2"/>
      </rPr>
      <t>(i)</t>
    </r>
  </si>
  <si>
    <t>Original (Gain) or Loss on Costs to Reacquire</t>
  </si>
  <si>
    <t>Short Term Debt Interest Expense Calculation</t>
  </si>
  <si>
    <t>(iv)</t>
  </si>
  <si>
    <t>Puget Western Inc</t>
  </si>
  <si>
    <t>Additional Commercial Paper</t>
  </si>
  <si>
    <r>
      <t xml:space="preserve"> (ii) </t>
    </r>
    <r>
      <rPr>
        <sz val="8"/>
        <rFont val="Arial"/>
        <family val="2"/>
      </rPr>
      <t>Short term interest is calculated on the average balance for the month times the interest rate for the month times the actual days in the month divided by 360 days.</t>
    </r>
  </si>
  <si>
    <t>Total Commercial Paper</t>
  </si>
  <si>
    <t>Total Short Term Debt</t>
  </si>
  <si>
    <t>Beg. Date</t>
  </si>
  <si>
    <t xml:space="preserve">Total Annual Commitment Fees for Bank Facilities  </t>
  </si>
  <si>
    <t>Avg Amt Out-standing (in 000's)</t>
  </si>
  <si>
    <t>JrSubN</t>
  </si>
  <si>
    <r>
      <t xml:space="preserve">(ii)  </t>
    </r>
    <r>
      <rPr>
        <sz val="8"/>
        <rFont val="Arial"/>
        <family val="2"/>
      </rPr>
      <t>See schedule of Reacquired Debt.</t>
    </r>
  </si>
  <si>
    <r>
      <t xml:space="preserve">Annual Charge on Reacquired Debt </t>
    </r>
    <r>
      <rPr>
        <b/>
        <sz val="8"/>
        <rFont val="Arial"/>
        <family val="2"/>
      </rPr>
      <t xml:space="preserve">(ii)  </t>
    </r>
  </si>
  <si>
    <t>Preferred Stock (i)</t>
  </si>
  <si>
    <r>
      <t>Annual Amortization of Gain on Reacquired Shares</t>
    </r>
    <r>
      <rPr>
        <b/>
        <sz val="8"/>
        <rFont val="Arial"/>
        <family val="2"/>
      </rPr>
      <t xml:space="preserve"> (ii)</t>
    </r>
  </si>
  <si>
    <r>
      <t>(i)</t>
    </r>
    <r>
      <rPr>
        <sz val="8"/>
        <rFont val="Arial"/>
        <family val="2"/>
      </rPr>
      <t xml:space="preserve"> Cost Rate=Dividend Rate/(Net Proceeds/Issue Amount)</t>
    </r>
  </si>
  <si>
    <r>
      <t xml:space="preserve">(ii)  </t>
    </r>
    <r>
      <rPr>
        <sz val="8"/>
        <rFont val="Arial"/>
        <family val="2"/>
      </rPr>
      <t>See schedule of Reacquired Preferred Stock</t>
    </r>
  </si>
  <si>
    <t>Average Monthly Avg Balance</t>
  </si>
  <si>
    <t>Total Amortization on Reacquired PS</t>
  </si>
  <si>
    <t>Months Amortized Over The Period</t>
  </si>
  <si>
    <t>7.75% Series</t>
  </si>
  <si>
    <t>Amortization of Upfront Facility Costs</t>
  </si>
  <si>
    <r>
      <t xml:space="preserve"> (i) </t>
    </r>
    <r>
      <rPr>
        <sz val="8"/>
        <rFont val="Arial"/>
        <family val="2"/>
      </rPr>
      <t>The Company's short-term borrowing projection follows funding the first $100mm of borrowing requirements in the commercial paper market to maintain adequate market presence.  Additional borrowing needs above that level are provided through the AR securitization facility and additional CP if necessary.</t>
    </r>
  </si>
  <si>
    <t>Total Bank Credit Facility Size</t>
  </si>
  <si>
    <t>Amount</t>
  </si>
  <si>
    <t>$200 Million AR Securitization</t>
  </si>
  <si>
    <t>$500 Million 5-Yr Bank Revolving Credit</t>
  </si>
  <si>
    <t>Commitment Fees on Unused Portion</t>
  </si>
  <si>
    <t>Fees on Total Commitment</t>
  </si>
  <si>
    <t xml:space="preserve">Offset to Equity Adjustment </t>
  </si>
  <si>
    <t>Total Adjusted Short-Term Debt</t>
  </si>
  <si>
    <r>
      <t xml:space="preserve">Short-Term Debt Funding (in 000's) </t>
    </r>
    <r>
      <rPr>
        <b/>
        <sz val="8"/>
        <rFont val="Arial"/>
        <family val="2"/>
      </rPr>
      <t xml:space="preserve"> (i)</t>
    </r>
  </si>
  <si>
    <t xml:space="preserve">Avg of </t>
  </si>
  <si>
    <t>Monthly Avg</t>
  </si>
  <si>
    <t>CP Interest Expense (ii)</t>
  </si>
  <si>
    <t>AR Interest Expense  (ii)</t>
  </si>
  <si>
    <t>Letters of Credit (Goldendale Plant)</t>
  </si>
  <si>
    <t>PUGET SOUND ENERGY</t>
  </si>
  <si>
    <t>COMMON EQUITY CALCULATION</t>
  </si>
  <si>
    <t>AS OF SEPTEMBER 30, 2007</t>
  </si>
  <si>
    <t>1st Qtr 2004</t>
  </si>
  <si>
    <t>COMMON EQUITY</t>
  </si>
  <si>
    <t>SAP Balance</t>
  </si>
  <si>
    <t>Sub Earnings not Moved</t>
  </si>
  <si>
    <t>(excluding Rainier Receivable )</t>
  </si>
  <si>
    <t xml:space="preserve">COMMON EQUITY </t>
  </si>
  <si>
    <t>Per Balance Sheet</t>
  </si>
  <si>
    <t>Retained Earnings Projections (From Financial Planning - Chen on 10/23/07)</t>
  </si>
  <si>
    <t>Sep</t>
  </si>
  <si>
    <t xml:space="preserve">Oct </t>
  </si>
  <si>
    <t xml:space="preserve">Nov </t>
  </si>
  <si>
    <t xml:space="preserve">Dec </t>
  </si>
  <si>
    <t xml:space="preserve">Jan </t>
  </si>
  <si>
    <t xml:space="preserve">Feb </t>
  </si>
  <si>
    <t xml:space="preserve">Mar </t>
  </si>
  <si>
    <t xml:space="preserve">Apr </t>
  </si>
  <si>
    <t xml:space="preserve">May </t>
  </si>
  <si>
    <t xml:space="preserve">Jun </t>
  </si>
  <si>
    <t xml:space="preserve">Jul </t>
  </si>
  <si>
    <t xml:space="preserve">Aug </t>
  </si>
  <si>
    <t xml:space="preserve">Sep </t>
  </si>
  <si>
    <t>BACK OUT RETAINED EARNINGS</t>
  </si>
  <si>
    <t>OF SUBSIDIARIES</t>
  </si>
  <si>
    <t>Net Income to be added to RE:</t>
  </si>
  <si>
    <t>PWI</t>
  </si>
  <si>
    <t>HEDC</t>
  </si>
  <si>
    <t>PWI Unrealized Gain on Securities Avail for Sale</t>
  </si>
  <si>
    <t>Projected RE:</t>
  </si>
  <si>
    <t>Hydro Energy Development Company</t>
  </si>
  <si>
    <t>Washington Energy Gas Marketing</t>
  </si>
  <si>
    <t xml:space="preserve">            Total Retained Earnings to Back Out</t>
  </si>
  <si>
    <t xml:space="preserve">                Common Equity Less Subsidiaries</t>
  </si>
  <si>
    <t>REGULATED COMMON EQUITY</t>
  </si>
  <si>
    <t>Note:  PSESI and PSEUSI were dissolved in 2003.  WEGM was dissolved in March 2004.</t>
  </si>
  <si>
    <t xml:space="preserve">           There were no available for sale securities at 9/30/2007.</t>
  </si>
  <si>
    <t>(add RE additions above to beginnning RE)</t>
  </si>
  <si>
    <t>Oct</t>
  </si>
  <si>
    <t>Projected Equity Adjustments from OCI</t>
  </si>
  <si>
    <t xml:space="preserve">Other (Pension type) </t>
  </si>
  <si>
    <t>$ 000's</t>
  </si>
  <si>
    <t>OCI-FAS 133 (not amortized)</t>
  </si>
  <si>
    <t>OCI-Int Rate Derivatives (Amortized)</t>
  </si>
  <si>
    <t>Total Derivatives OCI Forecast</t>
  </si>
  <si>
    <t xml:space="preserve">Derivatives:  </t>
  </si>
  <si>
    <t>Cumulative Monthly Amortization</t>
  </si>
  <si>
    <t xml:space="preserve">Cost of Preferred Stock </t>
  </si>
  <si>
    <t>Cost Rate (i)</t>
  </si>
  <si>
    <t>UPDATE</t>
  </si>
  <si>
    <t>OLD FORMAT- can delete</t>
  </si>
  <si>
    <t>Prior facilities ran up until:</t>
  </si>
  <si>
    <t>$500mm</t>
  </si>
  <si>
    <t>AR Sec</t>
  </si>
  <si>
    <t>04 Apr 2012</t>
  </si>
  <si>
    <t>20 Dec 2010</t>
  </si>
  <si>
    <t>5 Year Bank</t>
  </si>
  <si>
    <t>Revolving Credit</t>
  </si>
  <si>
    <t>Accts Rec</t>
  </si>
  <si>
    <t>Securitization</t>
  </si>
  <si>
    <t>Amortization</t>
  </si>
  <si>
    <t>Total Annual</t>
  </si>
  <si>
    <r>
      <t xml:space="preserve">Pre Merger Cost Basis  </t>
    </r>
    <r>
      <rPr>
        <i/>
        <sz val="9"/>
        <color indexed="12"/>
        <rFont val="Arial"/>
        <family val="2"/>
      </rPr>
      <t>(Matches Prior GRC Rebuttal Costs)</t>
    </r>
  </si>
  <si>
    <t>Post Merger Cost Basis</t>
  </si>
  <si>
    <t>No. of Months in Year</t>
  </si>
  <si>
    <t>$400 Million Working Capital Facility</t>
  </si>
  <si>
    <t>$400 Million Capital Expenditure Facility</t>
  </si>
  <si>
    <t xml:space="preserve"> What is the LC rate?</t>
  </si>
  <si>
    <t>Facility Description</t>
  </si>
  <si>
    <t>$400 million</t>
  </si>
  <si>
    <t>Working Capital</t>
  </si>
  <si>
    <t>Capital Expend</t>
  </si>
  <si>
    <t>Get New Fac Amort</t>
  </si>
  <si>
    <t>Cost of LT Debt</t>
  </si>
  <si>
    <r>
      <t xml:space="preserve">(i) </t>
    </r>
    <r>
      <rPr>
        <sz val="8"/>
        <rFont val="Arial"/>
        <family val="2"/>
      </rPr>
      <t xml:space="preserve">  Net proceeds are face amount less underwriter's fees and issuance expenses.</t>
    </r>
  </si>
  <si>
    <t>Total and Rate of Return</t>
  </si>
  <si>
    <t>Principal    in 000's 4/30/2012</t>
  </si>
  <si>
    <r>
      <t>(iv)</t>
    </r>
    <r>
      <rPr>
        <sz val="8"/>
        <rFont val="Arial"/>
        <family val="2"/>
      </rPr>
      <t xml:space="preserve"> For total long term debt, the cost rate is the total annual charge including reacquired debt divided by the average outstanding balance for the period.</t>
    </r>
  </si>
  <si>
    <r>
      <t>(a)</t>
    </r>
    <r>
      <rPr>
        <sz val="9"/>
        <rFont val="Arial"/>
        <family val="2"/>
      </rPr>
      <t xml:space="preserve"> - Average of Month-End Balances</t>
    </r>
  </si>
  <si>
    <t>Total LT Debt Balances and W. Avg Cost Rate</t>
  </si>
  <si>
    <t>Cost of Capital and Rate of Return</t>
  </si>
  <si>
    <t>For Rate Year May 2012 through April 2013</t>
  </si>
  <si>
    <t>Granted in 2011 General Rate Case</t>
  </si>
  <si>
    <t>Granted in 2011 General Rate Case with New PCB Costs</t>
  </si>
  <si>
    <t>For the 12 Months Ended April 30, 2013 as Granted in 2011 GRC</t>
  </si>
  <si>
    <t>For the 12 Months Ended April 30, 2013 with effect of refinanced PCB's</t>
  </si>
  <si>
    <r>
      <t>(ii)</t>
    </r>
    <r>
      <rPr>
        <sz val="8"/>
        <rFont val="Arial"/>
        <family val="2"/>
      </rPr>
      <t xml:space="preserve"> Cost Rate for each bond is the yield to maturity based on net proceeds.</t>
    </r>
  </si>
  <si>
    <r>
      <t>(iii)</t>
    </r>
    <r>
      <rPr>
        <sz val="8"/>
        <rFont val="Arial"/>
        <family val="2"/>
      </rPr>
      <t xml:space="preserve"> For total long term debt, the cost rate is the total annual charge including reacquired debt divided by the average outstanding balance for the period.</t>
    </r>
  </si>
  <si>
    <t>Remaining unamortized debt issue costs from 2003 PCB's:</t>
  </si>
  <si>
    <t>1% call premium on 2003 PCB's:</t>
  </si>
  <si>
    <t>Total Reaquired Debt Cost of 2003 PCB's:</t>
  </si>
  <si>
    <t>Number of months to amortize over:</t>
  </si>
  <si>
    <t>Monthly amortization amount:</t>
  </si>
  <si>
    <t>Annual amortization amount:</t>
  </si>
  <si>
    <t>Cost Rate (ii)</t>
  </si>
  <si>
    <r>
      <t xml:space="preserve">Annual Charge on Reacquired Debt </t>
    </r>
    <r>
      <rPr>
        <b/>
        <sz val="8"/>
        <rFont val="Arial"/>
        <family val="2"/>
      </rPr>
      <t xml:space="preserve">(iii)  </t>
    </r>
  </si>
  <si>
    <r>
      <t xml:space="preserve">Annual Charge on Reaquired 2003 PCB's </t>
    </r>
    <r>
      <rPr>
        <b/>
        <sz val="8"/>
        <rFont val="Arial"/>
        <family val="2"/>
      </rPr>
      <t>(iv)</t>
    </r>
    <r>
      <rPr>
        <sz val="8"/>
        <rFont val="Arial"/>
        <family val="2"/>
      </rPr>
      <t>:</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</si>
</sst>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00%"/>
    <numFmt numFmtId="167" formatCode="0.000%"/>
    <numFmt numFmtId="168" formatCode="&quot;$&quot;#,##0"/>
    <numFmt numFmtId="169" formatCode="&quot;$&quot;#,##0.0_);\(&quot;$&quot;#,##0.0\)"/>
    <numFmt numFmtId="170" formatCode="_(* #,##0_);_(* \(#,##0\);_(* &quot;-&quot;??_);_(@_)"/>
    <numFmt numFmtId="171" formatCode="0.000000%"/>
    <numFmt numFmtId="172" formatCode="#,##0.0000_);\(#,##0.0000\)"/>
    <numFmt numFmtId="173" formatCode="dd\-mmm\-yy"/>
    <numFmt numFmtId="174" formatCode="&quot; As of &quot;mmmm\ d\,\ yyyy"/>
    <numFmt numFmtId="175" formatCode="0_);[Red]\(0\)"/>
    <numFmt numFmtId="176" formatCode="&quot;$&quot;#,##0\ ;\(&quot;$&quot;#,##0\)"/>
    <numFmt numFmtId="177" formatCode="#.0,,;\(&quot;$&quot;#.0,,\)"/>
    <numFmt numFmtId="178" formatCode="&quot;$&quot;#,000,;\(&quot;$&quot;#,000,\)"/>
    <numFmt numFmtId="179" formatCode="mmmmm\-yy"/>
    <numFmt numFmtId="180" formatCode="_(&quot;$&quot;* #,##0_);_(&quot;$&quot;* \(#,##0\);_(&quot;$&quot;* &quot;-&quot;??_);_(@_)"/>
    <numFmt numFmtId="181" formatCode="0.00_);\(0.00\)"/>
    <numFmt numFmtId="182" formatCode="m/d/yy;@"/>
    <numFmt numFmtId="183" formatCode="[$-409]d\-mmm\-yy;@"/>
    <numFmt numFmtId="184" formatCode="0.000"/>
    <numFmt numFmtId="185" formatCode="&quot;$&quot;#,000.000,;\(&quot;$&quot;#,000.000,\)"/>
    <numFmt numFmtId="186" formatCode="0.00000%"/>
    <numFmt numFmtId="187" formatCode="#,##0.0000"/>
    <numFmt numFmtId="188" formatCode="0.000000"/>
    <numFmt numFmtId="189" formatCode="#,##0.000000000"/>
  </numFmts>
  <fonts count="79">
    <font>
      <sz val="9"/>
      <name val="Arial"/>
      <family val="2"/>
    </font>
    <font>
      <sz val="10"/>
      <name val="Arial"/>
      <family val="0"/>
    </font>
    <font>
      <sz val="10"/>
      <name val="Geneva"/>
      <family val="0"/>
    </font>
    <font>
      <sz val="10"/>
      <name val="Times New Roman"/>
      <family val="1"/>
    </font>
    <font>
      <sz val="12"/>
      <name val="Times New Roman"/>
      <family val="1"/>
    </font>
    <font>
      <sz val="10"/>
      <color indexed="10"/>
      <name val="Times New Roman"/>
      <family val="1"/>
    </font>
    <font>
      <sz val="10"/>
      <color indexed="24"/>
      <name val="Arial"/>
      <family val="2"/>
    </font>
    <font>
      <b/>
      <sz val="10"/>
      <name val="Arial"/>
      <family val="2"/>
    </font>
    <font>
      <b/>
      <sz val="9"/>
      <name val="Arial"/>
      <family val="2"/>
    </font>
    <font>
      <b/>
      <u val="single"/>
      <sz val="8"/>
      <name val="Arial"/>
      <family val="2"/>
    </font>
    <font>
      <b/>
      <sz val="8"/>
      <name val="Arial"/>
      <family val="2"/>
    </font>
    <font>
      <sz val="8"/>
      <name val="Arial"/>
      <family val="2"/>
    </font>
    <font>
      <b/>
      <u val="single"/>
      <sz val="10"/>
      <name val="Arial"/>
      <family val="2"/>
    </font>
    <font>
      <u val="single"/>
      <sz val="10"/>
      <name val="Arial"/>
      <family val="2"/>
    </font>
    <font>
      <b/>
      <sz val="12"/>
      <name val="Arial"/>
      <family val="2"/>
    </font>
    <font>
      <sz val="8"/>
      <color indexed="8"/>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sz val="8"/>
      <color indexed="10"/>
      <name val="Times New Roman"/>
      <family val="1"/>
    </font>
    <font>
      <b/>
      <sz val="12"/>
      <color indexed="8"/>
      <name val="Times New Roman"/>
      <family val="1"/>
    </font>
    <font>
      <u val="single"/>
      <sz val="8"/>
      <color indexed="36"/>
      <name val="Arial"/>
      <family val="2"/>
    </font>
    <font>
      <u val="single"/>
      <sz val="8"/>
      <color indexed="12"/>
      <name val="Arial"/>
      <family val="2"/>
    </font>
    <font>
      <u val="single"/>
      <sz val="8"/>
      <name val="Arial"/>
      <family val="2"/>
    </font>
    <font>
      <sz val="8"/>
      <name val="Tahoma"/>
      <family val="2"/>
    </font>
    <font>
      <sz val="8"/>
      <color indexed="12"/>
      <name val="Arial"/>
      <family val="2"/>
    </font>
    <font>
      <b/>
      <i/>
      <sz val="10"/>
      <color indexed="10"/>
      <name val="Arial"/>
      <family val="2"/>
    </font>
    <font>
      <b/>
      <sz val="9"/>
      <color indexed="10"/>
      <name val="Arial"/>
      <family val="2"/>
    </font>
    <font>
      <sz val="7"/>
      <color indexed="10"/>
      <name val="Arial"/>
      <family val="2"/>
    </font>
    <font>
      <b/>
      <sz val="10"/>
      <color indexed="10"/>
      <name val="Tahoma"/>
      <family val="2"/>
    </font>
    <font>
      <b/>
      <i/>
      <sz val="9"/>
      <color indexed="10"/>
      <name val="Arial"/>
      <family val="2"/>
    </font>
    <font>
      <b/>
      <sz val="8"/>
      <name val="Tahoma"/>
      <family val="2"/>
    </font>
    <font>
      <sz val="8"/>
      <color indexed="9"/>
      <name val="Arial"/>
      <family val="2"/>
    </font>
    <font>
      <b/>
      <sz val="12"/>
      <name val="Palatino"/>
      <family val="0"/>
    </font>
    <font>
      <sz val="10"/>
      <color indexed="10"/>
      <name val="Arial"/>
      <family val="2"/>
    </font>
    <font>
      <b/>
      <sz val="12"/>
      <name val="MS Serif"/>
      <family val="1"/>
    </font>
    <font>
      <b/>
      <u val="single"/>
      <sz val="11"/>
      <name val="Palatino"/>
      <family val="0"/>
    </font>
    <font>
      <sz val="12"/>
      <name val="Arial"/>
      <family val="2"/>
    </font>
    <font>
      <sz val="10"/>
      <name val="palatino"/>
      <family val="0"/>
    </font>
    <font>
      <u val="single"/>
      <sz val="10"/>
      <color indexed="12"/>
      <name val="Arial"/>
      <family val="2"/>
    </font>
    <font>
      <sz val="11"/>
      <name val="Palatino"/>
      <family val="0"/>
    </font>
    <font>
      <u val="single"/>
      <sz val="12"/>
      <name val="Arial"/>
      <family val="2"/>
    </font>
    <font>
      <sz val="11"/>
      <name val="Arial"/>
      <family val="2"/>
    </font>
    <font>
      <u val="doubleAccounting"/>
      <sz val="12"/>
      <name val="Arial"/>
      <family val="2"/>
    </font>
    <font>
      <i/>
      <sz val="8"/>
      <name val="Arial"/>
      <family val="2"/>
    </font>
    <font>
      <b/>
      <sz val="10"/>
      <name val="Palatino"/>
      <family val="0"/>
    </font>
    <font>
      <b/>
      <sz val="10"/>
      <color indexed="10"/>
      <name val="Palatino"/>
      <family val="0"/>
    </font>
    <font>
      <b/>
      <sz val="10"/>
      <name val="MS Serif"/>
      <family val="1"/>
    </font>
    <font>
      <b/>
      <u val="single"/>
      <sz val="10"/>
      <name val="Palatino"/>
      <family val="0"/>
    </font>
    <font>
      <u val="single"/>
      <sz val="10"/>
      <name val="palatino"/>
      <family val="0"/>
    </font>
    <font>
      <u val="doubleAccounting"/>
      <sz val="10"/>
      <name val="palatino"/>
      <family val="0"/>
    </font>
    <font>
      <i/>
      <u val="single"/>
      <sz val="8"/>
      <name val="Arial"/>
      <family val="2"/>
    </font>
    <font>
      <sz val="9"/>
      <color indexed="12"/>
      <name val="Palatino"/>
      <family val="0"/>
    </font>
    <font>
      <i/>
      <sz val="9"/>
      <name val="Arial"/>
      <family val="2"/>
    </font>
    <font>
      <b/>
      <sz val="11"/>
      <color indexed="10"/>
      <name val="Arial"/>
      <family val="2"/>
    </font>
    <font>
      <i/>
      <sz val="9"/>
      <color indexed="12"/>
      <name val="Arial"/>
      <family val="2"/>
    </font>
    <font>
      <i/>
      <sz val="11"/>
      <color indexed="10"/>
      <name val="Arial"/>
      <family val="2"/>
    </font>
    <font>
      <b/>
      <i/>
      <sz val="10"/>
      <name val="Arial"/>
      <family val="2"/>
    </font>
    <font>
      <i/>
      <sz val="9"/>
      <color indexed="10"/>
      <name val="Arial"/>
      <family val="2"/>
    </font>
    <font>
      <b/>
      <sz val="10"/>
      <color indexed="12"/>
      <name val="Arial"/>
      <family val="2"/>
    </font>
    <font>
      <i/>
      <sz val="8"/>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8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4" borderId="0" applyNumberFormat="0" applyBorder="0" applyAlignment="0" applyProtection="0"/>
    <xf numFmtId="0" fontId="63" fillId="6" borderId="0" applyNumberFormat="0" applyBorder="0" applyAlignment="0" applyProtection="0"/>
    <xf numFmtId="0" fontId="63" fillId="3"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6" borderId="0" applyNumberFormat="0" applyBorder="0" applyAlignment="0" applyProtection="0"/>
    <xf numFmtId="0" fontId="63" fillId="4" borderId="0" applyNumberFormat="0" applyBorder="0" applyAlignment="0" applyProtection="0"/>
    <xf numFmtId="0" fontId="64" fillId="6"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8" borderId="0" applyNumberFormat="0" applyBorder="0" applyAlignment="0" applyProtection="0"/>
    <xf numFmtId="0" fontId="64" fillId="6" borderId="0" applyNumberFormat="0" applyBorder="0" applyAlignment="0" applyProtection="0"/>
    <xf numFmtId="0" fontId="64" fillId="3" borderId="0" applyNumberFormat="0" applyBorder="0" applyAlignment="0" applyProtection="0"/>
    <xf numFmtId="0" fontId="64" fillId="11"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5" fillId="15" borderId="0" applyNumberFormat="0" applyBorder="0" applyAlignment="0" applyProtection="0"/>
    <xf numFmtId="0" fontId="66" fillId="16" borderId="1" applyNumberFormat="0" applyAlignment="0" applyProtection="0"/>
    <xf numFmtId="0" fontId="67" fillId="1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3" fontId="6"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6" fontId="6" fillId="0" borderId="0" applyFont="0" applyFill="0" applyBorder="0" applyAlignment="0" applyProtection="0"/>
    <xf numFmtId="0" fontId="6" fillId="0" borderId="0" applyFont="0" applyFill="0" applyBorder="0" applyAlignment="0" applyProtection="0"/>
    <xf numFmtId="0" fontId="68" fillId="0" borderId="0" applyNumberFormat="0" applyFill="0" applyBorder="0" applyAlignment="0" applyProtection="0"/>
    <xf numFmtId="0" fontId="23" fillId="0" borderId="0" applyNumberFormat="0" applyFill="0" applyBorder="0" applyAlignment="0" applyProtection="0"/>
    <xf numFmtId="0" fontId="69" fillId="6"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24" fillId="0" borderId="0" applyNumberFormat="0" applyFill="0" applyBorder="0" applyAlignment="0" applyProtection="0"/>
    <xf numFmtId="0" fontId="73" fillId="7" borderId="1" applyNumberFormat="0" applyAlignment="0" applyProtection="0"/>
    <xf numFmtId="0" fontId="74" fillId="0" borderId="6" applyNumberFormat="0" applyFill="0" applyAlignment="0" applyProtection="0"/>
    <xf numFmtId="181" fontId="11" fillId="0" borderId="0">
      <alignment/>
      <protection/>
    </xf>
    <xf numFmtId="0" fontId="75" fillId="7" borderId="0" applyNumberFormat="0" applyBorder="0" applyAlignment="0" applyProtection="0"/>
    <xf numFmtId="0" fontId="1" fillId="0" borderId="0">
      <alignment/>
      <protection/>
    </xf>
    <xf numFmtId="0" fontId="2" fillId="0" borderId="0">
      <alignment/>
      <protection/>
    </xf>
    <xf numFmtId="0" fontId="2" fillId="0" borderId="0">
      <alignment/>
      <protection/>
    </xf>
    <xf numFmtId="37" fontId="11" fillId="0" borderId="0">
      <alignment/>
      <protection/>
    </xf>
    <xf numFmtId="37" fontId="2" fillId="0" borderId="0">
      <alignment/>
      <protection/>
    </xf>
    <xf numFmtId="37" fontId="2" fillId="0" borderId="0">
      <alignment/>
      <protection/>
    </xf>
    <xf numFmtId="0" fontId="2" fillId="0" borderId="0">
      <alignment/>
      <protection/>
    </xf>
    <xf numFmtId="37" fontId="2" fillId="0" borderId="0">
      <alignment/>
      <protection/>
    </xf>
    <xf numFmtId="37" fontId="11" fillId="0" borderId="0">
      <alignment/>
      <protection/>
    </xf>
    <xf numFmtId="3" fontId="0" fillId="0" borderId="0">
      <alignment/>
      <protection/>
    </xf>
    <xf numFmtId="10" fontId="2" fillId="0" borderId="0">
      <alignment/>
      <protection/>
    </xf>
    <xf numFmtId="0" fontId="2" fillId="0" borderId="0">
      <alignment/>
      <protection/>
    </xf>
    <xf numFmtId="0" fontId="2" fillId="0" borderId="0">
      <alignment/>
      <protection/>
    </xf>
    <xf numFmtId="37" fontId="11" fillId="0" borderId="0">
      <alignment/>
      <protection/>
    </xf>
    <xf numFmtId="0" fontId="0" fillId="4" borderId="7" applyNumberFormat="0" applyFont="0" applyAlignment="0" applyProtection="0"/>
    <xf numFmtId="0" fontId="76" fillId="16" borderId="8" applyNumberFormat="0" applyAlignment="0" applyProtection="0"/>
    <xf numFmtId="9" fontId="1" fillId="0" borderId="0" applyFont="0" applyFill="0" applyBorder="0" applyAlignment="0" applyProtection="0"/>
    <xf numFmtId="188" fontId="1" fillId="0" borderId="0">
      <alignment horizontal="left" wrapText="1"/>
      <protection/>
    </xf>
    <xf numFmtId="0" fontId="77" fillId="0" borderId="0" applyNumberFormat="0" applyFill="0" applyBorder="0" applyAlignment="0" applyProtection="0"/>
    <xf numFmtId="0" fontId="78" fillId="0" borderId="9" applyNumberFormat="0" applyFill="0" applyAlignment="0" applyProtection="0"/>
    <xf numFmtId="0" fontId="74" fillId="0" borderId="0" applyNumberFormat="0" applyFill="0" applyBorder="0" applyAlignment="0" applyProtection="0"/>
  </cellStyleXfs>
  <cellXfs count="482">
    <xf numFmtId="37" fontId="0" fillId="0" borderId="0" xfId="0" applyAlignment="1">
      <alignment/>
    </xf>
    <xf numFmtId="1" fontId="3" fillId="0" borderId="0" xfId="71" applyNumberFormat="1" applyFont="1" applyProtection="1">
      <alignment/>
      <protection/>
    </xf>
    <xf numFmtId="10" fontId="3" fillId="0" borderId="0" xfId="71" applyFont="1">
      <alignment/>
      <protection/>
    </xf>
    <xf numFmtId="10" fontId="3" fillId="0" borderId="0" xfId="71" applyFont="1" applyAlignment="1">
      <alignment horizontal="centerContinuous"/>
      <protection/>
    </xf>
    <xf numFmtId="10" fontId="3" fillId="0" borderId="0" xfId="71" applyFont="1" applyAlignment="1" applyProtection="1">
      <alignment horizontal="left"/>
      <protection/>
    </xf>
    <xf numFmtId="37" fontId="3" fillId="0" borderId="0" xfId="0" applyFont="1" applyAlignment="1">
      <alignment/>
    </xf>
    <xf numFmtId="5" fontId="3" fillId="0" borderId="0" xfId="71" applyNumberFormat="1" applyFont="1" applyProtection="1">
      <alignment/>
      <protection/>
    </xf>
    <xf numFmtId="164" fontId="3" fillId="0" borderId="0" xfId="71" applyNumberFormat="1" applyFont="1" applyProtection="1">
      <alignment/>
      <protection/>
    </xf>
    <xf numFmtId="10" fontId="3" fillId="0" borderId="0" xfId="71" applyNumberFormat="1" applyFont="1" applyProtection="1">
      <alignment/>
      <protection/>
    </xf>
    <xf numFmtId="0" fontId="4" fillId="0" borderId="0" xfId="72" applyFont="1">
      <alignment/>
      <protection/>
    </xf>
    <xf numFmtId="37" fontId="4" fillId="0" borderId="0" xfId="68" applyFont="1" applyFill="1">
      <alignment/>
      <protection/>
    </xf>
    <xf numFmtId="0" fontId="3" fillId="0" borderId="0" xfId="63" applyFont="1">
      <alignment/>
      <protection/>
    </xf>
    <xf numFmtId="0" fontId="3" fillId="0" borderId="0" xfId="63" applyFont="1" applyFill="1">
      <alignment/>
      <protection/>
    </xf>
    <xf numFmtId="0" fontId="3" fillId="0" borderId="0" xfId="63" applyFont="1" applyAlignment="1" applyProtection="1">
      <alignment horizontal="center"/>
      <protection/>
    </xf>
    <xf numFmtId="0" fontId="3" fillId="0" borderId="0" xfId="63" applyFont="1" applyAlignment="1">
      <alignment horizontal="center"/>
      <protection/>
    </xf>
    <xf numFmtId="0" fontId="5" fillId="0" borderId="0" xfId="63" applyFont="1">
      <alignment/>
      <protection/>
    </xf>
    <xf numFmtId="37" fontId="0" fillId="0" borderId="0" xfId="0" applyFont="1" applyAlignment="1">
      <alignment/>
    </xf>
    <xf numFmtId="37" fontId="8" fillId="0" borderId="0" xfId="0" applyFont="1" applyAlignment="1">
      <alignment/>
    </xf>
    <xf numFmtId="15" fontId="0" fillId="0" borderId="0" xfId="0" applyNumberFormat="1" applyFont="1" applyAlignment="1">
      <alignment horizontal="left"/>
    </xf>
    <xf numFmtId="37" fontId="0" fillId="0" borderId="0" xfId="0" applyFont="1" applyBorder="1" applyAlignment="1">
      <alignment/>
    </xf>
    <xf numFmtId="14" fontId="0" fillId="0" borderId="0" xfId="0" applyNumberFormat="1" applyFont="1" applyBorder="1" applyAlignment="1">
      <alignment/>
    </xf>
    <xf numFmtId="14" fontId="0" fillId="0" borderId="0" xfId="0" applyNumberFormat="1" applyFont="1" applyFill="1" applyBorder="1" applyAlignment="1">
      <alignment/>
    </xf>
    <xf numFmtId="165" fontId="8" fillId="0" borderId="0" xfId="0" applyNumberFormat="1" applyFont="1" applyAlignment="1">
      <alignment horizontal="left"/>
    </xf>
    <xf numFmtId="7" fontId="0" fillId="0" borderId="0" xfId="72" applyNumberFormat="1" applyFont="1" applyFill="1">
      <alignment/>
      <protection/>
    </xf>
    <xf numFmtId="0" fontId="8" fillId="0" borderId="0" xfId="72" applyFont="1" applyFill="1" applyAlignment="1" applyProtection="1" quotePrefix="1">
      <alignment horizontal="left"/>
      <protection/>
    </xf>
    <xf numFmtId="37" fontId="7" fillId="0" borderId="0" xfId="65" applyFont="1" applyAlignment="1" applyProtection="1">
      <alignment horizontal="center"/>
      <protection/>
    </xf>
    <xf numFmtId="37" fontId="0" fillId="0" borderId="0" xfId="0" applyBorder="1" applyAlignment="1">
      <alignment/>
    </xf>
    <xf numFmtId="10" fontId="7" fillId="0" borderId="0" xfId="71" applyFont="1" applyAlignment="1">
      <alignment horizontal="centerContinuous"/>
      <protection/>
    </xf>
    <xf numFmtId="10" fontId="1" fillId="0" borderId="0" xfId="71" applyFont="1">
      <alignment/>
      <protection/>
    </xf>
    <xf numFmtId="10" fontId="7" fillId="0" borderId="0" xfId="71" applyFont="1" applyAlignment="1">
      <alignment horizontal="center"/>
      <protection/>
    </xf>
    <xf numFmtId="10" fontId="7" fillId="0" borderId="0" xfId="71" applyFont="1" applyAlignment="1" applyProtection="1">
      <alignment horizontal="center"/>
      <protection/>
    </xf>
    <xf numFmtId="10" fontId="12" fillId="0" borderId="0" xfId="71" applyFont="1" applyAlignment="1" applyProtection="1">
      <alignment horizontal="center"/>
      <protection/>
    </xf>
    <xf numFmtId="10" fontId="1" fillId="0" borderId="0" xfId="71" applyFont="1" applyAlignment="1" applyProtection="1">
      <alignment horizontal="left"/>
      <protection/>
    </xf>
    <xf numFmtId="5" fontId="1" fillId="0" borderId="0" xfId="45" applyNumberFormat="1" applyFont="1" applyAlignment="1">
      <alignment horizontal="right"/>
    </xf>
    <xf numFmtId="10" fontId="1" fillId="0" borderId="0" xfId="71" applyFont="1" applyFill="1">
      <alignment/>
      <protection/>
    </xf>
    <xf numFmtId="10" fontId="1" fillId="0" borderId="0" xfId="71" applyFont="1" applyBorder="1">
      <alignment/>
      <protection/>
    </xf>
    <xf numFmtId="15" fontId="0" fillId="0" borderId="0" xfId="72" applyNumberFormat="1" applyFont="1" applyFill="1" applyAlignment="1">
      <alignment horizontal="center"/>
      <protection/>
    </xf>
    <xf numFmtId="175" fontId="0" fillId="0" borderId="0" xfId="72" applyNumberFormat="1" applyFont="1" applyFill="1" applyAlignment="1">
      <alignment horizontal="center"/>
      <protection/>
    </xf>
    <xf numFmtId="37" fontId="0" fillId="0" borderId="0" xfId="0" applyFont="1" applyBorder="1" applyAlignment="1">
      <alignment horizontal="left"/>
    </xf>
    <xf numFmtId="10" fontId="0" fillId="0" borderId="0" xfId="0" applyNumberFormat="1" applyBorder="1" applyAlignment="1">
      <alignment/>
    </xf>
    <xf numFmtId="0" fontId="0" fillId="0" borderId="0" xfId="63" applyFont="1" applyAlignment="1" applyProtection="1">
      <alignment horizontal="center"/>
      <protection/>
    </xf>
    <xf numFmtId="37" fontId="10" fillId="0" borderId="10" xfId="68" applyFont="1" applyBorder="1" applyAlignment="1" applyProtection="1">
      <alignment horizontal="center" wrapText="1"/>
      <protection/>
    </xf>
    <xf numFmtId="37" fontId="11" fillId="0" borderId="0" xfId="68" applyFont="1">
      <alignment/>
      <protection/>
    </xf>
    <xf numFmtId="37" fontId="19" fillId="0" borderId="0" xfId="68" applyFont="1">
      <alignment/>
      <protection/>
    </xf>
    <xf numFmtId="37" fontId="11" fillId="0" borderId="0" xfId="68" applyFont="1" applyAlignment="1" applyProtection="1">
      <alignment horizontal="left"/>
      <protection/>
    </xf>
    <xf numFmtId="5" fontId="11" fillId="0" borderId="0" xfId="68" applyNumberFormat="1" applyFont="1" applyBorder="1" applyProtection="1">
      <alignment/>
      <protection/>
    </xf>
    <xf numFmtId="5" fontId="16" fillId="0" borderId="0" xfId="68" applyNumberFormat="1" applyFont="1" applyFill="1" applyBorder="1" applyProtection="1">
      <alignment/>
      <protection/>
    </xf>
    <xf numFmtId="37" fontId="10" fillId="0" borderId="0" xfId="68" applyFont="1" applyBorder="1" applyAlignment="1" applyProtection="1">
      <alignment horizontal="left"/>
      <protection/>
    </xf>
    <xf numFmtId="0" fontId="11" fillId="0" borderId="0" xfId="63" applyFont="1" applyAlignment="1" applyProtection="1">
      <alignment horizontal="center"/>
      <protection/>
    </xf>
    <xf numFmtId="37" fontId="10" fillId="0" borderId="0" xfId="65" applyFont="1" applyAlignment="1" applyProtection="1">
      <alignment horizontal="center"/>
      <protection/>
    </xf>
    <xf numFmtId="15" fontId="11" fillId="0" borderId="0" xfId="68" applyNumberFormat="1" applyFont="1" applyBorder="1" applyAlignment="1" applyProtection="1">
      <alignment horizontal="center"/>
      <protection/>
    </xf>
    <xf numFmtId="37" fontId="16" fillId="0" borderId="0" xfId="68" applyNumberFormat="1" applyFont="1" applyBorder="1" applyProtection="1">
      <alignment/>
      <protection/>
    </xf>
    <xf numFmtId="37" fontId="11" fillId="0" borderId="0" xfId="68" applyFont="1" applyBorder="1" applyAlignment="1" applyProtection="1">
      <alignment horizontal="left"/>
      <protection/>
    </xf>
    <xf numFmtId="37" fontId="0" fillId="0" borderId="0" xfId="68" applyFont="1" applyFill="1">
      <alignment/>
      <protection/>
    </xf>
    <xf numFmtId="37" fontId="9" fillId="0" borderId="0" xfId="68" applyFont="1" applyBorder="1" applyAlignment="1" applyProtection="1">
      <alignment horizontal="left"/>
      <protection/>
    </xf>
    <xf numFmtId="0" fontId="11" fillId="0" borderId="0" xfId="72" applyFont="1" applyFill="1">
      <alignment/>
      <protection/>
    </xf>
    <xf numFmtId="7" fontId="10" fillId="0" borderId="0" xfId="72" applyNumberFormat="1" applyFont="1">
      <alignment/>
      <protection/>
    </xf>
    <xf numFmtId="0" fontId="19" fillId="0" borderId="0" xfId="63" applyFont="1" applyAlignment="1" applyProtection="1">
      <alignment horizontal="center"/>
      <protection/>
    </xf>
    <xf numFmtId="0" fontId="19" fillId="0" borderId="0" xfId="63" applyFont="1">
      <alignment/>
      <protection/>
    </xf>
    <xf numFmtId="0" fontId="19" fillId="0" borderId="0" xfId="63" applyFont="1" applyFill="1">
      <alignment/>
      <protection/>
    </xf>
    <xf numFmtId="174" fontId="10" fillId="0" borderId="0" xfId="67" applyNumberFormat="1" applyFont="1" applyFill="1" applyAlignment="1" applyProtection="1">
      <alignment horizontal="center"/>
      <protection/>
    </xf>
    <xf numFmtId="0" fontId="11" fillId="0" borderId="0" xfId="63" applyFont="1">
      <alignment/>
      <protection/>
    </xf>
    <xf numFmtId="37" fontId="10" fillId="0" borderId="0" xfId="68" applyFont="1" applyBorder="1" applyAlignment="1" applyProtection="1">
      <alignment horizontal="center" wrapText="1"/>
      <protection/>
    </xf>
    <xf numFmtId="0" fontId="11" fillId="0" borderId="0" xfId="63" applyFont="1" applyBorder="1">
      <alignment/>
      <protection/>
    </xf>
    <xf numFmtId="0" fontId="11" fillId="0" borderId="0" xfId="63" applyFont="1" applyBorder="1" applyAlignment="1">
      <alignment horizontal="center"/>
      <protection/>
    </xf>
    <xf numFmtId="0" fontId="11" fillId="0" borderId="0" xfId="63" applyFont="1" applyBorder="1" applyAlignment="1" applyProtection="1">
      <alignment horizontal="center"/>
      <protection/>
    </xf>
    <xf numFmtId="0" fontId="19" fillId="0" borderId="0" xfId="63" applyFont="1" applyAlignment="1">
      <alignment horizontal="center"/>
      <protection/>
    </xf>
    <xf numFmtId="173" fontId="11" fillId="0" borderId="0" xfId="68" applyNumberFormat="1" applyFont="1" applyBorder="1" applyProtection="1">
      <alignment/>
      <protection/>
    </xf>
    <xf numFmtId="7" fontId="11" fillId="0" borderId="0" xfId="63" applyNumberFormat="1" applyFont="1" applyBorder="1" applyProtection="1">
      <alignment/>
      <protection/>
    </xf>
    <xf numFmtId="5" fontId="11" fillId="0" borderId="0" xfId="63" applyNumberFormat="1" applyFont="1" applyBorder="1" applyProtection="1">
      <alignment/>
      <protection/>
    </xf>
    <xf numFmtId="0" fontId="21" fillId="0" borderId="0" xfId="63" applyFont="1">
      <alignment/>
      <protection/>
    </xf>
    <xf numFmtId="5" fontId="16" fillId="0" borderId="0" xfId="63" applyNumberFormat="1" applyFont="1" applyFill="1" applyBorder="1" applyProtection="1">
      <alignment/>
      <protection/>
    </xf>
    <xf numFmtId="37" fontId="20" fillId="0" borderId="0" xfId="63" applyNumberFormat="1" applyFont="1" applyProtection="1">
      <alignment/>
      <protection/>
    </xf>
    <xf numFmtId="15" fontId="20" fillId="0" borderId="0" xfId="63" applyNumberFormat="1" applyFont="1" applyProtection="1">
      <alignment/>
      <protection/>
    </xf>
    <xf numFmtId="7" fontId="20" fillId="0" borderId="0" xfId="63" applyNumberFormat="1" applyFont="1" applyProtection="1">
      <alignment/>
      <protection/>
    </xf>
    <xf numFmtId="39" fontId="20" fillId="0" borderId="0" xfId="63" applyNumberFormat="1" applyFont="1" applyProtection="1">
      <alignment/>
      <protection/>
    </xf>
    <xf numFmtId="15" fontId="11" fillId="0" borderId="0" xfId="63" applyNumberFormat="1" applyFont="1" applyBorder="1">
      <alignment/>
      <protection/>
    </xf>
    <xf numFmtId="0" fontId="10" fillId="0" borderId="0" xfId="63" applyFont="1" applyBorder="1" applyAlignment="1">
      <alignment horizontal="right"/>
      <protection/>
    </xf>
    <xf numFmtId="0" fontId="10" fillId="0" borderId="0" xfId="63" applyFont="1" applyBorder="1" applyAlignment="1" applyProtection="1">
      <alignment horizontal="right"/>
      <protection/>
    </xf>
    <xf numFmtId="0" fontId="19" fillId="0" borderId="0" xfId="63" applyFont="1" applyBorder="1">
      <alignment/>
      <protection/>
    </xf>
    <xf numFmtId="5" fontId="11" fillId="0" borderId="0" xfId="63" applyNumberFormat="1" applyFont="1" applyFill="1" applyBorder="1" applyProtection="1">
      <alignment/>
      <protection/>
    </xf>
    <xf numFmtId="0" fontId="19" fillId="0" borderId="0" xfId="63" applyFont="1" applyFill="1" applyBorder="1">
      <alignment/>
      <protection/>
    </xf>
    <xf numFmtId="37" fontId="11" fillId="0" borderId="0" xfId="0" applyFont="1" applyBorder="1" applyAlignment="1">
      <alignment/>
    </xf>
    <xf numFmtId="37" fontId="11" fillId="0" borderId="0" xfId="66" applyNumberFormat="1" applyFont="1" applyProtection="1">
      <alignment/>
      <protection/>
    </xf>
    <xf numFmtId="37" fontId="11" fillId="0" borderId="0" xfId="66" applyNumberFormat="1" applyFont="1" applyBorder="1" applyProtection="1">
      <alignment/>
      <protection/>
    </xf>
    <xf numFmtId="38" fontId="1" fillId="0" borderId="0" xfId="71" applyNumberFormat="1" applyFont="1">
      <alignment/>
      <protection/>
    </xf>
    <xf numFmtId="3" fontId="0" fillId="0" borderId="0" xfId="70" applyFont="1" applyAlignment="1">
      <alignment horizontal="center"/>
      <protection/>
    </xf>
    <xf numFmtId="3" fontId="0" fillId="0" borderId="0" xfId="70" applyFont="1" applyAlignment="1">
      <alignment horizontal="centerContinuous"/>
      <protection/>
    </xf>
    <xf numFmtId="3" fontId="1" fillId="0" borderId="0" xfId="70" applyFont="1">
      <alignment/>
      <protection/>
    </xf>
    <xf numFmtId="3" fontId="1" fillId="0" borderId="0" xfId="70" applyFont="1" applyBorder="1">
      <alignment/>
      <protection/>
    </xf>
    <xf numFmtId="3" fontId="1" fillId="0" borderId="0" xfId="70" applyFont="1" applyAlignment="1">
      <alignment horizontal="center"/>
      <protection/>
    </xf>
    <xf numFmtId="3" fontId="11" fillId="0" borderId="0" xfId="70" applyFont="1" applyAlignment="1">
      <alignment horizontal="center"/>
      <protection/>
    </xf>
    <xf numFmtId="3" fontId="11" fillId="0" borderId="0" xfId="70" applyFont="1">
      <alignment/>
      <protection/>
    </xf>
    <xf numFmtId="3" fontId="10" fillId="0" borderId="0" xfId="70" applyFont="1" applyAlignment="1">
      <alignment horizontal="center"/>
      <protection/>
    </xf>
    <xf numFmtId="167" fontId="10" fillId="0" borderId="0" xfId="70" applyNumberFormat="1" applyFont="1" applyAlignment="1" applyProtection="1">
      <alignment horizontal="center"/>
      <protection/>
    </xf>
    <xf numFmtId="3" fontId="10" fillId="0" borderId="10" xfId="70" applyFont="1" applyBorder="1" applyAlignment="1" applyProtection="1">
      <alignment horizontal="center"/>
      <protection/>
    </xf>
    <xf numFmtId="3" fontId="10" fillId="0" borderId="10" xfId="70" applyFont="1" applyBorder="1" applyAlignment="1" applyProtection="1" quotePrefix="1">
      <alignment horizontal="center"/>
      <protection/>
    </xf>
    <xf numFmtId="3" fontId="16" fillId="0" borderId="0" xfId="70" applyFont="1" applyFill="1">
      <alignment/>
      <protection/>
    </xf>
    <xf numFmtId="3" fontId="11" fillId="0" borderId="0" xfId="70" applyFont="1" applyBorder="1">
      <alignment/>
      <protection/>
    </xf>
    <xf numFmtId="3" fontId="11" fillId="0" borderId="0" xfId="70" applyFont="1" applyAlignment="1">
      <alignment horizontal="left"/>
      <protection/>
    </xf>
    <xf numFmtId="37" fontId="11" fillId="0" borderId="0" xfId="0" applyFont="1" applyAlignment="1">
      <alignment/>
    </xf>
    <xf numFmtId="37" fontId="8" fillId="0" borderId="0" xfId="65" applyFont="1" applyAlignment="1" applyProtection="1">
      <alignment horizontal="center"/>
      <protection/>
    </xf>
    <xf numFmtId="37" fontId="10" fillId="0" borderId="0" xfId="0" applyFont="1" applyAlignment="1" quotePrefix="1">
      <alignment/>
    </xf>
    <xf numFmtId="17" fontId="11" fillId="0" borderId="0" xfId="66" applyNumberFormat="1" applyFont="1" applyProtection="1">
      <alignment/>
      <protection/>
    </xf>
    <xf numFmtId="17" fontId="11" fillId="0" borderId="0" xfId="70" applyNumberFormat="1" applyFont="1" applyAlignment="1">
      <alignment horizontal="center"/>
      <protection/>
    </xf>
    <xf numFmtId="178" fontId="16" fillId="0" borderId="0" xfId="62" applyNumberFormat="1" applyFont="1" applyBorder="1" applyProtection="1">
      <alignment/>
      <protection/>
    </xf>
    <xf numFmtId="10" fontId="1" fillId="0" borderId="0" xfId="71" applyNumberFormat="1" applyFont="1" applyAlignment="1" applyProtection="1">
      <alignment horizontal="left"/>
      <protection/>
    </xf>
    <xf numFmtId="10" fontId="1" fillId="0" borderId="0" xfId="71" applyNumberFormat="1" applyFont="1" applyBorder="1" applyAlignment="1" applyProtection="1">
      <alignment horizontal="center"/>
      <protection/>
    </xf>
    <xf numFmtId="10" fontId="18" fillId="0" borderId="0" xfId="71" applyNumberFormat="1" applyFont="1" applyBorder="1" applyAlignment="1" applyProtection="1">
      <alignment horizontal="center"/>
      <protection/>
    </xf>
    <xf numFmtId="10" fontId="1" fillId="0" borderId="0" xfId="71" applyNumberFormat="1" applyFont="1" applyBorder="1">
      <alignment/>
      <protection/>
    </xf>
    <xf numFmtId="10" fontId="0" fillId="0" borderId="0" xfId="0" applyNumberFormat="1" applyAlignment="1">
      <alignment/>
    </xf>
    <xf numFmtId="10" fontId="11" fillId="0" borderId="0" xfId="0" applyNumberFormat="1" applyFont="1" applyFill="1" applyBorder="1" applyAlignment="1">
      <alignment/>
    </xf>
    <xf numFmtId="171" fontId="1" fillId="0" borderId="0" xfId="71" applyNumberFormat="1" applyFont="1">
      <alignment/>
      <protection/>
    </xf>
    <xf numFmtId="3" fontId="10" fillId="0" borderId="0" xfId="70" applyFont="1" quotePrefix="1">
      <alignment/>
      <protection/>
    </xf>
    <xf numFmtId="37" fontId="11" fillId="0" borderId="0" xfId="65" applyFont="1" applyAlignment="1" applyProtection="1">
      <alignment horizontal="center"/>
      <protection/>
    </xf>
    <xf numFmtId="5" fontId="16" fillId="0" borderId="0" xfId="62" applyNumberFormat="1" applyFont="1" applyFill="1" applyBorder="1" applyProtection="1">
      <alignment/>
      <protection/>
    </xf>
    <xf numFmtId="0" fontId="8" fillId="0" borderId="0" xfId="72" applyFont="1" applyFill="1" applyAlignment="1" applyProtection="1" quotePrefix="1">
      <alignment horizontal="center"/>
      <protection/>
    </xf>
    <xf numFmtId="10" fontId="0" fillId="0" borderId="0" xfId="71" applyFont="1" applyAlignment="1">
      <alignment horizontal="left"/>
      <protection/>
    </xf>
    <xf numFmtId="1" fontId="0" fillId="0" borderId="0" xfId="71" applyNumberFormat="1" applyFont="1" applyAlignment="1" applyProtection="1">
      <alignment horizontal="left"/>
      <protection/>
    </xf>
    <xf numFmtId="1" fontId="11" fillId="0" borderId="0" xfId="71" applyNumberFormat="1" applyFont="1" applyAlignment="1" applyProtection="1">
      <alignment horizontal="left"/>
      <protection/>
    </xf>
    <xf numFmtId="10" fontId="7" fillId="0" borderId="0" xfId="71" applyFont="1" applyBorder="1" applyAlignment="1" applyProtection="1">
      <alignment horizontal="center"/>
      <protection/>
    </xf>
    <xf numFmtId="10" fontId="1" fillId="0" borderId="0" xfId="71" applyNumberFormat="1" applyFont="1" applyBorder="1" applyAlignment="1" applyProtection="1">
      <alignment horizontal="left"/>
      <protection/>
    </xf>
    <xf numFmtId="10" fontId="13" fillId="0" borderId="0" xfId="71" applyNumberFormat="1" applyFont="1" applyBorder="1" applyAlignment="1" applyProtection="1">
      <alignment horizontal="center"/>
      <protection/>
    </xf>
    <xf numFmtId="37" fontId="11" fillId="0" borderId="0" xfId="0" applyFont="1" applyFill="1" applyBorder="1" applyAlignment="1">
      <alignment horizontal="left"/>
    </xf>
    <xf numFmtId="5" fontId="22" fillId="0" borderId="0" xfId="62" applyNumberFormat="1" applyFont="1" applyFill="1" applyBorder="1" applyAlignment="1" applyProtection="1">
      <alignment horizontal="left"/>
      <protection/>
    </xf>
    <xf numFmtId="37" fontId="10" fillId="0" borderId="0" xfId="0" applyFont="1" applyBorder="1" applyAlignment="1">
      <alignment/>
    </xf>
    <xf numFmtId="7" fontId="11" fillId="0" borderId="0" xfId="45" applyNumberFormat="1" applyFont="1" applyBorder="1" applyAlignment="1">
      <alignment/>
    </xf>
    <xf numFmtId="5" fontId="16" fillId="0" borderId="0" xfId="63" applyNumberFormat="1" applyFont="1" applyBorder="1" applyProtection="1">
      <alignment/>
      <protection/>
    </xf>
    <xf numFmtId="0" fontId="3" fillId="0" borderId="0" xfId="63" applyFont="1" applyBorder="1">
      <alignment/>
      <protection/>
    </xf>
    <xf numFmtId="37" fontId="0" fillId="0" borderId="0" xfId="68" applyFont="1" applyAlignment="1" applyProtection="1">
      <alignment horizontal="left"/>
      <protection/>
    </xf>
    <xf numFmtId="37" fontId="11" fillId="0" borderId="0" xfId="0" applyNumberFormat="1" applyFont="1" applyFill="1" applyAlignment="1">
      <alignment/>
    </xf>
    <xf numFmtId="167" fontId="11" fillId="0" borderId="0" xfId="70" applyNumberFormat="1" applyFont="1" applyFill="1" applyBorder="1" applyProtection="1">
      <alignment/>
      <protection/>
    </xf>
    <xf numFmtId="17" fontId="11" fillId="0" borderId="0" xfId="0" applyNumberFormat="1" applyFont="1" applyFill="1" applyAlignment="1">
      <alignment horizontal="center"/>
    </xf>
    <xf numFmtId="172" fontId="11" fillId="0" borderId="0" xfId="0" applyNumberFormat="1" applyFont="1" applyFill="1" applyAlignment="1">
      <alignment/>
    </xf>
    <xf numFmtId="37" fontId="11" fillId="0" borderId="0" xfId="0" applyFont="1" applyBorder="1" applyAlignment="1">
      <alignment horizontal="center" wrapText="1"/>
    </xf>
    <xf numFmtId="167" fontId="11" fillId="0" borderId="0" xfId="0" applyNumberFormat="1" applyFont="1" applyFill="1" applyAlignment="1">
      <alignment/>
    </xf>
    <xf numFmtId="37" fontId="19" fillId="0" borderId="0" xfId="69" applyFont="1" applyAlignment="1">
      <alignment horizontal="center"/>
      <protection/>
    </xf>
    <xf numFmtId="37" fontId="19" fillId="0" borderId="0" xfId="69" applyFont="1">
      <alignment/>
      <protection/>
    </xf>
    <xf numFmtId="37" fontId="15" fillId="0" borderId="0" xfId="69" applyFont="1">
      <alignment/>
      <protection/>
    </xf>
    <xf numFmtId="37" fontId="21" fillId="0" borderId="0" xfId="69" applyFont="1">
      <alignment/>
      <protection/>
    </xf>
    <xf numFmtId="5" fontId="17" fillId="0" borderId="0" xfId="63" applyNumberFormat="1" applyFont="1" applyBorder="1" applyProtection="1">
      <alignment/>
      <protection/>
    </xf>
    <xf numFmtId="37" fontId="10" fillId="0" borderId="0" xfId="65" applyFont="1" applyAlignment="1" applyProtection="1">
      <alignment horizontal="left"/>
      <protection/>
    </xf>
    <xf numFmtId="39" fontId="11" fillId="0" borderId="0" xfId="69" applyNumberFormat="1">
      <alignment/>
      <protection/>
    </xf>
    <xf numFmtId="5" fontId="17" fillId="0" borderId="11" xfId="63" applyNumberFormat="1" applyFont="1" applyBorder="1" applyProtection="1">
      <alignment/>
      <protection/>
    </xf>
    <xf numFmtId="37" fontId="11" fillId="0" borderId="0" xfId="0" applyFont="1" applyBorder="1" applyAlignment="1">
      <alignment horizontal="center"/>
    </xf>
    <xf numFmtId="37" fontId="11" fillId="0" borderId="0" xfId="0" applyFont="1" applyFill="1" applyBorder="1" applyAlignment="1">
      <alignment horizontal="center"/>
    </xf>
    <xf numFmtId="37" fontId="11" fillId="0" borderId="0" xfId="0" applyFont="1" applyFill="1" applyBorder="1" applyAlignment="1">
      <alignment/>
    </xf>
    <xf numFmtId="37" fontId="25" fillId="0" borderId="0" xfId="0" applyFont="1" applyFill="1" applyBorder="1" applyAlignment="1">
      <alignment horizontal="left"/>
    </xf>
    <xf numFmtId="167" fontId="0" fillId="0" borderId="0" xfId="72" applyNumberFormat="1" applyFont="1" applyFill="1" applyBorder="1" applyAlignment="1">
      <alignment horizontal="left"/>
      <protection/>
    </xf>
    <xf numFmtId="15" fontId="0" fillId="0" borderId="0" xfId="72" applyNumberFormat="1" applyFont="1" applyFill="1" applyBorder="1" applyAlignment="1">
      <alignment horizontal="center"/>
      <protection/>
    </xf>
    <xf numFmtId="7" fontId="0" fillId="0" borderId="0" xfId="72" applyNumberFormat="1" applyFont="1" applyFill="1" applyBorder="1" applyProtection="1">
      <alignment/>
      <protection/>
    </xf>
    <xf numFmtId="3" fontId="10" fillId="0" borderId="0" xfId="70" applyFont="1">
      <alignment/>
      <protection/>
    </xf>
    <xf numFmtId="3" fontId="10" fillId="0" borderId="0" xfId="70" applyFont="1" applyAlignment="1">
      <alignment horizontal="right"/>
      <protection/>
    </xf>
    <xf numFmtId="2" fontId="11" fillId="0" borderId="0" xfId="0" applyNumberFormat="1" applyFont="1" applyFill="1" applyBorder="1" applyAlignment="1">
      <alignment horizontal="center"/>
    </xf>
    <xf numFmtId="10" fontId="11" fillId="0" borderId="0" xfId="68" applyNumberFormat="1" applyFont="1" applyFill="1" applyBorder="1" applyProtection="1">
      <alignment/>
      <protection/>
    </xf>
    <xf numFmtId="10" fontId="1" fillId="0" borderId="0" xfId="71" applyNumberFormat="1" applyFont="1" applyFill="1" applyAlignment="1" applyProtection="1">
      <alignment horizontal="center"/>
      <protection/>
    </xf>
    <xf numFmtId="37" fontId="10" fillId="0" borderId="0" xfId="68" applyFont="1" applyBorder="1" applyAlignment="1" applyProtection="1">
      <alignment horizontal="left" wrapText="1"/>
      <protection/>
    </xf>
    <xf numFmtId="37" fontId="11" fillId="0" borderId="0" xfId="68" applyFont="1" applyFill="1" applyBorder="1" applyAlignment="1" applyProtection="1">
      <alignment horizontal="left"/>
      <protection/>
    </xf>
    <xf numFmtId="182" fontId="11" fillId="0" borderId="0" xfId="68" applyNumberFormat="1" applyFont="1" applyFill="1" applyBorder="1" applyAlignment="1" applyProtection="1">
      <alignment horizontal="center"/>
      <protection/>
    </xf>
    <xf numFmtId="15" fontId="11" fillId="0" borderId="0" xfId="68" applyNumberFormat="1" applyFont="1" applyFill="1" applyBorder="1" applyAlignment="1" applyProtection="1">
      <alignment horizontal="center"/>
      <protection/>
    </xf>
    <xf numFmtId="5" fontId="11" fillId="0" borderId="0" xfId="45" applyNumberFormat="1" applyFont="1" applyFill="1" applyBorder="1" applyAlignment="1">
      <alignment horizontal="right"/>
    </xf>
    <xf numFmtId="38" fontId="11" fillId="0" borderId="0" xfId="68" applyNumberFormat="1" applyFont="1" applyFill="1" applyProtection="1">
      <alignment/>
      <protection/>
    </xf>
    <xf numFmtId="184" fontId="11" fillId="0" borderId="0" xfId="77" applyNumberFormat="1" applyFont="1" applyFill="1" applyAlignment="1">
      <alignment/>
    </xf>
    <xf numFmtId="37" fontId="7" fillId="0" borderId="0" xfId="68" applyFont="1" applyAlignment="1" applyProtection="1">
      <alignment horizontal="left"/>
      <protection/>
    </xf>
    <xf numFmtId="37" fontId="10" fillId="0" borderId="10" xfId="68" applyFont="1" applyFill="1" applyBorder="1" applyAlignment="1" applyProtection="1">
      <alignment horizontal="center" wrapText="1"/>
      <protection/>
    </xf>
    <xf numFmtId="37" fontId="9" fillId="0" borderId="0" xfId="68" applyFont="1" applyFill="1" applyBorder="1" applyAlignment="1" applyProtection="1">
      <alignment horizontal="left"/>
      <protection/>
    </xf>
    <xf numFmtId="37" fontId="19" fillId="0" borderId="0" xfId="68" applyFont="1" applyFill="1" applyBorder="1">
      <alignment/>
      <protection/>
    </xf>
    <xf numFmtId="37" fontId="0" fillId="0" borderId="0" xfId="0" applyFill="1" applyAlignment="1">
      <alignment/>
    </xf>
    <xf numFmtId="14" fontId="10" fillId="0" borderId="0" xfId="0" applyNumberFormat="1" applyFont="1" applyFill="1" applyBorder="1" applyAlignment="1">
      <alignment horizontal="right"/>
    </xf>
    <xf numFmtId="37" fontId="11" fillId="0" borderId="0" xfId="66" applyNumberFormat="1" applyFont="1" applyFill="1" applyBorder="1" applyProtection="1">
      <alignment/>
      <protection/>
    </xf>
    <xf numFmtId="0" fontId="10" fillId="0" borderId="0" xfId="63" applyFont="1" applyBorder="1" applyAlignment="1" applyProtection="1">
      <alignment horizontal="left"/>
      <protection/>
    </xf>
    <xf numFmtId="37" fontId="10" fillId="0" borderId="10" xfId="68" applyFont="1" applyBorder="1" applyAlignment="1" applyProtection="1">
      <alignment horizontal="left" wrapText="1"/>
      <protection/>
    </xf>
    <xf numFmtId="37" fontId="16" fillId="0" borderId="0" xfId="68" applyFont="1" applyBorder="1" applyAlignment="1" applyProtection="1">
      <alignment horizontal="left"/>
      <protection/>
    </xf>
    <xf numFmtId="37" fontId="20" fillId="0" borderId="0" xfId="63" applyNumberFormat="1" applyFont="1" applyBorder="1" applyProtection="1">
      <alignment/>
      <protection/>
    </xf>
    <xf numFmtId="15" fontId="20" fillId="0" borderId="0" xfId="63" applyNumberFormat="1" applyFont="1" applyBorder="1" applyProtection="1">
      <alignment/>
      <protection/>
    </xf>
    <xf numFmtId="7" fontId="20" fillId="0" borderId="0" xfId="63" applyNumberFormat="1" applyFont="1" applyBorder="1" applyProtection="1">
      <alignment/>
      <protection/>
    </xf>
    <xf numFmtId="39" fontId="20" fillId="0" borderId="0" xfId="63" applyNumberFormat="1" applyFont="1" applyBorder="1" applyProtection="1">
      <alignment/>
      <protection/>
    </xf>
    <xf numFmtId="0" fontId="3" fillId="0" borderId="0" xfId="63" applyFont="1" applyFill="1" applyBorder="1">
      <alignment/>
      <protection/>
    </xf>
    <xf numFmtId="37" fontId="11" fillId="0" borderId="0" xfId="0" applyFont="1" applyFill="1" applyAlignment="1">
      <alignment/>
    </xf>
    <xf numFmtId="37" fontId="10" fillId="0" borderId="0" xfId="0" applyFont="1" applyFill="1" applyAlignment="1">
      <alignment/>
    </xf>
    <xf numFmtId="37" fontId="8" fillId="0" borderId="0" xfId="0" applyFont="1" applyFill="1" applyAlignment="1">
      <alignment/>
    </xf>
    <xf numFmtId="15" fontId="11" fillId="0" borderId="0" xfId="0" applyNumberFormat="1" applyFont="1" applyFill="1" applyAlignment="1">
      <alignment horizontal="left"/>
    </xf>
    <xf numFmtId="165" fontId="10" fillId="0" borderId="0" xfId="0" applyNumberFormat="1" applyFont="1" applyFill="1" applyAlignment="1">
      <alignment horizontal="left"/>
    </xf>
    <xf numFmtId="37" fontId="11" fillId="0" borderId="0" xfId="65" applyFont="1" applyFill="1" applyAlignment="1" applyProtection="1">
      <alignment horizontal="center"/>
      <protection/>
    </xf>
    <xf numFmtId="37" fontId="10" fillId="0" borderId="0" xfId="65" applyFont="1" applyFill="1" applyAlignment="1" applyProtection="1">
      <alignment horizontal="center"/>
      <protection/>
    </xf>
    <xf numFmtId="17" fontId="11" fillId="0" borderId="0" xfId="0" applyNumberFormat="1" applyFont="1" applyFill="1" applyBorder="1" applyAlignment="1">
      <alignment horizontal="center"/>
    </xf>
    <xf numFmtId="37" fontId="11" fillId="0" borderId="0" xfId="0" applyFont="1" applyFill="1" applyBorder="1" applyAlignment="1">
      <alignment horizontal="center" wrapText="1"/>
    </xf>
    <xf numFmtId="0" fontId="16" fillId="0" borderId="0" xfId="62" applyFont="1" applyFill="1" applyBorder="1" applyProtection="1">
      <alignment/>
      <protection/>
    </xf>
    <xf numFmtId="37" fontId="0" fillId="0" borderId="0" xfId="0" applyFill="1" applyBorder="1" applyAlignment="1">
      <alignment/>
    </xf>
    <xf numFmtId="0" fontId="16" fillId="0" borderId="0" xfId="62" applyFont="1" applyFill="1" applyProtection="1">
      <alignment/>
      <protection/>
    </xf>
    <xf numFmtId="37" fontId="11" fillId="0" borderId="10" xfId="0" applyFont="1" applyFill="1" applyBorder="1" applyAlignment="1">
      <alignment/>
    </xf>
    <xf numFmtId="167" fontId="11" fillId="0" borderId="0" xfId="77" applyNumberFormat="1" applyFont="1" applyFill="1" applyAlignment="1">
      <alignment/>
    </xf>
    <xf numFmtId="10" fontId="11" fillId="0" borderId="0" xfId="0" applyNumberFormat="1" applyFont="1" applyFill="1" applyAlignment="1">
      <alignment/>
    </xf>
    <xf numFmtId="37" fontId="11" fillId="0" borderId="10" xfId="0" applyFont="1" applyFill="1" applyBorder="1" applyAlignment="1">
      <alignment horizontal="center"/>
    </xf>
    <xf numFmtId="183" fontId="11" fillId="0" borderId="0" xfId="0" applyNumberFormat="1" applyFont="1" applyFill="1" applyBorder="1" applyAlignment="1">
      <alignment horizontal="left"/>
    </xf>
    <xf numFmtId="37" fontId="10" fillId="0" borderId="0" xfId="0" applyFont="1" applyFill="1" applyBorder="1" applyAlignment="1">
      <alignment/>
    </xf>
    <xf numFmtId="37" fontId="7" fillId="0" borderId="0" xfId="68" applyFont="1" applyFill="1" applyAlignment="1" applyProtection="1">
      <alignment horizontal="left"/>
      <protection/>
    </xf>
    <xf numFmtId="37" fontId="3" fillId="0" borderId="0" xfId="65" applyFont="1" applyFill="1" applyAlignment="1" applyProtection="1">
      <alignment horizontal="center"/>
      <protection/>
    </xf>
    <xf numFmtId="37" fontId="10" fillId="0" borderId="0" xfId="68" applyFont="1" applyFill="1" applyAlignment="1" applyProtection="1">
      <alignment horizontal="center"/>
      <protection/>
    </xf>
    <xf numFmtId="37" fontId="4" fillId="0" borderId="0" xfId="68" applyFont="1" applyFill="1" applyAlignment="1">
      <alignment horizontal="center"/>
      <protection/>
    </xf>
    <xf numFmtId="0" fontId="0" fillId="0" borderId="0" xfId="63" applyFont="1" applyFill="1" applyAlignment="1" applyProtection="1">
      <alignment horizontal="center"/>
      <protection/>
    </xf>
    <xf numFmtId="0" fontId="11" fillId="0" borderId="0" xfId="63" applyFont="1" applyFill="1" applyAlignment="1" applyProtection="1">
      <alignment horizontal="center"/>
      <protection/>
    </xf>
    <xf numFmtId="37" fontId="11" fillId="0" borderId="0" xfId="68" applyFont="1" applyFill="1">
      <alignment/>
      <protection/>
    </xf>
    <xf numFmtId="37" fontId="19" fillId="0" borderId="0" xfId="68" applyFont="1" applyFill="1">
      <alignment/>
      <protection/>
    </xf>
    <xf numFmtId="37" fontId="11" fillId="0" borderId="0" xfId="68" applyFont="1" applyFill="1" applyBorder="1">
      <alignment/>
      <protection/>
    </xf>
    <xf numFmtId="37" fontId="11" fillId="0" borderId="0" xfId="68" applyFont="1" applyFill="1" applyBorder="1" applyAlignment="1" applyProtection="1">
      <alignment horizontal="right"/>
      <protection/>
    </xf>
    <xf numFmtId="182" fontId="19" fillId="0" borderId="0" xfId="68" applyNumberFormat="1" applyFont="1" applyFill="1" applyBorder="1">
      <alignment/>
      <protection/>
    </xf>
    <xf numFmtId="37" fontId="16" fillId="0" borderId="0" xfId="68" applyNumberFormat="1" applyFont="1" applyFill="1" applyBorder="1" applyProtection="1">
      <alignment/>
      <protection/>
    </xf>
    <xf numFmtId="5" fontId="11" fillId="0" borderId="0" xfId="68" applyNumberFormat="1" applyFont="1" applyFill="1" applyBorder="1" applyProtection="1">
      <alignment/>
      <protection/>
    </xf>
    <xf numFmtId="10" fontId="10" fillId="0" borderId="11" xfId="0" applyNumberFormat="1" applyFont="1" applyFill="1" applyBorder="1" applyAlignment="1">
      <alignment/>
    </xf>
    <xf numFmtId="182" fontId="11" fillId="0" borderId="0" xfId="68" applyNumberFormat="1" applyFont="1" applyFill="1" applyBorder="1">
      <alignment/>
      <protection/>
    </xf>
    <xf numFmtId="182" fontId="9" fillId="0" borderId="0" xfId="68" applyNumberFormat="1" applyFont="1" applyFill="1" applyBorder="1" applyAlignment="1">
      <alignment horizontal="center"/>
      <protection/>
    </xf>
    <xf numFmtId="37" fontId="9" fillId="0" borderId="0" xfId="68" applyFont="1" applyFill="1" applyBorder="1" applyAlignment="1">
      <alignment horizontal="center"/>
      <protection/>
    </xf>
    <xf numFmtId="37" fontId="9" fillId="0" borderId="0" xfId="68" applyFont="1" applyFill="1" applyAlignment="1" applyProtection="1">
      <alignment horizontal="center"/>
      <protection/>
    </xf>
    <xf numFmtId="166" fontId="11" fillId="0" borderId="0" xfId="77" applyNumberFormat="1" applyFont="1" applyFill="1" applyAlignment="1">
      <alignment/>
    </xf>
    <xf numFmtId="174" fontId="7" fillId="0" borderId="0" xfId="71" applyNumberFormat="1" applyFont="1" applyBorder="1" applyAlignment="1" applyProtection="1">
      <alignment horizontal="centerContinuous" vertical="center" wrapText="1"/>
      <protection/>
    </xf>
    <xf numFmtId="10" fontId="11" fillId="0" borderId="0" xfId="77" applyNumberFormat="1" applyFont="1" applyFill="1" applyAlignment="1">
      <alignment/>
    </xf>
    <xf numFmtId="169" fontId="11" fillId="0" borderId="0" xfId="68" applyNumberFormat="1" applyFont="1" applyFill="1" applyBorder="1" applyProtection="1">
      <alignment/>
      <protection/>
    </xf>
    <xf numFmtId="37" fontId="10" fillId="0" borderId="0" xfId="68" applyFont="1" applyFill="1" applyBorder="1" applyAlignment="1" applyProtection="1">
      <alignment horizontal="left"/>
      <protection/>
    </xf>
    <xf numFmtId="3" fontId="10" fillId="0" borderId="0" xfId="70" applyFont="1" applyFill="1" quotePrefix="1">
      <alignment/>
      <protection/>
    </xf>
    <xf numFmtId="37" fontId="19" fillId="0" borderId="0" xfId="68" applyFont="1" applyFill="1" applyAlignment="1">
      <alignment horizontal="center"/>
      <protection/>
    </xf>
    <xf numFmtId="0" fontId="8" fillId="0" borderId="0" xfId="72" applyFont="1" applyFill="1" applyBorder="1" applyAlignment="1" applyProtection="1" quotePrefix="1">
      <alignment horizontal="centerContinuous" vertical="center" wrapText="1"/>
      <protection/>
    </xf>
    <xf numFmtId="5" fontId="27" fillId="0" borderId="0" xfId="62" applyNumberFormat="1" applyFont="1" applyFill="1" applyBorder="1" applyProtection="1">
      <alignment/>
      <protection/>
    </xf>
    <xf numFmtId="10" fontId="27" fillId="0" borderId="0" xfId="0" applyNumberFormat="1" applyFont="1" applyFill="1" applyBorder="1" applyAlignment="1">
      <alignment/>
    </xf>
    <xf numFmtId="183" fontId="27" fillId="0" borderId="0" xfId="0" applyNumberFormat="1" applyFont="1" applyFill="1" applyBorder="1" applyAlignment="1">
      <alignment horizontal="left"/>
    </xf>
    <xf numFmtId="37" fontId="11" fillId="0" borderId="0" xfId="0" applyFont="1" applyFill="1" applyBorder="1" applyAlignment="1">
      <alignment horizontal="left" indent="1"/>
    </xf>
    <xf numFmtId="5" fontId="16" fillId="0" borderId="12" xfId="62" applyNumberFormat="1" applyFont="1" applyFill="1" applyBorder="1" applyProtection="1">
      <alignment/>
      <protection/>
    </xf>
    <xf numFmtId="168" fontId="27" fillId="0" borderId="0" xfId="0" applyNumberFormat="1" applyFont="1" applyFill="1" applyBorder="1" applyAlignment="1">
      <alignment horizontal="left"/>
    </xf>
    <xf numFmtId="37" fontId="25" fillId="0" borderId="0" xfId="0" applyFont="1" applyBorder="1" applyAlignment="1">
      <alignment/>
    </xf>
    <xf numFmtId="17" fontId="11" fillId="0" borderId="0" xfId="66" applyNumberFormat="1" applyFont="1" applyAlignment="1" applyProtection="1">
      <alignment horizontal="right"/>
      <protection/>
    </xf>
    <xf numFmtId="3" fontId="1" fillId="0" borderId="0" xfId="70" applyNumberFormat="1" applyFont="1">
      <alignment/>
      <protection/>
    </xf>
    <xf numFmtId="3" fontId="11" fillId="0" borderId="0" xfId="70" applyFont="1" applyBorder="1" applyAlignment="1">
      <alignment horizontal="center"/>
      <protection/>
    </xf>
    <xf numFmtId="0" fontId="8" fillId="0" borderId="0" xfId="72" applyFont="1" applyFill="1" applyBorder="1" applyAlignment="1" applyProtection="1">
      <alignment horizontal="centerContinuous" vertical="center" wrapText="1"/>
      <protection/>
    </xf>
    <xf numFmtId="174" fontId="8" fillId="0" borderId="0" xfId="67" applyNumberFormat="1" applyFont="1" applyFill="1" applyBorder="1" applyAlignment="1" applyProtection="1">
      <alignment horizontal="centerContinuous" vertical="center" wrapText="1"/>
      <protection/>
    </xf>
    <xf numFmtId="37" fontId="10" fillId="0" borderId="0" xfId="68" applyFont="1" applyBorder="1" applyAlignment="1" applyProtection="1">
      <alignment horizontal="centerContinuous" vertical="center" wrapText="1"/>
      <protection/>
    </xf>
    <xf numFmtId="174" fontId="10" fillId="0" borderId="0" xfId="67" applyNumberFormat="1" applyFont="1" applyFill="1" applyBorder="1" applyAlignment="1" applyProtection="1">
      <alignment horizontal="centerContinuous" vertical="center" wrapText="1"/>
      <protection/>
    </xf>
    <xf numFmtId="0" fontId="27" fillId="0" borderId="0" xfId="63" applyFont="1" applyBorder="1" applyAlignment="1">
      <alignment horizontal="center"/>
      <protection/>
    </xf>
    <xf numFmtId="0" fontId="11" fillId="0" borderId="0" xfId="63" applyFont="1" applyBorder="1" applyAlignment="1">
      <alignment horizontal="left" indent="1"/>
      <protection/>
    </xf>
    <xf numFmtId="5" fontId="16" fillId="0" borderId="11" xfId="63" applyNumberFormat="1" applyFont="1" applyBorder="1" applyProtection="1">
      <alignment/>
      <protection/>
    </xf>
    <xf numFmtId="37" fontId="8" fillId="0" borderId="0" xfId="0" applyFont="1" applyAlignment="1">
      <alignment horizontal="left"/>
    </xf>
    <xf numFmtId="37" fontId="0" fillId="0" borderId="0" xfId="0" applyAlignment="1">
      <alignment horizontal="center"/>
    </xf>
    <xf numFmtId="5" fontId="10" fillId="0" borderId="0" xfId="0" applyNumberFormat="1" applyFont="1" applyFill="1" applyBorder="1" applyAlignment="1">
      <alignment/>
    </xf>
    <xf numFmtId="37" fontId="25" fillId="0" borderId="0" xfId="0" applyFont="1" applyFill="1" applyBorder="1" applyAlignment="1">
      <alignment/>
    </xf>
    <xf numFmtId="5" fontId="17" fillId="0" borderId="0" xfId="62" applyNumberFormat="1" applyFont="1" applyFill="1" applyBorder="1" applyProtection="1">
      <alignment/>
      <protection/>
    </xf>
    <xf numFmtId="37" fontId="16" fillId="0" borderId="0" xfId="62" applyNumberFormat="1" applyFont="1" applyFill="1" applyBorder="1" applyProtection="1">
      <alignment/>
      <protection/>
    </xf>
    <xf numFmtId="37" fontId="29" fillId="0" borderId="0" xfId="0" applyFont="1" applyFill="1" applyBorder="1" applyAlignment="1">
      <alignment horizontal="center"/>
    </xf>
    <xf numFmtId="37" fontId="30" fillId="0" borderId="0" xfId="62" applyNumberFormat="1" applyFont="1" applyFill="1" applyBorder="1" applyAlignment="1" applyProtection="1">
      <alignment horizontal="center"/>
      <protection/>
    </xf>
    <xf numFmtId="5" fontId="11" fillId="0" borderId="11" xfId="45" applyNumberFormat="1" applyFont="1" applyFill="1" applyBorder="1" applyAlignment="1">
      <alignment horizontal="right"/>
    </xf>
    <xf numFmtId="5" fontId="11" fillId="0" borderId="11" xfId="68" applyNumberFormat="1" applyFont="1" applyFill="1" applyBorder="1">
      <alignment/>
      <protection/>
    </xf>
    <xf numFmtId="10" fontId="31" fillId="0" borderId="0" xfId="71" applyFont="1">
      <alignment/>
      <protection/>
    </xf>
    <xf numFmtId="10" fontId="31" fillId="0" borderId="0" xfId="71" applyFont="1" quotePrefix="1">
      <alignment/>
      <protection/>
    </xf>
    <xf numFmtId="180" fontId="40" fillId="0" borderId="0" xfId="61" applyNumberFormat="1" applyFont="1">
      <alignment/>
      <protection/>
    </xf>
    <xf numFmtId="37" fontId="29" fillId="0" borderId="0" xfId="0" applyFont="1" applyAlignment="1">
      <alignment horizontal="left"/>
    </xf>
    <xf numFmtId="37" fontId="32" fillId="0" borderId="0" xfId="0" applyFont="1" applyAlignment="1">
      <alignment horizontal="left"/>
    </xf>
    <xf numFmtId="4" fontId="34" fillId="0" borderId="0" xfId="70" applyNumberFormat="1" applyFont="1" applyAlignment="1">
      <alignment horizontal="right"/>
      <protection/>
    </xf>
    <xf numFmtId="10" fontId="3" fillId="0" borderId="0" xfId="71" applyFont="1" applyBorder="1" applyAlignment="1">
      <alignment horizontal="centerContinuous" vertical="center" wrapText="1"/>
      <protection/>
    </xf>
    <xf numFmtId="0" fontId="40" fillId="0" borderId="0" xfId="61" applyFont="1">
      <alignment/>
      <protection/>
    </xf>
    <xf numFmtId="0" fontId="1" fillId="0" borderId="0" xfId="61" applyFont="1">
      <alignment/>
      <protection/>
    </xf>
    <xf numFmtId="0" fontId="41" fillId="0" borderId="0" xfId="61" applyFont="1">
      <alignment/>
      <protection/>
    </xf>
    <xf numFmtId="0" fontId="13" fillId="0" borderId="0" xfId="61" applyFont="1">
      <alignment/>
      <protection/>
    </xf>
    <xf numFmtId="15" fontId="35" fillId="0" borderId="0" xfId="66" applyNumberFormat="1" applyFont="1" applyAlignment="1" applyProtection="1">
      <alignment horizontal="center"/>
      <protection/>
    </xf>
    <xf numFmtId="0" fontId="1" fillId="0" borderId="0" xfId="61">
      <alignment/>
      <protection/>
    </xf>
    <xf numFmtId="37" fontId="35" fillId="0" borderId="0" xfId="66" applyFont="1" applyAlignment="1">
      <alignment horizontal="center"/>
      <protection/>
    </xf>
    <xf numFmtId="0" fontId="36" fillId="0" borderId="0" xfId="61" applyFont="1">
      <alignment/>
      <protection/>
    </xf>
    <xf numFmtId="16" fontId="37" fillId="0" borderId="0" xfId="61" applyNumberFormat="1" applyFont="1" applyAlignment="1">
      <alignment horizontal="center"/>
      <protection/>
    </xf>
    <xf numFmtId="37" fontId="11" fillId="0" borderId="0" xfId="70" applyNumberFormat="1" applyFont="1" applyFill="1" applyAlignment="1">
      <alignment horizontal="center"/>
      <protection/>
    </xf>
    <xf numFmtId="15" fontId="38" fillId="0" borderId="0" xfId="73" applyNumberFormat="1" applyFont="1" applyAlignment="1" applyProtection="1">
      <alignment horizontal="center"/>
      <protection/>
    </xf>
    <xf numFmtId="0" fontId="1" fillId="0" borderId="0" xfId="61" applyAlignment="1">
      <alignment wrapText="1"/>
      <protection/>
    </xf>
    <xf numFmtId="180" fontId="39" fillId="0" borderId="0" xfId="45" applyNumberFormat="1" applyFont="1" applyAlignment="1">
      <alignment/>
    </xf>
    <xf numFmtId="37" fontId="11" fillId="0" borderId="0" xfId="64">
      <alignment/>
      <protection/>
    </xf>
    <xf numFmtId="175" fontId="11" fillId="0" borderId="0" xfId="64" applyNumberFormat="1" applyFont="1" applyAlignment="1">
      <alignment horizontal="right" wrapText="1"/>
      <protection/>
    </xf>
    <xf numFmtId="175" fontId="11" fillId="18" borderId="0" xfId="64" applyNumberFormat="1" applyFont="1" applyFill="1" applyAlignment="1">
      <alignment horizontal="right" wrapText="1"/>
      <protection/>
    </xf>
    <xf numFmtId="170" fontId="11" fillId="0" borderId="0" xfId="42" applyNumberFormat="1" applyFont="1" applyAlignment="1">
      <alignment/>
    </xf>
    <xf numFmtId="41" fontId="39" fillId="0" borderId="0" xfId="61" applyNumberFormat="1" applyFont="1" applyFill="1">
      <alignment/>
      <protection/>
    </xf>
    <xf numFmtId="0" fontId="1" fillId="0" borderId="0" xfId="61" applyFill="1">
      <alignment/>
      <protection/>
    </xf>
    <xf numFmtId="41" fontId="39" fillId="0" borderId="0" xfId="61" applyNumberFormat="1" applyFont="1">
      <alignment/>
      <protection/>
    </xf>
    <xf numFmtId="170" fontId="11" fillId="18" borderId="0" xfId="42" applyNumberFormat="1" applyFont="1" applyFill="1" applyAlignment="1">
      <alignment/>
    </xf>
    <xf numFmtId="41" fontId="39" fillId="0" borderId="10" xfId="61" applyNumberFormat="1" applyFont="1" applyBorder="1">
      <alignment/>
      <protection/>
    </xf>
    <xf numFmtId="180" fontId="43" fillId="0" borderId="0" xfId="45" applyNumberFormat="1" applyFont="1" applyAlignment="1">
      <alignment/>
    </xf>
    <xf numFmtId="180" fontId="1" fillId="0" borderId="0" xfId="61" applyNumberFormat="1">
      <alignment/>
      <protection/>
    </xf>
    <xf numFmtId="15" fontId="44" fillId="0" borderId="0" xfId="73" applyNumberFormat="1" applyFont="1" applyAlignment="1" applyProtection="1">
      <alignment/>
      <protection/>
    </xf>
    <xf numFmtId="180" fontId="45" fillId="0" borderId="0" xfId="45" applyNumberFormat="1" applyFont="1" applyAlignment="1">
      <alignment/>
    </xf>
    <xf numFmtId="15" fontId="42" fillId="0" borderId="0" xfId="73" applyNumberFormat="1" applyFont="1" applyAlignment="1" applyProtection="1">
      <alignment/>
      <protection/>
    </xf>
    <xf numFmtId="0" fontId="1" fillId="0" borderId="0" xfId="61" applyAlignment="1">
      <alignment/>
      <protection/>
    </xf>
    <xf numFmtId="37" fontId="46" fillId="0" borderId="0" xfId="64" applyFont="1">
      <alignment/>
      <protection/>
    </xf>
    <xf numFmtId="10" fontId="13" fillId="0" borderId="0" xfId="71" applyNumberFormat="1" applyFont="1" applyFill="1" applyAlignment="1" applyProtection="1">
      <alignment horizontal="center"/>
      <protection/>
    </xf>
    <xf numFmtId="0" fontId="1" fillId="0" borderId="0" xfId="61" applyFont="1">
      <alignment/>
      <protection/>
    </xf>
    <xf numFmtId="16" fontId="49" fillId="0" borderId="0" xfId="61" applyNumberFormat="1" applyFont="1" applyAlignment="1">
      <alignment horizontal="center"/>
      <protection/>
    </xf>
    <xf numFmtId="15" fontId="50" fillId="0" borderId="0" xfId="73" applyNumberFormat="1" applyFont="1" applyAlignment="1" applyProtection="1">
      <alignment horizontal="centerContinuous"/>
      <protection/>
    </xf>
    <xf numFmtId="0" fontId="49" fillId="0" borderId="0" xfId="61" applyFont="1">
      <alignment/>
      <protection/>
    </xf>
    <xf numFmtId="15" fontId="47" fillId="0" borderId="0" xfId="73" applyNumberFormat="1" applyFont="1" applyAlignment="1" applyProtection="1">
      <alignment horizontal="centerContinuous"/>
      <protection/>
    </xf>
    <xf numFmtId="180" fontId="40" fillId="0" borderId="0" xfId="45" applyNumberFormat="1" applyFont="1" applyAlignment="1">
      <alignment/>
    </xf>
    <xf numFmtId="15" fontId="47" fillId="0" borderId="0" xfId="73" applyNumberFormat="1" applyFont="1" applyAlignment="1" applyProtection="1">
      <alignment horizontal="left"/>
      <protection/>
    </xf>
    <xf numFmtId="15" fontId="40" fillId="0" borderId="0" xfId="73" applyNumberFormat="1" applyFont="1" applyFill="1" applyAlignment="1" applyProtection="1">
      <alignment horizontal="left"/>
      <protection/>
    </xf>
    <xf numFmtId="180" fontId="40" fillId="0" borderId="0" xfId="45" applyNumberFormat="1" applyFont="1" applyFill="1" applyAlignment="1">
      <alignment/>
    </xf>
    <xf numFmtId="15" fontId="40" fillId="0" borderId="0" xfId="73" applyNumberFormat="1" applyFont="1" applyAlignment="1" applyProtection="1">
      <alignment horizontal="left"/>
      <protection/>
    </xf>
    <xf numFmtId="41" fontId="40" fillId="0" borderId="0" xfId="61" applyNumberFormat="1" applyFont="1">
      <alignment/>
      <protection/>
    </xf>
    <xf numFmtId="41" fontId="40" fillId="0" borderId="10" xfId="61" applyNumberFormat="1" applyFont="1" applyBorder="1">
      <alignment/>
      <protection/>
    </xf>
    <xf numFmtId="15" fontId="47" fillId="0" borderId="0" xfId="73" applyNumberFormat="1" applyFont="1" applyAlignment="1" applyProtection="1">
      <alignment horizontal="center"/>
      <protection/>
    </xf>
    <xf numFmtId="180" fontId="51" fillId="0" borderId="0" xfId="45" applyNumberFormat="1" applyFont="1" applyAlignment="1">
      <alignment/>
    </xf>
    <xf numFmtId="15" fontId="1" fillId="0" borderId="0" xfId="73" applyNumberFormat="1" applyFont="1" applyAlignment="1" applyProtection="1">
      <alignment/>
      <protection/>
    </xf>
    <xf numFmtId="180" fontId="52" fillId="0" borderId="0" xfId="45" applyNumberFormat="1" applyFont="1" applyAlignment="1">
      <alignment/>
    </xf>
    <xf numFmtId="15" fontId="40" fillId="0" borderId="0" xfId="73" applyNumberFormat="1" applyFont="1" applyAlignment="1" applyProtection="1">
      <alignment/>
      <protection/>
    </xf>
    <xf numFmtId="0" fontId="1" fillId="0" borderId="0" xfId="61" applyFont="1" applyAlignment="1">
      <alignment horizontal="right"/>
      <protection/>
    </xf>
    <xf numFmtId="0" fontId="53" fillId="0" borderId="0" xfId="61" applyFont="1" applyAlignment="1">
      <alignment horizontal="right"/>
      <protection/>
    </xf>
    <xf numFmtId="170" fontId="1" fillId="0" borderId="0" xfId="61" applyNumberFormat="1">
      <alignment/>
      <protection/>
    </xf>
    <xf numFmtId="170" fontId="11" fillId="0" borderId="12" xfId="42" applyNumberFormat="1" applyFont="1" applyBorder="1" applyAlignment="1">
      <alignment/>
    </xf>
    <xf numFmtId="0" fontId="7" fillId="0" borderId="0" xfId="61" applyFont="1" applyAlignment="1">
      <alignment horizontal="right"/>
      <protection/>
    </xf>
    <xf numFmtId="0" fontId="12" fillId="0" borderId="0" xfId="61" applyFont="1" applyAlignment="1">
      <alignment horizontal="right"/>
      <protection/>
    </xf>
    <xf numFmtId="175" fontId="11" fillId="0" borderId="0" xfId="64" applyNumberFormat="1" applyFont="1" applyFill="1" applyAlignment="1">
      <alignment horizontal="right" wrapText="1"/>
      <protection/>
    </xf>
    <xf numFmtId="7" fontId="54" fillId="0" borderId="0" xfId="45" applyNumberFormat="1" applyFont="1" applyAlignment="1" applyProtection="1">
      <alignment/>
      <protection/>
    </xf>
    <xf numFmtId="170" fontId="11" fillId="18" borderId="12" xfId="42" applyNumberFormat="1" applyFont="1" applyFill="1" applyBorder="1" applyAlignment="1">
      <alignment/>
    </xf>
    <xf numFmtId="170" fontId="11" fillId="0" borderId="0" xfId="42" applyNumberFormat="1" applyFont="1" applyFill="1" applyAlignment="1">
      <alignment/>
    </xf>
    <xf numFmtId="170" fontId="27" fillId="0" borderId="0" xfId="42" applyNumberFormat="1" applyFont="1" applyAlignment="1">
      <alignment/>
    </xf>
    <xf numFmtId="170" fontId="27" fillId="18" borderId="0" xfId="42" applyNumberFormat="1" applyFont="1" applyFill="1" applyAlignment="1">
      <alignment/>
    </xf>
    <xf numFmtId="10" fontId="19" fillId="0" borderId="0" xfId="77" applyNumberFormat="1" applyFont="1" applyFill="1" applyAlignment="1">
      <alignment/>
    </xf>
    <xf numFmtId="167" fontId="19" fillId="0" borderId="0" xfId="77" applyNumberFormat="1" applyFont="1" applyFill="1" applyAlignment="1">
      <alignment/>
    </xf>
    <xf numFmtId="37" fontId="8" fillId="0" borderId="0" xfId="68" applyFont="1" applyBorder="1" applyAlignment="1" applyProtection="1">
      <alignment horizontal="centerContinuous" vertical="center" wrapText="1"/>
      <protection/>
    </xf>
    <xf numFmtId="5" fontId="28" fillId="0" borderId="0" xfId="71" applyNumberFormat="1" applyFont="1" applyFill="1" applyBorder="1" applyAlignment="1" applyProtection="1">
      <alignment horizontal="center"/>
      <protection/>
    </xf>
    <xf numFmtId="5" fontId="1" fillId="0" borderId="0" xfId="45" applyNumberFormat="1" applyFont="1" applyFill="1" applyBorder="1" applyAlignment="1">
      <alignment horizontal="right"/>
    </xf>
    <xf numFmtId="5" fontId="1" fillId="0" borderId="0" xfId="71" applyNumberFormat="1" applyFont="1" applyFill="1" applyBorder="1" applyAlignment="1">
      <alignment horizontal="right"/>
      <protection/>
    </xf>
    <xf numFmtId="5" fontId="13" fillId="0" borderId="0" xfId="71" applyNumberFormat="1" applyFont="1" applyFill="1" applyBorder="1" applyAlignment="1" applyProtection="1">
      <alignment horizontal="right"/>
      <protection/>
    </xf>
    <xf numFmtId="10" fontId="1" fillId="0" borderId="0" xfId="71" applyFont="1" applyFill="1" applyBorder="1" applyAlignment="1" applyProtection="1">
      <alignment horizontal="right"/>
      <protection/>
    </xf>
    <xf numFmtId="5" fontId="18" fillId="0" borderId="0" xfId="71" applyNumberFormat="1" applyFont="1" applyFill="1" applyBorder="1" applyAlignment="1" applyProtection="1">
      <alignment horizontal="right"/>
      <protection/>
    </xf>
    <xf numFmtId="37" fontId="17" fillId="0" borderId="0" xfId="62" applyNumberFormat="1" applyFont="1" applyFill="1" applyBorder="1" applyProtection="1">
      <alignment/>
      <protection/>
    </xf>
    <xf numFmtId="37" fontId="28" fillId="0" borderId="0" xfId="0" applyFont="1" applyFill="1" applyBorder="1" applyAlignment="1">
      <alignment horizontal="right"/>
    </xf>
    <xf numFmtId="170" fontId="11" fillId="0" borderId="0" xfId="42" applyNumberFormat="1" applyFont="1" applyFill="1" applyBorder="1" applyAlignment="1">
      <alignment/>
    </xf>
    <xf numFmtId="38" fontId="11" fillId="0" borderId="0" xfId="45" applyNumberFormat="1" applyFont="1" applyFill="1" applyBorder="1" applyAlignment="1">
      <alignment/>
    </xf>
    <xf numFmtId="5" fontId="10" fillId="0" borderId="11" xfId="0" applyNumberFormat="1" applyFont="1" applyFill="1" applyBorder="1" applyAlignment="1">
      <alignment/>
    </xf>
    <xf numFmtId="5" fontId="16" fillId="0" borderId="11" xfId="62" applyNumberFormat="1" applyFont="1" applyFill="1" applyBorder="1" applyProtection="1">
      <alignment/>
      <protection/>
    </xf>
    <xf numFmtId="37" fontId="17" fillId="0" borderId="12" xfId="62" applyNumberFormat="1" applyFont="1" applyFill="1" applyBorder="1" applyProtection="1">
      <alignment/>
      <protection/>
    </xf>
    <xf numFmtId="5" fontId="17" fillId="0" borderId="11" xfId="62" applyNumberFormat="1" applyFont="1" applyFill="1" applyBorder="1" applyProtection="1">
      <alignment/>
      <protection/>
    </xf>
    <xf numFmtId="37" fontId="11" fillId="0" borderId="11" xfId="0" applyFont="1" applyFill="1" applyBorder="1" applyAlignment="1">
      <alignment/>
    </xf>
    <xf numFmtId="37" fontId="11" fillId="0" borderId="11" xfId="66" applyNumberFormat="1" applyFont="1" applyBorder="1" applyProtection="1">
      <alignment/>
      <protection/>
    </xf>
    <xf numFmtId="10" fontId="1" fillId="0" borderId="0" xfId="71" applyNumberFormat="1" applyFont="1" applyFill="1" applyBorder="1" applyAlignment="1" applyProtection="1">
      <alignment horizontal="center"/>
      <protection/>
    </xf>
    <xf numFmtId="10" fontId="12" fillId="0" borderId="0" xfId="71" applyFont="1" applyAlignment="1" applyProtection="1">
      <alignment horizontal="right"/>
      <protection/>
    </xf>
    <xf numFmtId="10" fontId="55" fillId="0" borderId="0" xfId="71" applyFont="1" applyAlignment="1" applyProtection="1">
      <alignment horizontal="right"/>
      <protection/>
    </xf>
    <xf numFmtId="37" fontId="56" fillId="0" borderId="0" xfId="0" applyFont="1" applyFill="1" applyAlignment="1">
      <alignment/>
    </xf>
    <xf numFmtId="37" fontId="56" fillId="7" borderId="0" xfId="0" applyFont="1" applyFill="1" applyAlignment="1">
      <alignment/>
    </xf>
    <xf numFmtId="37" fontId="0" fillId="7" borderId="0" xfId="0" applyFill="1" applyAlignment="1">
      <alignment/>
    </xf>
    <xf numFmtId="37" fontId="0" fillId="7" borderId="0" xfId="0" applyFill="1" applyAlignment="1" quotePrefix="1">
      <alignment/>
    </xf>
    <xf numFmtId="168" fontId="27" fillId="7" borderId="0" xfId="0" applyNumberFormat="1" applyFont="1" applyFill="1" applyBorder="1" applyAlignment="1">
      <alignment/>
    </xf>
    <xf numFmtId="185" fontId="16" fillId="0" borderId="0" xfId="62" applyNumberFormat="1" applyFont="1" applyFill="1" applyBorder="1" applyProtection="1">
      <alignment/>
      <protection/>
    </xf>
    <xf numFmtId="14" fontId="10" fillId="0" borderId="0" xfId="0" applyNumberFormat="1" applyFont="1" applyFill="1" applyBorder="1" applyAlignment="1">
      <alignment horizontal="left" indent="1"/>
    </xf>
    <xf numFmtId="5" fontId="27" fillId="19" borderId="0" xfId="0" applyNumberFormat="1" applyFont="1" applyFill="1" applyBorder="1" applyAlignment="1">
      <alignment/>
    </xf>
    <xf numFmtId="14" fontId="27" fillId="0" borderId="0" xfId="0" applyNumberFormat="1" applyFont="1" applyFill="1" applyBorder="1" applyAlignment="1">
      <alignment horizontal="center"/>
    </xf>
    <xf numFmtId="168" fontId="27" fillId="0" borderId="0" xfId="0" applyNumberFormat="1" applyFont="1" applyFill="1" applyBorder="1" applyAlignment="1">
      <alignment/>
    </xf>
    <xf numFmtId="37" fontId="11" fillId="0" borderId="0" xfId="0" applyFont="1" applyAlignment="1">
      <alignment horizontal="center"/>
    </xf>
    <xf numFmtId="37" fontId="25" fillId="0" borderId="0" xfId="0" applyFont="1" applyFill="1" applyBorder="1" applyAlignment="1">
      <alignment horizontal="center"/>
    </xf>
    <xf numFmtId="37" fontId="10" fillId="0" borderId="0" xfId="0" applyFont="1" applyAlignment="1">
      <alignment horizontal="center"/>
    </xf>
    <xf numFmtId="37" fontId="9" fillId="0" borderId="0" xfId="0" applyFont="1" applyFill="1" applyBorder="1" applyAlignment="1">
      <alignment horizontal="center"/>
    </xf>
    <xf numFmtId="38" fontId="11" fillId="0" borderId="0" xfId="0" applyNumberFormat="1" applyFont="1" applyFill="1" applyBorder="1" applyAlignment="1">
      <alignment/>
    </xf>
    <xf numFmtId="168" fontId="11" fillId="0" borderId="12" xfId="0" applyNumberFormat="1" applyFont="1" applyFill="1" applyBorder="1" applyAlignment="1">
      <alignment/>
    </xf>
    <xf numFmtId="14" fontId="27" fillId="0" borderId="0" xfId="0" applyNumberFormat="1" applyFont="1" applyFill="1" applyBorder="1" applyAlignment="1">
      <alignment/>
    </xf>
    <xf numFmtId="1" fontId="11" fillId="0" borderId="0" xfId="0" applyNumberFormat="1" applyFont="1" applyFill="1" applyBorder="1" applyAlignment="1">
      <alignment horizontal="center"/>
    </xf>
    <xf numFmtId="3" fontId="11"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37" fontId="11" fillId="0" borderId="0" xfId="0" applyFont="1" applyFill="1" applyBorder="1" applyAlignment="1">
      <alignment horizontal="right"/>
    </xf>
    <xf numFmtId="5" fontId="11" fillId="0" borderId="0" xfId="0" applyNumberFormat="1" applyFont="1" applyFill="1" applyBorder="1" applyAlignment="1">
      <alignment/>
    </xf>
    <xf numFmtId="5" fontId="27" fillId="0" borderId="0" xfId="0" applyNumberFormat="1" applyFont="1" applyFill="1" applyBorder="1" applyAlignment="1">
      <alignment/>
    </xf>
    <xf numFmtId="37" fontId="11" fillId="7" borderId="0" xfId="0" applyFont="1" applyFill="1" applyBorder="1" applyAlignment="1">
      <alignment horizontal="left"/>
    </xf>
    <xf numFmtId="37" fontId="8" fillId="0" borderId="13" xfId="65" applyFont="1" applyBorder="1" applyAlignment="1" applyProtection="1">
      <alignment horizontal="left"/>
      <protection/>
    </xf>
    <xf numFmtId="37" fontId="10" fillId="0" borderId="14" xfId="65" applyFont="1" applyBorder="1" applyAlignment="1" applyProtection="1">
      <alignment horizontal="center"/>
      <protection/>
    </xf>
    <xf numFmtId="37" fontId="10" fillId="0" borderId="15" xfId="65" applyFont="1" applyBorder="1" applyAlignment="1" applyProtection="1">
      <alignment horizontal="center"/>
      <protection/>
    </xf>
    <xf numFmtId="37" fontId="0" fillId="0" borderId="14" xfId="0" applyBorder="1" applyAlignment="1">
      <alignment/>
    </xf>
    <xf numFmtId="37" fontId="0" fillId="0" borderId="15" xfId="0" applyBorder="1" applyAlignment="1">
      <alignment/>
    </xf>
    <xf numFmtId="5" fontId="27" fillId="0" borderId="12" xfId="0" applyNumberFormat="1" applyFont="1" applyFill="1" applyBorder="1" applyAlignment="1">
      <alignment horizontal="right"/>
    </xf>
    <xf numFmtId="14" fontId="10" fillId="0" borderId="0" xfId="0" applyNumberFormat="1" applyFont="1" applyFill="1" applyBorder="1" applyAlignment="1">
      <alignment horizontal="left" indent="2"/>
    </xf>
    <xf numFmtId="37" fontId="29" fillId="0" borderId="0" xfId="0" applyFont="1" applyAlignment="1">
      <alignment/>
    </xf>
    <xf numFmtId="168" fontId="27" fillId="19" borderId="0" xfId="0" applyNumberFormat="1" applyFont="1" applyFill="1" applyBorder="1" applyAlignment="1">
      <alignment/>
    </xf>
    <xf numFmtId="37" fontId="10" fillId="0" borderId="0" xfId="0" applyFont="1" applyFill="1" applyBorder="1" applyAlignment="1">
      <alignment horizontal="left" indent="1"/>
    </xf>
    <xf numFmtId="10" fontId="27" fillId="7" borderId="0" xfId="0" applyNumberFormat="1" applyFont="1" applyFill="1" applyBorder="1" applyAlignment="1">
      <alignment horizontal="center"/>
    </xf>
    <xf numFmtId="10" fontId="27" fillId="19" borderId="0" xfId="0" applyNumberFormat="1" applyFont="1" applyFill="1" applyBorder="1" applyAlignment="1">
      <alignment horizontal="center"/>
    </xf>
    <xf numFmtId="178" fontId="16" fillId="0" borderId="0" xfId="62" applyNumberFormat="1" applyFont="1" applyFill="1" applyBorder="1" applyProtection="1">
      <alignment/>
      <protection/>
    </xf>
    <xf numFmtId="178" fontId="17" fillId="0" borderId="11" xfId="62" applyNumberFormat="1" applyFont="1" applyBorder="1" applyProtection="1">
      <alignment/>
      <protection/>
    </xf>
    <xf numFmtId="37" fontId="58" fillId="0" borderId="0" xfId="0" applyFont="1" applyFill="1" applyAlignment="1">
      <alignment/>
    </xf>
    <xf numFmtId="3" fontId="1" fillId="0" borderId="0" xfId="70" applyFont="1" applyFill="1">
      <alignment/>
      <protection/>
    </xf>
    <xf numFmtId="178" fontId="28" fillId="0" borderId="0" xfId="62" applyNumberFormat="1" applyFont="1" applyFill="1" applyBorder="1" applyProtection="1">
      <alignment/>
      <protection/>
    </xf>
    <xf numFmtId="166" fontId="1" fillId="0" borderId="0" xfId="71" applyNumberFormat="1" applyFont="1" applyBorder="1" applyAlignment="1" applyProtection="1">
      <alignment horizontal="center"/>
      <protection/>
    </xf>
    <xf numFmtId="186" fontId="1" fillId="0" borderId="0" xfId="71" applyNumberFormat="1" applyFont="1" applyBorder="1" applyAlignment="1" applyProtection="1">
      <alignment horizontal="center"/>
      <protection/>
    </xf>
    <xf numFmtId="5" fontId="11" fillId="0" borderId="0" xfId="62" applyNumberFormat="1" applyFont="1" applyFill="1" applyBorder="1" applyProtection="1">
      <alignment/>
      <protection/>
    </xf>
    <xf numFmtId="1" fontId="11" fillId="0" borderId="0" xfId="70" applyNumberFormat="1" applyFont="1" applyAlignment="1">
      <alignment horizontal="center"/>
      <protection/>
    </xf>
    <xf numFmtId="1" fontId="11" fillId="0" borderId="0" xfId="70" applyNumberFormat="1" applyFont="1" applyAlignment="1">
      <alignment horizontal="left"/>
      <protection/>
    </xf>
    <xf numFmtId="5" fontId="11" fillId="0" borderId="0" xfId="62" applyNumberFormat="1" applyFont="1" applyBorder="1" applyProtection="1">
      <alignment/>
      <protection/>
    </xf>
    <xf numFmtId="167" fontId="11" fillId="0" borderId="0" xfId="42" applyNumberFormat="1" applyFont="1" applyAlignment="1">
      <alignment/>
    </xf>
    <xf numFmtId="17" fontId="11" fillId="0" borderId="0" xfId="48" applyNumberFormat="1" applyFont="1" applyAlignment="1">
      <alignment horizontal="center"/>
    </xf>
    <xf numFmtId="39" fontId="11" fillId="0" borderId="0" xfId="0" applyNumberFormat="1" applyFont="1" applyFill="1" applyAlignment="1">
      <alignment/>
    </xf>
    <xf numFmtId="177" fontId="11" fillId="0" borderId="0" xfId="62" applyNumberFormat="1" applyFont="1" applyBorder="1" applyProtection="1">
      <alignment/>
      <protection/>
    </xf>
    <xf numFmtId="177" fontId="11" fillId="0" borderId="0" xfId="62" applyNumberFormat="1" applyFont="1" applyFill="1" applyBorder="1" applyProtection="1">
      <alignment/>
      <protection/>
    </xf>
    <xf numFmtId="167" fontId="11" fillId="0" borderId="0" xfId="70" applyNumberFormat="1" applyFont="1">
      <alignment/>
      <protection/>
    </xf>
    <xf numFmtId="167" fontId="11" fillId="0" borderId="0" xfId="42" applyNumberFormat="1" applyFont="1" applyFill="1" applyAlignment="1">
      <alignment/>
    </xf>
    <xf numFmtId="17" fontId="11" fillId="0" borderId="0" xfId="48" applyNumberFormat="1" applyFont="1" applyFill="1" applyAlignment="1">
      <alignment horizontal="center"/>
    </xf>
    <xf numFmtId="17" fontId="11" fillId="0" borderId="0" xfId="70" applyNumberFormat="1" applyFont="1" applyFill="1" applyAlignment="1" applyProtection="1">
      <alignment horizontal="center"/>
      <protection/>
    </xf>
    <xf numFmtId="167" fontId="11" fillId="0" borderId="0" xfId="42" applyNumberFormat="1" applyFont="1" applyFill="1" applyBorder="1" applyAlignment="1">
      <alignment/>
    </xf>
    <xf numFmtId="17" fontId="11" fillId="0" borderId="0" xfId="48" applyNumberFormat="1" applyFont="1" applyFill="1" applyBorder="1" applyAlignment="1">
      <alignment horizontal="center"/>
    </xf>
    <xf numFmtId="39" fontId="11" fillId="0" borderId="0" xfId="0" applyNumberFormat="1" applyFont="1" applyFill="1" applyBorder="1" applyAlignment="1">
      <alignment/>
    </xf>
    <xf numFmtId="0" fontId="11" fillId="0" borderId="0" xfId="62" applyFont="1" applyBorder="1" applyProtection="1">
      <alignment/>
      <protection/>
    </xf>
    <xf numFmtId="37" fontId="11" fillId="0" borderId="0" xfId="66" applyNumberFormat="1" applyFont="1" applyFill="1" applyProtection="1">
      <alignment/>
      <protection/>
    </xf>
    <xf numFmtId="3" fontId="1" fillId="0" borderId="0" xfId="70" applyFont="1" applyFill="1" applyBorder="1">
      <alignment/>
      <protection/>
    </xf>
    <xf numFmtId="3" fontId="59" fillId="0" borderId="0" xfId="70" applyFont="1" applyFill="1" applyBorder="1">
      <alignment/>
      <protection/>
    </xf>
    <xf numFmtId="177" fontId="11" fillId="0" borderId="11" xfId="62" applyNumberFormat="1" applyFont="1" applyFill="1" applyBorder="1" applyProtection="1">
      <alignment/>
      <protection/>
    </xf>
    <xf numFmtId="177" fontId="11" fillId="0" borderId="11" xfId="62" applyNumberFormat="1" applyFont="1" applyBorder="1" applyProtection="1">
      <alignment/>
      <protection/>
    </xf>
    <xf numFmtId="3" fontId="60" fillId="0" borderId="0" xfId="70" applyFont="1" applyFill="1" applyBorder="1">
      <alignment/>
      <protection/>
    </xf>
    <xf numFmtId="17" fontId="11" fillId="0" borderId="0" xfId="0" applyNumberFormat="1" applyFont="1" applyAlignment="1">
      <alignment horizontal="center"/>
    </xf>
    <xf numFmtId="187" fontId="11" fillId="0" borderId="0" xfId="70" applyNumberFormat="1" applyFont="1" applyFill="1" applyAlignment="1">
      <alignment horizontal="left"/>
      <protection/>
    </xf>
    <xf numFmtId="3" fontId="11" fillId="0" borderId="0" xfId="70" applyFont="1" applyFill="1" applyAlignment="1">
      <alignment horizontal="left"/>
      <protection/>
    </xf>
    <xf numFmtId="179" fontId="11" fillId="0" borderId="10" xfId="70" applyNumberFormat="1" applyFont="1" applyBorder="1" applyAlignment="1">
      <alignment horizontal="right"/>
      <protection/>
    </xf>
    <xf numFmtId="37" fontId="1" fillId="0" borderId="0" xfId="70" applyNumberFormat="1" applyFont="1" applyAlignment="1">
      <alignment horizontal="center"/>
      <protection/>
    </xf>
    <xf numFmtId="37" fontId="11" fillId="0" borderId="0" xfId="74" applyNumberFormat="1" applyFont="1">
      <alignment/>
      <protection/>
    </xf>
    <xf numFmtId="167" fontId="11" fillId="0" borderId="0" xfId="74" applyNumberFormat="1" applyFont="1">
      <alignment/>
      <protection/>
    </xf>
    <xf numFmtId="17" fontId="11" fillId="0" borderId="0" xfId="74" applyNumberFormat="1" applyFont="1" applyFill="1" applyAlignment="1">
      <alignment horizontal="center"/>
      <protection/>
    </xf>
    <xf numFmtId="17" fontId="11" fillId="0" borderId="0" xfId="74" applyNumberFormat="1" applyFont="1" applyAlignment="1">
      <alignment horizontal="center"/>
      <protection/>
    </xf>
    <xf numFmtId="10" fontId="1" fillId="0" borderId="14" xfId="71" applyFont="1" applyFill="1" applyBorder="1" applyAlignment="1">
      <alignment horizontal="centerContinuous" wrapText="1"/>
      <protection/>
    </xf>
    <xf numFmtId="10" fontId="1" fillId="0" borderId="15" xfId="71" applyFont="1" applyFill="1" applyBorder="1" applyAlignment="1">
      <alignment horizontal="centerContinuous" wrapText="1"/>
      <protection/>
    </xf>
    <xf numFmtId="10" fontId="1" fillId="0" borderId="0" xfId="71" applyNumberFormat="1" applyFont="1" applyFill="1" applyAlignment="1">
      <alignment horizontal="center"/>
      <protection/>
    </xf>
    <xf numFmtId="4" fontId="62" fillId="0" borderId="0" xfId="70" applyNumberFormat="1" applyFont="1" applyFill="1" applyBorder="1">
      <alignment/>
      <protection/>
    </xf>
    <xf numFmtId="10" fontId="8" fillId="0" borderId="0" xfId="71" applyFont="1" applyAlignment="1" applyProtection="1">
      <alignment horizontal="left"/>
      <protection/>
    </xf>
    <xf numFmtId="10" fontId="1" fillId="0" borderId="0" xfId="71" applyFont="1" applyAlignment="1">
      <alignment horizontal="left"/>
      <protection/>
    </xf>
    <xf numFmtId="10" fontId="61" fillId="0" borderId="0" xfId="71" applyFont="1" applyFill="1" applyBorder="1" applyAlignment="1" applyProtection="1">
      <alignment horizontal="centerContinuous" wrapText="1"/>
      <protection/>
    </xf>
    <xf numFmtId="10" fontId="1" fillId="0" borderId="0" xfId="71" applyFont="1" applyFill="1" applyBorder="1" applyAlignment="1">
      <alignment horizontal="centerContinuous" wrapText="1"/>
      <protection/>
    </xf>
    <xf numFmtId="10" fontId="7" fillId="0" borderId="0" xfId="71" applyFont="1" applyFill="1" applyAlignment="1" applyProtection="1">
      <alignment horizontal="left"/>
      <protection/>
    </xf>
    <xf numFmtId="10" fontId="3" fillId="0" borderId="0" xfId="71" applyFont="1" applyFill="1">
      <alignment/>
      <protection/>
    </xf>
    <xf numFmtId="10" fontId="1" fillId="0" borderId="0" xfId="71" applyFont="1" applyFill="1" applyAlignment="1" applyProtection="1">
      <alignment horizontal="left"/>
      <protection/>
    </xf>
    <xf numFmtId="10" fontId="7" fillId="0" borderId="0" xfId="71" applyFont="1" applyFill="1">
      <alignment/>
      <protection/>
    </xf>
    <xf numFmtId="10" fontId="13" fillId="0" borderId="0" xfId="71" applyNumberFormat="1" applyFont="1" applyFill="1" applyBorder="1" applyAlignment="1" applyProtection="1">
      <alignment horizontal="center"/>
      <protection/>
    </xf>
    <xf numFmtId="10" fontId="1" fillId="0" borderId="0" xfId="71" applyNumberFormat="1" applyFont="1" applyFill="1" applyBorder="1" applyAlignment="1">
      <alignment horizontal="center"/>
      <protection/>
    </xf>
    <xf numFmtId="10" fontId="18" fillId="0" borderId="0" xfId="71" applyNumberFormat="1" applyFont="1" applyFill="1" applyBorder="1" applyAlignment="1" applyProtection="1">
      <alignment horizontal="center"/>
      <protection/>
    </xf>
    <xf numFmtId="10" fontId="18" fillId="0" borderId="0" xfId="71" applyFont="1" applyFill="1" applyBorder="1" applyAlignment="1">
      <alignment horizontal="center"/>
      <protection/>
    </xf>
    <xf numFmtId="10" fontId="7" fillId="0" borderId="0" xfId="71" applyFont="1" applyFill="1" applyAlignment="1" applyProtection="1">
      <alignment horizontal="left" indent="1"/>
      <protection/>
    </xf>
    <xf numFmtId="10" fontId="3" fillId="0" borderId="0" xfId="71" applyFont="1" applyBorder="1">
      <alignment/>
      <protection/>
    </xf>
    <xf numFmtId="10" fontId="3" fillId="0" borderId="0" xfId="71" applyFont="1" applyBorder="1" applyAlignment="1">
      <alignment horizontal="centerContinuous" wrapText="1"/>
      <protection/>
    </xf>
    <xf numFmtId="166" fontId="1" fillId="0" borderId="0" xfId="71" applyNumberFormat="1" applyFont="1" applyFill="1" applyBorder="1" applyAlignment="1" applyProtection="1">
      <alignment horizontal="center"/>
      <protection/>
    </xf>
    <xf numFmtId="3" fontId="20" fillId="0" borderId="0" xfId="70" applyNumberFormat="1" applyFont="1" applyFill="1">
      <alignment/>
      <protection/>
    </xf>
    <xf numFmtId="4" fontId="20" fillId="0" borderId="0" xfId="70" applyNumberFormat="1" applyFont="1" applyFill="1">
      <alignment/>
      <protection/>
    </xf>
    <xf numFmtId="3" fontId="30" fillId="0" borderId="0" xfId="70" applyFont="1">
      <alignment/>
      <protection/>
    </xf>
    <xf numFmtId="3" fontId="36" fillId="0" borderId="0" xfId="70" applyFont="1">
      <alignment/>
      <protection/>
    </xf>
    <xf numFmtId="178" fontId="20" fillId="0" borderId="0" xfId="62" applyNumberFormat="1" applyFont="1" applyBorder="1" applyProtection="1">
      <alignment/>
      <protection/>
    </xf>
    <xf numFmtId="10" fontId="7" fillId="0" borderId="13" xfId="71" applyFont="1" applyFill="1" applyBorder="1" applyAlignment="1" applyProtection="1">
      <alignment horizontal="centerContinuous" wrapText="1"/>
      <protection/>
    </xf>
    <xf numFmtId="10" fontId="12" fillId="0" borderId="0" xfId="71" applyFont="1" applyAlignment="1" applyProtection="1">
      <alignment horizontal="left"/>
      <protection/>
    </xf>
    <xf numFmtId="37" fontId="10" fillId="0" borderId="0" xfId="0" applyNumberFormat="1" applyFont="1" applyFill="1" applyBorder="1" applyAlignment="1">
      <alignment/>
    </xf>
    <xf numFmtId="178" fontId="11" fillId="0" borderId="0" xfId="62" applyNumberFormat="1" applyFont="1" applyFill="1" applyBorder="1" applyProtection="1">
      <alignment/>
      <protection/>
    </xf>
    <xf numFmtId="37" fontId="11" fillId="0" borderId="0" xfId="0" applyNumberFormat="1" applyFont="1" applyFill="1" applyBorder="1" applyAlignment="1">
      <alignment/>
    </xf>
    <xf numFmtId="3" fontId="11" fillId="0" borderId="16" xfId="70" applyFont="1" applyBorder="1">
      <alignment/>
      <protection/>
    </xf>
    <xf numFmtId="3" fontId="11" fillId="0" borderId="12" xfId="70" applyFont="1" applyFill="1" applyBorder="1" applyAlignment="1" applyProtection="1">
      <alignment horizontal="left"/>
      <protection/>
    </xf>
    <xf numFmtId="5" fontId="11" fillId="0" borderId="12" xfId="62" applyNumberFormat="1" applyFont="1" applyBorder="1" applyProtection="1">
      <alignment/>
      <protection/>
    </xf>
    <xf numFmtId="167" fontId="11" fillId="0" borderId="12" xfId="70" applyNumberFormat="1" applyFont="1" applyBorder="1" applyProtection="1">
      <alignment/>
      <protection/>
    </xf>
    <xf numFmtId="17" fontId="11" fillId="0" borderId="12" xfId="48" applyNumberFormat="1" applyFont="1" applyBorder="1" applyAlignment="1">
      <alignment horizontal="center"/>
    </xf>
    <xf numFmtId="17" fontId="11" fillId="0" borderId="12" xfId="70" applyNumberFormat="1" applyFont="1" applyBorder="1" applyAlignment="1" applyProtection="1">
      <alignment horizontal="center"/>
      <protection/>
    </xf>
    <xf numFmtId="39" fontId="11" fillId="0" borderId="12" xfId="0" applyNumberFormat="1" applyFont="1" applyFill="1" applyBorder="1" applyAlignment="1">
      <alignment/>
    </xf>
    <xf numFmtId="10" fontId="11" fillId="0" borderId="12" xfId="0" applyNumberFormat="1" applyFont="1" applyFill="1" applyBorder="1" applyAlignment="1">
      <alignment/>
    </xf>
    <xf numFmtId="37" fontId="11" fillId="0" borderId="12" xfId="66" applyNumberFormat="1" applyFont="1" applyBorder="1" applyProtection="1">
      <alignment/>
      <protection/>
    </xf>
    <xf numFmtId="177" fontId="11" fillId="0" borderId="12" xfId="62" applyNumberFormat="1" applyFont="1" applyBorder="1" applyProtection="1">
      <alignment/>
      <protection/>
    </xf>
    <xf numFmtId="178" fontId="16" fillId="0" borderId="17" xfId="62" applyNumberFormat="1" applyFont="1" applyBorder="1" applyProtection="1">
      <alignment/>
      <protection/>
    </xf>
    <xf numFmtId="3" fontId="11" fillId="0" borderId="18" xfId="70" applyFont="1" applyBorder="1">
      <alignment/>
      <protection/>
    </xf>
    <xf numFmtId="3" fontId="11" fillId="0" borderId="10" xfId="70" applyFont="1" applyFill="1" applyBorder="1" applyAlignment="1" applyProtection="1">
      <alignment horizontal="left"/>
      <protection/>
    </xf>
    <xf numFmtId="5" fontId="11" fillId="0" borderId="10" xfId="62" applyNumberFormat="1" applyFont="1" applyBorder="1" applyProtection="1">
      <alignment/>
      <protection/>
    </xf>
    <xf numFmtId="167" fontId="11" fillId="0" borderId="10" xfId="70" applyNumberFormat="1" applyFont="1" applyBorder="1" applyProtection="1">
      <alignment/>
      <protection/>
    </xf>
    <xf numFmtId="17" fontId="11" fillId="0" borderId="10" xfId="48" applyNumberFormat="1" applyFont="1" applyBorder="1" applyAlignment="1">
      <alignment horizontal="center"/>
    </xf>
    <xf numFmtId="17" fontId="11" fillId="0" borderId="10" xfId="70" applyNumberFormat="1" applyFont="1" applyBorder="1" applyAlignment="1" applyProtection="1">
      <alignment horizontal="center"/>
      <protection/>
    </xf>
    <xf numFmtId="39" fontId="11" fillId="0" borderId="10" xfId="0" applyNumberFormat="1" applyFont="1" applyFill="1" applyBorder="1" applyAlignment="1">
      <alignment/>
    </xf>
    <xf numFmtId="10" fontId="11" fillId="0" borderId="10" xfId="0" applyNumberFormat="1" applyFont="1" applyFill="1" applyBorder="1" applyAlignment="1">
      <alignment/>
    </xf>
    <xf numFmtId="37" fontId="11" fillId="0" borderId="10" xfId="66" applyNumberFormat="1" applyFont="1" applyBorder="1" applyProtection="1">
      <alignment/>
      <protection/>
    </xf>
    <xf numFmtId="177" fontId="11" fillId="0" borderId="10" xfId="62" applyNumberFormat="1" applyFont="1" applyBorder="1" applyProtection="1">
      <alignment/>
      <protection/>
    </xf>
    <xf numFmtId="178" fontId="16" fillId="0" borderId="19" xfId="62" applyNumberFormat="1" applyFont="1" applyBorder="1" applyProtection="1">
      <alignment/>
      <protection/>
    </xf>
    <xf numFmtId="10" fontId="10" fillId="0" borderId="20" xfId="0" applyNumberFormat="1" applyFont="1" applyFill="1" applyBorder="1" applyAlignment="1">
      <alignment/>
    </xf>
    <xf numFmtId="187" fontId="11" fillId="0" borderId="0" xfId="70" applyNumberFormat="1" applyFont="1" applyFill="1" applyAlignment="1">
      <alignment horizontal="right"/>
      <protection/>
    </xf>
    <xf numFmtId="3" fontId="11" fillId="0" borderId="0" xfId="70" applyFont="1" applyFill="1" applyAlignment="1">
      <alignment horizontal="right"/>
      <protection/>
    </xf>
    <xf numFmtId="0" fontId="14" fillId="0" borderId="0" xfId="62" applyFont="1" applyAlignment="1" applyProtection="1">
      <alignment horizontal="center"/>
      <protection/>
    </xf>
    <xf numFmtId="174" fontId="14" fillId="0" borderId="0" xfId="71" applyNumberFormat="1" applyFont="1" applyAlignment="1" applyProtection="1">
      <alignment horizontal="center"/>
      <protection/>
    </xf>
    <xf numFmtId="10" fontId="14" fillId="0" borderId="0" xfId="71" applyFont="1" applyAlignment="1" applyProtection="1">
      <alignment horizontal="center"/>
      <protection/>
    </xf>
    <xf numFmtId="15" fontId="47" fillId="0" borderId="0" xfId="66" applyNumberFormat="1" applyFont="1" applyAlignment="1" applyProtection="1">
      <alignment horizontal="center"/>
      <protection/>
    </xf>
    <xf numFmtId="37" fontId="47" fillId="0" borderId="0" xfId="66" applyFont="1" applyAlignment="1">
      <alignment horizontal="center"/>
      <protection/>
    </xf>
    <xf numFmtId="15" fontId="48" fillId="0" borderId="0" xfId="73" applyNumberFormat="1" applyFont="1" applyAlignment="1" applyProtection="1">
      <alignment horizontal="center"/>
      <protection/>
    </xf>
    <xf numFmtId="5" fontId="22" fillId="0" borderId="0" xfId="62" applyNumberFormat="1" applyFont="1" applyFill="1" applyBorder="1" applyAlignment="1" applyProtection="1">
      <alignment horizontal="left"/>
      <protection/>
    </xf>
    <xf numFmtId="37" fontId="11" fillId="0" borderId="0" xfId="0" applyFont="1" applyFill="1" applyBorder="1" applyAlignment="1">
      <alignment horizontal="center" wrapText="1"/>
    </xf>
    <xf numFmtId="37" fontId="11" fillId="0" borderId="10" xfId="0" applyFont="1" applyFill="1" applyBorder="1" applyAlignment="1">
      <alignment horizontal="center" wrapText="1"/>
    </xf>
    <xf numFmtId="37" fontId="10" fillId="0" borderId="0" xfId="0" applyFont="1" applyFill="1" applyBorder="1" applyAlignment="1">
      <alignment horizontal="left" wrapText="1"/>
    </xf>
    <xf numFmtId="37" fontId="8" fillId="0" borderId="0" xfId="0" applyFont="1" applyAlignment="1">
      <alignment horizontal="left"/>
    </xf>
    <xf numFmtId="37" fontId="10" fillId="0" borderId="0" xfId="66" applyNumberFormat="1" applyFont="1" applyBorder="1" applyAlignment="1" applyProtection="1">
      <alignment horizontal="center" wrapText="1"/>
      <protection/>
    </xf>
    <xf numFmtId="37" fontId="10" fillId="0" borderId="10" xfId="66" applyNumberFormat="1" applyFont="1" applyBorder="1" applyAlignment="1" applyProtection="1">
      <alignment horizontal="center" wrapText="1"/>
      <protection/>
    </xf>
    <xf numFmtId="37" fontId="10" fillId="0" borderId="0" xfId="68" applyFont="1" applyBorder="1" applyAlignment="1" applyProtection="1">
      <alignment horizontal="center" wrapText="1"/>
      <protection/>
    </xf>
    <xf numFmtId="37" fontId="10" fillId="0" borderId="10" xfId="68" applyFont="1" applyBorder="1" applyAlignment="1" applyProtection="1">
      <alignment horizontal="center" wrapText="1"/>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Lisa" xfId="59"/>
    <cellStyle name="Neutral" xfId="60"/>
    <cellStyle name="Normal_2004 Common Equity for Treasury" xfId="61"/>
    <cellStyle name="Normal_AMACAPST" xfId="62"/>
    <cellStyle name="Normal_AMORTONR" xfId="63"/>
    <cellStyle name="Normal_COC Sep 2007 Draft 11-19-07" xfId="64"/>
    <cellStyle name="Normal_COSTOF" xfId="65"/>
    <cellStyle name="Normal_COSTOFD" xfId="66"/>
    <cellStyle name="Normal_COSTOFNO" xfId="67"/>
    <cellStyle name="Normal_COSTOFPR" xfId="68"/>
    <cellStyle name="Normal_Final COC Sept 2005" xfId="69"/>
    <cellStyle name="Normal_Psebonds" xfId="70"/>
    <cellStyle name="Normal_RATEOFRE" xfId="71"/>
    <cellStyle name="Normal_SCHEDULE" xfId="72"/>
    <cellStyle name="Normal_Summary Sheet" xfId="73"/>
    <cellStyle name="Normal_WACC FERC Filing Period 2 - Projected 2011" xfId="74"/>
    <cellStyle name="Note" xfId="75"/>
    <cellStyle name="Output" xfId="76"/>
    <cellStyle name="Percent" xfId="77"/>
    <cellStyle name="Style 1"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ost%20of%20Capital\Cost%20of%20Capital\COC%20Mar%2099\CocJun98\COC%20DEC%2097\AFUDC%20Dec%209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Keith\COC%20DEC%2000%20Compan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NT\Temporary%20Internet%20Files\OLK412\Subsidiary%20Roll-up%20for%20Rate%20Peri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NDRATE"/>
      <sheetName val="CST Reaquired LTD!"/>
      <sheetName val="Cost of Notes"/>
      <sheetName val="Cst Prfd"/>
      <sheetName val="STD Co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bsidiary RE Rollfwrd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G50"/>
  <sheetViews>
    <sheetView zoomScalePageLayoutView="0" workbookViewId="0" topLeftCell="A1">
      <selection activeCell="F48" sqref="F48"/>
    </sheetView>
  </sheetViews>
  <sheetFormatPr defaultColWidth="9.140625" defaultRowHeight="12" outlineLevelCol="1"/>
  <cols>
    <col min="1" max="1" width="44.140625" style="261" customWidth="1"/>
    <col min="2" max="2" width="17.57421875" style="261" customWidth="1"/>
    <col min="3" max="3" width="26.57421875" style="261" hidden="1" customWidth="1"/>
    <col min="4" max="4" width="4.00390625" style="261" customWidth="1"/>
    <col min="5" max="5" width="9.7109375" style="261" customWidth="1"/>
    <col min="6" max="7" width="10.28125" style="261" customWidth="1"/>
    <col min="8" max="17" width="10.28125" style="261" hidden="1" customWidth="1" outlineLevel="1"/>
    <col min="18" max="18" width="10.28125" style="261" customWidth="1" collapsed="1"/>
    <col min="19" max="33" width="10.28125" style="261" customWidth="1"/>
    <col min="34" max="16384" width="9.140625" style="261" customWidth="1"/>
  </cols>
  <sheetData>
    <row r="1" spans="1:2" ht="12.75">
      <c r="A1" s="286"/>
      <c r="B1" s="286"/>
    </row>
    <row r="2" spans="1:2" ht="12.75">
      <c r="A2" s="470" t="s">
        <v>147</v>
      </c>
      <c r="B2" s="470"/>
    </row>
    <row r="3" spans="1:4" ht="15.75">
      <c r="A3" s="470" t="s">
        <v>148</v>
      </c>
      <c r="B3" s="470"/>
      <c r="C3" s="260"/>
      <c r="D3" s="260"/>
    </row>
    <row r="4" spans="1:4" ht="15.75">
      <c r="A4" s="471" t="s">
        <v>149</v>
      </c>
      <c r="B4" s="471"/>
      <c r="C4" s="262"/>
      <c r="D4" s="262"/>
    </row>
    <row r="5" spans="1:6" ht="12.75">
      <c r="A5" s="472"/>
      <c r="B5" s="472"/>
      <c r="E5" s="263"/>
      <c r="F5" s="263"/>
    </row>
    <row r="6" spans="1:2" ht="12.75">
      <c r="A6" s="286"/>
      <c r="B6" s="286"/>
    </row>
    <row r="7" spans="1:3" ht="15.75">
      <c r="A7" s="286"/>
      <c r="B7" s="287">
        <v>39355</v>
      </c>
      <c r="C7" s="264" t="s">
        <v>150</v>
      </c>
    </row>
    <row r="8" spans="1:3" ht="14.25">
      <c r="A8" s="288" t="s">
        <v>151</v>
      </c>
      <c r="B8" s="288" t="s">
        <v>152</v>
      </c>
      <c r="C8" s="266" t="s">
        <v>153</v>
      </c>
    </row>
    <row r="9" spans="1:3" ht="18" customHeight="1">
      <c r="A9" s="289"/>
      <c r="B9" s="286"/>
      <c r="C9" s="267" t="s">
        <v>154</v>
      </c>
    </row>
    <row r="10" spans="1:3" ht="15">
      <c r="A10" s="290" t="s">
        <v>155</v>
      </c>
      <c r="B10" s="291">
        <v>2137113406</v>
      </c>
      <c r="C10" s="268"/>
    </row>
    <row r="11" spans="1:6" ht="12.75">
      <c r="A11" s="290" t="s">
        <v>156</v>
      </c>
      <c r="B11" s="256"/>
      <c r="C11" s="257"/>
      <c r="E11" s="258" t="s">
        <v>157</v>
      </c>
      <c r="F11" s="259"/>
    </row>
    <row r="12" spans="1:33" ht="12.75">
      <c r="A12" s="290"/>
      <c r="B12" s="251"/>
      <c r="C12" s="257"/>
      <c r="E12" s="269"/>
      <c r="F12" s="270" t="s">
        <v>158</v>
      </c>
      <c r="G12" s="270" t="s">
        <v>159</v>
      </c>
      <c r="H12" s="270" t="s">
        <v>160</v>
      </c>
      <c r="I12" s="270" t="s">
        <v>161</v>
      </c>
      <c r="J12" s="270" t="s">
        <v>162</v>
      </c>
      <c r="K12" s="270" t="s">
        <v>163</v>
      </c>
      <c r="L12" s="270" t="s">
        <v>164</v>
      </c>
      <c r="M12" s="270" t="s">
        <v>165</v>
      </c>
      <c r="N12" s="270" t="s">
        <v>166</v>
      </c>
      <c r="O12" s="270" t="s">
        <v>167</v>
      </c>
      <c r="P12" s="270" t="s">
        <v>168</v>
      </c>
      <c r="Q12" s="270" t="s">
        <v>169</v>
      </c>
      <c r="R12" s="271" t="s">
        <v>170</v>
      </c>
      <c r="S12" s="270" t="s">
        <v>159</v>
      </c>
      <c r="T12" s="270" t="s">
        <v>160</v>
      </c>
      <c r="U12" s="271" t="s">
        <v>161</v>
      </c>
      <c r="V12" s="270" t="s">
        <v>162</v>
      </c>
      <c r="W12" s="270" t="s">
        <v>163</v>
      </c>
      <c r="X12" s="271" t="s">
        <v>164</v>
      </c>
      <c r="Y12" s="270" t="s">
        <v>165</v>
      </c>
      <c r="Z12" s="270" t="s">
        <v>166</v>
      </c>
      <c r="AA12" s="271" t="s">
        <v>167</v>
      </c>
      <c r="AB12" s="270" t="s">
        <v>168</v>
      </c>
      <c r="AC12" s="270" t="s">
        <v>169</v>
      </c>
      <c r="AD12" s="271" t="s">
        <v>170</v>
      </c>
      <c r="AE12" s="270" t="s">
        <v>159</v>
      </c>
      <c r="AF12" s="270" t="s">
        <v>160</v>
      </c>
      <c r="AG12" s="270" t="s">
        <v>161</v>
      </c>
    </row>
    <row r="13" spans="1:33" ht="12.75">
      <c r="A13" s="292" t="s">
        <v>171</v>
      </c>
      <c r="B13" s="256"/>
      <c r="C13" s="257"/>
      <c r="E13" s="269"/>
      <c r="F13" s="270">
        <v>2007</v>
      </c>
      <c r="G13" s="270">
        <v>2007</v>
      </c>
      <c r="H13" s="270">
        <v>2007</v>
      </c>
      <c r="I13" s="270">
        <v>2007</v>
      </c>
      <c r="J13" s="270">
        <v>2008</v>
      </c>
      <c r="K13" s="270">
        <v>2008</v>
      </c>
      <c r="L13" s="270">
        <v>2008</v>
      </c>
      <c r="M13" s="270">
        <v>2008</v>
      </c>
      <c r="N13" s="270">
        <v>2008</v>
      </c>
      <c r="O13" s="270">
        <v>2008</v>
      </c>
      <c r="P13" s="270">
        <v>2008</v>
      </c>
      <c r="Q13" s="270">
        <v>2008</v>
      </c>
      <c r="R13" s="271">
        <v>2008</v>
      </c>
      <c r="S13" s="270">
        <v>2008</v>
      </c>
      <c r="T13" s="270">
        <v>2008</v>
      </c>
      <c r="U13" s="271">
        <v>2008</v>
      </c>
      <c r="V13" s="270">
        <v>2009</v>
      </c>
      <c r="W13" s="270">
        <v>2009</v>
      </c>
      <c r="X13" s="271">
        <v>2009</v>
      </c>
      <c r="Y13" s="270">
        <v>2009</v>
      </c>
      <c r="Z13" s="270">
        <v>2009</v>
      </c>
      <c r="AA13" s="271">
        <v>2009</v>
      </c>
      <c r="AB13" s="270">
        <v>2009</v>
      </c>
      <c r="AC13" s="270">
        <v>2009</v>
      </c>
      <c r="AD13" s="271">
        <v>2009</v>
      </c>
      <c r="AE13" s="270">
        <v>2009</v>
      </c>
      <c r="AF13" s="270">
        <v>2009</v>
      </c>
      <c r="AG13" s="270">
        <v>2009</v>
      </c>
    </row>
    <row r="14" spans="1:33" ht="12.75">
      <c r="A14" s="292" t="s">
        <v>172</v>
      </c>
      <c r="B14" s="256"/>
      <c r="C14" s="257"/>
      <c r="E14" s="269" t="s">
        <v>173</v>
      </c>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row>
    <row r="15" spans="1:33" ht="12.75">
      <c r="A15" s="290" t="s">
        <v>0</v>
      </c>
      <c r="B15" s="256"/>
      <c r="C15" s="257"/>
      <c r="E15" s="269" t="s">
        <v>174</v>
      </c>
      <c r="F15" s="269"/>
      <c r="G15" s="272">
        <v>7836.184120384849</v>
      </c>
      <c r="H15" s="272">
        <v>7874.150763019749</v>
      </c>
      <c r="I15" s="272">
        <v>56737.1611015487</v>
      </c>
      <c r="J15" s="272">
        <v>0</v>
      </c>
      <c r="K15" s="272">
        <v>0</v>
      </c>
      <c r="L15" s="272">
        <v>1025000</v>
      </c>
      <c r="M15" s="272">
        <v>0</v>
      </c>
      <c r="N15" s="272">
        <v>0</v>
      </c>
      <c r="O15" s="272">
        <v>1025000</v>
      </c>
      <c r="P15" s="272">
        <v>0</v>
      </c>
      <c r="Q15" s="272">
        <v>0</v>
      </c>
      <c r="R15" s="272">
        <v>1025000</v>
      </c>
      <c r="S15" s="272">
        <v>0</v>
      </c>
      <c r="T15" s="272">
        <v>0</v>
      </c>
      <c r="U15" s="272">
        <v>1025000</v>
      </c>
      <c r="V15" s="272">
        <v>0</v>
      </c>
      <c r="W15" s="272">
        <v>0</v>
      </c>
      <c r="X15" s="272">
        <v>925000</v>
      </c>
      <c r="Y15" s="272">
        <v>0</v>
      </c>
      <c r="Z15" s="272">
        <v>0</v>
      </c>
      <c r="AA15" s="272">
        <v>925000</v>
      </c>
      <c r="AB15" s="272">
        <v>0</v>
      </c>
      <c r="AC15" s="272">
        <v>0</v>
      </c>
      <c r="AD15" s="272">
        <v>925000</v>
      </c>
      <c r="AE15" s="272">
        <v>0</v>
      </c>
      <c r="AF15" s="272">
        <v>0</v>
      </c>
      <c r="AG15" s="272">
        <v>925000</v>
      </c>
    </row>
    <row r="16" spans="1:33" s="274" customFormat="1" ht="15">
      <c r="A16" s="293"/>
      <c r="B16" s="294"/>
      <c r="C16" s="273"/>
      <c r="E16" s="269" t="s">
        <v>175</v>
      </c>
      <c r="F16" s="269"/>
      <c r="G16" s="272">
        <v>-143.149800948267</v>
      </c>
      <c r="H16" s="272">
        <v>-287.371686208897</v>
      </c>
      <c r="I16" s="272">
        <v>90591.76465342559</v>
      </c>
      <c r="J16" s="272">
        <v>-12922.4166</v>
      </c>
      <c r="K16" s="272">
        <v>-12922.4166</v>
      </c>
      <c r="L16" s="272">
        <v>-12922.4166</v>
      </c>
      <c r="M16" s="272">
        <v>-12922.4166</v>
      </c>
      <c r="N16" s="272">
        <v>-12922.4166</v>
      </c>
      <c r="O16" s="272">
        <v>-12922.4166</v>
      </c>
      <c r="P16" s="272">
        <v>-12922.4166</v>
      </c>
      <c r="Q16" s="272">
        <v>-12922.4166</v>
      </c>
      <c r="R16" s="272">
        <v>-12922.4166</v>
      </c>
      <c r="S16" s="272">
        <v>-12922.4166</v>
      </c>
      <c r="T16" s="272">
        <v>-12922.4166</v>
      </c>
      <c r="U16" s="272">
        <v>-12922.4166</v>
      </c>
      <c r="V16" s="272">
        <v>-12922.4166</v>
      </c>
      <c r="W16" s="272">
        <v>-12922.4166</v>
      </c>
      <c r="X16" s="272">
        <v>-12922.4166</v>
      </c>
      <c r="Y16" s="272">
        <v>-12922.4166</v>
      </c>
      <c r="Z16" s="272">
        <v>-12922.4166</v>
      </c>
      <c r="AA16" s="272">
        <v>-12922.4166</v>
      </c>
      <c r="AB16" s="272">
        <v>-12922.4166</v>
      </c>
      <c r="AC16" s="272">
        <v>-12922.4166</v>
      </c>
      <c r="AD16" s="272">
        <v>-12922.4166</v>
      </c>
      <c r="AE16" s="272">
        <v>-12922.4166</v>
      </c>
      <c r="AF16" s="272">
        <v>-12922.4166</v>
      </c>
      <c r="AG16" s="272">
        <v>-12922.4166</v>
      </c>
    </row>
    <row r="17" spans="1:3" ht="15">
      <c r="A17" s="295" t="s">
        <v>112</v>
      </c>
      <c r="B17" s="294">
        <v>7436151</v>
      </c>
      <c r="C17" s="275">
        <v>0</v>
      </c>
    </row>
    <row r="18" spans="1:6" ht="15">
      <c r="A18" s="295" t="s">
        <v>176</v>
      </c>
      <c r="B18" s="296">
        <v>0</v>
      </c>
      <c r="C18" s="275"/>
      <c r="E18" s="269" t="s">
        <v>177</v>
      </c>
      <c r="F18" s="284" t="s">
        <v>185</v>
      </c>
    </row>
    <row r="19" spans="1:33" ht="15">
      <c r="A19" s="295" t="s">
        <v>178</v>
      </c>
      <c r="B19" s="296">
        <v>-27896150</v>
      </c>
      <c r="C19" s="275">
        <v>0</v>
      </c>
      <c r="E19" s="269" t="s">
        <v>174</v>
      </c>
      <c r="F19" s="272">
        <f>B17</f>
        <v>7436151</v>
      </c>
      <c r="G19" s="272">
        <f>$F19+SUM($G15:G15)</f>
        <v>7443987.184120385</v>
      </c>
      <c r="H19" s="272">
        <f>$F19+SUM($G15:H15)</f>
        <v>7451861.334883405</v>
      </c>
      <c r="I19" s="272">
        <f>$F19+SUM($G15:I15)</f>
        <v>7508598.495984953</v>
      </c>
      <c r="J19" s="272">
        <f>$F19+SUM($G15:J15)</f>
        <v>7508598.495984953</v>
      </c>
      <c r="K19" s="272">
        <f>$F19+SUM($G15:K15)</f>
        <v>7508598.495984953</v>
      </c>
      <c r="L19" s="272">
        <f>$F19+SUM($G15:L15)</f>
        <v>8533598.495984953</v>
      </c>
      <c r="M19" s="272">
        <f>$F19+SUM($G15:M15)</f>
        <v>8533598.495984953</v>
      </c>
      <c r="N19" s="272">
        <f>$F19+SUM($G15:N15)</f>
        <v>8533598.495984953</v>
      </c>
      <c r="O19" s="272">
        <f>$F19+SUM($G15:O15)</f>
        <v>9558598.495984953</v>
      </c>
      <c r="P19" s="272">
        <f>$F19+SUM($G15:P15)</f>
        <v>9558598.495984953</v>
      </c>
      <c r="Q19" s="272">
        <f>$F19+SUM($G15:Q15)</f>
        <v>9558598.495984953</v>
      </c>
      <c r="R19" s="276">
        <f>$F19+SUM($G15:R15)</f>
        <v>10583598.495984953</v>
      </c>
      <c r="S19" s="272">
        <f>$F19+SUM($G15:S15)</f>
        <v>10583598.495984953</v>
      </c>
      <c r="T19" s="272">
        <f>$F19+SUM($G15:T15)</f>
        <v>10583598.495984953</v>
      </c>
      <c r="U19" s="276">
        <f>$F19+SUM($G15:U15)</f>
        <v>11608598.495984953</v>
      </c>
      <c r="V19" s="272">
        <f>$F19+SUM($G15:V15)</f>
        <v>11608598.495984953</v>
      </c>
      <c r="W19" s="272">
        <f>$F19+SUM($G15:W15)</f>
        <v>11608598.495984953</v>
      </c>
      <c r="X19" s="276">
        <f>$F19+SUM($G15:X15)</f>
        <v>12533598.495984953</v>
      </c>
      <c r="Y19" s="272">
        <f>$F19+SUM($G15:Y15)</f>
        <v>12533598.495984953</v>
      </c>
      <c r="Z19" s="272">
        <f>$F19+SUM($G15:Z15)</f>
        <v>12533598.495984953</v>
      </c>
      <c r="AA19" s="276">
        <f>$F19+SUM($G15:AA15)</f>
        <v>13458598.495984953</v>
      </c>
      <c r="AB19" s="272">
        <f>$F19+SUM($G15:AB15)</f>
        <v>13458598.495984953</v>
      </c>
      <c r="AC19" s="272">
        <f>$F19+SUM($G15:AC15)</f>
        <v>13458598.495984953</v>
      </c>
      <c r="AD19" s="276">
        <f>$F19+SUM($G15:AD15)</f>
        <v>14383598.495984953</v>
      </c>
      <c r="AE19" s="272">
        <f>$F19+SUM($G15:AE15)</f>
        <v>14383598.495984953</v>
      </c>
      <c r="AF19" s="272">
        <f>$F19+SUM($G15:AF15)</f>
        <v>14383598.495984953</v>
      </c>
      <c r="AG19" s="272">
        <f>$F19+SUM($G15:AG15)</f>
        <v>15308598.495984953</v>
      </c>
    </row>
    <row r="20" spans="1:33" ht="15">
      <c r="A20" s="295" t="s">
        <v>179</v>
      </c>
      <c r="B20" s="297">
        <v>0</v>
      </c>
      <c r="C20" s="277">
        <v>0</v>
      </c>
      <c r="E20" s="269" t="s">
        <v>175</v>
      </c>
      <c r="F20" s="272">
        <f>B19</f>
        <v>-27896150</v>
      </c>
      <c r="G20" s="272">
        <f>$F20+SUM($G16:G16)</f>
        <v>-27896293.14980095</v>
      </c>
      <c r="H20" s="272">
        <f>$F20+SUM($G16:H16)</f>
        <v>-27896580.521487158</v>
      </c>
      <c r="I20" s="272">
        <f>$F20+SUM($G16:I16)</f>
        <v>-27805988.756833732</v>
      </c>
      <c r="J20" s="272">
        <f>$F20+SUM($G16:J16)</f>
        <v>-27818911.173433732</v>
      </c>
      <c r="K20" s="272">
        <f>$F20+SUM($G16:K16)</f>
        <v>-27831833.590033732</v>
      </c>
      <c r="L20" s="272">
        <f>$F20+SUM($G16:L16)</f>
        <v>-27844756.006633732</v>
      </c>
      <c r="M20" s="272">
        <f>$F20+SUM($G16:M16)</f>
        <v>-27857678.423233733</v>
      </c>
      <c r="N20" s="272">
        <f>$F20+SUM($G16:N16)</f>
        <v>-27870600.839833733</v>
      </c>
      <c r="O20" s="272">
        <f>$F20+SUM($G16:O16)</f>
        <v>-27883523.256433733</v>
      </c>
      <c r="P20" s="272">
        <f>$F20+SUM($G16:P16)</f>
        <v>-27896445.673033733</v>
      </c>
      <c r="Q20" s="272">
        <f>$F20+SUM($G16:Q16)</f>
        <v>-27909368.089633733</v>
      </c>
      <c r="R20" s="276">
        <f>$F20+SUM($G16:R16)</f>
        <v>-27922290.506233733</v>
      </c>
      <c r="S20" s="272">
        <f>$F20+SUM($G16:S16)</f>
        <v>-27935212.922833733</v>
      </c>
      <c r="T20" s="272">
        <f>$F20+SUM($G16:T16)</f>
        <v>-27948135.339433733</v>
      </c>
      <c r="U20" s="276">
        <f>$F20+SUM($G16:U16)</f>
        <v>-27961057.75603373</v>
      </c>
      <c r="V20" s="272">
        <f>$F20+SUM($G16:V16)</f>
        <v>-27973980.17263373</v>
      </c>
      <c r="W20" s="272">
        <f>$F20+SUM($G16:W16)</f>
        <v>-27986902.58923373</v>
      </c>
      <c r="X20" s="276">
        <f>$F20+SUM($G16:X16)</f>
        <v>-27999825.00583373</v>
      </c>
      <c r="Y20" s="272">
        <f>$F20+SUM($G16:Y16)</f>
        <v>-28012747.42243373</v>
      </c>
      <c r="Z20" s="272">
        <f>$F20+SUM($G16:Z16)</f>
        <v>-28025669.83903373</v>
      </c>
      <c r="AA20" s="276">
        <f>$F20+SUM($G16:AA16)</f>
        <v>-28038592.25563373</v>
      </c>
      <c r="AB20" s="272">
        <f>$F20+SUM($G16:AB16)</f>
        <v>-28051514.67223373</v>
      </c>
      <c r="AC20" s="272">
        <f>$F20+SUM($G16:AC16)</f>
        <v>-28064437.08883373</v>
      </c>
      <c r="AD20" s="276">
        <f>$F20+SUM($G16:AD16)</f>
        <v>-28077359.50543373</v>
      </c>
      <c r="AE20" s="272">
        <f>$F20+SUM($G16:AE16)</f>
        <v>-28090281.92203373</v>
      </c>
      <c r="AF20" s="272">
        <f>$F20+SUM($G16:AF16)</f>
        <v>-28103204.33863373</v>
      </c>
      <c r="AG20" s="272">
        <f>$F20+SUM($G16:AG16)</f>
        <v>-28116126.75523373</v>
      </c>
    </row>
    <row r="21" spans="1:3" ht="15">
      <c r="A21" s="298" t="s">
        <v>180</v>
      </c>
      <c r="B21" s="291">
        <f>SUM(B16:B20)</f>
        <v>-20459999</v>
      </c>
      <c r="C21" s="268">
        <f>SUM(C16:C20)</f>
        <v>0</v>
      </c>
    </row>
    <row r="22" spans="1:3" ht="12.75">
      <c r="A22" s="298" t="s">
        <v>0</v>
      </c>
      <c r="B22" s="256"/>
      <c r="C22" s="257"/>
    </row>
    <row r="23" spans="1:6" ht="15">
      <c r="A23" s="298" t="s">
        <v>181</v>
      </c>
      <c r="B23" s="299">
        <f>B10-B21</f>
        <v>2157573405</v>
      </c>
      <c r="C23" s="278">
        <f>C10-C21</f>
        <v>0</v>
      </c>
      <c r="E23" s="279"/>
      <c r="F23" s="279"/>
    </row>
    <row r="24" spans="1:3" ht="12.75">
      <c r="A24" s="298"/>
      <c r="B24" s="257"/>
      <c r="C24" s="257"/>
    </row>
    <row r="25" spans="1:3" ht="14.25">
      <c r="A25" s="298"/>
      <c r="B25" s="300"/>
      <c r="C25" s="280"/>
    </row>
    <row r="26" spans="1:3" ht="14.25">
      <c r="A26" s="298"/>
      <c r="B26" s="300"/>
      <c r="C26" s="280"/>
    </row>
    <row r="27" spans="1:8" ht="17.25">
      <c r="A27" s="298" t="s">
        <v>182</v>
      </c>
      <c r="B27" s="301">
        <f>B23</f>
        <v>2157573405</v>
      </c>
      <c r="C27" s="281"/>
      <c r="H27" s="279"/>
    </row>
    <row r="28" spans="1:2" ht="12.75">
      <c r="A28" s="298" t="s">
        <v>0</v>
      </c>
      <c r="B28" s="302"/>
    </row>
    <row r="29" spans="1:2" ht="12.75">
      <c r="A29" s="302"/>
      <c r="B29" s="302"/>
    </row>
    <row r="30" spans="1:2" ht="12.75">
      <c r="A30" s="302"/>
      <c r="B30" s="302"/>
    </row>
    <row r="31" spans="1:2" ht="12.75">
      <c r="A31" s="302"/>
      <c r="B31" s="302"/>
    </row>
    <row r="32" spans="1:2" ht="12.75">
      <c r="A32" s="302" t="s">
        <v>183</v>
      </c>
      <c r="B32" s="302"/>
    </row>
    <row r="33" spans="1:2" ht="12.75">
      <c r="A33" s="302" t="s">
        <v>184</v>
      </c>
      <c r="B33" s="302"/>
    </row>
    <row r="34" spans="1:2" ht="12.75">
      <c r="A34" s="302"/>
      <c r="B34" s="302"/>
    </row>
    <row r="35" spans="1:5" ht="14.25">
      <c r="A35" s="282"/>
      <c r="B35" s="282"/>
      <c r="E35" s="258" t="s">
        <v>187</v>
      </c>
    </row>
    <row r="36" spans="1:33" ht="14.25">
      <c r="A36" s="282"/>
      <c r="B36" s="282"/>
      <c r="F36" s="270" t="s">
        <v>158</v>
      </c>
      <c r="G36" s="270" t="s">
        <v>186</v>
      </c>
      <c r="H36" s="309" t="s">
        <v>160</v>
      </c>
      <c r="I36" s="309" t="s">
        <v>161</v>
      </c>
      <c r="J36" s="309" t="s">
        <v>162</v>
      </c>
      <c r="K36" s="309" t="s">
        <v>163</v>
      </c>
      <c r="L36" s="309" t="s">
        <v>164</v>
      </c>
      <c r="M36" s="309" t="s">
        <v>165</v>
      </c>
      <c r="N36" s="309" t="s">
        <v>166</v>
      </c>
      <c r="O36" s="309" t="s">
        <v>167</v>
      </c>
      <c r="P36" s="309" t="s">
        <v>168</v>
      </c>
      <c r="Q36" s="309" t="s">
        <v>169</v>
      </c>
      <c r="R36" s="309" t="s">
        <v>170</v>
      </c>
      <c r="S36" s="309" t="s">
        <v>159</v>
      </c>
      <c r="T36" s="309" t="s">
        <v>160</v>
      </c>
      <c r="U36" s="309" t="s">
        <v>161</v>
      </c>
      <c r="V36" s="309" t="s">
        <v>162</v>
      </c>
      <c r="W36" s="309" t="s">
        <v>163</v>
      </c>
      <c r="X36" s="309" t="s">
        <v>164</v>
      </c>
      <c r="Y36" s="309" t="s">
        <v>165</v>
      </c>
      <c r="Z36" s="309" t="s">
        <v>166</v>
      </c>
      <c r="AA36" s="309" t="s">
        <v>167</v>
      </c>
      <c r="AB36" s="309" t="s">
        <v>168</v>
      </c>
      <c r="AC36" s="309" t="s">
        <v>169</v>
      </c>
      <c r="AD36" s="309" t="s">
        <v>170</v>
      </c>
      <c r="AE36" s="309" t="s">
        <v>159</v>
      </c>
      <c r="AF36" s="309" t="s">
        <v>160</v>
      </c>
      <c r="AG36" s="309" t="s">
        <v>161</v>
      </c>
    </row>
    <row r="37" spans="1:33" ht="14.25">
      <c r="A37" s="282"/>
      <c r="B37" s="282"/>
      <c r="F37" s="270">
        <v>2007</v>
      </c>
      <c r="G37" s="270">
        <v>2007</v>
      </c>
      <c r="H37" s="309">
        <v>2007</v>
      </c>
      <c r="I37" s="309">
        <v>2007</v>
      </c>
      <c r="J37" s="309">
        <v>2008</v>
      </c>
      <c r="K37" s="309">
        <v>2008</v>
      </c>
      <c r="L37" s="309">
        <v>2008</v>
      </c>
      <c r="M37" s="309">
        <v>2008</v>
      </c>
      <c r="N37" s="309">
        <v>2008</v>
      </c>
      <c r="O37" s="309">
        <v>2008</v>
      </c>
      <c r="P37" s="309">
        <v>2008</v>
      </c>
      <c r="Q37" s="309">
        <v>2008</v>
      </c>
      <c r="R37" s="309">
        <v>2008</v>
      </c>
      <c r="S37" s="309">
        <v>2008</v>
      </c>
      <c r="T37" s="309">
        <v>2008</v>
      </c>
      <c r="U37" s="309">
        <v>2008</v>
      </c>
      <c r="V37" s="309">
        <v>2009</v>
      </c>
      <c r="W37" s="309">
        <v>2009</v>
      </c>
      <c r="X37" s="309">
        <v>2009</v>
      </c>
      <c r="Y37" s="309">
        <v>2009</v>
      </c>
      <c r="Z37" s="309">
        <v>2009</v>
      </c>
      <c r="AA37" s="309">
        <v>2009</v>
      </c>
      <c r="AB37" s="309">
        <v>2009</v>
      </c>
      <c r="AC37" s="309">
        <v>2009</v>
      </c>
      <c r="AD37" s="309">
        <v>2009</v>
      </c>
      <c r="AE37" s="309">
        <v>2009</v>
      </c>
      <c r="AF37" s="309">
        <v>2009</v>
      </c>
      <c r="AG37" s="309">
        <v>2009</v>
      </c>
    </row>
    <row r="38" spans="1:5" ht="14.25">
      <c r="A38" s="282"/>
      <c r="B38" s="282"/>
      <c r="E38" s="304" t="s">
        <v>189</v>
      </c>
    </row>
    <row r="39" spans="1:19" ht="14.25">
      <c r="A39" s="282"/>
      <c r="B39" s="282"/>
      <c r="E39" s="308" t="s">
        <v>193</v>
      </c>
      <c r="S39" s="272"/>
    </row>
    <row r="40" spans="1:33" ht="14.25">
      <c r="A40" s="282"/>
      <c r="B40" s="282"/>
      <c r="E40" s="303" t="s">
        <v>190</v>
      </c>
      <c r="F40" s="313">
        <f>-32190.897+22695.337</f>
        <v>-9495.560000000001</v>
      </c>
      <c r="G40" s="272">
        <f>F40</f>
        <v>-9495.560000000001</v>
      </c>
      <c r="H40" s="272">
        <f>G40</f>
        <v>-9495.560000000001</v>
      </c>
      <c r="I40" s="272">
        <f aca="true" t="shared" si="0" ref="I40:AG40">H40</f>
        <v>-9495.560000000001</v>
      </c>
      <c r="J40" s="272">
        <f t="shared" si="0"/>
        <v>-9495.560000000001</v>
      </c>
      <c r="K40" s="272">
        <f t="shared" si="0"/>
        <v>-9495.560000000001</v>
      </c>
      <c r="L40" s="272">
        <f t="shared" si="0"/>
        <v>-9495.560000000001</v>
      </c>
      <c r="M40" s="272">
        <f t="shared" si="0"/>
        <v>-9495.560000000001</v>
      </c>
      <c r="N40" s="272">
        <f t="shared" si="0"/>
        <v>-9495.560000000001</v>
      </c>
      <c r="O40" s="272">
        <f t="shared" si="0"/>
        <v>-9495.560000000001</v>
      </c>
      <c r="P40" s="272">
        <f t="shared" si="0"/>
        <v>-9495.560000000001</v>
      </c>
      <c r="Q40" s="272">
        <f t="shared" si="0"/>
        <v>-9495.560000000001</v>
      </c>
      <c r="R40" s="272">
        <f t="shared" si="0"/>
        <v>-9495.560000000001</v>
      </c>
      <c r="S40" s="272">
        <f t="shared" si="0"/>
        <v>-9495.560000000001</v>
      </c>
      <c r="T40" s="272">
        <f t="shared" si="0"/>
        <v>-9495.560000000001</v>
      </c>
      <c r="U40" s="272">
        <f t="shared" si="0"/>
        <v>-9495.560000000001</v>
      </c>
      <c r="V40" s="272">
        <f t="shared" si="0"/>
        <v>-9495.560000000001</v>
      </c>
      <c r="W40" s="272">
        <f t="shared" si="0"/>
        <v>-9495.560000000001</v>
      </c>
      <c r="X40" s="272">
        <f t="shared" si="0"/>
        <v>-9495.560000000001</v>
      </c>
      <c r="Y40" s="272">
        <f t="shared" si="0"/>
        <v>-9495.560000000001</v>
      </c>
      <c r="Z40" s="272">
        <f t="shared" si="0"/>
        <v>-9495.560000000001</v>
      </c>
      <c r="AA40" s="272">
        <f t="shared" si="0"/>
        <v>-9495.560000000001</v>
      </c>
      <c r="AB40" s="272">
        <f t="shared" si="0"/>
        <v>-9495.560000000001</v>
      </c>
      <c r="AC40" s="272">
        <f t="shared" si="0"/>
        <v>-9495.560000000001</v>
      </c>
      <c r="AD40" s="272">
        <f t="shared" si="0"/>
        <v>-9495.560000000001</v>
      </c>
      <c r="AE40" s="272">
        <f t="shared" si="0"/>
        <v>-9495.560000000001</v>
      </c>
      <c r="AF40" s="272">
        <f t="shared" si="0"/>
        <v>-9495.560000000001</v>
      </c>
      <c r="AG40" s="272">
        <f t="shared" si="0"/>
        <v>-9495.560000000001</v>
      </c>
    </row>
    <row r="41" spans="1:33" ht="14.25">
      <c r="A41" s="282"/>
      <c r="B41" s="282"/>
      <c r="E41" s="303" t="s">
        <v>191</v>
      </c>
      <c r="F41" s="313">
        <f>13859.69-578.723-21166.539-416.406+14.361</f>
        <v>-8287.617</v>
      </c>
      <c r="G41" s="272">
        <f>F41</f>
        <v>-8287.617</v>
      </c>
      <c r="H41" s="272">
        <f>G41</f>
        <v>-8287.617</v>
      </c>
      <c r="I41" s="272">
        <f aca="true" t="shared" si="1" ref="I41:AG41">H41</f>
        <v>-8287.617</v>
      </c>
      <c r="J41" s="272">
        <f t="shared" si="1"/>
        <v>-8287.617</v>
      </c>
      <c r="K41" s="272">
        <f t="shared" si="1"/>
        <v>-8287.617</v>
      </c>
      <c r="L41" s="272">
        <f t="shared" si="1"/>
        <v>-8287.617</v>
      </c>
      <c r="M41" s="272">
        <f t="shared" si="1"/>
        <v>-8287.617</v>
      </c>
      <c r="N41" s="272">
        <f t="shared" si="1"/>
        <v>-8287.617</v>
      </c>
      <c r="O41" s="272">
        <f t="shared" si="1"/>
        <v>-8287.617</v>
      </c>
      <c r="P41" s="272">
        <f t="shared" si="1"/>
        <v>-8287.617</v>
      </c>
      <c r="Q41" s="272">
        <f t="shared" si="1"/>
        <v>-8287.617</v>
      </c>
      <c r="R41" s="272">
        <f t="shared" si="1"/>
        <v>-8287.617</v>
      </c>
      <c r="S41" s="272">
        <f t="shared" si="1"/>
        <v>-8287.617</v>
      </c>
      <c r="T41" s="272">
        <f t="shared" si="1"/>
        <v>-8287.617</v>
      </c>
      <c r="U41" s="272">
        <f t="shared" si="1"/>
        <v>-8287.617</v>
      </c>
      <c r="V41" s="272">
        <f t="shared" si="1"/>
        <v>-8287.617</v>
      </c>
      <c r="W41" s="272">
        <f t="shared" si="1"/>
        <v>-8287.617</v>
      </c>
      <c r="X41" s="272">
        <f t="shared" si="1"/>
        <v>-8287.617</v>
      </c>
      <c r="Y41" s="272">
        <f t="shared" si="1"/>
        <v>-8287.617</v>
      </c>
      <c r="Z41" s="272">
        <f t="shared" si="1"/>
        <v>-8287.617</v>
      </c>
      <c r="AA41" s="272">
        <f t="shared" si="1"/>
        <v>-8287.617</v>
      </c>
      <c r="AB41" s="272">
        <f t="shared" si="1"/>
        <v>-8287.617</v>
      </c>
      <c r="AC41" s="272">
        <f t="shared" si="1"/>
        <v>-8287.617</v>
      </c>
      <c r="AD41" s="272">
        <f t="shared" si="1"/>
        <v>-8287.617</v>
      </c>
      <c r="AE41" s="272">
        <f t="shared" si="1"/>
        <v>-8287.617</v>
      </c>
      <c r="AF41" s="272">
        <f t="shared" si="1"/>
        <v>-8287.617</v>
      </c>
      <c r="AG41" s="272">
        <f t="shared" si="1"/>
        <v>-8287.617</v>
      </c>
    </row>
    <row r="42" spans="1:33" ht="14.25">
      <c r="A42" s="310">
        <v>26.414</v>
      </c>
      <c r="B42" s="282"/>
      <c r="E42" s="303" t="s">
        <v>194</v>
      </c>
      <c r="F42" s="272"/>
      <c r="G42" s="272">
        <f>$A$42</f>
        <v>26.414</v>
      </c>
      <c r="H42" s="272">
        <f>$A$42+G42</f>
        <v>52.828</v>
      </c>
      <c r="I42" s="272">
        <f aca="true" t="shared" si="2" ref="I42:AG42">$A$42+H42</f>
        <v>79.242</v>
      </c>
      <c r="J42" s="272">
        <f t="shared" si="2"/>
        <v>105.656</v>
      </c>
      <c r="K42" s="272">
        <f t="shared" si="2"/>
        <v>132.07</v>
      </c>
      <c r="L42" s="272">
        <f t="shared" si="2"/>
        <v>158.48399999999998</v>
      </c>
      <c r="M42" s="272">
        <f t="shared" si="2"/>
        <v>184.89799999999997</v>
      </c>
      <c r="N42" s="272">
        <f t="shared" si="2"/>
        <v>211.31199999999995</v>
      </c>
      <c r="O42" s="272">
        <f t="shared" si="2"/>
        <v>237.72599999999994</v>
      </c>
      <c r="P42" s="272">
        <f t="shared" si="2"/>
        <v>264.13999999999993</v>
      </c>
      <c r="Q42" s="272">
        <f t="shared" si="2"/>
        <v>290.5539999999999</v>
      </c>
      <c r="R42" s="272">
        <f t="shared" si="2"/>
        <v>316.9679999999999</v>
      </c>
      <c r="S42" s="272">
        <f t="shared" si="2"/>
        <v>343.3819999999999</v>
      </c>
      <c r="T42" s="272">
        <f t="shared" si="2"/>
        <v>369.7959999999999</v>
      </c>
      <c r="U42" s="272">
        <f t="shared" si="2"/>
        <v>396.20999999999987</v>
      </c>
      <c r="V42" s="272">
        <f t="shared" si="2"/>
        <v>422.62399999999985</v>
      </c>
      <c r="W42" s="272">
        <f t="shared" si="2"/>
        <v>449.03799999999984</v>
      </c>
      <c r="X42" s="272">
        <f t="shared" si="2"/>
        <v>475.4519999999998</v>
      </c>
      <c r="Y42" s="272">
        <f t="shared" si="2"/>
        <v>501.8659999999998</v>
      </c>
      <c r="Z42" s="272">
        <f t="shared" si="2"/>
        <v>528.2799999999999</v>
      </c>
      <c r="AA42" s="272">
        <f t="shared" si="2"/>
        <v>554.6939999999998</v>
      </c>
      <c r="AB42" s="272">
        <f t="shared" si="2"/>
        <v>581.1079999999998</v>
      </c>
      <c r="AC42" s="272">
        <f t="shared" si="2"/>
        <v>607.5219999999998</v>
      </c>
      <c r="AD42" s="272">
        <f t="shared" si="2"/>
        <v>633.9359999999998</v>
      </c>
      <c r="AE42" s="272">
        <f t="shared" si="2"/>
        <v>660.3499999999998</v>
      </c>
      <c r="AF42" s="272">
        <f t="shared" si="2"/>
        <v>686.7639999999998</v>
      </c>
      <c r="AG42" s="272">
        <f t="shared" si="2"/>
        <v>713.1779999999998</v>
      </c>
    </row>
    <row r="43" spans="1:33" ht="14.25">
      <c r="A43" s="282"/>
      <c r="B43" s="282"/>
      <c r="E43" s="303" t="s">
        <v>192</v>
      </c>
      <c r="F43" s="311">
        <f aca="true" t="shared" si="3" ref="F43:AG43">SUM(F40:F42)</f>
        <v>-17783.177000000003</v>
      </c>
      <c r="G43" s="306">
        <f t="shared" si="3"/>
        <v>-17756.763000000003</v>
      </c>
      <c r="H43" s="306">
        <f t="shared" si="3"/>
        <v>-17730.349000000002</v>
      </c>
      <c r="I43" s="306">
        <f t="shared" si="3"/>
        <v>-17703.935000000005</v>
      </c>
      <c r="J43" s="306">
        <f t="shared" si="3"/>
        <v>-17677.521000000004</v>
      </c>
      <c r="K43" s="306">
        <f t="shared" si="3"/>
        <v>-17651.107000000004</v>
      </c>
      <c r="L43" s="306">
        <f t="shared" si="3"/>
        <v>-17624.693000000003</v>
      </c>
      <c r="M43" s="306">
        <f t="shared" si="3"/>
        <v>-17598.279000000002</v>
      </c>
      <c r="N43" s="306">
        <f t="shared" si="3"/>
        <v>-17571.865</v>
      </c>
      <c r="O43" s="306">
        <f t="shared" si="3"/>
        <v>-17545.451000000005</v>
      </c>
      <c r="P43" s="306">
        <f t="shared" si="3"/>
        <v>-17519.037000000004</v>
      </c>
      <c r="Q43" s="306">
        <f t="shared" si="3"/>
        <v>-17492.623000000003</v>
      </c>
      <c r="R43" s="306">
        <f t="shared" si="3"/>
        <v>-17466.209000000003</v>
      </c>
      <c r="S43" s="311">
        <f t="shared" si="3"/>
        <v>-17439.795000000002</v>
      </c>
      <c r="T43" s="311">
        <f t="shared" si="3"/>
        <v>-17413.381000000005</v>
      </c>
      <c r="U43" s="311">
        <f t="shared" si="3"/>
        <v>-17386.967000000004</v>
      </c>
      <c r="V43" s="311">
        <f t="shared" si="3"/>
        <v>-17360.553000000004</v>
      </c>
      <c r="W43" s="311">
        <f t="shared" si="3"/>
        <v>-17334.139000000003</v>
      </c>
      <c r="X43" s="311">
        <f t="shared" si="3"/>
        <v>-17307.725000000002</v>
      </c>
      <c r="Y43" s="311">
        <f t="shared" si="3"/>
        <v>-17281.311000000005</v>
      </c>
      <c r="Z43" s="311">
        <f t="shared" si="3"/>
        <v>-17254.897000000004</v>
      </c>
      <c r="AA43" s="311">
        <f t="shared" si="3"/>
        <v>-17228.483000000004</v>
      </c>
      <c r="AB43" s="311">
        <f t="shared" si="3"/>
        <v>-17202.069000000003</v>
      </c>
      <c r="AC43" s="311">
        <f t="shared" si="3"/>
        <v>-17175.655000000002</v>
      </c>
      <c r="AD43" s="311">
        <f t="shared" si="3"/>
        <v>-17149.241</v>
      </c>
      <c r="AE43" s="311">
        <f t="shared" si="3"/>
        <v>-17122.827000000005</v>
      </c>
      <c r="AF43" s="306">
        <f t="shared" si="3"/>
        <v>-17096.413000000004</v>
      </c>
      <c r="AG43" s="306">
        <f t="shared" si="3"/>
        <v>-17069.999000000003</v>
      </c>
    </row>
    <row r="44" spans="1:6" ht="14.25">
      <c r="A44" s="282"/>
      <c r="B44" s="282"/>
      <c r="E44" s="286"/>
      <c r="F44" s="272"/>
    </row>
    <row r="45" spans="1:33" ht="14.25">
      <c r="A45" s="282"/>
      <c r="B45" s="282"/>
      <c r="E45" s="307" t="s">
        <v>188</v>
      </c>
      <c r="F45" s="314">
        <v>-18928.099</v>
      </c>
      <c r="G45" s="312">
        <f>F45</f>
        <v>-18928.099</v>
      </c>
      <c r="H45" s="312">
        <f aca="true" t="shared" si="4" ref="H45:AG45">G45</f>
        <v>-18928.099</v>
      </c>
      <c r="I45" s="312">
        <f t="shared" si="4"/>
        <v>-18928.099</v>
      </c>
      <c r="J45" s="312">
        <f t="shared" si="4"/>
        <v>-18928.099</v>
      </c>
      <c r="K45" s="312">
        <f t="shared" si="4"/>
        <v>-18928.099</v>
      </c>
      <c r="L45" s="312">
        <f t="shared" si="4"/>
        <v>-18928.099</v>
      </c>
      <c r="M45" s="312">
        <f t="shared" si="4"/>
        <v>-18928.099</v>
      </c>
      <c r="N45" s="312">
        <f t="shared" si="4"/>
        <v>-18928.099</v>
      </c>
      <c r="O45" s="312">
        <f t="shared" si="4"/>
        <v>-18928.099</v>
      </c>
      <c r="P45" s="312">
        <f t="shared" si="4"/>
        <v>-18928.099</v>
      </c>
      <c r="Q45" s="312">
        <f t="shared" si="4"/>
        <v>-18928.099</v>
      </c>
      <c r="R45" s="312">
        <f t="shared" si="4"/>
        <v>-18928.099</v>
      </c>
      <c r="S45" s="276">
        <f t="shared" si="4"/>
        <v>-18928.099</v>
      </c>
      <c r="T45" s="276">
        <f t="shared" si="4"/>
        <v>-18928.099</v>
      </c>
      <c r="U45" s="276">
        <f t="shared" si="4"/>
        <v>-18928.099</v>
      </c>
      <c r="V45" s="276">
        <f t="shared" si="4"/>
        <v>-18928.099</v>
      </c>
      <c r="W45" s="276">
        <f t="shared" si="4"/>
        <v>-18928.099</v>
      </c>
      <c r="X45" s="276">
        <f t="shared" si="4"/>
        <v>-18928.099</v>
      </c>
      <c r="Y45" s="276">
        <f t="shared" si="4"/>
        <v>-18928.099</v>
      </c>
      <c r="Z45" s="276">
        <f t="shared" si="4"/>
        <v>-18928.099</v>
      </c>
      <c r="AA45" s="276">
        <f t="shared" si="4"/>
        <v>-18928.099</v>
      </c>
      <c r="AB45" s="276">
        <f t="shared" si="4"/>
        <v>-18928.099</v>
      </c>
      <c r="AC45" s="276">
        <f t="shared" si="4"/>
        <v>-18928.099</v>
      </c>
      <c r="AD45" s="276">
        <f t="shared" si="4"/>
        <v>-18928.099</v>
      </c>
      <c r="AE45" s="276">
        <f t="shared" si="4"/>
        <v>-18928.099</v>
      </c>
      <c r="AF45" s="312">
        <f t="shared" si="4"/>
        <v>-18928.099</v>
      </c>
      <c r="AG45" s="312">
        <f t="shared" si="4"/>
        <v>-18928.099</v>
      </c>
    </row>
    <row r="46" spans="1:2" ht="13.5" customHeight="1">
      <c r="A46" s="282"/>
      <c r="B46" s="282"/>
    </row>
    <row r="47" spans="1:32" ht="14.25">
      <c r="A47" s="282"/>
      <c r="B47" s="282"/>
      <c r="S47" s="305"/>
      <c r="T47" s="305"/>
      <c r="U47" s="305"/>
      <c r="V47" s="305"/>
      <c r="W47" s="305"/>
      <c r="X47" s="305"/>
      <c r="Y47" s="305"/>
      <c r="Z47" s="305"/>
      <c r="AA47" s="305"/>
      <c r="AB47" s="305"/>
      <c r="AC47" s="305"/>
      <c r="AD47" s="305"/>
      <c r="AE47" s="305"/>
      <c r="AF47" s="305"/>
    </row>
    <row r="48" spans="1:2" ht="12.75">
      <c r="A48" s="283"/>
      <c r="B48" s="283"/>
    </row>
    <row r="49" spans="1:2" ht="12.75">
      <c r="A49" s="283"/>
      <c r="B49" s="283"/>
    </row>
    <row r="50" spans="1:2" ht="12.75">
      <c r="A50" s="283"/>
      <c r="B50" s="283"/>
    </row>
  </sheetData>
  <sheetProtection/>
  <mergeCells count="4">
    <mergeCell ref="A2:B2"/>
    <mergeCell ref="A3:B3"/>
    <mergeCell ref="A4:B4"/>
    <mergeCell ref="A5:B5"/>
  </mergeCells>
  <printOptions horizontalCentered="1"/>
  <pageMargins left="0.25" right="0.25" top="0.7" bottom="1" header="0.5" footer="0.5"/>
  <pageSetup fitToHeight="1" fitToWidth="1" horizontalDpi="600" verticalDpi="600" orientation="portrait" r:id="rId3"/>
  <headerFooter alignWithMargins="0">
    <oddFooter>&amp;R&amp;8H:\PUGET SOUND ENERGY\Common Equity for Treasury\2006 Common Equity for Treasury.xls
</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45"/>
  <sheetViews>
    <sheetView zoomScalePageLayoutView="0" workbookViewId="0" topLeftCell="A25">
      <selection activeCell="I53" sqref="I53"/>
    </sheetView>
  </sheetViews>
  <sheetFormatPr defaultColWidth="9.140625" defaultRowHeight="12"/>
  <cols>
    <col min="1" max="1" width="4.7109375" style="167" customWidth="1"/>
    <col min="2" max="2" width="24.28125" style="167" customWidth="1"/>
    <col min="3" max="3" width="8.00390625" style="167" customWidth="1"/>
    <col min="4" max="5" width="8.421875" style="167" customWidth="1"/>
    <col min="6" max="7" width="8.140625" style="167" customWidth="1"/>
    <col min="8" max="10" width="8.28125" style="167" customWidth="1"/>
    <col min="11" max="12" width="8.421875" style="167" customWidth="1"/>
    <col min="13" max="13" width="8.28125" style="167" customWidth="1"/>
    <col min="14" max="14" width="8.140625" style="167" customWidth="1"/>
    <col min="15" max="15" width="8.28125" style="167" customWidth="1"/>
    <col min="16" max="16" width="9.421875" style="167" customWidth="1"/>
    <col min="17" max="17" width="8.8515625" style="167" customWidth="1"/>
    <col min="18" max="16384" width="9.140625" style="167" customWidth="1"/>
  </cols>
  <sheetData>
    <row r="1" spans="1:16" ht="12">
      <c r="A1" s="178"/>
      <c r="B1" s="24" t="s">
        <v>19</v>
      </c>
      <c r="C1" s="116"/>
      <c r="D1" s="116"/>
      <c r="E1" s="116"/>
      <c r="F1" s="116"/>
      <c r="G1" s="116"/>
      <c r="H1" s="179"/>
      <c r="I1" s="178"/>
      <c r="J1" s="178"/>
      <c r="K1" s="178"/>
      <c r="L1" s="178"/>
      <c r="M1" s="178"/>
      <c r="N1" s="178"/>
      <c r="O1" s="178"/>
      <c r="P1" s="178"/>
    </row>
    <row r="2" spans="1:16" ht="12">
      <c r="A2" s="178"/>
      <c r="B2" s="180" t="s">
        <v>110</v>
      </c>
      <c r="C2" s="179"/>
      <c r="D2" s="178"/>
      <c r="E2" s="178"/>
      <c r="F2" s="178"/>
      <c r="G2" s="179"/>
      <c r="H2" s="179"/>
      <c r="I2" s="181"/>
      <c r="J2" s="178"/>
      <c r="K2" s="178"/>
      <c r="L2" s="178"/>
      <c r="M2" s="178"/>
      <c r="N2" s="178"/>
      <c r="O2" s="178"/>
      <c r="P2" s="178"/>
    </row>
    <row r="3" spans="1:16" ht="15">
      <c r="A3" s="178"/>
      <c r="B3" s="180" t="e">
        <f>#REF!</f>
        <v>#REF!</v>
      </c>
      <c r="C3" s="182"/>
      <c r="D3" s="178"/>
      <c r="E3" s="178"/>
      <c r="F3" s="178"/>
      <c r="G3" s="337" t="s">
        <v>198</v>
      </c>
      <c r="H3" s="178"/>
      <c r="I3" s="178"/>
      <c r="J3" s="178"/>
      <c r="K3" s="178"/>
      <c r="L3" s="178"/>
      <c r="M3" s="178"/>
      <c r="N3" s="178"/>
      <c r="O3" s="178"/>
      <c r="P3" s="178"/>
    </row>
    <row r="4" spans="1:16" ht="12">
      <c r="A4" s="178"/>
      <c r="B4" s="179"/>
      <c r="C4" s="182"/>
      <c r="D4" s="178"/>
      <c r="E4" s="178"/>
      <c r="F4" s="178"/>
      <c r="G4" s="178"/>
      <c r="H4" s="178"/>
      <c r="I4" s="178"/>
      <c r="J4" s="178"/>
      <c r="K4" s="178"/>
      <c r="L4" s="178"/>
      <c r="M4" s="178"/>
      <c r="N4" s="178"/>
      <c r="O4" s="178"/>
      <c r="P4" s="178"/>
    </row>
    <row r="5" spans="1:16" ht="12">
      <c r="A5" s="183">
        <v>1</v>
      </c>
      <c r="B5" s="184" t="s">
        <v>2</v>
      </c>
      <c r="C5" s="184" t="s">
        <v>20</v>
      </c>
      <c r="D5" s="184" t="s">
        <v>33</v>
      </c>
      <c r="E5" s="184" t="s">
        <v>44</v>
      </c>
      <c r="F5" s="184" t="s">
        <v>45</v>
      </c>
      <c r="G5" s="184" t="s">
        <v>46</v>
      </c>
      <c r="H5" s="184" t="s">
        <v>47</v>
      </c>
      <c r="I5" s="184" t="s">
        <v>48</v>
      </c>
      <c r="J5" s="184" t="s">
        <v>49</v>
      </c>
      <c r="K5" s="184" t="s">
        <v>55</v>
      </c>
      <c r="L5" s="184" t="s">
        <v>56</v>
      </c>
      <c r="M5" s="184" t="s">
        <v>57</v>
      </c>
      <c r="N5" s="184" t="s">
        <v>58</v>
      </c>
      <c r="O5" s="184" t="s">
        <v>59</v>
      </c>
      <c r="P5" s="184" t="s">
        <v>60</v>
      </c>
    </row>
    <row r="6" spans="1:16" ht="12">
      <c r="A6" s="183">
        <f>+A5+1</f>
        <v>2</v>
      </c>
      <c r="B6" s="178"/>
      <c r="C6" s="185" t="e">
        <v>#REF!</v>
      </c>
      <c r="D6" s="185" t="e">
        <v>#REF!</v>
      </c>
      <c r="E6" s="185" t="e">
        <v>#REF!</v>
      </c>
      <c r="F6" s="185" t="e">
        <v>#REF!</v>
      </c>
      <c r="G6" s="185" t="e">
        <v>#REF!</v>
      </c>
      <c r="H6" s="185" t="e">
        <v>#REF!</v>
      </c>
      <c r="I6" s="185" t="e">
        <v>#REF!</v>
      </c>
      <c r="J6" s="185" t="e">
        <v>#REF!</v>
      </c>
      <c r="K6" s="185" t="e">
        <v>#REF!</v>
      </c>
      <c r="L6" s="185" t="e">
        <v>#REF!</v>
      </c>
      <c r="M6" s="185" t="e">
        <v>#REF!</v>
      </c>
      <c r="N6" s="185" t="e">
        <v>#REF!</v>
      </c>
      <c r="O6" s="185" t="e">
        <v>#REF!</v>
      </c>
      <c r="P6" s="186" t="s">
        <v>142</v>
      </c>
    </row>
    <row r="7" spans="1:16" ht="12">
      <c r="A7" s="183">
        <f aca="true" t="shared" si="0" ref="A7:A38">+A6+1</f>
        <v>3</v>
      </c>
      <c r="B7" s="115" t="s">
        <v>77</v>
      </c>
      <c r="C7" s="222">
        <v>200000</v>
      </c>
      <c r="D7" s="222">
        <v>200000</v>
      </c>
      <c r="E7" s="222">
        <v>200000</v>
      </c>
      <c r="F7" s="222">
        <v>200000</v>
      </c>
      <c r="G7" s="222">
        <v>200000</v>
      </c>
      <c r="H7" s="222">
        <v>200000</v>
      </c>
      <c r="I7" s="222">
        <v>200000</v>
      </c>
      <c r="J7" s="222">
        <v>200000</v>
      </c>
      <c r="K7" s="222">
        <v>200000</v>
      </c>
      <c r="L7" s="222">
        <v>197000</v>
      </c>
      <c r="M7" s="222">
        <v>179000</v>
      </c>
      <c r="N7" s="222">
        <v>200000</v>
      </c>
      <c r="O7" s="222">
        <v>200000</v>
      </c>
      <c r="P7" s="242" t="s">
        <v>143</v>
      </c>
    </row>
    <row r="8" spans="1:16" ht="12">
      <c r="A8" s="183">
        <f t="shared" si="0"/>
        <v>4</v>
      </c>
      <c r="B8" s="146"/>
      <c r="C8" s="187"/>
      <c r="D8" s="187"/>
      <c r="E8" s="187"/>
      <c r="F8" s="187"/>
      <c r="G8" s="187"/>
      <c r="H8" s="187"/>
      <c r="I8" s="187"/>
      <c r="J8" s="187"/>
      <c r="K8" s="187"/>
      <c r="L8" s="187"/>
      <c r="M8" s="187"/>
      <c r="N8" s="187"/>
      <c r="O8" s="187"/>
      <c r="P8" s="146"/>
    </row>
    <row r="9" spans="1:16" ht="12">
      <c r="A9" s="183">
        <f t="shared" si="0"/>
        <v>5</v>
      </c>
      <c r="B9" s="146" t="s">
        <v>78</v>
      </c>
      <c r="C9" s="115" t="e">
        <v>#REF!</v>
      </c>
      <c r="D9" s="115" t="e">
        <v>#REF!</v>
      </c>
      <c r="E9" s="115" t="e">
        <v>#REF!</v>
      </c>
      <c r="F9" s="115" t="e">
        <v>#REF!</v>
      </c>
      <c r="G9" s="115" t="e">
        <v>#REF!</v>
      </c>
      <c r="H9" s="115" t="e">
        <v>#REF!</v>
      </c>
      <c r="I9" s="115" t="e">
        <v>#REF!</v>
      </c>
      <c r="J9" s="115" t="e">
        <v>#REF!</v>
      </c>
      <c r="K9" s="115" t="e">
        <v>#REF!</v>
      </c>
      <c r="L9" s="115" t="e">
        <v>#REF!</v>
      </c>
      <c r="M9" s="115" t="e">
        <v>#REF!</v>
      </c>
      <c r="N9" s="115" t="e">
        <v>#REF!</v>
      </c>
      <c r="O9" s="115" t="e">
        <v>#REF!</v>
      </c>
      <c r="P9" s="115" t="e">
        <f>ROUND(((C9+O9)+(SUM(D9:N9)*2))/24,3)</f>
        <v>#REF!</v>
      </c>
    </row>
    <row r="10" spans="1:16" ht="12">
      <c r="A10" s="183">
        <f t="shared" si="0"/>
        <v>6</v>
      </c>
      <c r="B10" s="146" t="s">
        <v>139</v>
      </c>
      <c r="C10" s="244" t="e">
        <v>#REF!</v>
      </c>
      <c r="D10" s="244" t="e">
        <v>#REF!</v>
      </c>
      <c r="E10" s="244" t="e">
        <v>#REF!</v>
      </c>
      <c r="F10" s="244" t="e">
        <v>#REF!</v>
      </c>
      <c r="G10" s="244" t="e">
        <v>#REF!</v>
      </c>
      <c r="H10" s="244" t="e">
        <v>#REF!</v>
      </c>
      <c r="I10" s="244" t="e">
        <v>#REF!</v>
      </c>
      <c r="J10" s="244" t="e">
        <v>#REF!</v>
      </c>
      <c r="K10" s="244" t="e">
        <v>#REF!</v>
      </c>
      <c r="L10" s="244" t="e">
        <v>#REF!</v>
      </c>
      <c r="M10" s="244" t="e">
        <v>#REF!</v>
      </c>
      <c r="N10" s="244" t="e">
        <v>#REF!</v>
      </c>
      <c r="O10" s="244" t="e">
        <v>#REF!</v>
      </c>
      <c r="P10" s="115" t="e">
        <f>ROUND(((C10+O10)+(SUM(D10:N10)*2))/24,3)</f>
        <v>#REF!</v>
      </c>
    </row>
    <row r="11" spans="1:16" ht="12">
      <c r="A11" s="183">
        <f t="shared" si="0"/>
        <v>7</v>
      </c>
      <c r="B11" s="146" t="s">
        <v>140</v>
      </c>
      <c r="C11" s="226" t="e">
        <f>SUM(C9:C10)</f>
        <v>#REF!</v>
      </c>
      <c r="D11" s="226" t="e">
        <f aca="true" t="shared" si="1" ref="D11:O11">SUM(D9:D10)</f>
        <v>#REF!</v>
      </c>
      <c r="E11" s="226" t="e">
        <f t="shared" si="1"/>
        <v>#REF!</v>
      </c>
      <c r="F11" s="226" t="e">
        <f t="shared" si="1"/>
        <v>#REF!</v>
      </c>
      <c r="G11" s="226" t="e">
        <f t="shared" si="1"/>
        <v>#REF!</v>
      </c>
      <c r="H11" s="226" t="e">
        <f t="shared" si="1"/>
        <v>#REF!</v>
      </c>
      <c r="I11" s="226" t="e">
        <f t="shared" si="1"/>
        <v>#REF!</v>
      </c>
      <c r="J11" s="226" t="e">
        <f t="shared" si="1"/>
        <v>#REF!</v>
      </c>
      <c r="K11" s="226" t="e">
        <f t="shared" si="1"/>
        <v>#REF!</v>
      </c>
      <c r="L11" s="226" t="e">
        <f t="shared" si="1"/>
        <v>#REF!</v>
      </c>
      <c r="M11" s="226" t="e">
        <f t="shared" si="1"/>
        <v>#REF!</v>
      </c>
      <c r="N11" s="226" t="e">
        <f t="shared" si="1"/>
        <v>#REF!</v>
      </c>
      <c r="O11" s="226" t="e">
        <f t="shared" si="1"/>
        <v>#REF!</v>
      </c>
      <c r="P11" s="226" t="e">
        <f>ROUND(((C11+O11)+(SUM(D11:N11)*2))/24,3)</f>
        <v>#REF!</v>
      </c>
    </row>
    <row r="12" spans="1:16" ht="12">
      <c r="A12" s="183">
        <f t="shared" si="0"/>
        <v>8</v>
      </c>
      <c r="B12" s="188"/>
      <c r="C12" s="188"/>
      <c r="D12" s="188"/>
      <c r="E12" s="188"/>
      <c r="F12" s="188"/>
      <c r="G12" s="188"/>
      <c r="H12" s="188"/>
      <c r="I12" s="188"/>
      <c r="J12" s="188"/>
      <c r="K12" s="188"/>
      <c r="L12" s="188"/>
      <c r="M12" s="188"/>
      <c r="N12" s="188"/>
      <c r="O12" s="188"/>
      <c r="P12" s="245"/>
    </row>
    <row r="13" spans="1:15" ht="12">
      <c r="A13" s="183">
        <f t="shared" si="0"/>
        <v>9</v>
      </c>
      <c r="B13" s="146" t="s">
        <v>141</v>
      </c>
      <c r="C13" s="146"/>
      <c r="D13" s="146"/>
      <c r="E13" s="146"/>
      <c r="F13" s="146"/>
      <c r="G13" s="146"/>
      <c r="H13" s="146"/>
      <c r="I13" s="146"/>
      <c r="J13" s="146"/>
      <c r="K13" s="146"/>
      <c r="L13" s="146"/>
      <c r="M13" s="146"/>
      <c r="N13" s="146"/>
      <c r="O13" s="146"/>
    </row>
    <row r="14" spans="1:16" ht="12">
      <c r="A14" s="183">
        <f t="shared" si="0"/>
        <v>10</v>
      </c>
      <c r="B14" s="225" t="s">
        <v>28</v>
      </c>
      <c r="C14" s="115" t="e">
        <f>IF(C11&gt;100000,100000,C11)</f>
        <v>#REF!</v>
      </c>
      <c r="D14" s="115" t="e">
        <f aca="true" t="shared" si="2" ref="D14:O14">IF(D11&gt;100000,100000,D11)</f>
        <v>#REF!</v>
      </c>
      <c r="E14" s="115" t="e">
        <f t="shared" si="2"/>
        <v>#REF!</v>
      </c>
      <c r="F14" s="115" t="e">
        <f t="shared" si="2"/>
        <v>#REF!</v>
      </c>
      <c r="G14" s="115" t="e">
        <f t="shared" si="2"/>
        <v>#REF!</v>
      </c>
      <c r="H14" s="115" t="e">
        <f t="shared" si="2"/>
        <v>#REF!</v>
      </c>
      <c r="I14" s="115" t="e">
        <f t="shared" si="2"/>
        <v>#REF!</v>
      </c>
      <c r="J14" s="115" t="e">
        <f t="shared" si="2"/>
        <v>#REF!</v>
      </c>
      <c r="K14" s="115" t="e">
        <f t="shared" si="2"/>
        <v>#REF!</v>
      </c>
      <c r="L14" s="115" t="e">
        <f t="shared" si="2"/>
        <v>#REF!</v>
      </c>
      <c r="M14" s="115" t="e">
        <f t="shared" si="2"/>
        <v>#REF!</v>
      </c>
      <c r="N14" s="115" t="e">
        <f t="shared" si="2"/>
        <v>#REF!</v>
      </c>
      <c r="O14" s="115" t="e">
        <f t="shared" si="2"/>
        <v>#REF!</v>
      </c>
      <c r="P14" s="244" t="e">
        <f>ROUND(((C14+O14)+(SUM(D14:N14)*2))/24,3)</f>
        <v>#REF!</v>
      </c>
    </row>
    <row r="15" spans="1:16" ht="12">
      <c r="A15" s="183">
        <f t="shared" si="0"/>
        <v>11</v>
      </c>
      <c r="B15" s="225" t="s">
        <v>113</v>
      </c>
      <c r="C15" s="115" t="e">
        <f aca="true" t="shared" si="3" ref="C15:O15">IF(C11&lt;(C14+C17),0,(C11-(C14+C17)))</f>
        <v>#REF!</v>
      </c>
      <c r="D15" s="115" t="e">
        <f t="shared" si="3"/>
        <v>#REF!</v>
      </c>
      <c r="E15" s="115" t="e">
        <f t="shared" si="3"/>
        <v>#REF!</v>
      </c>
      <c r="F15" s="115" t="e">
        <f t="shared" si="3"/>
        <v>#REF!</v>
      </c>
      <c r="G15" s="115" t="e">
        <f t="shared" si="3"/>
        <v>#REF!</v>
      </c>
      <c r="H15" s="115" t="e">
        <f t="shared" si="3"/>
        <v>#REF!</v>
      </c>
      <c r="I15" s="115" t="e">
        <f t="shared" si="3"/>
        <v>#REF!</v>
      </c>
      <c r="J15" s="115" t="e">
        <f t="shared" si="3"/>
        <v>#REF!</v>
      </c>
      <c r="K15" s="115" t="e">
        <f t="shared" si="3"/>
        <v>#REF!</v>
      </c>
      <c r="L15" s="115" t="e">
        <f t="shared" si="3"/>
        <v>#REF!</v>
      </c>
      <c r="M15" s="115" t="e">
        <f t="shared" si="3"/>
        <v>#REF!</v>
      </c>
      <c r="N15" s="115" t="e">
        <f t="shared" si="3"/>
        <v>#REF!</v>
      </c>
      <c r="O15" s="115" t="e">
        <f t="shared" si="3"/>
        <v>#REF!</v>
      </c>
      <c r="P15" s="244" t="e">
        <f>ROUND(((C15+O15)+(SUM(D15:N15)*2))/24,3)</f>
        <v>#REF!</v>
      </c>
    </row>
    <row r="16" spans="1:16" ht="12">
      <c r="A16" s="183">
        <f t="shared" si="0"/>
        <v>12</v>
      </c>
      <c r="B16" s="146" t="s">
        <v>115</v>
      </c>
      <c r="C16" s="226" t="e">
        <f>SUM(C14:C15)</f>
        <v>#REF!</v>
      </c>
      <c r="D16" s="226" t="e">
        <f aca="true" t="shared" si="4" ref="D16:O16">SUM(D14:D15)</f>
        <v>#REF!</v>
      </c>
      <c r="E16" s="226" t="e">
        <f t="shared" si="4"/>
        <v>#REF!</v>
      </c>
      <c r="F16" s="226" t="e">
        <f t="shared" si="4"/>
        <v>#REF!</v>
      </c>
      <c r="G16" s="226" t="e">
        <f t="shared" si="4"/>
        <v>#REF!</v>
      </c>
      <c r="H16" s="226" t="e">
        <f t="shared" si="4"/>
        <v>#REF!</v>
      </c>
      <c r="I16" s="226" t="e">
        <f t="shared" si="4"/>
        <v>#REF!</v>
      </c>
      <c r="J16" s="226" t="e">
        <f t="shared" si="4"/>
        <v>#REF!</v>
      </c>
      <c r="K16" s="226" t="e">
        <f t="shared" si="4"/>
        <v>#REF!</v>
      </c>
      <c r="L16" s="226" t="e">
        <f t="shared" si="4"/>
        <v>#REF!</v>
      </c>
      <c r="M16" s="226" t="e">
        <f t="shared" si="4"/>
        <v>#REF!</v>
      </c>
      <c r="N16" s="226" t="e">
        <f t="shared" si="4"/>
        <v>#REF!</v>
      </c>
      <c r="O16" s="226" t="e">
        <f t="shared" si="4"/>
        <v>#REF!</v>
      </c>
      <c r="P16" s="330" t="e">
        <f>ROUND(((C16+O16)+(SUM(D16:N16)*2))/24,3)</f>
        <v>#REF!</v>
      </c>
    </row>
    <row r="17" spans="1:16" ht="12">
      <c r="A17" s="183">
        <f t="shared" si="0"/>
        <v>13</v>
      </c>
      <c r="B17" s="146" t="s">
        <v>32</v>
      </c>
      <c r="C17" s="244" t="e">
        <f aca="true" t="shared" si="5" ref="C17:O17">IF(C11-C14&lt;=0,0,IF(C11-C14&lt;=C7,C11-C14,C7))</f>
        <v>#REF!</v>
      </c>
      <c r="D17" s="244" t="e">
        <f t="shared" si="5"/>
        <v>#REF!</v>
      </c>
      <c r="E17" s="244" t="e">
        <f t="shared" si="5"/>
        <v>#REF!</v>
      </c>
      <c r="F17" s="244" t="e">
        <f t="shared" si="5"/>
        <v>#REF!</v>
      </c>
      <c r="G17" s="244" t="e">
        <f t="shared" si="5"/>
        <v>#REF!</v>
      </c>
      <c r="H17" s="244" t="e">
        <f t="shared" si="5"/>
        <v>#REF!</v>
      </c>
      <c r="I17" s="244" t="e">
        <f t="shared" si="5"/>
        <v>#REF!</v>
      </c>
      <c r="J17" s="244" t="e">
        <f t="shared" si="5"/>
        <v>#REF!</v>
      </c>
      <c r="K17" s="244" t="e">
        <f t="shared" si="5"/>
        <v>#REF!</v>
      </c>
      <c r="L17" s="244" t="e">
        <f t="shared" si="5"/>
        <v>#REF!</v>
      </c>
      <c r="M17" s="244" t="e">
        <f t="shared" si="5"/>
        <v>#REF!</v>
      </c>
      <c r="N17" s="244" t="e">
        <f t="shared" si="5"/>
        <v>#REF!</v>
      </c>
      <c r="O17" s="244" t="e">
        <f t="shared" si="5"/>
        <v>#REF!</v>
      </c>
      <c r="P17" s="324" t="e">
        <f>ROUND(((C17+O17)+(SUM(D17:N17)*2))/24,3)</f>
        <v>#REF!</v>
      </c>
    </row>
    <row r="18" spans="1:17" ht="12.75" thickBot="1">
      <c r="A18" s="183">
        <f t="shared" si="0"/>
        <v>14</v>
      </c>
      <c r="B18" s="146" t="s">
        <v>116</v>
      </c>
      <c r="C18" s="329" t="e">
        <f>SUM(C16:C17)</f>
        <v>#REF!</v>
      </c>
      <c r="D18" s="329" t="e">
        <f aca="true" t="shared" si="6" ref="D18:O18">SUM(D16:D17)</f>
        <v>#REF!</v>
      </c>
      <c r="E18" s="329" t="e">
        <f t="shared" si="6"/>
        <v>#REF!</v>
      </c>
      <c r="F18" s="329" t="e">
        <f t="shared" si="6"/>
        <v>#REF!</v>
      </c>
      <c r="G18" s="329" t="e">
        <f t="shared" si="6"/>
        <v>#REF!</v>
      </c>
      <c r="H18" s="329" t="e">
        <f t="shared" si="6"/>
        <v>#REF!</v>
      </c>
      <c r="I18" s="329" t="e">
        <f t="shared" si="6"/>
        <v>#REF!</v>
      </c>
      <c r="J18" s="329" t="e">
        <f t="shared" si="6"/>
        <v>#REF!</v>
      </c>
      <c r="K18" s="329" t="e">
        <f t="shared" si="6"/>
        <v>#REF!</v>
      </c>
      <c r="L18" s="329" t="e">
        <f t="shared" si="6"/>
        <v>#REF!</v>
      </c>
      <c r="M18" s="329" t="e">
        <f t="shared" si="6"/>
        <v>#REF!</v>
      </c>
      <c r="N18" s="329" t="e">
        <f t="shared" si="6"/>
        <v>#REF!</v>
      </c>
      <c r="O18" s="329" t="e">
        <f t="shared" si="6"/>
        <v>#REF!</v>
      </c>
      <c r="P18" s="331" t="e">
        <f>ROUND(((C18+O18)+(SUM(D18:N18)*2))/24,3)</f>
        <v>#REF!</v>
      </c>
      <c r="Q18" s="246" t="e">
        <f>ROUND(P18,0)-'ATTCHMENT C_Cost of Capital '!C30</f>
        <v>#REF!</v>
      </c>
    </row>
    <row r="19" spans="1:16" ht="13.5" thickTop="1">
      <c r="A19" s="183">
        <f t="shared" si="0"/>
        <v>15</v>
      </c>
      <c r="B19" s="146"/>
      <c r="C19" s="188"/>
      <c r="D19" s="187"/>
      <c r="E19" s="187"/>
      <c r="F19" s="187"/>
      <c r="G19" s="187"/>
      <c r="H19" s="187"/>
      <c r="I19" s="187"/>
      <c r="J19" s="187"/>
      <c r="K19" s="187"/>
      <c r="L19" s="187"/>
      <c r="M19" s="187"/>
      <c r="N19" s="187"/>
      <c r="O19" s="187"/>
      <c r="P19" s="325" t="e">
        <f>IF(Q18&lt;&gt;0,"STD Debt Does Not Match Summary Page","")</f>
        <v>#REF!</v>
      </c>
    </row>
    <row r="20" spans="1:16" ht="12">
      <c r="A20" s="183">
        <f t="shared" si="0"/>
        <v>16</v>
      </c>
      <c r="B20" s="146" t="s">
        <v>99</v>
      </c>
      <c r="C20" s="115" t="e">
        <f aca="true" t="shared" si="7" ref="C20:O20">+C7-C17</f>
        <v>#REF!</v>
      </c>
      <c r="D20" s="115" t="e">
        <f t="shared" si="7"/>
        <v>#REF!</v>
      </c>
      <c r="E20" s="115" t="e">
        <f t="shared" si="7"/>
        <v>#REF!</v>
      </c>
      <c r="F20" s="115" t="e">
        <f t="shared" si="7"/>
        <v>#REF!</v>
      </c>
      <c r="G20" s="115" t="e">
        <f t="shared" si="7"/>
        <v>#REF!</v>
      </c>
      <c r="H20" s="115" t="e">
        <f t="shared" si="7"/>
        <v>#REF!</v>
      </c>
      <c r="I20" s="115" t="e">
        <f t="shared" si="7"/>
        <v>#REF!</v>
      </c>
      <c r="J20" s="115" t="e">
        <f t="shared" si="7"/>
        <v>#REF!</v>
      </c>
      <c r="K20" s="115" t="e">
        <f t="shared" si="7"/>
        <v>#REF!</v>
      </c>
      <c r="L20" s="115" t="e">
        <f t="shared" si="7"/>
        <v>#REF!</v>
      </c>
      <c r="M20" s="115" t="e">
        <f t="shared" si="7"/>
        <v>#REF!</v>
      </c>
      <c r="N20" s="115" t="e">
        <f t="shared" si="7"/>
        <v>#REF!</v>
      </c>
      <c r="O20" s="115" t="e">
        <f t="shared" si="7"/>
        <v>#REF!</v>
      </c>
      <c r="P20" s="146"/>
    </row>
    <row r="21" spans="1:16" ht="12">
      <c r="A21" s="183">
        <f t="shared" si="0"/>
        <v>17</v>
      </c>
      <c r="B21" s="178"/>
      <c r="C21" s="189"/>
      <c r="D21" s="189"/>
      <c r="E21" s="189"/>
      <c r="F21" s="189"/>
      <c r="G21" s="189"/>
      <c r="H21" s="189"/>
      <c r="I21" s="189"/>
      <c r="J21" s="189"/>
      <c r="K21" s="189"/>
      <c r="L21" s="189"/>
      <c r="M21" s="189"/>
      <c r="N21" s="189"/>
      <c r="O21" s="189"/>
      <c r="P21" s="178"/>
    </row>
    <row r="22" spans="1:17" ht="12">
      <c r="A22" s="183">
        <f>+A21+1</f>
        <v>18</v>
      </c>
      <c r="B22" s="146" t="s">
        <v>69</v>
      </c>
      <c r="C22" s="146"/>
      <c r="D22" s="146" t="e">
        <f aca="true" t="shared" si="8" ref="D22:I22">+D6-C6</f>
        <v>#REF!</v>
      </c>
      <c r="E22" s="146" t="e">
        <f t="shared" si="8"/>
        <v>#REF!</v>
      </c>
      <c r="F22" s="146" t="e">
        <f t="shared" si="8"/>
        <v>#REF!</v>
      </c>
      <c r="G22" s="146" t="e">
        <f t="shared" si="8"/>
        <v>#REF!</v>
      </c>
      <c r="H22" s="146" t="e">
        <f t="shared" si="8"/>
        <v>#REF!</v>
      </c>
      <c r="I22" s="146" t="e">
        <f t="shared" si="8"/>
        <v>#REF!</v>
      </c>
      <c r="J22" s="146" t="e">
        <f aca="true" t="shared" si="9" ref="J22:O22">+J6-I6</f>
        <v>#REF!</v>
      </c>
      <c r="K22" s="146" t="e">
        <f t="shared" si="9"/>
        <v>#REF!</v>
      </c>
      <c r="L22" s="146" t="e">
        <f t="shared" si="9"/>
        <v>#REF!</v>
      </c>
      <c r="M22" s="146" t="e">
        <f t="shared" si="9"/>
        <v>#REF!</v>
      </c>
      <c r="N22" s="146" t="e">
        <f t="shared" si="9"/>
        <v>#REF!</v>
      </c>
      <c r="O22" s="146" t="e">
        <f t="shared" si="9"/>
        <v>#REF!</v>
      </c>
      <c r="P22" s="146" t="e">
        <f>SUM(C22:O22)</f>
        <v>#REF!</v>
      </c>
      <c r="Q22" s="188"/>
    </row>
    <row r="23" spans="1:16" ht="12">
      <c r="A23" s="183">
        <f>+A22+1</f>
        <v>19</v>
      </c>
      <c r="B23" s="178"/>
      <c r="C23" s="178"/>
      <c r="D23" s="178"/>
      <c r="E23" s="178"/>
      <c r="F23" s="178"/>
      <c r="G23" s="178"/>
      <c r="H23" s="178"/>
      <c r="I23" s="178"/>
      <c r="J23" s="178"/>
      <c r="K23" s="178"/>
      <c r="L23" s="178"/>
      <c r="M23" s="178"/>
      <c r="N23" s="178"/>
      <c r="O23" s="178"/>
      <c r="P23" s="178"/>
    </row>
    <row r="24" spans="1:17" ht="12">
      <c r="A24" s="183">
        <f t="shared" si="0"/>
        <v>20</v>
      </c>
      <c r="B24" s="243" t="s">
        <v>144</v>
      </c>
      <c r="C24" s="146"/>
      <c r="D24" s="146" t="e">
        <f>AVERAGE(C16:D16)*(D30*D22/360)*1000</f>
        <v>#REF!</v>
      </c>
      <c r="E24" s="146" t="e">
        <f aca="true" t="shared" si="10" ref="E24:O24">AVERAGE(D16:E16)*(E30*E22/360)*1000</f>
        <v>#REF!</v>
      </c>
      <c r="F24" s="146" t="e">
        <f t="shared" si="10"/>
        <v>#REF!</v>
      </c>
      <c r="G24" s="146" t="e">
        <f t="shared" si="10"/>
        <v>#REF!</v>
      </c>
      <c r="H24" s="146" t="e">
        <f t="shared" si="10"/>
        <v>#REF!</v>
      </c>
      <c r="I24" s="146" t="e">
        <f t="shared" si="10"/>
        <v>#REF!</v>
      </c>
      <c r="J24" s="146" t="e">
        <f t="shared" si="10"/>
        <v>#REF!</v>
      </c>
      <c r="K24" s="146" t="e">
        <f t="shared" si="10"/>
        <v>#REF!</v>
      </c>
      <c r="L24" s="146" t="e">
        <f t="shared" si="10"/>
        <v>#REF!</v>
      </c>
      <c r="M24" s="146" t="e">
        <f t="shared" si="10"/>
        <v>#REF!</v>
      </c>
      <c r="N24" s="146" t="e">
        <f t="shared" si="10"/>
        <v>#REF!</v>
      </c>
      <c r="O24" s="146" t="e">
        <f t="shared" si="10"/>
        <v>#REF!</v>
      </c>
      <c r="P24" s="195" t="e">
        <f>SUM(C24:O24)</f>
        <v>#REF!</v>
      </c>
      <c r="Q24" s="146"/>
    </row>
    <row r="25" spans="1:16" ht="12">
      <c r="A25" s="183">
        <f t="shared" si="0"/>
        <v>21</v>
      </c>
      <c r="B25" s="195" t="s">
        <v>145</v>
      </c>
      <c r="C25" s="146"/>
      <c r="D25" s="146" t="e">
        <f>AVERAGE(C17:D17)*(D31*D$22/360)*1000</f>
        <v>#REF!</v>
      </c>
      <c r="E25" s="146" t="e">
        <f aca="true" t="shared" si="11" ref="E25:O25">AVERAGE(D17:E17)*(E31*E$22/360)*1000</f>
        <v>#REF!</v>
      </c>
      <c r="F25" s="146" t="e">
        <f t="shared" si="11"/>
        <v>#REF!</v>
      </c>
      <c r="G25" s="146" t="e">
        <f t="shared" si="11"/>
        <v>#REF!</v>
      </c>
      <c r="H25" s="146" t="e">
        <f t="shared" si="11"/>
        <v>#REF!</v>
      </c>
      <c r="I25" s="146" t="e">
        <f t="shared" si="11"/>
        <v>#REF!</v>
      </c>
      <c r="J25" s="146" t="e">
        <f t="shared" si="11"/>
        <v>#REF!</v>
      </c>
      <c r="K25" s="146" t="e">
        <f t="shared" si="11"/>
        <v>#REF!</v>
      </c>
      <c r="L25" s="146" t="e">
        <f t="shared" si="11"/>
        <v>#REF!</v>
      </c>
      <c r="M25" s="146" t="e">
        <f t="shared" si="11"/>
        <v>#REF!</v>
      </c>
      <c r="N25" s="146" t="e">
        <f t="shared" si="11"/>
        <v>#REF!</v>
      </c>
      <c r="O25" s="146" t="e">
        <f t="shared" si="11"/>
        <v>#REF!</v>
      </c>
      <c r="P25" s="324" t="e">
        <f>SUM(C25:O25)</f>
        <v>#REF!</v>
      </c>
    </row>
    <row r="26" spans="1:17" ht="12.75" thickBot="1">
      <c r="A26" s="183">
        <f t="shared" si="0"/>
        <v>22</v>
      </c>
      <c r="B26" s="146" t="s">
        <v>71</v>
      </c>
      <c r="C26" s="146"/>
      <c r="D26" s="332" t="e">
        <f aca="true" t="shared" si="12" ref="D26:P26">SUM(D24:D25)</f>
        <v>#REF!</v>
      </c>
      <c r="E26" s="332" t="e">
        <f t="shared" si="12"/>
        <v>#REF!</v>
      </c>
      <c r="F26" s="332" t="e">
        <f t="shared" si="12"/>
        <v>#REF!</v>
      </c>
      <c r="G26" s="332" t="e">
        <f t="shared" si="12"/>
        <v>#REF!</v>
      </c>
      <c r="H26" s="332" t="e">
        <f t="shared" si="12"/>
        <v>#REF!</v>
      </c>
      <c r="I26" s="332" t="e">
        <f t="shared" si="12"/>
        <v>#REF!</v>
      </c>
      <c r="J26" s="332" t="e">
        <f t="shared" si="12"/>
        <v>#REF!</v>
      </c>
      <c r="K26" s="332" t="e">
        <f t="shared" si="12"/>
        <v>#REF!</v>
      </c>
      <c r="L26" s="332" t="e">
        <f t="shared" si="12"/>
        <v>#REF!</v>
      </c>
      <c r="M26" s="332" t="e">
        <f t="shared" si="12"/>
        <v>#REF!</v>
      </c>
      <c r="N26" s="332" t="e">
        <f t="shared" si="12"/>
        <v>#REF!</v>
      </c>
      <c r="O26" s="332" t="e">
        <f t="shared" si="12"/>
        <v>#REF!</v>
      </c>
      <c r="P26" s="332" t="e">
        <f t="shared" si="12"/>
        <v>#REF!</v>
      </c>
      <c r="Q26" s="191"/>
    </row>
    <row r="27" spans="1:16" ht="12.75" thickTop="1">
      <c r="A27" s="183">
        <f t="shared" si="0"/>
        <v>23</v>
      </c>
      <c r="B27" s="178" t="s">
        <v>84</v>
      </c>
      <c r="C27" s="178"/>
      <c r="D27" s="192" t="e">
        <f aca="true" t="shared" si="13" ref="D27:O27">(+D26/1000)/((D18+C18)/2)*(360/D22)</f>
        <v>#REF!</v>
      </c>
      <c r="E27" s="192" t="e">
        <f t="shared" si="13"/>
        <v>#REF!</v>
      </c>
      <c r="F27" s="192" t="e">
        <f t="shared" si="13"/>
        <v>#REF!</v>
      </c>
      <c r="G27" s="192" t="e">
        <f t="shared" si="13"/>
        <v>#REF!</v>
      </c>
      <c r="H27" s="192" t="e">
        <f t="shared" si="13"/>
        <v>#REF!</v>
      </c>
      <c r="I27" s="192" t="e">
        <f t="shared" si="13"/>
        <v>#REF!</v>
      </c>
      <c r="J27" s="192" t="e">
        <f t="shared" si="13"/>
        <v>#REF!</v>
      </c>
      <c r="K27" s="192" t="e">
        <f t="shared" si="13"/>
        <v>#REF!</v>
      </c>
      <c r="L27" s="192" t="e">
        <f t="shared" si="13"/>
        <v>#REF!</v>
      </c>
      <c r="M27" s="192" t="e">
        <f t="shared" si="13"/>
        <v>#REF!</v>
      </c>
      <c r="N27" s="192" t="e">
        <f t="shared" si="13"/>
        <v>#REF!</v>
      </c>
      <c r="O27" s="192" t="e">
        <f t="shared" si="13"/>
        <v>#REF!</v>
      </c>
      <c r="P27" s="178"/>
    </row>
    <row r="28" spans="1:16" ht="12">
      <c r="A28" s="183">
        <f t="shared" si="0"/>
        <v>24</v>
      </c>
      <c r="B28" s="178"/>
      <c r="C28" s="178"/>
      <c r="D28" s="192"/>
      <c r="E28" s="192"/>
      <c r="F28" s="192"/>
      <c r="G28" s="192"/>
      <c r="H28" s="192"/>
      <c r="I28" s="192"/>
      <c r="J28" s="192"/>
      <c r="K28" s="192"/>
      <c r="L28" s="192"/>
      <c r="M28" s="178" t="s">
        <v>76</v>
      </c>
      <c r="O28" s="178"/>
      <c r="P28" s="192" t="e">
        <f>(+P26/1000)/P18</f>
        <v>#REF!</v>
      </c>
    </row>
    <row r="29" spans="1:16" ht="12">
      <c r="A29" s="183">
        <f t="shared" si="0"/>
        <v>25</v>
      </c>
      <c r="B29" s="178"/>
      <c r="C29" s="178"/>
      <c r="D29" s="192"/>
      <c r="E29" s="192"/>
      <c r="F29" s="192"/>
      <c r="G29" s="192"/>
      <c r="H29" s="192"/>
      <c r="I29" s="192"/>
      <c r="J29" s="192"/>
      <c r="K29" s="192"/>
      <c r="L29" s="192"/>
      <c r="M29" s="192"/>
      <c r="N29" s="178"/>
      <c r="O29" s="178"/>
      <c r="P29" s="192"/>
    </row>
    <row r="30" spans="1:16" ht="12">
      <c r="A30" s="183">
        <f t="shared" si="0"/>
        <v>26</v>
      </c>
      <c r="B30" s="123" t="s">
        <v>83</v>
      </c>
      <c r="C30" s="111">
        <f>$E$34</f>
        <v>0.0538</v>
      </c>
      <c r="D30" s="111">
        <f>$E$34</f>
        <v>0.0538</v>
      </c>
      <c r="E30" s="111">
        <f>$E$34</f>
        <v>0.0538</v>
      </c>
      <c r="F30" s="111">
        <f>$E$35</f>
        <v>0.0539</v>
      </c>
      <c r="G30" s="111">
        <f>$E$35</f>
        <v>0.0539</v>
      </c>
      <c r="H30" s="111">
        <f>$E$35</f>
        <v>0.0539</v>
      </c>
      <c r="I30" s="111">
        <f>$E$36</f>
        <v>0.0546</v>
      </c>
      <c r="J30" s="111">
        <f>$E$36</f>
        <v>0.0546</v>
      </c>
      <c r="K30" s="111">
        <f>$E$36</f>
        <v>0.0546</v>
      </c>
      <c r="L30" s="111">
        <f>$E$37</f>
        <v>0.0562</v>
      </c>
      <c r="M30" s="111">
        <f>$E$37</f>
        <v>0.0562</v>
      </c>
      <c r="N30" s="111">
        <f>$E$37</f>
        <v>0.0562</v>
      </c>
      <c r="O30" s="111">
        <f>$E$38</f>
        <v>0.056400000000000006</v>
      </c>
      <c r="P30" s="111"/>
    </row>
    <row r="31" spans="1:16" ht="12">
      <c r="A31" s="183">
        <f t="shared" si="0"/>
        <v>27</v>
      </c>
      <c r="B31" s="123" t="s">
        <v>85</v>
      </c>
      <c r="C31" s="111">
        <f>$G$34</f>
        <v>0.0525</v>
      </c>
      <c r="D31" s="111">
        <f>$G$34</f>
        <v>0.0525</v>
      </c>
      <c r="E31" s="111">
        <f>$G$34</f>
        <v>0.0525</v>
      </c>
      <c r="F31" s="111">
        <f>$G$35</f>
        <v>0.0526</v>
      </c>
      <c r="G31" s="111">
        <f>$G$35</f>
        <v>0.0526</v>
      </c>
      <c r="H31" s="111">
        <f>$G$35</f>
        <v>0.0526</v>
      </c>
      <c r="I31" s="111">
        <f>$G$36</f>
        <v>0.0533</v>
      </c>
      <c r="J31" s="111">
        <f>$G$36</f>
        <v>0.0533</v>
      </c>
      <c r="K31" s="111">
        <f>$G$36</f>
        <v>0.0533</v>
      </c>
      <c r="L31" s="111">
        <f>$G$37</f>
        <v>0.0549</v>
      </c>
      <c r="M31" s="111">
        <f>$G$37</f>
        <v>0.0549</v>
      </c>
      <c r="N31" s="111">
        <f>$G$37</f>
        <v>0.0549</v>
      </c>
      <c r="O31" s="111">
        <f>$G$38</f>
        <v>0.0551</v>
      </c>
      <c r="P31" s="111"/>
    </row>
    <row r="32" spans="1:16" ht="12">
      <c r="A32" s="183">
        <f t="shared" si="0"/>
        <v>28</v>
      </c>
      <c r="B32" s="146"/>
      <c r="C32" s="474" t="s">
        <v>68</v>
      </c>
      <c r="D32" s="188"/>
      <c r="E32" s="146"/>
      <c r="F32" s="146"/>
      <c r="G32" s="146"/>
      <c r="H32" s="178"/>
      <c r="I32" s="178"/>
      <c r="J32" s="178"/>
      <c r="K32" s="178"/>
      <c r="L32" s="178"/>
      <c r="M32" s="178"/>
      <c r="N32" s="178"/>
      <c r="O32" s="178"/>
      <c r="P32" s="178"/>
    </row>
    <row r="33" spans="1:16" ht="12">
      <c r="A33" s="183">
        <f t="shared" si="0"/>
        <v>29</v>
      </c>
      <c r="B33" s="190" t="s">
        <v>70</v>
      </c>
      <c r="C33" s="475"/>
      <c r="D33" s="193" t="s">
        <v>86</v>
      </c>
      <c r="E33" s="193" t="s">
        <v>66</v>
      </c>
      <c r="F33" s="145" t="s">
        <v>87</v>
      </c>
      <c r="G33" s="145" t="s">
        <v>67</v>
      </c>
      <c r="H33" s="178"/>
      <c r="I33" s="178"/>
      <c r="J33" s="178"/>
      <c r="K33" s="178"/>
      <c r="L33" s="178"/>
      <c r="M33" s="178"/>
      <c r="N33" s="178"/>
      <c r="O33" s="178"/>
      <c r="P33" s="178"/>
    </row>
    <row r="34" spans="1:16" ht="12">
      <c r="A34" s="183">
        <f t="shared" si="0"/>
        <v>30</v>
      </c>
      <c r="B34" s="224">
        <v>39722</v>
      </c>
      <c r="C34" s="223">
        <v>0.0503</v>
      </c>
      <c r="D34" s="223">
        <v>0.0035</v>
      </c>
      <c r="E34" s="111">
        <f>+C34+D34</f>
        <v>0.0538</v>
      </c>
      <c r="F34" s="223">
        <f>0.0022</f>
        <v>0.0022</v>
      </c>
      <c r="G34" s="111">
        <f>+C34+F34</f>
        <v>0.0525</v>
      </c>
      <c r="H34" s="178"/>
      <c r="I34" s="178"/>
      <c r="J34" s="178"/>
      <c r="K34" s="178"/>
      <c r="L34" s="178"/>
      <c r="M34" s="178"/>
      <c r="N34" s="178"/>
      <c r="O34" s="178"/>
      <c r="P34" s="178"/>
    </row>
    <row r="35" spans="1:16" ht="12">
      <c r="A35" s="183">
        <f t="shared" si="0"/>
        <v>31</v>
      </c>
      <c r="B35" s="224">
        <v>39814</v>
      </c>
      <c r="C35" s="223">
        <v>0.0504</v>
      </c>
      <c r="D35" s="223">
        <v>0.0035</v>
      </c>
      <c r="E35" s="111">
        <f>+C35+D35</f>
        <v>0.0539</v>
      </c>
      <c r="F35" s="223">
        <f>0.0022</f>
        <v>0.0022</v>
      </c>
      <c r="G35" s="111">
        <f>+C35+F35</f>
        <v>0.0526</v>
      </c>
      <c r="H35" s="178"/>
      <c r="I35" s="178"/>
      <c r="J35" s="178"/>
      <c r="K35" s="178"/>
      <c r="L35" s="178"/>
      <c r="M35" s="178"/>
      <c r="N35" s="178"/>
      <c r="O35" s="178"/>
      <c r="P35" s="178"/>
    </row>
    <row r="36" spans="1:16" ht="12">
      <c r="A36" s="183">
        <f t="shared" si="0"/>
        <v>32</v>
      </c>
      <c r="B36" s="224">
        <v>39904</v>
      </c>
      <c r="C36" s="223">
        <v>0.0511</v>
      </c>
      <c r="D36" s="223">
        <v>0.0035</v>
      </c>
      <c r="E36" s="111">
        <f>+C36+D36</f>
        <v>0.0546</v>
      </c>
      <c r="F36" s="223">
        <f>0.0022</f>
        <v>0.0022</v>
      </c>
      <c r="G36" s="111">
        <f>+C36+F36</f>
        <v>0.0533</v>
      </c>
      <c r="H36" s="178"/>
      <c r="I36" s="178"/>
      <c r="J36" s="178"/>
      <c r="K36" s="178"/>
      <c r="L36" s="178"/>
      <c r="M36" s="178"/>
      <c r="N36" s="178"/>
      <c r="O36" s="178"/>
      <c r="P36" s="178"/>
    </row>
    <row r="37" spans="1:16" ht="12">
      <c r="A37" s="183">
        <f t="shared" si="0"/>
        <v>33</v>
      </c>
      <c r="B37" s="224">
        <v>39995</v>
      </c>
      <c r="C37" s="223">
        <v>0.0527</v>
      </c>
      <c r="D37" s="223">
        <v>0.0035</v>
      </c>
      <c r="E37" s="111">
        <f>+C37+D37</f>
        <v>0.0562</v>
      </c>
      <c r="F37" s="223">
        <f>0.0022</f>
        <v>0.0022</v>
      </c>
      <c r="G37" s="111">
        <f>+C37+F37</f>
        <v>0.0549</v>
      </c>
      <c r="H37" s="178"/>
      <c r="I37" s="178"/>
      <c r="J37" s="178"/>
      <c r="K37" s="178"/>
      <c r="L37" s="178"/>
      <c r="M37" s="178"/>
      <c r="N37" s="178"/>
      <c r="O37" s="178"/>
      <c r="P37" s="178"/>
    </row>
    <row r="38" spans="1:16" ht="12">
      <c r="A38" s="183">
        <f t="shared" si="0"/>
        <v>34</v>
      </c>
      <c r="B38" s="224">
        <v>40087</v>
      </c>
      <c r="C38" s="223">
        <v>0.0529</v>
      </c>
      <c r="D38" s="223">
        <v>0.0035</v>
      </c>
      <c r="E38" s="111">
        <f>+C38+D38</f>
        <v>0.056400000000000006</v>
      </c>
      <c r="F38" s="223">
        <f>0.0022</f>
        <v>0.0022</v>
      </c>
      <c r="G38" s="111">
        <f>+C38+F38</f>
        <v>0.0551</v>
      </c>
      <c r="H38" s="178"/>
      <c r="I38" s="178"/>
      <c r="J38" s="178"/>
      <c r="K38" s="178"/>
      <c r="L38" s="178"/>
      <c r="M38" s="178"/>
      <c r="N38" s="178"/>
      <c r="O38" s="178"/>
      <c r="P38" s="178"/>
    </row>
    <row r="39" spans="1:16" ht="12">
      <c r="A39" s="183"/>
      <c r="B39" s="194"/>
      <c r="C39" s="111"/>
      <c r="D39" s="111"/>
      <c r="E39" s="111"/>
      <c r="F39" s="111"/>
      <c r="G39" s="111"/>
      <c r="H39" s="178"/>
      <c r="I39" s="178"/>
      <c r="J39" s="178"/>
      <c r="K39" s="178"/>
      <c r="L39" s="178"/>
      <c r="M39" s="178"/>
      <c r="N39" s="178"/>
      <c r="O39" s="178"/>
      <c r="P39" s="178"/>
    </row>
    <row r="40" spans="1:16" ht="12">
      <c r="A40" s="183"/>
      <c r="B40" s="476" t="s">
        <v>132</v>
      </c>
      <c r="C40" s="476"/>
      <c r="D40" s="476"/>
      <c r="E40" s="476"/>
      <c r="F40" s="476"/>
      <c r="G40" s="476"/>
      <c r="H40" s="476"/>
      <c r="I40" s="476"/>
      <c r="J40" s="476"/>
      <c r="K40" s="476"/>
      <c r="L40" s="476"/>
      <c r="M40" s="476"/>
      <c r="N40" s="476"/>
      <c r="O40" s="476"/>
      <c r="P40" s="476"/>
    </row>
    <row r="41" spans="1:16" ht="12">
      <c r="A41" s="183"/>
      <c r="B41" s="476"/>
      <c r="C41" s="476"/>
      <c r="D41" s="476"/>
      <c r="E41" s="476"/>
      <c r="F41" s="476"/>
      <c r="G41" s="476"/>
      <c r="H41" s="476"/>
      <c r="I41" s="476"/>
      <c r="J41" s="476"/>
      <c r="K41" s="476"/>
      <c r="L41" s="476"/>
      <c r="M41" s="476"/>
      <c r="N41" s="476"/>
      <c r="O41" s="476"/>
      <c r="P41" s="476"/>
    </row>
    <row r="42" spans="1:16" ht="12">
      <c r="A42" s="183"/>
      <c r="B42" s="195" t="s">
        <v>114</v>
      </c>
      <c r="C42" s="111"/>
      <c r="D42" s="111"/>
      <c r="E42" s="111"/>
      <c r="F42" s="111"/>
      <c r="G42" s="111"/>
      <c r="H42" s="178"/>
      <c r="I42" s="178"/>
      <c r="J42" s="178"/>
      <c r="K42" s="178"/>
      <c r="L42" s="178"/>
      <c r="M42" s="178"/>
      <c r="N42" s="178"/>
      <c r="O42" s="178"/>
      <c r="P42" s="178"/>
    </row>
    <row r="43" spans="1:13" ht="13.5" customHeight="1">
      <c r="A43" s="183"/>
      <c r="B43" s="196"/>
      <c r="C43" s="111"/>
      <c r="D43" s="111"/>
      <c r="E43" s="111"/>
      <c r="F43" s="111"/>
      <c r="G43" s="111"/>
      <c r="H43" s="178"/>
      <c r="I43" s="178"/>
      <c r="J43" s="178"/>
      <c r="K43" s="178"/>
      <c r="L43" s="178"/>
      <c r="M43" s="178"/>
    </row>
    <row r="44" spans="1:16" ht="15.75">
      <c r="A44" s="183"/>
      <c r="B44" s="178"/>
      <c r="C44" s="178"/>
      <c r="D44" s="192"/>
      <c r="E44" s="192"/>
      <c r="F44" s="178"/>
      <c r="G44" s="178"/>
      <c r="H44" s="178"/>
      <c r="I44" s="178"/>
      <c r="J44" s="178"/>
      <c r="K44" s="178"/>
      <c r="L44" s="178"/>
      <c r="N44" s="124"/>
      <c r="O44" s="124"/>
      <c r="P44" s="124"/>
    </row>
    <row r="45" spans="1:16" ht="15.75">
      <c r="A45" s="197"/>
      <c r="N45" s="473"/>
      <c r="O45" s="473"/>
      <c r="P45" s="473"/>
    </row>
  </sheetData>
  <sheetProtection/>
  <mergeCells count="3">
    <mergeCell ref="N45:P45"/>
    <mergeCell ref="C32:C33"/>
    <mergeCell ref="B40:P41"/>
  </mergeCells>
  <printOptions horizontalCentered="1"/>
  <pageMargins left="0.27" right="0.28" top="0.41" bottom="0.84" header="0.27" footer="0.27"/>
  <pageSetup fitToHeight="1" fitToWidth="1" horizontalDpi="600" verticalDpi="600" orientation="landscape" r:id="rId1"/>
  <headerFooter alignWithMargins="0">
    <oddFooter>&amp;L&amp;"Times New Roman,Regular"&amp;11_____ Exhibit (Confidential) to the
Prefiled Direct Testimony of Donald E. Gaines&amp;R&amp;"Times New Roman,Regular"&amp;11Exhibit No. ___(DEG-  C)
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45"/>
  <sheetViews>
    <sheetView zoomScalePageLayoutView="0" workbookViewId="0" topLeftCell="A1">
      <selection activeCell="C41" sqref="C41"/>
    </sheetView>
  </sheetViews>
  <sheetFormatPr defaultColWidth="9.140625" defaultRowHeight="12"/>
  <cols>
    <col min="1" max="1" width="4.7109375" style="0" customWidth="1"/>
    <col min="2" max="2" width="28.57421875" style="0" customWidth="1"/>
    <col min="3" max="3" width="10.421875" style="0" customWidth="1"/>
    <col min="4" max="5" width="9.7109375" style="0" customWidth="1"/>
    <col min="6" max="6" width="12.7109375" style="0" customWidth="1"/>
    <col min="7" max="7" width="8.7109375" style="0" customWidth="1"/>
    <col min="8" max="8" width="11.7109375" style="0" customWidth="1"/>
    <col min="9" max="9" width="12.8515625" style="0" customWidth="1"/>
    <col min="10" max="10" width="12.28125" style="0" customWidth="1"/>
    <col min="11" max="11" width="11.421875" style="0" customWidth="1"/>
    <col min="12" max="12" width="11.7109375" style="0" customWidth="1"/>
    <col min="13" max="13" width="11.8515625" style="0" customWidth="1"/>
    <col min="14" max="14" width="11.421875" style="0" customWidth="1"/>
    <col min="15" max="16" width="11.421875" style="0" bestFit="1" customWidth="1"/>
  </cols>
  <sheetData>
    <row r="1" spans="1:14" ht="14.25" customHeight="1">
      <c r="A1" s="16"/>
      <c r="B1" s="24" t="s">
        <v>19</v>
      </c>
      <c r="D1" s="17"/>
      <c r="E1" s="24"/>
      <c r="F1" s="16"/>
      <c r="G1" s="16"/>
      <c r="H1" s="17"/>
      <c r="I1" s="16"/>
      <c r="J1" s="16"/>
      <c r="K1" s="16"/>
      <c r="L1" s="16"/>
      <c r="M1" s="16"/>
      <c r="N1" s="16"/>
    </row>
    <row r="2" spans="1:14" ht="14.25" customHeight="1">
      <c r="A2" s="16"/>
      <c r="B2" s="17" t="s">
        <v>106</v>
      </c>
      <c r="D2" s="17"/>
      <c r="E2" s="17"/>
      <c r="F2" s="16"/>
      <c r="G2" s="16"/>
      <c r="H2" s="17"/>
      <c r="I2" s="18"/>
      <c r="J2" s="16"/>
      <c r="M2" s="16"/>
      <c r="N2" s="16"/>
    </row>
    <row r="3" spans="1:14" ht="14.25" customHeight="1">
      <c r="A3" s="16"/>
      <c r="B3" s="17" t="e">
        <f>#REF!</f>
        <v>#REF!</v>
      </c>
      <c r="D3" s="22"/>
      <c r="E3" s="17"/>
      <c r="F3" s="16"/>
      <c r="G3" s="16"/>
      <c r="H3" s="338" t="s">
        <v>197</v>
      </c>
      <c r="I3" s="16"/>
      <c r="J3" s="16"/>
      <c r="M3" s="16"/>
      <c r="N3" s="16"/>
    </row>
    <row r="4" spans="1:14" ht="10.5" customHeight="1">
      <c r="A4" s="16"/>
      <c r="B4" s="16"/>
      <c r="C4" s="17"/>
      <c r="D4" s="22"/>
      <c r="E4" s="16"/>
      <c r="F4" s="16"/>
      <c r="G4" s="16"/>
      <c r="H4" s="16"/>
      <c r="I4" s="16"/>
      <c r="J4" s="16"/>
      <c r="M4" s="16"/>
      <c r="N4" s="16"/>
    </row>
    <row r="5" spans="1:14" ht="12.75">
      <c r="A5" s="114">
        <v>1</v>
      </c>
      <c r="B5" s="49" t="s">
        <v>2</v>
      </c>
      <c r="C5" s="49" t="s">
        <v>20</v>
      </c>
      <c r="D5" s="49" t="s">
        <v>33</v>
      </c>
      <c r="E5" s="49" t="s">
        <v>44</v>
      </c>
      <c r="F5" s="49" t="s">
        <v>45</v>
      </c>
      <c r="G5" s="49" t="s">
        <v>46</v>
      </c>
      <c r="H5" s="49" t="s">
        <v>47</v>
      </c>
      <c r="I5" s="101"/>
      <c r="J5" s="25"/>
      <c r="M5" s="16"/>
      <c r="N5" s="16"/>
    </row>
    <row r="6" spans="1:14" ht="12.75">
      <c r="A6" s="114">
        <v>2</v>
      </c>
      <c r="B6" s="361" t="s">
        <v>210</v>
      </c>
      <c r="C6" s="362"/>
      <c r="D6" s="362"/>
      <c r="E6" s="362"/>
      <c r="F6" s="362"/>
      <c r="G6" s="362"/>
      <c r="H6" s="363"/>
      <c r="I6" s="101"/>
      <c r="J6" s="25"/>
      <c r="M6" s="16"/>
      <c r="N6" s="16"/>
    </row>
    <row r="7" spans="1:14" ht="12.75">
      <c r="A7" s="114">
        <v>3</v>
      </c>
      <c r="I7" s="101"/>
      <c r="J7" s="25"/>
      <c r="M7" s="16"/>
      <c r="N7" s="16"/>
    </row>
    <row r="8" spans="1:14" ht="22.5">
      <c r="A8" s="114">
        <v>4</v>
      </c>
      <c r="B8" s="141" t="s">
        <v>34</v>
      </c>
      <c r="C8" s="134" t="s">
        <v>117</v>
      </c>
      <c r="D8" s="134" t="s">
        <v>30</v>
      </c>
      <c r="E8" s="144" t="s">
        <v>31</v>
      </c>
      <c r="F8" s="144" t="s">
        <v>134</v>
      </c>
      <c r="G8" s="145" t="s">
        <v>43</v>
      </c>
      <c r="H8" s="144" t="s">
        <v>108</v>
      </c>
      <c r="I8" s="101"/>
      <c r="J8" s="25"/>
      <c r="M8" s="16"/>
      <c r="N8" s="16"/>
    </row>
    <row r="9" spans="1:14" ht="12">
      <c r="A9" s="114">
        <v>5</v>
      </c>
      <c r="B9" s="147" t="s">
        <v>136</v>
      </c>
      <c r="C9" s="49"/>
      <c r="D9" s="49"/>
      <c r="E9" s="49"/>
      <c r="F9" s="49"/>
      <c r="G9" s="49"/>
      <c r="H9" s="49"/>
      <c r="I9" s="101"/>
      <c r="J9" s="339" t="s">
        <v>199</v>
      </c>
      <c r="K9" s="339"/>
      <c r="M9" s="16"/>
      <c r="N9" s="16"/>
    </row>
    <row r="10" spans="1:14" ht="12">
      <c r="A10" s="114">
        <v>6</v>
      </c>
      <c r="B10" s="360" t="s">
        <v>137</v>
      </c>
      <c r="C10" s="353">
        <v>40238</v>
      </c>
      <c r="D10" s="353">
        <v>40602</v>
      </c>
      <c r="E10" s="354">
        <f>+D10-C10+1</f>
        <v>365</v>
      </c>
      <c r="F10" s="358">
        <f>+F12-F11</f>
        <v>493206923</v>
      </c>
      <c r="G10" s="356">
        <v>0.00125</v>
      </c>
      <c r="H10" s="326">
        <f>ROUND(F10*G10*E10/360,0)</f>
        <v>625071</v>
      </c>
      <c r="I10" s="26"/>
      <c r="J10" s="339" t="s">
        <v>200</v>
      </c>
      <c r="K10" s="340" t="s">
        <v>202</v>
      </c>
      <c r="L10" s="16"/>
      <c r="M10" s="16"/>
      <c r="N10" s="16"/>
    </row>
    <row r="11" spans="1:14" ht="12">
      <c r="A11" s="114">
        <v>7</v>
      </c>
      <c r="B11" s="123" t="s">
        <v>146</v>
      </c>
      <c r="C11" s="353">
        <v>40238</v>
      </c>
      <c r="D11" s="353">
        <v>40602</v>
      </c>
      <c r="E11" s="354">
        <f>+D11-C11+1</f>
        <v>365</v>
      </c>
      <c r="F11" s="344">
        <f>(6565906*8/12)+(6155419*4/12)+364000</f>
        <v>6793077</v>
      </c>
      <c r="G11" s="356">
        <f>0.00525+0.00125</f>
        <v>0.006500000000000001</v>
      </c>
      <c r="H11" s="327">
        <f>ROUND(F11*G11*E11/360,0)</f>
        <v>44768</v>
      </c>
      <c r="I11" s="26"/>
      <c r="J11" s="339" t="s">
        <v>201</v>
      </c>
      <c r="K11" s="340" t="s">
        <v>203</v>
      </c>
      <c r="L11" s="16"/>
      <c r="M11" s="16"/>
      <c r="N11" s="16"/>
    </row>
    <row r="12" spans="1:14" ht="12">
      <c r="A12" s="114">
        <v>8</v>
      </c>
      <c r="B12" s="225" t="s">
        <v>133</v>
      </c>
      <c r="C12" s="146"/>
      <c r="D12" s="146"/>
      <c r="E12" s="355"/>
      <c r="F12" s="366">
        <v>500000000</v>
      </c>
      <c r="G12" s="357"/>
      <c r="H12" s="126"/>
      <c r="K12" s="16"/>
      <c r="L12" s="16"/>
      <c r="M12" s="16"/>
      <c r="N12" s="16"/>
    </row>
    <row r="13" spans="1:14" ht="12">
      <c r="A13" s="114">
        <v>9</v>
      </c>
      <c r="B13" s="227"/>
      <c r="C13" s="146"/>
      <c r="D13" s="146"/>
      <c r="E13" s="355"/>
      <c r="F13" s="358"/>
      <c r="G13" s="357"/>
      <c r="H13" s="126"/>
      <c r="K13" s="16"/>
      <c r="L13" s="16"/>
      <c r="M13" s="16"/>
      <c r="N13" s="16"/>
    </row>
    <row r="14" spans="1:14" ht="12">
      <c r="A14" s="114">
        <v>11</v>
      </c>
      <c r="B14" s="228" t="s">
        <v>135</v>
      </c>
      <c r="C14" s="146"/>
      <c r="D14" s="146"/>
      <c r="E14" s="355"/>
      <c r="F14" s="358"/>
      <c r="G14" s="357"/>
      <c r="H14" s="126"/>
      <c r="I14" s="26"/>
      <c r="J14" s="38"/>
      <c r="K14" s="16"/>
      <c r="L14" s="16"/>
      <c r="M14" s="16"/>
      <c r="N14" s="16"/>
    </row>
    <row r="15" spans="1:14" ht="12">
      <c r="A15" s="114">
        <v>12</v>
      </c>
      <c r="B15" s="360" t="s">
        <v>138</v>
      </c>
      <c r="C15" s="353">
        <v>40238</v>
      </c>
      <c r="D15" s="353">
        <v>40602</v>
      </c>
      <c r="E15" s="354">
        <f>+D15-C15+1</f>
        <v>365</v>
      </c>
      <c r="F15" s="359">
        <f>200000000</f>
        <v>200000000</v>
      </c>
      <c r="G15" s="356">
        <v>0.00125</v>
      </c>
      <c r="H15" s="327">
        <f>ROUND(F15*G15*E15/360,0)</f>
        <v>253472</v>
      </c>
      <c r="J15" s="19"/>
      <c r="K15" s="19"/>
      <c r="L15" s="17"/>
      <c r="M15" s="16"/>
      <c r="N15" s="16"/>
    </row>
    <row r="16" spans="1:8" ht="12.75" customHeight="1" thickBot="1">
      <c r="A16" s="114">
        <v>14</v>
      </c>
      <c r="B16" s="367" t="s">
        <v>118</v>
      </c>
      <c r="D16" s="125"/>
      <c r="F16" s="82"/>
      <c r="G16" s="168"/>
      <c r="H16" s="328">
        <f>+H10+H15+H11</f>
        <v>923311</v>
      </c>
    </row>
    <row r="17" spans="1:8" ht="12.75" customHeight="1" thickTop="1">
      <c r="A17" s="114">
        <v>15</v>
      </c>
      <c r="B17" s="114"/>
      <c r="D17" s="125"/>
      <c r="F17" s="82"/>
      <c r="G17" s="168"/>
      <c r="H17" s="241"/>
    </row>
    <row r="18" spans="1:2" ht="12">
      <c r="A18" s="114">
        <v>16</v>
      </c>
      <c r="B18" s="141" t="s">
        <v>131</v>
      </c>
    </row>
    <row r="19" spans="1:8" ht="12" customHeight="1">
      <c r="A19" s="114">
        <v>17</v>
      </c>
      <c r="B19" s="141"/>
      <c r="C19" s="347" t="s">
        <v>204</v>
      </c>
      <c r="D19" s="240"/>
      <c r="E19" s="347" t="s">
        <v>206</v>
      </c>
      <c r="H19" s="349" t="s">
        <v>209</v>
      </c>
    </row>
    <row r="20" spans="1:10" ht="12">
      <c r="A20" s="114">
        <v>18</v>
      </c>
      <c r="B20" s="123" t="s">
        <v>216</v>
      </c>
      <c r="C20" s="147" t="s">
        <v>205</v>
      </c>
      <c r="D20" s="345"/>
      <c r="E20" s="348" t="s">
        <v>207</v>
      </c>
      <c r="H20" s="350" t="s">
        <v>208</v>
      </c>
      <c r="J20" s="110"/>
    </row>
    <row r="21" spans="1:5" ht="12">
      <c r="A21" s="114">
        <v>19</v>
      </c>
      <c r="B21" s="123" t="s">
        <v>107</v>
      </c>
      <c r="C21" s="341">
        <v>20470</v>
      </c>
      <c r="D21" s="346"/>
      <c r="E21" s="346">
        <v>5628</v>
      </c>
    </row>
    <row r="22" spans="1:5" ht="12">
      <c r="A22" s="114">
        <v>20</v>
      </c>
      <c r="B22" s="123" t="s">
        <v>212</v>
      </c>
      <c r="C22" s="351">
        <v>12</v>
      </c>
      <c r="D22" s="39"/>
      <c r="E22" s="351">
        <v>12</v>
      </c>
    </row>
    <row r="23" spans="1:8" ht="12.75" thickBot="1">
      <c r="A23" s="114">
        <v>21</v>
      </c>
      <c r="B23" s="370" t="s">
        <v>79</v>
      </c>
      <c r="C23" s="352">
        <f>+C22*C21</f>
        <v>245640</v>
      </c>
      <c r="D23" s="26"/>
      <c r="E23" s="352">
        <f>+E21*E22</f>
        <v>67536</v>
      </c>
      <c r="H23" s="328">
        <f>C23+E23</f>
        <v>313176</v>
      </c>
    </row>
    <row r="24" spans="1:3" ht="12.75" thickTop="1">
      <c r="A24" s="114">
        <v>22</v>
      </c>
      <c r="B24" s="20"/>
      <c r="C24" s="21"/>
    </row>
    <row r="25" spans="1:2" ht="12">
      <c r="A25" s="114">
        <v>23</v>
      </c>
      <c r="B25" s="100"/>
    </row>
    <row r="26" spans="1:8" ht="12">
      <c r="A26" s="114">
        <v>24</v>
      </c>
      <c r="B26" s="361" t="s">
        <v>211</v>
      </c>
      <c r="C26" s="364"/>
      <c r="D26" s="364"/>
      <c r="E26" s="364"/>
      <c r="F26" s="364"/>
      <c r="G26" s="364"/>
      <c r="H26" s="365"/>
    </row>
    <row r="27" spans="1:2" ht="12">
      <c r="A27" s="114">
        <v>25</v>
      </c>
      <c r="B27" s="100"/>
    </row>
    <row r="28" spans="1:2" ht="12">
      <c r="A28" s="114">
        <v>26</v>
      </c>
      <c r="B28" s="141" t="s">
        <v>34</v>
      </c>
    </row>
    <row r="29" spans="1:8" ht="12">
      <c r="A29" s="114">
        <v>27</v>
      </c>
      <c r="B29" s="147" t="s">
        <v>213</v>
      </c>
      <c r="C29" s="49"/>
      <c r="D29" s="49"/>
      <c r="E29" s="49"/>
      <c r="F29" s="49"/>
      <c r="G29" s="49"/>
      <c r="H29" s="49"/>
    </row>
    <row r="30" spans="1:8" ht="12">
      <c r="A30" s="114">
        <v>28</v>
      </c>
      <c r="B30" s="360" t="s">
        <v>34</v>
      </c>
      <c r="C30" s="353">
        <v>40238</v>
      </c>
      <c r="D30" s="353">
        <v>40602</v>
      </c>
      <c r="E30" s="354">
        <f>+D30-C30+1</f>
        <v>365</v>
      </c>
      <c r="F30" s="358">
        <f>+F32-F31</f>
        <v>393206923</v>
      </c>
      <c r="G30" s="371">
        <v>0.0026</v>
      </c>
      <c r="H30" s="326">
        <f>ROUND(F30*G30*E30/360,0)</f>
        <v>1036537</v>
      </c>
    </row>
    <row r="31" spans="1:9" ht="12">
      <c r="A31" s="114">
        <v>29</v>
      </c>
      <c r="B31" s="123" t="s">
        <v>146</v>
      </c>
      <c r="C31" s="353">
        <v>40238</v>
      </c>
      <c r="D31" s="353">
        <v>40602</v>
      </c>
      <c r="E31" s="354">
        <f>+D31-C31+1</f>
        <v>365</v>
      </c>
      <c r="F31" s="344">
        <f>(6565906*8/12)+(6155419*4/12)+364000</f>
        <v>6793077</v>
      </c>
      <c r="G31" s="372">
        <f>0.00525+0.00125</f>
        <v>0.006500000000000001</v>
      </c>
      <c r="H31" s="327">
        <f>ROUND(F31*G31*E31/360,0)</f>
        <v>44768</v>
      </c>
      <c r="I31" s="368" t="s">
        <v>215</v>
      </c>
    </row>
    <row r="32" spans="1:8" ht="12">
      <c r="A32" s="114">
        <v>30</v>
      </c>
      <c r="B32" s="225" t="s">
        <v>133</v>
      </c>
      <c r="C32" s="146"/>
      <c r="D32" s="146"/>
      <c r="E32" s="355"/>
      <c r="F32" s="366">
        <v>400000000</v>
      </c>
      <c r="G32" s="357"/>
      <c r="H32" s="126"/>
    </row>
    <row r="33" spans="1:8" ht="12">
      <c r="A33" s="114">
        <v>31</v>
      </c>
      <c r="B33" s="227"/>
      <c r="C33" s="146"/>
      <c r="D33" s="146"/>
      <c r="E33" s="355"/>
      <c r="F33" s="358"/>
      <c r="G33" s="357"/>
      <c r="H33" s="126"/>
    </row>
    <row r="34" spans="1:8" ht="12">
      <c r="A34" s="114">
        <v>32</v>
      </c>
      <c r="B34" s="228" t="s">
        <v>214</v>
      </c>
      <c r="C34" s="146"/>
      <c r="D34" s="146"/>
      <c r="E34" s="355"/>
      <c r="F34" s="358"/>
      <c r="G34" s="357"/>
      <c r="H34" s="126"/>
    </row>
    <row r="35" spans="1:8" ht="12">
      <c r="A35" s="114">
        <v>33</v>
      </c>
      <c r="B35" s="360" t="s">
        <v>34</v>
      </c>
      <c r="C35" s="353">
        <v>40238</v>
      </c>
      <c r="D35" s="353">
        <v>40602</v>
      </c>
      <c r="E35" s="354">
        <f>+D35-C35+1</f>
        <v>365</v>
      </c>
      <c r="F35" s="359">
        <f>400000000</f>
        <v>400000000</v>
      </c>
      <c r="G35" s="371">
        <v>0.0026</v>
      </c>
      <c r="H35" s="327">
        <f>ROUND(F35*G35*E35/360,0)</f>
        <v>1054444</v>
      </c>
    </row>
    <row r="36" spans="1:8" ht="12.75" thickBot="1">
      <c r="A36" s="114">
        <v>34</v>
      </c>
      <c r="B36" s="343" t="s">
        <v>118</v>
      </c>
      <c r="D36" s="125"/>
      <c r="F36" s="82"/>
      <c r="G36" s="168"/>
      <c r="H36" s="328">
        <f>+H30+H35+H31</f>
        <v>2135749</v>
      </c>
    </row>
    <row r="37" spans="1:8" ht="12.75" thickTop="1">
      <c r="A37" s="114">
        <v>35</v>
      </c>
      <c r="B37" s="114"/>
      <c r="D37" s="125"/>
      <c r="F37" s="82"/>
      <c r="G37" s="168"/>
      <c r="H37" s="241"/>
    </row>
    <row r="38" spans="1:2" ht="12">
      <c r="A38" s="114">
        <v>36</v>
      </c>
      <c r="B38" s="141" t="s">
        <v>131</v>
      </c>
    </row>
    <row r="39" spans="1:8" ht="12">
      <c r="A39" s="114">
        <v>37</v>
      </c>
      <c r="B39" s="141"/>
      <c r="C39" s="347" t="s">
        <v>217</v>
      </c>
      <c r="D39" s="240"/>
      <c r="E39" s="347" t="s">
        <v>217</v>
      </c>
      <c r="H39" s="349" t="s">
        <v>209</v>
      </c>
    </row>
    <row r="40" spans="1:8" ht="12">
      <c r="A40" s="114">
        <v>38</v>
      </c>
      <c r="B40" s="123" t="s">
        <v>216</v>
      </c>
      <c r="C40" s="147" t="s">
        <v>218</v>
      </c>
      <c r="D40" s="345"/>
      <c r="E40" s="147" t="s">
        <v>219</v>
      </c>
      <c r="H40" s="350" t="s">
        <v>208</v>
      </c>
    </row>
    <row r="41" spans="1:9" ht="12">
      <c r="A41" s="114">
        <v>39</v>
      </c>
      <c r="B41" s="123" t="s">
        <v>107</v>
      </c>
      <c r="C41" s="369">
        <f>(27619583+32000)/60*(400/1150)</f>
        <v>160299.03188405797</v>
      </c>
      <c r="D41" s="346"/>
      <c r="E41" s="369">
        <f>(27619583+32000)/60*(400/1150)</f>
        <v>160299.03188405797</v>
      </c>
      <c r="I41" s="368" t="s">
        <v>220</v>
      </c>
    </row>
    <row r="42" spans="1:5" ht="12">
      <c r="A42" s="114">
        <v>40</v>
      </c>
      <c r="B42" s="123" t="s">
        <v>212</v>
      </c>
      <c r="C42" s="351">
        <v>12</v>
      </c>
      <c r="D42" s="39"/>
      <c r="E42" s="351">
        <v>12</v>
      </c>
    </row>
    <row r="43" spans="1:8" ht="12.75" thickBot="1">
      <c r="A43" s="114">
        <v>41</v>
      </c>
      <c r="B43" s="370" t="s">
        <v>79</v>
      </c>
      <c r="C43" s="352">
        <f>+C42*C41</f>
        <v>1923588.3826086957</v>
      </c>
      <c r="D43" s="26"/>
      <c r="E43" s="352">
        <f>+E41*E42</f>
        <v>1923588.3826086957</v>
      </c>
      <c r="H43" s="328">
        <f>C43+E43</f>
        <v>3847176.7652173913</v>
      </c>
    </row>
    <row r="44" ht="12.75" thickTop="1">
      <c r="A44" s="114">
        <v>42</v>
      </c>
    </row>
    <row r="45" spans="1:2" ht="12">
      <c r="A45" s="114">
        <v>43</v>
      </c>
      <c r="B45" s="125" t="s">
        <v>88</v>
      </c>
    </row>
  </sheetData>
  <sheetProtection/>
  <printOptions horizontalCentered="1"/>
  <pageMargins left="0.5" right="0.53" top="0.38" bottom="0.68" header="0.17" footer="0.25"/>
  <pageSetup fitToHeight="1" fitToWidth="1" horizontalDpi="600" verticalDpi="600" orientation="landscape" r:id="rId3"/>
  <headerFooter alignWithMargins="0">
    <oddFooter>&amp;L&amp;"Times New Roman,Regular"&amp;11_____ Exhibit (Confidential) to the
Prefiled Direct Testimony of Donald E. Gaines&amp;R&amp;"Times New Roman,Regular"&amp;11Exhibit No. ___(DEG-  C)
Page &amp;P of &amp;N</oddFooter>
  </headerFooter>
  <legacyDrawing r:id="rId2"/>
</worksheet>
</file>

<file path=xl/worksheets/sheet4.xml><?xml version="1.0" encoding="utf-8"?>
<worksheet xmlns="http://schemas.openxmlformats.org/spreadsheetml/2006/main" xmlns:r="http://schemas.openxmlformats.org/officeDocument/2006/relationships">
  <dimension ref="A1:Z46"/>
  <sheetViews>
    <sheetView tabSelected="1" zoomScale="115" zoomScaleNormal="115" zoomScalePageLayoutView="0" workbookViewId="0" topLeftCell="A1">
      <pane xSplit="4" ySplit="8" topLeftCell="E9" activePane="bottomRight" state="frozen"/>
      <selection pane="topLeft" activeCell="E18" sqref="E18"/>
      <selection pane="topRight" activeCell="E18" sqref="E18"/>
      <selection pane="bottomLeft" activeCell="E18" sqref="E18"/>
      <selection pane="bottomRight" activeCell="I32" sqref="I32"/>
    </sheetView>
  </sheetViews>
  <sheetFormatPr defaultColWidth="9.140625" defaultRowHeight="12"/>
  <cols>
    <col min="1" max="1" width="3.7109375" style="88" customWidth="1"/>
    <col min="2" max="2" width="8.8515625" style="88" customWidth="1"/>
    <col min="3" max="3" width="9.7109375" style="88" customWidth="1"/>
    <col min="4" max="4" width="7.00390625" style="88" customWidth="1"/>
    <col min="5" max="5" width="6.140625" style="90" customWidth="1"/>
    <col min="6" max="6" width="7.421875" style="90" customWidth="1"/>
    <col min="7" max="7" width="8.421875" style="90" customWidth="1"/>
    <col min="8" max="8" width="7.421875" style="90" customWidth="1"/>
    <col min="9" max="9" width="9.8515625" style="90" customWidth="1"/>
    <col min="10" max="10" width="5.8515625" style="88" customWidth="1"/>
    <col min="11" max="12" width="5.7109375" style="88" customWidth="1"/>
    <col min="13" max="14" width="5.8515625" style="88" customWidth="1"/>
    <col min="15" max="15" width="5.7109375" style="88" customWidth="1"/>
    <col min="16" max="18" width="6.140625" style="88" customWidth="1"/>
    <col min="19" max="22" width="5.7109375" style="88" customWidth="1"/>
    <col min="23" max="23" width="9.28125" style="88" customWidth="1"/>
    <col min="24" max="25" width="9.140625" style="88" customWidth="1"/>
    <col min="26" max="26" width="13.28125" style="88" customWidth="1"/>
    <col min="27" max="16384" width="9.140625" style="88" customWidth="1"/>
  </cols>
  <sheetData>
    <row r="1" spans="2:9" ht="12.75">
      <c r="B1" s="477" t="s">
        <v>82</v>
      </c>
      <c r="C1" s="477"/>
      <c r="D1" s="87"/>
      <c r="E1" s="86"/>
      <c r="F1" s="86"/>
      <c r="G1" s="86"/>
      <c r="H1" s="86"/>
      <c r="I1" s="86"/>
    </row>
    <row r="2" spans="2:15" ht="14.25">
      <c r="B2" s="239" t="s">
        <v>221</v>
      </c>
      <c r="C2" s="239"/>
      <c r="D2" s="239" t="s">
        <v>232</v>
      </c>
      <c r="E2" s="239"/>
      <c r="F2" s="239"/>
      <c r="G2" s="252"/>
      <c r="H2" s="86"/>
      <c r="I2" s="375"/>
      <c r="J2" s="376"/>
      <c r="K2" s="376"/>
      <c r="L2" s="376"/>
      <c r="M2" s="376"/>
      <c r="N2" s="376"/>
      <c r="O2" s="376"/>
    </row>
    <row r="3" spans="2:9" ht="12.75">
      <c r="B3" s="239"/>
      <c r="C3" s="239"/>
      <c r="D3" s="239"/>
      <c r="E3" s="239"/>
      <c r="F3" s="253"/>
      <c r="G3" s="86"/>
      <c r="H3" s="86"/>
      <c r="I3" s="86"/>
    </row>
    <row r="4" spans="1:23" ht="12.75">
      <c r="A4" s="92">
        <v>1</v>
      </c>
      <c r="B4" s="49" t="s">
        <v>2</v>
      </c>
      <c r="C4" s="49" t="s">
        <v>20</v>
      </c>
      <c r="D4" s="49" t="s">
        <v>33</v>
      </c>
      <c r="E4" s="49" t="s">
        <v>44</v>
      </c>
      <c r="F4" s="49" t="s">
        <v>45</v>
      </c>
      <c r="G4" s="49" t="s">
        <v>46</v>
      </c>
      <c r="H4" s="49" t="s">
        <v>47</v>
      </c>
      <c r="I4" s="49" t="s">
        <v>48</v>
      </c>
      <c r="J4" s="49" t="s">
        <v>49</v>
      </c>
      <c r="K4" s="49" t="s">
        <v>55</v>
      </c>
      <c r="L4" s="49" t="s">
        <v>56</v>
      </c>
      <c r="M4" s="49" t="s">
        <v>57</v>
      </c>
      <c r="N4" s="49" t="s">
        <v>58</v>
      </c>
      <c r="O4" s="49" t="s">
        <v>59</v>
      </c>
      <c r="P4" s="49" t="s">
        <v>60</v>
      </c>
      <c r="Q4" s="49" t="s">
        <v>91</v>
      </c>
      <c r="R4" s="49" t="s">
        <v>92</v>
      </c>
      <c r="S4" s="49" t="s">
        <v>93</v>
      </c>
      <c r="T4" s="49" t="s">
        <v>94</v>
      </c>
      <c r="U4" s="49" t="s">
        <v>95</v>
      </c>
      <c r="V4" s="49" t="s">
        <v>96</v>
      </c>
      <c r="W4" s="49" t="s">
        <v>97</v>
      </c>
    </row>
    <row r="5" spans="1:23" ht="11.25" customHeight="1">
      <c r="A5" s="92">
        <f>+A4+1</f>
        <v>2</v>
      </c>
      <c r="B5" s="102"/>
      <c r="C5" s="87"/>
      <c r="D5" s="87"/>
      <c r="E5" s="86"/>
      <c r="F5" s="86"/>
      <c r="G5" s="478" t="s">
        <v>90</v>
      </c>
      <c r="H5" s="88"/>
      <c r="I5" s="88"/>
      <c r="W5" s="478" t="s">
        <v>119</v>
      </c>
    </row>
    <row r="6" spans="1:23" ht="11.25" customHeight="1">
      <c r="A6" s="92">
        <f aca="true" t="shared" si="0" ref="A6:A33">+A5+1</f>
        <v>3</v>
      </c>
      <c r="B6" s="92"/>
      <c r="C6" s="478" t="s">
        <v>224</v>
      </c>
      <c r="D6" s="92"/>
      <c r="E6" s="91"/>
      <c r="F6" s="91"/>
      <c r="G6" s="478"/>
      <c r="H6" s="88"/>
      <c r="I6" s="88"/>
      <c r="K6" s="381"/>
      <c r="L6" s="381"/>
      <c r="M6" s="381"/>
      <c r="N6" s="381"/>
      <c r="O6" s="381"/>
      <c r="P6" s="381"/>
      <c r="Q6" s="381"/>
      <c r="R6" s="381"/>
      <c r="S6" s="381"/>
      <c r="T6" s="381"/>
      <c r="U6" s="381"/>
      <c r="V6" s="381"/>
      <c r="W6" s="478"/>
    </row>
    <row r="7" spans="1:23" ht="11.25" customHeight="1">
      <c r="A7" s="92">
        <f t="shared" si="0"/>
        <v>4</v>
      </c>
      <c r="B7" s="91"/>
      <c r="C7" s="478"/>
      <c r="D7" s="94" t="s">
        <v>29</v>
      </c>
      <c r="E7" s="94" t="s">
        <v>13</v>
      </c>
      <c r="F7" s="93" t="s">
        <v>72</v>
      </c>
      <c r="G7" s="478"/>
      <c r="H7" s="478" t="s">
        <v>65</v>
      </c>
      <c r="I7" s="478" t="s">
        <v>64</v>
      </c>
      <c r="J7" s="382" t="s">
        <v>89</v>
      </c>
      <c r="K7" s="381"/>
      <c r="L7" s="381"/>
      <c r="M7" s="381"/>
      <c r="N7" s="381"/>
      <c r="O7" s="381"/>
      <c r="P7" s="381"/>
      <c r="Q7" s="381"/>
      <c r="R7" s="381"/>
      <c r="S7" s="381"/>
      <c r="T7" s="381"/>
      <c r="U7" s="381"/>
      <c r="V7" s="381"/>
      <c r="W7" s="478"/>
    </row>
    <row r="8" spans="1:23" ht="11.25" customHeight="1">
      <c r="A8" s="92">
        <f t="shared" si="0"/>
        <v>5</v>
      </c>
      <c r="B8" s="95" t="s">
        <v>73</v>
      </c>
      <c r="C8" s="479"/>
      <c r="D8" s="96" t="s">
        <v>14</v>
      </c>
      <c r="E8" s="95" t="s">
        <v>74</v>
      </c>
      <c r="F8" s="95" t="s">
        <v>74</v>
      </c>
      <c r="G8" s="479"/>
      <c r="H8" s="479"/>
      <c r="I8" s="479" t="s">
        <v>64</v>
      </c>
      <c r="J8" s="406">
        <v>41029</v>
      </c>
      <c r="K8" s="406">
        <f>+J8+31</f>
        <v>41060</v>
      </c>
      <c r="L8" s="406">
        <f>+K8+30</f>
        <v>41090</v>
      </c>
      <c r="M8" s="406">
        <f>+L8+31</f>
        <v>41121</v>
      </c>
      <c r="N8" s="406">
        <f>+M8+31</f>
        <v>41152</v>
      </c>
      <c r="O8" s="406">
        <f>+N8+30</f>
        <v>41182</v>
      </c>
      <c r="P8" s="406">
        <f>+O8+31</f>
        <v>41213</v>
      </c>
      <c r="Q8" s="406">
        <f>+P8+30</f>
        <v>41243</v>
      </c>
      <c r="R8" s="406">
        <f>+Q8+31</f>
        <v>41274</v>
      </c>
      <c r="S8" s="406">
        <f>+R8+31</f>
        <v>41305</v>
      </c>
      <c r="T8" s="406">
        <f>+S8+28</f>
        <v>41333</v>
      </c>
      <c r="U8" s="406">
        <f>+T8+31</f>
        <v>41364</v>
      </c>
      <c r="V8" s="406">
        <f>+U8+30</f>
        <v>41394</v>
      </c>
      <c r="W8" s="479"/>
    </row>
    <row r="9" spans="1:23" ht="12.75">
      <c r="A9" s="92">
        <f t="shared" si="0"/>
        <v>6</v>
      </c>
      <c r="B9" s="97" t="s">
        <v>16</v>
      </c>
      <c r="C9" s="383">
        <v>3000</v>
      </c>
      <c r="D9" s="389">
        <v>0.0683</v>
      </c>
      <c r="E9" s="385">
        <v>34199</v>
      </c>
      <c r="F9" s="385">
        <f>DATE(2013,8,19)</f>
        <v>41505</v>
      </c>
      <c r="G9" s="386">
        <v>98.81392</v>
      </c>
      <c r="H9" s="192">
        <f aca="true" t="shared" si="1" ref="H9:H19">YIELD(E9,F9,D9,G9,100,2,0)</f>
        <v>0.06940532671461713</v>
      </c>
      <c r="I9" s="83">
        <f aca="true" t="shared" si="2" ref="I9:I22">+W9*H9</f>
        <v>208215.9801438514</v>
      </c>
      <c r="J9" s="387">
        <v>3000000</v>
      </c>
      <c r="K9" s="387">
        <v>3000000</v>
      </c>
      <c r="L9" s="387">
        <v>3000000</v>
      </c>
      <c r="M9" s="387">
        <v>3000000</v>
      </c>
      <c r="N9" s="387">
        <v>3000000</v>
      </c>
      <c r="O9" s="387">
        <v>3000000</v>
      </c>
      <c r="P9" s="387">
        <v>3000000</v>
      </c>
      <c r="Q9" s="387">
        <v>3000000</v>
      </c>
      <c r="R9" s="387">
        <v>3000000</v>
      </c>
      <c r="S9" s="387">
        <v>3000000</v>
      </c>
      <c r="T9" s="387">
        <v>3000000</v>
      </c>
      <c r="U9" s="387">
        <v>3000000</v>
      </c>
      <c r="V9" s="387">
        <v>3000000</v>
      </c>
      <c r="W9" s="105">
        <f aca="true" t="shared" si="3" ref="W9:W22">ROUND(((J9+V9)+(SUM(K9:U9)*2))/24,0)</f>
        <v>3000000</v>
      </c>
    </row>
    <row r="10" spans="1:23" ht="12.75">
      <c r="A10" s="92">
        <f t="shared" si="0"/>
        <v>7</v>
      </c>
      <c r="B10" s="97" t="s">
        <v>16</v>
      </c>
      <c r="C10" s="383">
        <v>10000</v>
      </c>
      <c r="D10" s="389">
        <v>0.069</v>
      </c>
      <c r="E10" s="385">
        <v>34242</v>
      </c>
      <c r="F10" s="104">
        <f>DATE(2013,10,1)</f>
        <v>41548</v>
      </c>
      <c r="G10" s="386">
        <v>98.82208</v>
      </c>
      <c r="H10" s="192">
        <f t="shared" si="1"/>
        <v>0.07010368245000385</v>
      </c>
      <c r="I10" s="83">
        <f t="shared" si="2"/>
        <v>701036.8245000385</v>
      </c>
      <c r="J10" s="387">
        <v>10000000</v>
      </c>
      <c r="K10" s="387">
        <v>10000000</v>
      </c>
      <c r="L10" s="387">
        <v>10000000</v>
      </c>
      <c r="M10" s="387">
        <v>10000000</v>
      </c>
      <c r="N10" s="387">
        <v>10000000</v>
      </c>
      <c r="O10" s="387">
        <v>10000000</v>
      </c>
      <c r="P10" s="387">
        <v>10000000</v>
      </c>
      <c r="Q10" s="387">
        <v>10000000</v>
      </c>
      <c r="R10" s="387">
        <v>10000000</v>
      </c>
      <c r="S10" s="387">
        <v>10000000</v>
      </c>
      <c r="T10" s="387">
        <v>10000000</v>
      </c>
      <c r="U10" s="387">
        <v>10000000</v>
      </c>
      <c r="V10" s="387">
        <v>10000000</v>
      </c>
      <c r="W10" s="105">
        <f t="shared" si="3"/>
        <v>10000000</v>
      </c>
    </row>
    <row r="11" spans="1:23" ht="12.75">
      <c r="A11" s="92">
        <f t="shared" si="0"/>
        <v>8</v>
      </c>
      <c r="B11" s="97" t="s">
        <v>17</v>
      </c>
      <c r="C11" s="383">
        <v>10000</v>
      </c>
      <c r="D11" s="384">
        <v>0.0735</v>
      </c>
      <c r="E11" s="385">
        <v>34953</v>
      </c>
      <c r="F11" s="104">
        <f>DATE(2015,9,11)</f>
        <v>42258</v>
      </c>
      <c r="G11" s="386">
        <v>98.84387199999999</v>
      </c>
      <c r="H11" s="192">
        <f t="shared" si="1"/>
        <v>0.07462190157240832</v>
      </c>
      <c r="I11" s="83">
        <f t="shared" si="2"/>
        <v>746219.0157240832</v>
      </c>
      <c r="J11" s="387">
        <v>10000000</v>
      </c>
      <c r="K11" s="387">
        <v>10000000</v>
      </c>
      <c r="L11" s="387">
        <v>10000000</v>
      </c>
      <c r="M11" s="387">
        <v>10000000</v>
      </c>
      <c r="N11" s="387">
        <v>10000000</v>
      </c>
      <c r="O11" s="387">
        <v>10000000</v>
      </c>
      <c r="P11" s="387">
        <v>10000000</v>
      </c>
      <c r="Q11" s="387">
        <v>10000000</v>
      </c>
      <c r="R11" s="387">
        <v>10000000</v>
      </c>
      <c r="S11" s="387">
        <v>10000000</v>
      </c>
      <c r="T11" s="387">
        <v>10000000</v>
      </c>
      <c r="U11" s="387">
        <v>10000000</v>
      </c>
      <c r="V11" s="387">
        <v>10000000</v>
      </c>
      <c r="W11" s="105">
        <f t="shared" si="3"/>
        <v>10000000</v>
      </c>
    </row>
    <row r="12" spans="1:23" ht="12.75">
      <c r="A12" s="92">
        <f t="shared" si="0"/>
        <v>9</v>
      </c>
      <c r="B12" s="97" t="s">
        <v>17</v>
      </c>
      <c r="C12" s="383">
        <v>2000</v>
      </c>
      <c r="D12" s="384">
        <v>0.0736</v>
      </c>
      <c r="E12" s="385">
        <v>34953</v>
      </c>
      <c r="F12" s="104">
        <f>DATE(2015,9,15)</f>
        <v>42262</v>
      </c>
      <c r="G12" s="386">
        <v>98.84392</v>
      </c>
      <c r="H12" s="192">
        <f t="shared" si="1"/>
        <v>0.07472099484561184</v>
      </c>
      <c r="I12" s="83">
        <f t="shared" si="2"/>
        <v>149441.9896912237</v>
      </c>
      <c r="J12" s="387">
        <v>2000000</v>
      </c>
      <c r="K12" s="387">
        <v>2000000</v>
      </c>
      <c r="L12" s="387">
        <v>2000000</v>
      </c>
      <c r="M12" s="387">
        <v>2000000</v>
      </c>
      <c r="N12" s="387">
        <v>2000000</v>
      </c>
      <c r="O12" s="387">
        <v>2000000</v>
      </c>
      <c r="P12" s="387">
        <v>2000000</v>
      </c>
      <c r="Q12" s="387">
        <v>2000000</v>
      </c>
      <c r="R12" s="387">
        <v>2000000</v>
      </c>
      <c r="S12" s="387">
        <v>2000000</v>
      </c>
      <c r="T12" s="387">
        <v>2000000</v>
      </c>
      <c r="U12" s="387">
        <v>2000000</v>
      </c>
      <c r="V12" s="387">
        <v>2000000</v>
      </c>
      <c r="W12" s="105">
        <f t="shared" si="3"/>
        <v>2000000</v>
      </c>
    </row>
    <row r="13" spans="1:23" ht="12.75">
      <c r="A13" s="92">
        <f t="shared" si="0"/>
        <v>10</v>
      </c>
      <c r="B13" s="130" t="s">
        <v>75</v>
      </c>
      <c r="C13" s="380">
        <v>150000</v>
      </c>
      <c r="D13" s="390">
        <v>0.05197</v>
      </c>
      <c r="E13" s="391">
        <v>38637</v>
      </c>
      <c r="F13" s="392">
        <v>42278</v>
      </c>
      <c r="G13" s="386">
        <v>99.19303999333334</v>
      </c>
      <c r="H13" s="192">
        <f t="shared" si="1"/>
        <v>0.05302002314824356</v>
      </c>
      <c r="I13" s="84">
        <f t="shared" si="2"/>
        <v>7953003.472236535</v>
      </c>
      <c r="J13" s="387">
        <v>150000000</v>
      </c>
      <c r="K13" s="387">
        <v>150000000</v>
      </c>
      <c r="L13" s="387">
        <v>150000000</v>
      </c>
      <c r="M13" s="387">
        <v>150000000</v>
      </c>
      <c r="N13" s="387">
        <v>150000000</v>
      </c>
      <c r="O13" s="387">
        <v>150000000</v>
      </c>
      <c r="P13" s="387">
        <v>150000000</v>
      </c>
      <c r="Q13" s="387">
        <v>150000000</v>
      </c>
      <c r="R13" s="387">
        <v>150000000</v>
      </c>
      <c r="S13" s="387">
        <v>150000000</v>
      </c>
      <c r="T13" s="387">
        <v>150000000</v>
      </c>
      <c r="U13" s="387">
        <v>150000000</v>
      </c>
      <c r="V13" s="387">
        <v>150000000</v>
      </c>
      <c r="W13" s="105">
        <f t="shared" si="3"/>
        <v>150000000</v>
      </c>
    </row>
    <row r="14" spans="1:23" ht="12.75">
      <c r="A14" s="92">
        <f t="shared" si="0"/>
        <v>11</v>
      </c>
      <c r="B14" s="130" t="s">
        <v>75</v>
      </c>
      <c r="C14" s="380">
        <v>250000</v>
      </c>
      <c r="D14" s="390">
        <v>0.0675</v>
      </c>
      <c r="E14" s="391">
        <v>39836</v>
      </c>
      <c r="F14" s="392">
        <v>42384</v>
      </c>
      <c r="G14" s="386">
        <v>99.28</v>
      </c>
      <c r="H14" s="192">
        <f t="shared" si="1"/>
        <v>0.06881223051476065</v>
      </c>
      <c r="I14" s="84">
        <f t="shared" si="2"/>
        <v>17203057.628690165</v>
      </c>
      <c r="J14" s="387">
        <v>250000000</v>
      </c>
      <c r="K14" s="387">
        <v>250000000</v>
      </c>
      <c r="L14" s="387">
        <v>250000000</v>
      </c>
      <c r="M14" s="387">
        <v>250000000</v>
      </c>
      <c r="N14" s="387">
        <v>250000000</v>
      </c>
      <c r="O14" s="387">
        <v>250000000</v>
      </c>
      <c r="P14" s="387">
        <v>250000000</v>
      </c>
      <c r="Q14" s="387">
        <v>250000000</v>
      </c>
      <c r="R14" s="387">
        <v>250000000</v>
      </c>
      <c r="S14" s="387">
        <v>250000000</v>
      </c>
      <c r="T14" s="387">
        <v>250000000</v>
      </c>
      <c r="U14" s="387">
        <v>250000000</v>
      </c>
      <c r="V14" s="387">
        <v>250000000</v>
      </c>
      <c r="W14" s="105">
        <f t="shared" si="3"/>
        <v>250000000</v>
      </c>
    </row>
    <row r="15" spans="1:23" ht="12.75">
      <c r="A15" s="92">
        <f t="shared" si="0"/>
        <v>12</v>
      </c>
      <c r="B15" s="97" t="s">
        <v>15</v>
      </c>
      <c r="C15" s="383">
        <v>200000</v>
      </c>
      <c r="D15" s="384">
        <v>0.0674</v>
      </c>
      <c r="E15" s="385">
        <v>35961</v>
      </c>
      <c r="F15" s="104">
        <v>43266</v>
      </c>
      <c r="G15" s="386">
        <v>98.98509159000001</v>
      </c>
      <c r="H15" s="192">
        <f t="shared" si="1"/>
        <v>0.06833829494775442</v>
      </c>
      <c r="I15" s="83">
        <f t="shared" si="2"/>
        <v>13667658.989550885</v>
      </c>
      <c r="J15" s="387">
        <v>200000000</v>
      </c>
      <c r="K15" s="387">
        <v>200000000</v>
      </c>
      <c r="L15" s="387">
        <v>200000000</v>
      </c>
      <c r="M15" s="387">
        <v>200000000</v>
      </c>
      <c r="N15" s="387">
        <v>200000000</v>
      </c>
      <c r="O15" s="387">
        <v>200000000</v>
      </c>
      <c r="P15" s="387">
        <v>200000000</v>
      </c>
      <c r="Q15" s="387">
        <v>200000000</v>
      </c>
      <c r="R15" s="387">
        <v>200000000</v>
      </c>
      <c r="S15" s="387">
        <v>200000000</v>
      </c>
      <c r="T15" s="387">
        <v>200000000</v>
      </c>
      <c r="U15" s="387">
        <v>200000000</v>
      </c>
      <c r="V15" s="387">
        <v>200000000</v>
      </c>
      <c r="W15" s="105">
        <f t="shared" si="3"/>
        <v>200000000</v>
      </c>
    </row>
    <row r="16" spans="1:23" ht="12.75">
      <c r="A16" s="92">
        <f>A15+1</f>
        <v>13</v>
      </c>
      <c r="B16" s="97" t="s">
        <v>17</v>
      </c>
      <c r="C16" s="383">
        <v>15000</v>
      </c>
      <c r="D16" s="384">
        <v>0.0715</v>
      </c>
      <c r="E16" s="385">
        <v>35053</v>
      </c>
      <c r="F16" s="104">
        <f>DATE(2025,12,19)</f>
        <v>46010</v>
      </c>
      <c r="G16" s="386">
        <v>99.211912</v>
      </c>
      <c r="H16" s="192">
        <f t="shared" si="1"/>
        <v>0.07214530856958903</v>
      </c>
      <c r="I16" s="83">
        <f t="shared" si="2"/>
        <v>1082179.6285438356</v>
      </c>
      <c r="J16" s="387">
        <v>15000000</v>
      </c>
      <c r="K16" s="387">
        <v>15000000</v>
      </c>
      <c r="L16" s="387">
        <v>15000000</v>
      </c>
      <c r="M16" s="387">
        <v>15000000</v>
      </c>
      <c r="N16" s="387">
        <v>15000000</v>
      </c>
      <c r="O16" s="387">
        <v>15000000</v>
      </c>
      <c r="P16" s="387">
        <v>15000000</v>
      </c>
      <c r="Q16" s="387">
        <v>15000000</v>
      </c>
      <c r="R16" s="387">
        <v>15000000</v>
      </c>
      <c r="S16" s="387">
        <v>15000000</v>
      </c>
      <c r="T16" s="387">
        <v>15000000</v>
      </c>
      <c r="U16" s="387">
        <v>15000000</v>
      </c>
      <c r="V16" s="387">
        <v>15000000</v>
      </c>
      <c r="W16" s="105">
        <f t="shared" si="3"/>
        <v>15000000</v>
      </c>
    </row>
    <row r="17" spans="1:23" ht="12.75">
      <c r="A17" s="92">
        <f t="shared" si="0"/>
        <v>14</v>
      </c>
      <c r="B17" s="97" t="s">
        <v>17</v>
      </c>
      <c r="C17" s="383">
        <v>2000</v>
      </c>
      <c r="D17" s="384">
        <v>0.072</v>
      </c>
      <c r="E17" s="385">
        <v>35054</v>
      </c>
      <c r="F17" s="104">
        <f>DATE(2025,12,22)</f>
        <v>46013</v>
      </c>
      <c r="G17" s="386">
        <v>99.2116</v>
      </c>
      <c r="H17" s="192">
        <f t="shared" si="1"/>
        <v>0.0726487556743172</v>
      </c>
      <c r="I17" s="83">
        <f t="shared" si="2"/>
        <v>145297.51134863438</v>
      </c>
      <c r="J17" s="387">
        <v>2000000</v>
      </c>
      <c r="K17" s="387">
        <v>2000000</v>
      </c>
      <c r="L17" s="387">
        <v>2000000</v>
      </c>
      <c r="M17" s="387">
        <v>2000000</v>
      </c>
      <c r="N17" s="387">
        <v>2000000</v>
      </c>
      <c r="O17" s="387">
        <v>2000000</v>
      </c>
      <c r="P17" s="387">
        <v>2000000</v>
      </c>
      <c r="Q17" s="387">
        <v>2000000</v>
      </c>
      <c r="R17" s="387">
        <v>2000000</v>
      </c>
      <c r="S17" s="387">
        <v>2000000</v>
      </c>
      <c r="T17" s="387">
        <v>2000000</v>
      </c>
      <c r="U17" s="387">
        <v>2000000</v>
      </c>
      <c r="V17" s="387">
        <v>2000000</v>
      </c>
      <c r="W17" s="105">
        <f t="shared" si="3"/>
        <v>2000000</v>
      </c>
    </row>
    <row r="18" spans="1:23" ht="12.75">
      <c r="A18" s="92">
        <f t="shared" si="0"/>
        <v>15</v>
      </c>
      <c r="B18" s="97" t="s">
        <v>15</v>
      </c>
      <c r="C18" s="383">
        <v>300000</v>
      </c>
      <c r="D18" s="384">
        <v>0.0702</v>
      </c>
      <c r="E18" s="385">
        <v>35786</v>
      </c>
      <c r="F18" s="104">
        <f>DATE(2027,12,1)</f>
        <v>46722</v>
      </c>
      <c r="G18" s="386">
        <v>98.98573577666666</v>
      </c>
      <c r="H18" s="192">
        <f t="shared" si="1"/>
        <v>0.07101693407153808</v>
      </c>
      <c r="I18" s="83">
        <f t="shared" si="2"/>
        <v>21305080.221461426</v>
      </c>
      <c r="J18" s="387">
        <v>300000000</v>
      </c>
      <c r="K18" s="387">
        <v>300000000</v>
      </c>
      <c r="L18" s="387">
        <v>300000000</v>
      </c>
      <c r="M18" s="387">
        <v>300000000</v>
      </c>
      <c r="N18" s="387">
        <v>300000000</v>
      </c>
      <c r="O18" s="387">
        <v>300000000</v>
      </c>
      <c r="P18" s="387">
        <v>300000000</v>
      </c>
      <c r="Q18" s="387">
        <v>300000000</v>
      </c>
      <c r="R18" s="387">
        <v>300000000</v>
      </c>
      <c r="S18" s="387">
        <v>300000000</v>
      </c>
      <c r="T18" s="387">
        <v>300000000</v>
      </c>
      <c r="U18" s="387">
        <v>300000000</v>
      </c>
      <c r="V18" s="387">
        <v>300000000</v>
      </c>
      <c r="W18" s="105">
        <f t="shared" si="3"/>
        <v>300000000</v>
      </c>
    </row>
    <row r="19" spans="1:23" ht="12.75">
      <c r="A19" s="92">
        <f t="shared" si="0"/>
        <v>16</v>
      </c>
      <c r="B19" s="97" t="s">
        <v>16</v>
      </c>
      <c r="C19" s="383">
        <v>100000</v>
      </c>
      <c r="D19" s="384">
        <v>0.07</v>
      </c>
      <c r="E19" s="385">
        <v>36228</v>
      </c>
      <c r="F19" s="104">
        <v>47186</v>
      </c>
      <c r="G19" s="386">
        <v>99.04287054999999</v>
      </c>
      <c r="H19" s="192">
        <f t="shared" si="1"/>
        <v>0.07077338641641306</v>
      </c>
      <c r="I19" s="83">
        <f t="shared" si="2"/>
        <v>7077338.641641307</v>
      </c>
      <c r="J19" s="387">
        <v>100000000</v>
      </c>
      <c r="K19" s="387">
        <v>100000000</v>
      </c>
      <c r="L19" s="387">
        <v>100000000</v>
      </c>
      <c r="M19" s="387">
        <v>100000000</v>
      </c>
      <c r="N19" s="387">
        <v>100000000</v>
      </c>
      <c r="O19" s="387">
        <v>100000000</v>
      </c>
      <c r="P19" s="387">
        <v>100000000</v>
      </c>
      <c r="Q19" s="387">
        <v>100000000</v>
      </c>
      <c r="R19" s="387">
        <v>100000000</v>
      </c>
      <c r="S19" s="387">
        <v>100000000</v>
      </c>
      <c r="T19" s="387">
        <v>100000000</v>
      </c>
      <c r="U19" s="387">
        <v>100000000</v>
      </c>
      <c r="V19" s="387">
        <v>100000000</v>
      </c>
      <c r="W19" s="105">
        <f t="shared" si="3"/>
        <v>100000000</v>
      </c>
    </row>
    <row r="20" spans="1:23" ht="12.75">
      <c r="A20" s="442">
        <f t="shared" si="0"/>
        <v>17</v>
      </c>
      <c r="B20" s="443" t="s">
        <v>18</v>
      </c>
      <c r="C20" s="444">
        <v>23400</v>
      </c>
      <c r="D20" s="445">
        <v>0.051</v>
      </c>
      <c r="E20" s="446">
        <v>37691</v>
      </c>
      <c r="F20" s="447">
        <v>47908</v>
      </c>
      <c r="G20" s="448">
        <v>95.54894568376068</v>
      </c>
      <c r="H20" s="449">
        <f>YIELD(E20,F20,D20,G20,100,2,0)+(54628/22358453)</f>
        <v>0.05654793210720921</v>
      </c>
      <c r="I20" s="450">
        <f t="shared" si="2"/>
        <v>1323221.6113086955</v>
      </c>
      <c r="J20" s="451">
        <v>23400000</v>
      </c>
      <c r="K20" s="451">
        <v>23400000</v>
      </c>
      <c r="L20" s="451">
        <v>23400000</v>
      </c>
      <c r="M20" s="451">
        <v>23400000</v>
      </c>
      <c r="N20" s="451">
        <v>23400000</v>
      </c>
      <c r="O20" s="451">
        <v>23400000</v>
      </c>
      <c r="P20" s="451">
        <v>23400000</v>
      </c>
      <c r="Q20" s="451">
        <v>23400000</v>
      </c>
      <c r="R20" s="451">
        <v>23400000</v>
      </c>
      <c r="S20" s="451">
        <v>23400000</v>
      </c>
      <c r="T20" s="451">
        <v>23400000</v>
      </c>
      <c r="U20" s="451">
        <v>23400000</v>
      </c>
      <c r="V20" s="451">
        <v>23400000</v>
      </c>
      <c r="W20" s="452">
        <f t="shared" si="3"/>
        <v>23400000</v>
      </c>
    </row>
    <row r="21" spans="1:23" ht="12.75">
      <c r="A21" s="453">
        <f t="shared" si="0"/>
        <v>18</v>
      </c>
      <c r="B21" s="454" t="s">
        <v>18</v>
      </c>
      <c r="C21" s="455">
        <v>138460</v>
      </c>
      <c r="D21" s="456">
        <v>0.05</v>
      </c>
      <c r="E21" s="457">
        <v>37691</v>
      </c>
      <c r="F21" s="458">
        <v>47908</v>
      </c>
      <c r="G21" s="459">
        <v>95.54894488660986</v>
      </c>
      <c r="H21" s="460">
        <f>YIELD(E21,F21,D21,G21,100,2,0)+(309557/132297070)</f>
        <v>0.05541064625190393</v>
      </c>
      <c r="I21" s="461">
        <f t="shared" si="2"/>
        <v>7672158.080038618</v>
      </c>
      <c r="J21" s="462">
        <v>138460000</v>
      </c>
      <c r="K21" s="462">
        <v>138460000</v>
      </c>
      <c r="L21" s="462">
        <v>138460000</v>
      </c>
      <c r="M21" s="462">
        <v>138460000</v>
      </c>
      <c r="N21" s="462">
        <v>138460000</v>
      </c>
      <c r="O21" s="462">
        <v>138460000</v>
      </c>
      <c r="P21" s="462">
        <v>138460000</v>
      </c>
      <c r="Q21" s="462">
        <v>138460000</v>
      </c>
      <c r="R21" s="462">
        <v>138460000</v>
      </c>
      <c r="S21" s="462">
        <v>138460000</v>
      </c>
      <c r="T21" s="462">
        <v>138460000</v>
      </c>
      <c r="U21" s="462">
        <v>138460000</v>
      </c>
      <c r="V21" s="462">
        <v>138460000</v>
      </c>
      <c r="W21" s="463">
        <f t="shared" si="3"/>
        <v>138460000</v>
      </c>
    </row>
    <row r="22" spans="1:23" ht="12.75">
      <c r="A22" s="92">
        <f t="shared" si="0"/>
        <v>19</v>
      </c>
      <c r="B22" s="130" t="s">
        <v>75</v>
      </c>
      <c r="C22" s="380">
        <v>250000</v>
      </c>
      <c r="D22" s="131">
        <v>0.05483</v>
      </c>
      <c r="E22" s="132">
        <v>38499</v>
      </c>
      <c r="F22" s="132">
        <v>49461</v>
      </c>
      <c r="G22" s="386">
        <v>84.886606836</v>
      </c>
      <c r="H22" s="192">
        <f aca="true" t="shared" si="4" ref="H22:H31">YIELD(E22,F22,D22,G22,100,2,0)</f>
        <v>0.06652406172991969</v>
      </c>
      <c r="I22" s="84">
        <f t="shared" si="2"/>
        <v>16631015.432479922</v>
      </c>
      <c r="J22" s="387">
        <v>250000000</v>
      </c>
      <c r="K22" s="387">
        <v>250000000</v>
      </c>
      <c r="L22" s="387">
        <v>250000000</v>
      </c>
      <c r="M22" s="387">
        <v>250000000</v>
      </c>
      <c r="N22" s="387">
        <v>250000000</v>
      </c>
      <c r="O22" s="387">
        <v>250000000</v>
      </c>
      <c r="P22" s="387">
        <v>250000000</v>
      </c>
      <c r="Q22" s="387">
        <v>250000000</v>
      </c>
      <c r="R22" s="387">
        <v>250000000</v>
      </c>
      <c r="S22" s="387">
        <v>250000000</v>
      </c>
      <c r="T22" s="387">
        <v>250000000</v>
      </c>
      <c r="U22" s="387">
        <v>250000000</v>
      </c>
      <c r="V22" s="387">
        <v>250000000</v>
      </c>
      <c r="W22" s="105">
        <f t="shared" si="3"/>
        <v>250000000</v>
      </c>
    </row>
    <row r="23" spans="1:23" ht="12.75">
      <c r="A23" s="92">
        <f t="shared" si="0"/>
        <v>20</v>
      </c>
      <c r="B23" s="130" t="s">
        <v>75</v>
      </c>
      <c r="C23" s="380">
        <v>250000</v>
      </c>
      <c r="D23" s="131">
        <v>0.06724</v>
      </c>
      <c r="E23" s="132">
        <v>38898</v>
      </c>
      <c r="F23" s="132">
        <v>49841</v>
      </c>
      <c r="G23" s="386">
        <v>107.515271756</v>
      </c>
      <c r="H23" s="192">
        <f t="shared" si="4"/>
        <v>0.06170394212842038</v>
      </c>
      <c r="I23" s="84">
        <f aca="true" t="shared" si="5" ref="I23:I29">+W23*H23</f>
        <v>15425985.532105096</v>
      </c>
      <c r="J23" s="387">
        <v>250000000</v>
      </c>
      <c r="K23" s="387">
        <v>250000000</v>
      </c>
      <c r="L23" s="387">
        <v>250000000</v>
      </c>
      <c r="M23" s="387">
        <v>250000000</v>
      </c>
      <c r="N23" s="387">
        <v>250000000</v>
      </c>
      <c r="O23" s="387">
        <v>250000000</v>
      </c>
      <c r="P23" s="387">
        <v>250000000</v>
      </c>
      <c r="Q23" s="387">
        <v>250000000</v>
      </c>
      <c r="R23" s="387">
        <v>250000000</v>
      </c>
      <c r="S23" s="387">
        <v>250000000</v>
      </c>
      <c r="T23" s="387">
        <v>250000000</v>
      </c>
      <c r="U23" s="387">
        <v>250000000</v>
      </c>
      <c r="V23" s="387">
        <v>250000000</v>
      </c>
      <c r="W23" s="105">
        <f aca="true" t="shared" si="6" ref="W23:W29">ROUND(((J23+V23)+(SUM(K23:U23)*2))/24,0)</f>
        <v>250000000</v>
      </c>
    </row>
    <row r="24" spans="1:23" ht="12.75">
      <c r="A24" s="92">
        <f t="shared" si="0"/>
        <v>21</v>
      </c>
      <c r="B24" s="130" t="s">
        <v>75</v>
      </c>
      <c r="C24" s="380">
        <v>300000</v>
      </c>
      <c r="D24" s="131">
        <v>0.06274</v>
      </c>
      <c r="E24" s="132">
        <v>38978</v>
      </c>
      <c r="F24" s="132">
        <v>50114</v>
      </c>
      <c r="G24" s="386">
        <v>98.81017431</v>
      </c>
      <c r="H24" s="192">
        <f t="shared" si="4"/>
        <v>0.06362807223047615</v>
      </c>
      <c r="I24" s="84">
        <f t="shared" si="5"/>
        <v>19088421.669142842</v>
      </c>
      <c r="J24" s="387">
        <v>300000000</v>
      </c>
      <c r="K24" s="387">
        <v>300000000</v>
      </c>
      <c r="L24" s="387">
        <v>300000000</v>
      </c>
      <c r="M24" s="387">
        <v>300000000</v>
      </c>
      <c r="N24" s="387">
        <v>300000000</v>
      </c>
      <c r="O24" s="387">
        <v>300000000</v>
      </c>
      <c r="P24" s="387">
        <v>300000000</v>
      </c>
      <c r="Q24" s="387">
        <v>300000000</v>
      </c>
      <c r="R24" s="387">
        <v>300000000</v>
      </c>
      <c r="S24" s="387">
        <v>300000000</v>
      </c>
      <c r="T24" s="387">
        <v>300000000</v>
      </c>
      <c r="U24" s="387">
        <v>300000000</v>
      </c>
      <c r="V24" s="387">
        <v>300000000</v>
      </c>
      <c r="W24" s="105">
        <f t="shared" si="6"/>
        <v>300000000</v>
      </c>
    </row>
    <row r="25" spans="1:23" ht="12.75">
      <c r="A25" s="92">
        <f t="shared" si="0"/>
        <v>22</v>
      </c>
      <c r="B25" s="130" t="s">
        <v>75</v>
      </c>
      <c r="C25" s="380">
        <v>350000</v>
      </c>
      <c r="D25" s="393">
        <v>0.05757</v>
      </c>
      <c r="E25" s="394">
        <v>40067</v>
      </c>
      <c r="F25" s="394">
        <v>51058</v>
      </c>
      <c r="G25" s="395">
        <v>98.9837</v>
      </c>
      <c r="H25" s="111">
        <f t="shared" si="4"/>
        <v>0.05828565551047507</v>
      </c>
      <c r="I25" s="169">
        <f t="shared" si="5"/>
        <v>20399979.428666275</v>
      </c>
      <c r="J25" s="388">
        <v>350000000</v>
      </c>
      <c r="K25" s="388">
        <v>350000000</v>
      </c>
      <c r="L25" s="388">
        <v>350000000</v>
      </c>
      <c r="M25" s="388">
        <v>350000000</v>
      </c>
      <c r="N25" s="388">
        <v>350000000</v>
      </c>
      <c r="O25" s="388">
        <v>350000000</v>
      </c>
      <c r="P25" s="388">
        <v>350000000</v>
      </c>
      <c r="Q25" s="388">
        <v>350000000</v>
      </c>
      <c r="R25" s="388">
        <v>350000000</v>
      </c>
      <c r="S25" s="388">
        <v>350000000</v>
      </c>
      <c r="T25" s="388">
        <v>350000000</v>
      </c>
      <c r="U25" s="388">
        <v>350000000</v>
      </c>
      <c r="V25" s="388">
        <v>350000000</v>
      </c>
      <c r="W25" s="373">
        <f t="shared" si="6"/>
        <v>350000000</v>
      </c>
    </row>
    <row r="26" spans="1:23" ht="12.75">
      <c r="A26" s="92">
        <f t="shared" si="0"/>
        <v>23</v>
      </c>
      <c r="B26" s="130" t="s">
        <v>75</v>
      </c>
      <c r="C26" s="380">
        <v>325000</v>
      </c>
      <c r="D26" s="393">
        <v>0.05795</v>
      </c>
      <c r="E26" s="403">
        <v>40245</v>
      </c>
      <c r="F26" s="403">
        <v>51210</v>
      </c>
      <c r="G26" s="395">
        <v>98.96</v>
      </c>
      <c r="H26" s="111">
        <f t="shared" si="4"/>
        <v>0.05868974934036638</v>
      </c>
      <c r="I26" s="169">
        <f t="shared" si="5"/>
        <v>19074168.535619073</v>
      </c>
      <c r="J26" s="388">
        <v>325000000</v>
      </c>
      <c r="K26" s="388">
        <v>325000000</v>
      </c>
      <c r="L26" s="388">
        <v>325000000</v>
      </c>
      <c r="M26" s="388">
        <v>325000000</v>
      </c>
      <c r="N26" s="388">
        <v>325000000</v>
      </c>
      <c r="O26" s="388">
        <v>325000000</v>
      </c>
      <c r="P26" s="388">
        <v>325000000</v>
      </c>
      <c r="Q26" s="388">
        <v>325000000</v>
      </c>
      <c r="R26" s="388">
        <v>325000000</v>
      </c>
      <c r="S26" s="388">
        <v>325000000</v>
      </c>
      <c r="T26" s="388">
        <v>325000000</v>
      </c>
      <c r="U26" s="388">
        <v>325000000</v>
      </c>
      <c r="V26" s="388">
        <v>325000000</v>
      </c>
      <c r="W26" s="373">
        <f t="shared" si="6"/>
        <v>325000000</v>
      </c>
    </row>
    <row r="27" spans="1:23" ht="12.75">
      <c r="A27" s="92">
        <f t="shared" si="0"/>
        <v>24</v>
      </c>
      <c r="B27" s="408" t="s">
        <v>75</v>
      </c>
      <c r="C27" s="380">
        <v>250000</v>
      </c>
      <c r="D27" s="393">
        <f>6.86%-1.096%</f>
        <v>0.05764000000000001</v>
      </c>
      <c r="E27" s="394">
        <v>40358</v>
      </c>
      <c r="F27" s="394">
        <v>51332</v>
      </c>
      <c r="G27" s="395">
        <v>98.97</v>
      </c>
      <c r="H27" s="111">
        <f t="shared" si="4"/>
        <v>0.0583685831133215</v>
      </c>
      <c r="I27" s="169">
        <f t="shared" si="5"/>
        <v>14592145.778330375</v>
      </c>
      <c r="J27" s="387">
        <v>250000000</v>
      </c>
      <c r="K27" s="387">
        <v>250000000</v>
      </c>
      <c r="L27" s="387">
        <v>250000000</v>
      </c>
      <c r="M27" s="387">
        <v>250000000</v>
      </c>
      <c r="N27" s="387">
        <v>250000000</v>
      </c>
      <c r="O27" s="387">
        <v>250000000</v>
      </c>
      <c r="P27" s="387">
        <v>250000000</v>
      </c>
      <c r="Q27" s="387">
        <v>250000000</v>
      </c>
      <c r="R27" s="387">
        <v>250000000</v>
      </c>
      <c r="S27" s="387">
        <v>250000000</v>
      </c>
      <c r="T27" s="387">
        <v>250000000</v>
      </c>
      <c r="U27" s="387">
        <v>250000000</v>
      </c>
      <c r="V27" s="387">
        <v>250000000</v>
      </c>
      <c r="W27" s="373">
        <f t="shared" si="6"/>
        <v>250000000</v>
      </c>
    </row>
    <row r="28" spans="1:23" ht="12.75">
      <c r="A28" s="92">
        <f t="shared" si="0"/>
        <v>25</v>
      </c>
      <c r="B28" s="408" t="s">
        <v>75</v>
      </c>
      <c r="C28" s="380">
        <v>300000</v>
      </c>
      <c r="D28" s="409">
        <v>0.05638</v>
      </c>
      <c r="E28" s="410">
        <v>40627</v>
      </c>
      <c r="F28" s="411">
        <v>51606</v>
      </c>
      <c r="G28" s="395">
        <v>98.945</v>
      </c>
      <c r="H28" s="111">
        <f t="shared" si="4"/>
        <v>0.057115729191407956</v>
      </c>
      <c r="I28" s="169">
        <f t="shared" si="5"/>
        <v>17134718.757422388</v>
      </c>
      <c r="J28" s="387">
        <v>300000000</v>
      </c>
      <c r="K28" s="387">
        <v>300000000</v>
      </c>
      <c r="L28" s="387">
        <v>300000000</v>
      </c>
      <c r="M28" s="387">
        <v>300000000</v>
      </c>
      <c r="N28" s="387">
        <v>300000000</v>
      </c>
      <c r="O28" s="387">
        <v>300000000</v>
      </c>
      <c r="P28" s="387">
        <v>300000000</v>
      </c>
      <c r="Q28" s="387">
        <v>300000000</v>
      </c>
      <c r="R28" s="387">
        <v>300000000</v>
      </c>
      <c r="S28" s="387">
        <v>300000000</v>
      </c>
      <c r="T28" s="387">
        <v>300000000</v>
      </c>
      <c r="U28" s="387">
        <v>300000000</v>
      </c>
      <c r="V28" s="387">
        <v>300000000</v>
      </c>
      <c r="W28" s="373">
        <f t="shared" si="6"/>
        <v>300000000</v>
      </c>
    </row>
    <row r="29" spans="1:23" ht="12.75">
      <c r="A29" s="92">
        <f t="shared" si="0"/>
        <v>26</v>
      </c>
      <c r="B29" s="130" t="s">
        <v>120</v>
      </c>
      <c r="C29" s="380">
        <v>250000</v>
      </c>
      <c r="D29" s="131">
        <v>0.06974</v>
      </c>
      <c r="E29" s="132">
        <v>39237</v>
      </c>
      <c r="F29" s="132">
        <v>42887</v>
      </c>
      <c r="G29" s="386">
        <v>98.2268</v>
      </c>
      <c r="H29" s="192">
        <f t="shared" si="4"/>
        <v>0.07226088639342501</v>
      </c>
      <c r="I29" s="84">
        <f t="shared" si="5"/>
        <v>18065221.598356254</v>
      </c>
      <c r="J29" s="387">
        <v>250000000</v>
      </c>
      <c r="K29" s="387">
        <v>250000000</v>
      </c>
      <c r="L29" s="387">
        <v>250000000</v>
      </c>
      <c r="M29" s="387">
        <v>250000000</v>
      </c>
      <c r="N29" s="387">
        <v>250000000</v>
      </c>
      <c r="O29" s="387">
        <v>250000000</v>
      </c>
      <c r="P29" s="387">
        <v>250000000</v>
      </c>
      <c r="Q29" s="387">
        <v>250000000</v>
      </c>
      <c r="R29" s="387">
        <v>250000000</v>
      </c>
      <c r="S29" s="387">
        <v>250000000</v>
      </c>
      <c r="T29" s="387">
        <v>250000000</v>
      </c>
      <c r="U29" s="387">
        <v>250000000</v>
      </c>
      <c r="V29" s="387">
        <v>250000000</v>
      </c>
      <c r="W29" s="105">
        <f t="shared" si="6"/>
        <v>250000000</v>
      </c>
    </row>
    <row r="30" spans="1:23" ht="12.75">
      <c r="A30" s="92">
        <f t="shared" si="0"/>
        <v>27</v>
      </c>
      <c r="B30" s="441" t="s">
        <v>75</v>
      </c>
      <c r="C30" s="380">
        <v>250000</v>
      </c>
      <c r="D30" s="393">
        <v>0.04434</v>
      </c>
      <c r="E30" s="394">
        <v>40862</v>
      </c>
      <c r="F30" s="394">
        <v>51820</v>
      </c>
      <c r="G30" s="395">
        <v>98.96</v>
      </c>
      <c r="H30" s="111">
        <f t="shared" si="4"/>
        <v>0.04497494795779782</v>
      </c>
      <c r="I30" s="169">
        <f>+W30*H30</f>
        <v>11243736.989449454</v>
      </c>
      <c r="J30" s="388">
        <v>250000000</v>
      </c>
      <c r="K30" s="388">
        <v>250000000</v>
      </c>
      <c r="L30" s="388">
        <v>250000000</v>
      </c>
      <c r="M30" s="388">
        <v>250000000</v>
      </c>
      <c r="N30" s="388">
        <v>250000000</v>
      </c>
      <c r="O30" s="388">
        <v>250000000</v>
      </c>
      <c r="P30" s="388">
        <v>250000000</v>
      </c>
      <c r="Q30" s="388">
        <v>250000000</v>
      </c>
      <c r="R30" s="388">
        <v>250000000</v>
      </c>
      <c r="S30" s="388">
        <v>250000000</v>
      </c>
      <c r="T30" s="388">
        <v>250000000</v>
      </c>
      <c r="U30" s="388">
        <v>250000000</v>
      </c>
      <c r="V30" s="388">
        <v>250000000</v>
      </c>
      <c r="W30" s="373">
        <f>ROUND(((J30+V30)+(SUM(K30:U30)*2))/24,0)</f>
        <v>250000000</v>
      </c>
    </row>
    <row r="31" spans="1:23" ht="12.75">
      <c r="A31" s="92">
        <f t="shared" si="0"/>
        <v>28</v>
      </c>
      <c r="B31" s="441" t="s">
        <v>75</v>
      </c>
      <c r="C31" s="380">
        <v>45000</v>
      </c>
      <c r="D31" s="393">
        <v>0.047</v>
      </c>
      <c r="E31" s="394">
        <v>40869</v>
      </c>
      <c r="F31" s="394">
        <v>55472</v>
      </c>
      <c r="G31" s="395">
        <f>100-1.5</f>
        <v>98.5</v>
      </c>
      <c r="H31" s="111">
        <f t="shared" si="4"/>
        <v>0.047844751292528805</v>
      </c>
      <c r="I31" s="169">
        <f>+W31*H31</f>
        <v>2153013.808163796</v>
      </c>
      <c r="J31" s="388">
        <v>45000000</v>
      </c>
      <c r="K31" s="388">
        <v>45000000</v>
      </c>
      <c r="L31" s="388">
        <v>45000000</v>
      </c>
      <c r="M31" s="388">
        <v>45000000</v>
      </c>
      <c r="N31" s="388">
        <v>45000000</v>
      </c>
      <c r="O31" s="388">
        <v>45000000</v>
      </c>
      <c r="P31" s="388">
        <v>45000000</v>
      </c>
      <c r="Q31" s="388">
        <v>45000000</v>
      </c>
      <c r="R31" s="388">
        <v>45000000</v>
      </c>
      <c r="S31" s="388">
        <v>45000000</v>
      </c>
      <c r="T31" s="388">
        <v>45000000</v>
      </c>
      <c r="U31" s="388">
        <v>45000000</v>
      </c>
      <c r="V31" s="388">
        <v>45000000</v>
      </c>
      <c r="W31" s="440">
        <f>ROUND(((J31+V31)+(SUM(K31:U31)*2))/24,0)</f>
        <v>45000000</v>
      </c>
    </row>
    <row r="32" spans="1:23" ht="12.75">
      <c r="A32" s="92">
        <f t="shared" si="0"/>
        <v>29</v>
      </c>
      <c r="C32" s="396"/>
      <c r="E32" s="103"/>
      <c r="G32" s="229" t="s">
        <v>122</v>
      </c>
      <c r="H32" s="397"/>
      <c r="I32" s="169">
        <f>+'ATTACH B_Cost of LTD - New PCBs'!I32</f>
        <v>1586065.51</v>
      </c>
      <c r="J32" s="398"/>
      <c r="K32" s="398"/>
      <c r="L32" s="398"/>
      <c r="M32" s="399"/>
      <c r="N32" s="398"/>
      <c r="P32" s="89"/>
      <c r="Q32" s="89"/>
      <c r="R32" s="89"/>
      <c r="S32" s="89"/>
      <c r="T32" s="89"/>
      <c r="U32" s="89"/>
      <c r="V32" s="89"/>
      <c r="W32" s="105"/>
    </row>
    <row r="33" spans="1:26" ht="13.5" thickBot="1">
      <c r="A33" s="92">
        <f t="shared" si="0"/>
        <v>30</v>
      </c>
      <c r="B33" s="439" t="s">
        <v>227</v>
      </c>
      <c r="C33" s="231"/>
      <c r="D33" s="92"/>
      <c r="E33" s="104"/>
      <c r="F33" s="104"/>
      <c r="G33" s="152" t="s">
        <v>111</v>
      </c>
      <c r="H33" s="464">
        <f>+I33/W33</f>
        <v>0.06217198906017042</v>
      </c>
      <c r="I33" s="333">
        <f aca="true" t="shared" si="7" ref="I33:W33">SUM(I9:I32)</f>
        <v>234628382.63461474</v>
      </c>
      <c r="J33" s="400">
        <f t="shared" si="7"/>
        <v>3773860000</v>
      </c>
      <c r="K33" s="400">
        <f t="shared" si="7"/>
        <v>3773860000</v>
      </c>
      <c r="L33" s="400">
        <f t="shared" si="7"/>
        <v>3773860000</v>
      </c>
      <c r="M33" s="400">
        <f t="shared" si="7"/>
        <v>3773860000</v>
      </c>
      <c r="N33" s="400">
        <f t="shared" si="7"/>
        <v>3773860000</v>
      </c>
      <c r="O33" s="400">
        <f t="shared" si="7"/>
        <v>3773860000</v>
      </c>
      <c r="P33" s="401">
        <f t="shared" si="7"/>
        <v>3773860000</v>
      </c>
      <c r="Q33" s="401">
        <f t="shared" si="7"/>
        <v>3773860000</v>
      </c>
      <c r="R33" s="401">
        <f t="shared" si="7"/>
        <v>3773860000</v>
      </c>
      <c r="S33" s="401">
        <f t="shared" si="7"/>
        <v>3773860000</v>
      </c>
      <c r="T33" s="401">
        <f t="shared" si="7"/>
        <v>3773860000</v>
      </c>
      <c r="U33" s="401">
        <f t="shared" si="7"/>
        <v>3773860000</v>
      </c>
      <c r="V33" s="401">
        <f t="shared" si="7"/>
        <v>3773860000</v>
      </c>
      <c r="W33" s="374">
        <f t="shared" si="7"/>
        <v>3773860000</v>
      </c>
      <c r="Z33" s="230"/>
    </row>
    <row r="34" spans="2:26" ht="13.5" thickTop="1">
      <c r="B34" s="92"/>
      <c r="C34" s="98"/>
      <c r="D34" s="92"/>
      <c r="E34" s="104"/>
      <c r="F34" s="104"/>
      <c r="G34" s="99"/>
      <c r="H34" s="404"/>
      <c r="I34" s="405"/>
      <c r="J34" s="402"/>
      <c r="K34" s="402"/>
      <c r="L34" s="402"/>
      <c r="M34" s="402"/>
      <c r="N34" s="402"/>
      <c r="O34" s="402"/>
      <c r="P34" s="402"/>
      <c r="Q34" s="402"/>
      <c r="R34" s="402"/>
      <c r="S34" s="402"/>
      <c r="T34" s="402"/>
      <c r="U34" s="402"/>
      <c r="V34" s="402"/>
      <c r="W34" s="377"/>
      <c r="Z34" s="230"/>
    </row>
    <row r="35" spans="1:23" ht="12.75">
      <c r="A35" s="113" t="s">
        <v>222</v>
      </c>
      <c r="C35" s="89"/>
      <c r="J35" s="415"/>
      <c r="K35" s="415"/>
      <c r="L35" s="415"/>
      <c r="M35" s="415"/>
      <c r="N35" s="415"/>
      <c r="O35" s="415"/>
      <c r="P35" s="415"/>
      <c r="Q35" s="415"/>
      <c r="R35" s="415"/>
      <c r="S35" s="415"/>
      <c r="T35" s="415"/>
      <c r="U35" s="415"/>
      <c r="V35" s="415"/>
      <c r="W35" s="254"/>
    </row>
    <row r="36" spans="1:23" ht="12.75">
      <c r="A36" s="113" t="s">
        <v>121</v>
      </c>
      <c r="C36" s="89"/>
      <c r="J36" s="432"/>
      <c r="K36" s="433"/>
      <c r="L36" s="433"/>
      <c r="M36" s="433"/>
      <c r="N36" s="433"/>
      <c r="O36" s="433"/>
      <c r="P36" s="433"/>
      <c r="Q36" s="433"/>
      <c r="R36" s="433"/>
      <c r="S36" s="433"/>
      <c r="T36" s="433"/>
      <c r="U36" s="433"/>
      <c r="V36" s="433"/>
      <c r="W36" s="434"/>
    </row>
    <row r="37" spans="1:23" ht="12.75">
      <c r="A37" s="113" t="s">
        <v>100</v>
      </c>
      <c r="C37" s="89"/>
      <c r="J37" s="432"/>
      <c r="K37" s="435"/>
      <c r="L37" s="435"/>
      <c r="M37" s="435"/>
      <c r="N37" s="435"/>
      <c r="O37" s="435"/>
      <c r="P37" s="435"/>
      <c r="Q37" s="435"/>
      <c r="R37" s="435"/>
      <c r="S37" s="435"/>
      <c r="T37" s="435"/>
      <c r="U37" s="435"/>
      <c r="V37" s="436"/>
      <c r="W37" s="435"/>
    </row>
    <row r="38" spans="1:22" ht="12.75">
      <c r="A38" s="151" t="s">
        <v>225</v>
      </c>
      <c r="V38" s="105"/>
    </row>
    <row r="39" spans="2:22" ht="15.75" customHeight="1">
      <c r="B39" s="163"/>
      <c r="I39" s="407"/>
      <c r="V39" s="105"/>
    </row>
    <row r="40" spans="7:23" ht="12.75">
      <c r="G40" s="135"/>
      <c r="H40" s="133"/>
      <c r="I40" s="407"/>
      <c r="W40" s="342"/>
    </row>
    <row r="42" spans="7:8" ht="12.75">
      <c r="G42" s="135"/>
      <c r="H42" s="133"/>
    </row>
    <row r="43" spans="8:9" ht="12.75">
      <c r="H43" s="133"/>
      <c r="I43" s="265"/>
    </row>
    <row r="44" spans="8:9" ht="12.75">
      <c r="H44" s="133"/>
      <c r="I44" s="265"/>
    </row>
    <row r="45" ht="12.75">
      <c r="H45" s="133"/>
    </row>
    <row r="46" ht="12.75">
      <c r="H46" s="133"/>
    </row>
  </sheetData>
  <sheetProtection/>
  <mergeCells count="6">
    <mergeCell ref="B1:C1"/>
    <mergeCell ref="C6:C8"/>
    <mergeCell ref="W5:W8"/>
    <mergeCell ref="H7:H8"/>
    <mergeCell ref="I7:I8"/>
    <mergeCell ref="G5:G8"/>
  </mergeCells>
  <printOptions horizontalCentered="1"/>
  <pageMargins left="0.28" right="0.25" top="0.61" bottom="0.77" header="0.27" footer="0.27"/>
  <pageSetup horizontalDpi="600" verticalDpi="600" orientation="landscape" scale="95" r:id="rId1"/>
  <headerFooter alignWithMargins="0">
    <oddFooter>&amp;R&amp;"Times New Roman,Regular"&amp;10Attachment A, Bench Request 002</oddFooter>
  </headerFooter>
</worksheet>
</file>

<file path=xl/worksheets/sheet5.xml><?xml version="1.0" encoding="utf-8"?>
<worksheet xmlns="http://schemas.openxmlformats.org/spreadsheetml/2006/main" xmlns:r="http://schemas.openxmlformats.org/officeDocument/2006/relationships">
  <dimension ref="A1:Z60"/>
  <sheetViews>
    <sheetView view="pageBreakPreview" zoomScale="130" zoomScaleNormal="130" zoomScaleSheetLayoutView="130" zoomScalePageLayoutView="0" workbookViewId="0" topLeftCell="A1">
      <pane xSplit="4" ySplit="8" topLeftCell="E16" activePane="bottomRight" state="frozen"/>
      <selection pane="topLeft" activeCell="E18" sqref="E18"/>
      <selection pane="topRight" activeCell="E18" sqref="E18"/>
      <selection pane="bottomLeft" activeCell="E18" sqref="E18"/>
      <selection pane="bottomRight" activeCell="I32" sqref="I32"/>
    </sheetView>
  </sheetViews>
  <sheetFormatPr defaultColWidth="9.140625" defaultRowHeight="12"/>
  <cols>
    <col min="1" max="1" width="3.7109375" style="88" customWidth="1"/>
    <col min="2" max="2" width="8.8515625" style="88" customWidth="1"/>
    <col min="3" max="3" width="9.7109375" style="88" customWidth="1"/>
    <col min="4" max="4" width="7.00390625" style="88" customWidth="1"/>
    <col min="5" max="5" width="6.140625" style="90" customWidth="1"/>
    <col min="6" max="6" width="7.421875" style="90" customWidth="1"/>
    <col min="7" max="7" width="8.421875" style="90" customWidth="1"/>
    <col min="8" max="8" width="7.421875" style="90" customWidth="1"/>
    <col min="9" max="9" width="11.00390625" style="90" customWidth="1"/>
    <col min="10" max="10" width="5.8515625" style="88" customWidth="1"/>
    <col min="11" max="12" width="5.7109375" style="88" customWidth="1"/>
    <col min="13" max="14" width="5.8515625" style="88" customWidth="1"/>
    <col min="15" max="15" width="5.7109375" style="88" customWidth="1"/>
    <col min="16" max="18" width="6.140625" style="88" customWidth="1"/>
    <col min="19" max="22" width="5.7109375" style="88" customWidth="1"/>
    <col min="23" max="23" width="9.28125" style="88" customWidth="1"/>
    <col min="24" max="25" width="9.140625" style="88" customWidth="1"/>
    <col min="26" max="26" width="13.28125" style="88" customWidth="1"/>
    <col min="27" max="16384" width="9.140625" style="88" customWidth="1"/>
  </cols>
  <sheetData>
    <row r="1" spans="2:9" ht="12.75">
      <c r="B1" s="477" t="s">
        <v>82</v>
      </c>
      <c r="C1" s="477"/>
      <c r="D1" s="87"/>
      <c r="E1" s="86"/>
      <c r="F1" s="86"/>
      <c r="G1" s="86"/>
      <c r="H1" s="86"/>
      <c r="I1" s="86"/>
    </row>
    <row r="2" spans="2:15" ht="14.25">
      <c r="B2" s="239" t="s">
        <v>221</v>
      </c>
      <c r="C2" s="239"/>
      <c r="D2" s="239" t="s">
        <v>233</v>
      </c>
      <c r="E2" s="239"/>
      <c r="F2" s="239"/>
      <c r="G2" s="252"/>
      <c r="H2" s="86"/>
      <c r="I2" s="375"/>
      <c r="J2" s="376"/>
      <c r="K2" s="376"/>
      <c r="L2" s="376"/>
      <c r="M2" s="376"/>
      <c r="N2" s="376"/>
      <c r="O2" s="376"/>
    </row>
    <row r="3" spans="2:9" ht="12.75">
      <c r="B3" s="239"/>
      <c r="C3" s="239"/>
      <c r="D3" s="239"/>
      <c r="E3" s="239"/>
      <c r="F3" s="253"/>
      <c r="G3" s="86"/>
      <c r="H3" s="86"/>
      <c r="I3" s="86"/>
    </row>
    <row r="4" spans="1:23" ht="12.75">
      <c r="A4" s="92">
        <v>1</v>
      </c>
      <c r="B4" s="49" t="s">
        <v>2</v>
      </c>
      <c r="C4" s="49" t="s">
        <v>20</v>
      </c>
      <c r="D4" s="49" t="s">
        <v>33</v>
      </c>
      <c r="E4" s="49" t="s">
        <v>44</v>
      </c>
      <c r="F4" s="49" t="s">
        <v>45</v>
      </c>
      <c r="G4" s="49" t="s">
        <v>46</v>
      </c>
      <c r="H4" s="49" t="s">
        <v>47</v>
      </c>
      <c r="I4" s="49" t="s">
        <v>48</v>
      </c>
      <c r="J4" s="49" t="s">
        <v>49</v>
      </c>
      <c r="K4" s="49" t="s">
        <v>55</v>
      </c>
      <c r="L4" s="49" t="s">
        <v>56</v>
      </c>
      <c r="M4" s="49" t="s">
        <v>57</v>
      </c>
      <c r="N4" s="49" t="s">
        <v>58</v>
      </c>
      <c r="O4" s="49" t="s">
        <v>59</v>
      </c>
      <c r="P4" s="49" t="s">
        <v>60</v>
      </c>
      <c r="Q4" s="49" t="s">
        <v>91</v>
      </c>
      <c r="R4" s="49" t="s">
        <v>92</v>
      </c>
      <c r="S4" s="49" t="s">
        <v>93</v>
      </c>
      <c r="T4" s="49" t="s">
        <v>94</v>
      </c>
      <c r="U4" s="49" t="s">
        <v>95</v>
      </c>
      <c r="V4" s="49" t="s">
        <v>96</v>
      </c>
      <c r="W4" s="49" t="s">
        <v>97</v>
      </c>
    </row>
    <row r="5" spans="1:23" ht="11.25" customHeight="1">
      <c r="A5" s="92">
        <f aca="true" t="shared" si="0" ref="A5:A32">+A4+1</f>
        <v>2</v>
      </c>
      <c r="B5" s="102"/>
      <c r="C5" s="87"/>
      <c r="D5" s="87"/>
      <c r="E5" s="86"/>
      <c r="F5" s="86"/>
      <c r="G5" s="478" t="s">
        <v>90</v>
      </c>
      <c r="H5" s="88"/>
      <c r="I5" s="88"/>
      <c r="W5" s="478" t="s">
        <v>119</v>
      </c>
    </row>
    <row r="6" spans="1:23" ht="11.25" customHeight="1">
      <c r="A6" s="92">
        <f t="shared" si="0"/>
        <v>3</v>
      </c>
      <c r="B6" s="92"/>
      <c r="C6" s="478" t="s">
        <v>224</v>
      </c>
      <c r="D6" s="92"/>
      <c r="E6" s="91"/>
      <c r="F6" s="91"/>
      <c r="G6" s="478"/>
      <c r="H6" s="88"/>
      <c r="I6" s="88"/>
      <c r="K6" s="381"/>
      <c r="L6" s="381"/>
      <c r="M6" s="381"/>
      <c r="N6" s="381"/>
      <c r="O6" s="381"/>
      <c r="P6" s="381"/>
      <c r="Q6" s="381"/>
      <c r="R6" s="381"/>
      <c r="S6" s="381"/>
      <c r="T6" s="381"/>
      <c r="U6" s="381"/>
      <c r="V6" s="381"/>
      <c r="W6" s="478"/>
    </row>
    <row r="7" spans="1:23" ht="11.25" customHeight="1">
      <c r="A7" s="92">
        <f t="shared" si="0"/>
        <v>4</v>
      </c>
      <c r="B7" s="91"/>
      <c r="C7" s="478"/>
      <c r="D7" s="94" t="s">
        <v>29</v>
      </c>
      <c r="E7" s="94" t="s">
        <v>13</v>
      </c>
      <c r="F7" s="93" t="s">
        <v>72</v>
      </c>
      <c r="G7" s="478"/>
      <c r="H7" s="478" t="s">
        <v>242</v>
      </c>
      <c r="I7" s="478" t="s">
        <v>64</v>
      </c>
      <c r="J7" s="382" t="s">
        <v>89</v>
      </c>
      <c r="K7" s="381"/>
      <c r="L7" s="381"/>
      <c r="M7" s="381"/>
      <c r="N7" s="381"/>
      <c r="O7" s="381"/>
      <c r="P7" s="381"/>
      <c r="Q7" s="381"/>
      <c r="R7" s="381"/>
      <c r="S7" s="381"/>
      <c r="T7" s="381"/>
      <c r="U7" s="381"/>
      <c r="V7" s="381"/>
      <c r="W7" s="478"/>
    </row>
    <row r="8" spans="1:23" ht="11.25" customHeight="1">
      <c r="A8" s="92">
        <f t="shared" si="0"/>
        <v>5</v>
      </c>
      <c r="B8" s="95" t="s">
        <v>73</v>
      </c>
      <c r="C8" s="479"/>
      <c r="D8" s="96" t="s">
        <v>14</v>
      </c>
      <c r="E8" s="95" t="s">
        <v>74</v>
      </c>
      <c r="F8" s="95" t="s">
        <v>74</v>
      </c>
      <c r="G8" s="479"/>
      <c r="H8" s="479"/>
      <c r="I8" s="479" t="s">
        <v>64</v>
      </c>
      <c r="J8" s="406">
        <v>41029</v>
      </c>
      <c r="K8" s="406">
        <f>+J8+31</f>
        <v>41060</v>
      </c>
      <c r="L8" s="406">
        <f>+K8+30</f>
        <v>41090</v>
      </c>
      <c r="M8" s="406">
        <f>+L8+31</f>
        <v>41121</v>
      </c>
      <c r="N8" s="406">
        <f>+M8+31</f>
        <v>41152</v>
      </c>
      <c r="O8" s="406">
        <f>+N8+30</f>
        <v>41182</v>
      </c>
      <c r="P8" s="406">
        <f>+O8+31</f>
        <v>41213</v>
      </c>
      <c r="Q8" s="406">
        <f>+P8+30</f>
        <v>41243</v>
      </c>
      <c r="R8" s="406">
        <f>+Q8+31</f>
        <v>41274</v>
      </c>
      <c r="S8" s="406">
        <f>+R8+31</f>
        <v>41305</v>
      </c>
      <c r="T8" s="406">
        <f>+S8+28</f>
        <v>41333</v>
      </c>
      <c r="U8" s="406">
        <f>+T8+31</f>
        <v>41364</v>
      </c>
      <c r="V8" s="406">
        <f>+U8+30</f>
        <v>41394</v>
      </c>
      <c r="W8" s="479"/>
    </row>
    <row r="9" spans="1:23" ht="12.75">
      <c r="A9" s="92">
        <f t="shared" si="0"/>
        <v>6</v>
      </c>
      <c r="B9" s="97" t="s">
        <v>16</v>
      </c>
      <c r="C9" s="383">
        <v>3000</v>
      </c>
      <c r="D9" s="389">
        <v>0.0683</v>
      </c>
      <c r="E9" s="385">
        <v>34199</v>
      </c>
      <c r="F9" s="385">
        <f>DATE(2013,8,19)</f>
        <v>41505</v>
      </c>
      <c r="G9" s="386">
        <v>98.81392</v>
      </c>
      <c r="H9" s="192">
        <f aca="true" t="shared" si="1" ref="H9:H31">YIELD(E9,F9,D9,G9,100,2,0)</f>
        <v>0.06940532671461713</v>
      </c>
      <c r="I9" s="83">
        <f aca="true" t="shared" si="2" ref="I9:I31">+W9*H9</f>
        <v>208215.9801438514</v>
      </c>
      <c r="J9" s="387">
        <v>3000000</v>
      </c>
      <c r="K9" s="387">
        <v>3000000</v>
      </c>
      <c r="L9" s="387">
        <v>3000000</v>
      </c>
      <c r="M9" s="387">
        <v>3000000</v>
      </c>
      <c r="N9" s="387">
        <v>3000000</v>
      </c>
      <c r="O9" s="387">
        <v>3000000</v>
      </c>
      <c r="P9" s="387">
        <v>3000000</v>
      </c>
      <c r="Q9" s="387">
        <v>3000000</v>
      </c>
      <c r="R9" s="387">
        <v>3000000</v>
      </c>
      <c r="S9" s="387">
        <v>3000000</v>
      </c>
      <c r="T9" s="387">
        <v>3000000</v>
      </c>
      <c r="U9" s="387">
        <v>3000000</v>
      </c>
      <c r="V9" s="387">
        <v>3000000</v>
      </c>
      <c r="W9" s="105">
        <f aca="true" t="shared" si="3" ref="W9:W31">ROUND(((J9+V9)+(SUM(K9:U9)*2))/24,0)</f>
        <v>3000000</v>
      </c>
    </row>
    <row r="10" spans="1:23" ht="12.75">
      <c r="A10" s="92">
        <f t="shared" si="0"/>
        <v>7</v>
      </c>
      <c r="B10" s="97" t="s">
        <v>16</v>
      </c>
      <c r="C10" s="383">
        <v>10000</v>
      </c>
      <c r="D10" s="389">
        <v>0.069</v>
      </c>
      <c r="E10" s="385">
        <v>34242</v>
      </c>
      <c r="F10" s="104">
        <f>DATE(2013,10,1)</f>
        <v>41548</v>
      </c>
      <c r="G10" s="386">
        <v>98.82208</v>
      </c>
      <c r="H10" s="192">
        <f t="shared" si="1"/>
        <v>0.07010368245000385</v>
      </c>
      <c r="I10" s="83">
        <f t="shared" si="2"/>
        <v>701036.8245000385</v>
      </c>
      <c r="J10" s="387">
        <v>10000000</v>
      </c>
      <c r="K10" s="387">
        <v>10000000</v>
      </c>
      <c r="L10" s="387">
        <v>10000000</v>
      </c>
      <c r="M10" s="387">
        <v>10000000</v>
      </c>
      <c r="N10" s="387">
        <v>10000000</v>
      </c>
      <c r="O10" s="387">
        <v>10000000</v>
      </c>
      <c r="P10" s="387">
        <v>10000000</v>
      </c>
      <c r="Q10" s="387">
        <v>10000000</v>
      </c>
      <c r="R10" s="387">
        <v>10000000</v>
      </c>
      <c r="S10" s="387">
        <v>10000000</v>
      </c>
      <c r="T10" s="387">
        <v>10000000</v>
      </c>
      <c r="U10" s="387">
        <v>10000000</v>
      </c>
      <c r="V10" s="387">
        <v>10000000</v>
      </c>
      <c r="W10" s="105">
        <f t="shared" si="3"/>
        <v>10000000</v>
      </c>
    </row>
    <row r="11" spans="1:23" ht="12.75">
      <c r="A11" s="92">
        <f t="shared" si="0"/>
        <v>8</v>
      </c>
      <c r="B11" s="97" t="s">
        <v>17</v>
      </c>
      <c r="C11" s="383">
        <v>10000</v>
      </c>
      <c r="D11" s="384">
        <v>0.0735</v>
      </c>
      <c r="E11" s="385">
        <v>34953</v>
      </c>
      <c r="F11" s="104">
        <f>DATE(2015,9,11)</f>
        <v>42258</v>
      </c>
      <c r="G11" s="386">
        <v>98.84387199999999</v>
      </c>
      <c r="H11" s="192">
        <f t="shared" si="1"/>
        <v>0.07462190157240832</v>
      </c>
      <c r="I11" s="83">
        <f t="shared" si="2"/>
        <v>746219.0157240832</v>
      </c>
      <c r="J11" s="387">
        <v>10000000</v>
      </c>
      <c r="K11" s="387">
        <v>10000000</v>
      </c>
      <c r="L11" s="387">
        <v>10000000</v>
      </c>
      <c r="M11" s="387">
        <v>10000000</v>
      </c>
      <c r="N11" s="387">
        <v>10000000</v>
      </c>
      <c r="O11" s="387">
        <v>10000000</v>
      </c>
      <c r="P11" s="387">
        <v>10000000</v>
      </c>
      <c r="Q11" s="387">
        <v>10000000</v>
      </c>
      <c r="R11" s="387">
        <v>10000000</v>
      </c>
      <c r="S11" s="387">
        <v>10000000</v>
      </c>
      <c r="T11" s="387">
        <v>10000000</v>
      </c>
      <c r="U11" s="387">
        <v>10000000</v>
      </c>
      <c r="V11" s="387">
        <v>10000000</v>
      </c>
      <c r="W11" s="105">
        <f t="shared" si="3"/>
        <v>10000000</v>
      </c>
    </row>
    <row r="12" spans="1:23" ht="12.75">
      <c r="A12" s="92">
        <f t="shared" si="0"/>
        <v>9</v>
      </c>
      <c r="B12" s="97" t="s">
        <v>17</v>
      </c>
      <c r="C12" s="383">
        <v>2000</v>
      </c>
      <c r="D12" s="384">
        <v>0.0736</v>
      </c>
      <c r="E12" s="385">
        <v>34953</v>
      </c>
      <c r="F12" s="104">
        <f>DATE(2015,9,15)</f>
        <v>42262</v>
      </c>
      <c r="G12" s="386">
        <v>98.84392</v>
      </c>
      <c r="H12" s="192">
        <f t="shared" si="1"/>
        <v>0.07472099484561184</v>
      </c>
      <c r="I12" s="83">
        <f t="shared" si="2"/>
        <v>149441.9896912237</v>
      </c>
      <c r="J12" s="387">
        <v>2000000</v>
      </c>
      <c r="K12" s="387">
        <v>2000000</v>
      </c>
      <c r="L12" s="387">
        <v>2000000</v>
      </c>
      <c r="M12" s="387">
        <v>2000000</v>
      </c>
      <c r="N12" s="387">
        <v>2000000</v>
      </c>
      <c r="O12" s="387">
        <v>2000000</v>
      </c>
      <c r="P12" s="387">
        <v>2000000</v>
      </c>
      <c r="Q12" s="387">
        <v>2000000</v>
      </c>
      <c r="R12" s="387">
        <v>2000000</v>
      </c>
      <c r="S12" s="387">
        <v>2000000</v>
      </c>
      <c r="T12" s="387">
        <v>2000000</v>
      </c>
      <c r="U12" s="387">
        <v>2000000</v>
      </c>
      <c r="V12" s="387">
        <v>2000000</v>
      </c>
      <c r="W12" s="105">
        <f t="shared" si="3"/>
        <v>2000000</v>
      </c>
    </row>
    <row r="13" spans="1:23" ht="12.75">
      <c r="A13" s="92">
        <f t="shared" si="0"/>
        <v>10</v>
      </c>
      <c r="B13" s="130" t="s">
        <v>75</v>
      </c>
      <c r="C13" s="380">
        <v>150000</v>
      </c>
      <c r="D13" s="390">
        <v>0.05197</v>
      </c>
      <c r="E13" s="391">
        <v>38637</v>
      </c>
      <c r="F13" s="392">
        <v>42278</v>
      </c>
      <c r="G13" s="386">
        <v>99.19303999333334</v>
      </c>
      <c r="H13" s="192">
        <f t="shared" si="1"/>
        <v>0.05302002314824356</v>
      </c>
      <c r="I13" s="84">
        <f t="shared" si="2"/>
        <v>7953003.472236535</v>
      </c>
      <c r="J13" s="387">
        <v>150000000</v>
      </c>
      <c r="K13" s="387">
        <v>150000000</v>
      </c>
      <c r="L13" s="387">
        <v>150000000</v>
      </c>
      <c r="M13" s="387">
        <v>150000000</v>
      </c>
      <c r="N13" s="387">
        <v>150000000</v>
      </c>
      <c r="O13" s="387">
        <v>150000000</v>
      </c>
      <c r="P13" s="387">
        <v>150000000</v>
      </c>
      <c r="Q13" s="387">
        <v>150000000</v>
      </c>
      <c r="R13" s="387">
        <v>150000000</v>
      </c>
      <c r="S13" s="387">
        <v>150000000</v>
      </c>
      <c r="T13" s="387">
        <v>150000000</v>
      </c>
      <c r="U13" s="387">
        <v>150000000</v>
      </c>
      <c r="V13" s="387">
        <v>150000000</v>
      </c>
      <c r="W13" s="105">
        <f t="shared" si="3"/>
        <v>150000000</v>
      </c>
    </row>
    <row r="14" spans="1:23" ht="12.75">
      <c r="A14" s="92">
        <f t="shared" si="0"/>
        <v>11</v>
      </c>
      <c r="B14" s="130" t="s">
        <v>75</v>
      </c>
      <c r="C14" s="380">
        <v>250000</v>
      </c>
      <c r="D14" s="390">
        <v>0.0675</v>
      </c>
      <c r="E14" s="391">
        <v>39836</v>
      </c>
      <c r="F14" s="392">
        <v>42384</v>
      </c>
      <c r="G14" s="386">
        <v>99.28</v>
      </c>
      <c r="H14" s="192">
        <f t="shared" si="1"/>
        <v>0.06881223051476065</v>
      </c>
      <c r="I14" s="84">
        <f t="shared" si="2"/>
        <v>17203057.628690165</v>
      </c>
      <c r="J14" s="387">
        <v>250000000</v>
      </c>
      <c r="K14" s="387">
        <v>250000000</v>
      </c>
      <c r="L14" s="387">
        <v>250000000</v>
      </c>
      <c r="M14" s="387">
        <v>250000000</v>
      </c>
      <c r="N14" s="387">
        <v>250000000</v>
      </c>
      <c r="O14" s="387">
        <v>250000000</v>
      </c>
      <c r="P14" s="387">
        <v>250000000</v>
      </c>
      <c r="Q14" s="387">
        <v>250000000</v>
      </c>
      <c r="R14" s="387">
        <v>250000000</v>
      </c>
      <c r="S14" s="387">
        <v>250000000</v>
      </c>
      <c r="T14" s="387">
        <v>250000000</v>
      </c>
      <c r="U14" s="387">
        <v>250000000</v>
      </c>
      <c r="V14" s="387">
        <v>250000000</v>
      </c>
      <c r="W14" s="105">
        <f t="shared" si="3"/>
        <v>250000000</v>
      </c>
    </row>
    <row r="15" spans="1:23" ht="12.75">
      <c r="A15" s="92">
        <f t="shared" si="0"/>
        <v>12</v>
      </c>
      <c r="B15" s="97" t="s">
        <v>15</v>
      </c>
      <c r="C15" s="383">
        <v>200000</v>
      </c>
      <c r="D15" s="384">
        <v>0.0674</v>
      </c>
      <c r="E15" s="385">
        <v>35961</v>
      </c>
      <c r="F15" s="104">
        <v>43266</v>
      </c>
      <c r="G15" s="386">
        <v>98.98509159000001</v>
      </c>
      <c r="H15" s="192">
        <f t="shared" si="1"/>
        <v>0.06833829494775442</v>
      </c>
      <c r="I15" s="83">
        <f t="shared" si="2"/>
        <v>13667658.989550885</v>
      </c>
      <c r="J15" s="387">
        <v>200000000</v>
      </c>
      <c r="K15" s="387">
        <v>200000000</v>
      </c>
      <c r="L15" s="387">
        <v>200000000</v>
      </c>
      <c r="M15" s="387">
        <v>200000000</v>
      </c>
      <c r="N15" s="387">
        <v>200000000</v>
      </c>
      <c r="O15" s="387">
        <v>200000000</v>
      </c>
      <c r="P15" s="387">
        <v>200000000</v>
      </c>
      <c r="Q15" s="387">
        <v>200000000</v>
      </c>
      <c r="R15" s="387">
        <v>200000000</v>
      </c>
      <c r="S15" s="387">
        <v>200000000</v>
      </c>
      <c r="T15" s="387">
        <v>200000000</v>
      </c>
      <c r="U15" s="387">
        <v>200000000</v>
      </c>
      <c r="V15" s="387">
        <v>200000000</v>
      </c>
      <c r="W15" s="105">
        <f t="shared" si="3"/>
        <v>200000000</v>
      </c>
    </row>
    <row r="16" spans="1:23" ht="12.75">
      <c r="A16" s="92">
        <f>A15+1</f>
        <v>13</v>
      </c>
      <c r="B16" s="97" t="s">
        <v>17</v>
      </c>
      <c r="C16" s="383">
        <v>15000</v>
      </c>
      <c r="D16" s="384">
        <v>0.0715</v>
      </c>
      <c r="E16" s="385">
        <v>35053</v>
      </c>
      <c r="F16" s="104">
        <f>DATE(2025,12,19)</f>
        <v>46010</v>
      </c>
      <c r="G16" s="386">
        <v>99.211912</v>
      </c>
      <c r="H16" s="192">
        <f t="shared" si="1"/>
        <v>0.07214530856958903</v>
      </c>
      <c r="I16" s="83">
        <f t="shared" si="2"/>
        <v>1082179.6285438356</v>
      </c>
      <c r="J16" s="387">
        <v>15000000</v>
      </c>
      <c r="K16" s="387">
        <v>15000000</v>
      </c>
      <c r="L16" s="387">
        <v>15000000</v>
      </c>
      <c r="M16" s="387">
        <v>15000000</v>
      </c>
      <c r="N16" s="387">
        <v>15000000</v>
      </c>
      <c r="O16" s="387">
        <v>15000000</v>
      </c>
      <c r="P16" s="387">
        <v>15000000</v>
      </c>
      <c r="Q16" s="387">
        <v>15000000</v>
      </c>
      <c r="R16" s="387">
        <v>15000000</v>
      </c>
      <c r="S16" s="387">
        <v>15000000</v>
      </c>
      <c r="T16" s="387">
        <v>15000000</v>
      </c>
      <c r="U16" s="387">
        <v>15000000</v>
      </c>
      <c r="V16" s="387">
        <v>15000000</v>
      </c>
      <c r="W16" s="105">
        <f t="shared" si="3"/>
        <v>15000000</v>
      </c>
    </row>
    <row r="17" spans="1:23" ht="12.75">
      <c r="A17" s="92">
        <f t="shared" si="0"/>
        <v>14</v>
      </c>
      <c r="B17" s="97" t="s">
        <v>17</v>
      </c>
      <c r="C17" s="383">
        <v>2000</v>
      </c>
      <c r="D17" s="384">
        <v>0.072</v>
      </c>
      <c r="E17" s="385">
        <v>35054</v>
      </c>
      <c r="F17" s="104">
        <f>DATE(2025,12,22)</f>
        <v>46013</v>
      </c>
      <c r="G17" s="386">
        <v>99.2116</v>
      </c>
      <c r="H17" s="192">
        <f t="shared" si="1"/>
        <v>0.0726487556743172</v>
      </c>
      <c r="I17" s="83">
        <f t="shared" si="2"/>
        <v>145297.51134863438</v>
      </c>
      <c r="J17" s="387">
        <v>2000000</v>
      </c>
      <c r="K17" s="387">
        <v>2000000</v>
      </c>
      <c r="L17" s="387">
        <v>2000000</v>
      </c>
      <c r="M17" s="387">
        <v>2000000</v>
      </c>
      <c r="N17" s="387">
        <v>2000000</v>
      </c>
      <c r="O17" s="387">
        <v>2000000</v>
      </c>
      <c r="P17" s="387">
        <v>2000000</v>
      </c>
      <c r="Q17" s="387">
        <v>2000000</v>
      </c>
      <c r="R17" s="387">
        <v>2000000</v>
      </c>
      <c r="S17" s="387">
        <v>2000000</v>
      </c>
      <c r="T17" s="387">
        <v>2000000</v>
      </c>
      <c r="U17" s="387">
        <v>2000000</v>
      </c>
      <c r="V17" s="387">
        <v>2000000</v>
      </c>
      <c r="W17" s="105">
        <f t="shared" si="3"/>
        <v>2000000</v>
      </c>
    </row>
    <row r="18" spans="1:23" ht="12.75">
      <c r="A18" s="92">
        <f t="shared" si="0"/>
        <v>15</v>
      </c>
      <c r="B18" s="97" t="s">
        <v>15</v>
      </c>
      <c r="C18" s="383">
        <v>300000</v>
      </c>
      <c r="D18" s="384">
        <v>0.0702</v>
      </c>
      <c r="E18" s="385">
        <v>35786</v>
      </c>
      <c r="F18" s="104">
        <f>DATE(2027,12,1)</f>
        <v>46722</v>
      </c>
      <c r="G18" s="386">
        <v>98.98573577666666</v>
      </c>
      <c r="H18" s="192">
        <f t="shared" si="1"/>
        <v>0.07101693407153808</v>
      </c>
      <c r="I18" s="83">
        <f t="shared" si="2"/>
        <v>21305080.221461426</v>
      </c>
      <c r="J18" s="387">
        <v>300000000</v>
      </c>
      <c r="K18" s="387">
        <v>300000000</v>
      </c>
      <c r="L18" s="387">
        <v>300000000</v>
      </c>
      <c r="M18" s="387">
        <v>300000000</v>
      </c>
      <c r="N18" s="387">
        <v>300000000</v>
      </c>
      <c r="O18" s="387">
        <v>300000000</v>
      </c>
      <c r="P18" s="387">
        <v>300000000</v>
      </c>
      <c r="Q18" s="387">
        <v>300000000</v>
      </c>
      <c r="R18" s="387">
        <v>300000000</v>
      </c>
      <c r="S18" s="387">
        <v>300000000</v>
      </c>
      <c r="T18" s="387">
        <v>300000000</v>
      </c>
      <c r="U18" s="387">
        <v>300000000</v>
      </c>
      <c r="V18" s="387">
        <v>300000000</v>
      </c>
      <c r="W18" s="105">
        <f t="shared" si="3"/>
        <v>300000000</v>
      </c>
    </row>
    <row r="19" spans="1:23" ht="12.75">
      <c r="A19" s="92">
        <f t="shared" si="0"/>
        <v>16</v>
      </c>
      <c r="B19" s="97" t="s">
        <v>16</v>
      </c>
      <c r="C19" s="383">
        <v>100000</v>
      </c>
      <c r="D19" s="384">
        <v>0.07</v>
      </c>
      <c r="E19" s="385">
        <v>36228</v>
      </c>
      <c r="F19" s="104">
        <v>47186</v>
      </c>
      <c r="G19" s="386">
        <v>99.04287054999999</v>
      </c>
      <c r="H19" s="192">
        <f t="shared" si="1"/>
        <v>0.07077338641641306</v>
      </c>
      <c r="I19" s="83">
        <f t="shared" si="2"/>
        <v>7077338.641641307</v>
      </c>
      <c r="J19" s="387">
        <v>100000000</v>
      </c>
      <c r="K19" s="387">
        <v>100000000</v>
      </c>
      <c r="L19" s="387">
        <v>100000000</v>
      </c>
      <c r="M19" s="387">
        <v>100000000</v>
      </c>
      <c r="N19" s="387">
        <v>100000000</v>
      </c>
      <c r="O19" s="387">
        <v>100000000</v>
      </c>
      <c r="P19" s="387">
        <v>100000000</v>
      </c>
      <c r="Q19" s="387">
        <v>100000000</v>
      </c>
      <c r="R19" s="387">
        <v>100000000</v>
      </c>
      <c r="S19" s="387">
        <v>100000000</v>
      </c>
      <c r="T19" s="387">
        <v>100000000</v>
      </c>
      <c r="U19" s="387">
        <v>100000000</v>
      </c>
      <c r="V19" s="387">
        <v>100000000</v>
      </c>
      <c r="W19" s="105">
        <f t="shared" si="3"/>
        <v>100000000</v>
      </c>
    </row>
    <row r="20" spans="1:23" ht="12.75">
      <c r="A20" s="442">
        <f t="shared" si="0"/>
        <v>17</v>
      </c>
      <c r="B20" s="443" t="s">
        <v>18</v>
      </c>
      <c r="C20" s="444">
        <v>23400</v>
      </c>
      <c r="D20" s="445">
        <v>0.04</v>
      </c>
      <c r="E20" s="446">
        <v>41423</v>
      </c>
      <c r="F20" s="447">
        <v>47908</v>
      </c>
      <c r="G20" s="448">
        <v>98.85</v>
      </c>
      <c r="H20" s="449">
        <f t="shared" si="1"/>
        <v>0.04091345804908873</v>
      </c>
      <c r="I20" s="450">
        <f t="shared" si="2"/>
        <v>957374.9183486763</v>
      </c>
      <c r="J20" s="451">
        <v>23400000</v>
      </c>
      <c r="K20" s="451">
        <v>23400000</v>
      </c>
      <c r="L20" s="451">
        <v>23400000</v>
      </c>
      <c r="M20" s="451">
        <v>23400000</v>
      </c>
      <c r="N20" s="451">
        <v>23400000</v>
      </c>
      <c r="O20" s="451">
        <v>23400000</v>
      </c>
      <c r="P20" s="451">
        <v>23400000</v>
      </c>
      <c r="Q20" s="451">
        <v>23400000</v>
      </c>
      <c r="R20" s="451">
        <v>23400000</v>
      </c>
      <c r="S20" s="451">
        <v>23400000</v>
      </c>
      <c r="T20" s="451">
        <v>23400000</v>
      </c>
      <c r="U20" s="451">
        <v>23400000</v>
      </c>
      <c r="V20" s="451">
        <v>23400000</v>
      </c>
      <c r="W20" s="452">
        <f t="shared" si="3"/>
        <v>23400000</v>
      </c>
    </row>
    <row r="21" spans="1:23" ht="12.75">
      <c r="A21" s="453">
        <f t="shared" si="0"/>
        <v>18</v>
      </c>
      <c r="B21" s="454" t="s">
        <v>18</v>
      </c>
      <c r="C21" s="455">
        <v>138460</v>
      </c>
      <c r="D21" s="456">
        <v>0.039</v>
      </c>
      <c r="E21" s="457">
        <v>41423</v>
      </c>
      <c r="F21" s="458">
        <v>47908</v>
      </c>
      <c r="G21" s="459">
        <v>98.85</v>
      </c>
      <c r="H21" s="460">
        <f t="shared" si="1"/>
        <v>0.03990639097174319</v>
      </c>
      <c r="I21" s="461">
        <f t="shared" si="2"/>
        <v>5525438.893947562</v>
      </c>
      <c r="J21" s="462">
        <v>138460000</v>
      </c>
      <c r="K21" s="462">
        <v>138460000</v>
      </c>
      <c r="L21" s="462">
        <v>138460000</v>
      </c>
      <c r="M21" s="462">
        <v>138460000</v>
      </c>
      <c r="N21" s="462">
        <v>138460000</v>
      </c>
      <c r="O21" s="462">
        <v>138460000</v>
      </c>
      <c r="P21" s="462">
        <v>138460000</v>
      </c>
      <c r="Q21" s="462">
        <v>138460000</v>
      </c>
      <c r="R21" s="462">
        <v>138460000</v>
      </c>
      <c r="S21" s="462">
        <v>138460000</v>
      </c>
      <c r="T21" s="462">
        <v>138460000</v>
      </c>
      <c r="U21" s="462">
        <v>138460000</v>
      </c>
      <c r="V21" s="462">
        <v>138460000</v>
      </c>
      <c r="W21" s="463">
        <f t="shared" si="3"/>
        <v>138460000</v>
      </c>
    </row>
    <row r="22" spans="1:23" ht="12.75">
      <c r="A22" s="92">
        <f t="shared" si="0"/>
        <v>19</v>
      </c>
      <c r="B22" s="130" t="s">
        <v>75</v>
      </c>
      <c r="C22" s="380">
        <v>250000</v>
      </c>
      <c r="D22" s="131">
        <v>0.05483</v>
      </c>
      <c r="E22" s="132">
        <v>38499</v>
      </c>
      <c r="F22" s="132">
        <v>49461</v>
      </c>
      <c r="G22" s="386">
        <v>84.886606836</v>
      </c>
      <c r="H22" s="192">
        <f t="shared" si="1"/>
        <v>0.06652406172991969</v>
      </c>
      <c r="I22" s="84">
        <f t="shared" si="2"/>
        <v>16631015.432479922</v>
      </c>
      <c r="J22" s="387">
        <v>250000000</v>
      </c>
      <c r="K22" s="387">
        <v>250000000</v>
      </c>
      <c r="L22" s="387">
        <v>250000000</v>
      </c>
      <c r="M22" s="387">
        <v>250000000</v>
      </c>
      <c r="N22" s="387">
        <v>250000000</v>
      </c>
      <c r="O22" s="387">
        <v>250000000</v>
      </c>
      <c r="P22" s="387">
        <v>250000000</v>
      </c>
      <c r="Q22" s="387">
        <v>250000000</v>
      </c>
      <c r="R22" s="387">
        <v>250000000</v>
      </c>
      <c r="S22" s="387">
        <v>250000000</v>
      </c>
      <c r="T22" s="387">
        <v>250000000</v>
      </c>
      <c r="U22" s="387">
        <v>250000000</v>
      </c>
      <c r="V22" s="387">
        <v>250000000</v>
      </c>
      <c r="W22" s="105">
        <f t="shared" si="3"/>
        <v>250000000</v>
      </c>
    </row>
    <row r="23" spans="1:23" ht="12.75">
      <c r="A23" s="92">
        <f t="shared" si="0"/>
        <v>20</v>
      </c>
      <c r="B23" s="130" t="s">
        <v>75</v>
      </c>
      <c r="C23" s="380">
        <v>250000</v>
      </c>
      <c r="D23" s="131">
        <v>0.06724</v>
      </c>
      <c r="E23" s="132">
        <v>38898</v>
      </c>
      <c r="F23" s="132">
        <v>49841</v>
      </c>
      <c r="G23" s="386">
        <v>107.515271756</v>
      </c>
      <c r="H23" s="192">
        <f t="shared" si="1"/>
        <v>0.06170394212842038</v>
      </c>
      <c r="I23" s="84">
        <f t="shared" si="2"/>
        <v>15425985.532105096</v>
      </c>
      <c r="J23" s="387">
        <v>250000000</v>
      </c>
      <c r="K23" s="387">
        <v>250000000</v>
      </c>
      <c r="L23" s="387">
        <v>250000000</v>
      </c>
      <c r="M23" s="387">
        <v>250000000</v>
      </c>
      <c r="N23" s="387">
        <v>250000000</v>
      </c>
      <c r="O23" s="387">
        <v>250000000</v>
      </c>
      <c r="P23" s="387">
        <v>250000000</v>
      </c>
      <c r="Q23" s="387">
        <v>250000000</v>
      </c>
      <c r="R23" s="387">
        <v>250000000</v>
      </c>
      <c r="S23" s="387">
        <v>250000000</v>
      </c>
      <c r="T23" s="387">
        <v>250000000</v>
      </c>
      <c r="U23" s="387">
        <v>250000000</v>
      </c>
      <c r="V23" s="387">
        <v>250000000</v>
      </c>
      <c r="W23" s="105">
        <f t="shared" si="3"/>
        <v>250000000</v>
      </c>
    </row>
    <row r="24" spans="1:23" ht="12.75">
      <c r="A24" s="92">
        <f t="shared" si="0"/>
        <v>21</v>
      </c>
      <c r="B24" s="130" t="s">
        <v>75</v>
      </c>
      <c r="C24" s="380">
        <v>300000</v>
      </c>
      <c r="D24" s="131">
        <v>0.06274</v>
      </c>
      <c r="E24" s="132">
        <v>38978</v>
      </c>
      <c r="F24" s="132">
        <v>50114</v>
      </c>
      <c r="G24" s="386">
        <v>98.81017431</v>
      </c>
      <c r="H24" s="192">
        <f t="shared" si="1"/>
        <v>0.06362807223047615</v>
      </c>
      <c r="I24" s="84">
        <f t="shared" si="2"/>
        <v>19088421.669142842</v>
      </c>
      <c r="J24" s="387">
        <v>300000000</v>
      </c>
      <c r="K24" s="387">
        <v>300000000</v>
      </c>
      <c r="L24" s="387">
        <v>300000000</v>
      </c>
      <c r="M24" s="387">
        <v>300000000</v>
      </c>
      <c r="N24" s="387">
        <v>300000000</v>
      </c>
      <c r="O24" s="387">
        <v>300000000</v>
      </c>
      <c r="P24" s="387">
        <v>300000000</v>
      </c>
      <c r="Q24" s="387">
        <v>300000000</v>
      </c>
      <c r="R24" s="387">
        <v>300000000</v>
      </c>
      <c r="S24" s="387">
        <v>300000000</v>
      </c>
      <c r="T24" s="387">
        <v>300000000</v>
      </c>
      <c r="U24" s="387">
        <v>300000000</v>
      </c>
      <c r="V24" s="387">
        <v>300000000</v>
      </c>
      <c r="W24" s="105">
        <f t="shared" si="3"/>
        <v>300000000</v>
      </c>
    </row>
    <row r="25" spans="1:23" ht="12.75">
      <c r="A25" s="92">
        <f t="shared" si="0"/>
        <v>22</v>
      </c>
      <c r="B25" s="130" t="s">
        <v>75</v>
      </c>
      <c r="C25" s="380">
        <v>350000</v>
      </c>
      <c r="D25" s="393">
        <v>0.05757</v>
      </c>
      <c r="E25" s="394">
        <v>40067</v>
      </c>
      <c r="F25" s="394">
        <v>51058</v>
      </c>
      <c r="G25" s="395">
        <v>98.9837</v>
      </c>
      <c r="H25" s="111">
        <f t="shared" si="1"/>
        <v>0.05828565551047507</v>
      </c>
      <c r="I25" s="169">
        <f t="shared" si="2"/>
        <v>20399979.428666275</v>
      </c>
      <c r="J25" s="388">
        <v>350000000</v>
      </c>
      <c r="K25" s="388">
        <v>350000000</v>
      </c>
      <c r="L25" s="388">
        <v>350000000</v>
      </c>
      <c r="M25" s="388">
        <v>350000000</v>
      </c>
      <c r="N25" s="388">
        <v>350000000</v>
      </c>
      <c r="O25" s="388">
        <v>350000000</v>
      </c>
      <c r="P25" s="388">
        <v>350000000</v>
      </c>
      <c r="Q25" s="388">
        <v>350000000</v>
      </c>
      <c r="R25" s="388">
        <v>350000000</v>
      </c>
      <c r="S25" s="388">
        <v>350000000</v>
      </c>
      <c r="T25" s="388">
        <v>350000000</v>
      </c>
      <c r="U25" s="388">
        <v>350000000</v>
      </c>
      <c r="V25" s="388">
        <v>350000000</v>
      </c>
      <c r="W25" s="373">
        <f t="shared" si="3"/>
        <v>350000000</v>
      </c>
    </row>
    <row r="26" spans="1:23" ht="12.75">
      <c r="A26" s="92">
        <f t="shared" si="0"/>
        <v>23</v>
      </c>
      <c r="B26" s="130" t="s">
        <v>75</v>
      </c>
      <c r="C26" s="380">
        <v>325000</v>
      </c>
      <c r="D26" s="393">
        <v>0.05795</v>
      </c>
      <c r="E26" s="403">
        <v>40245</v>
      </c>
      <c r="F26" s="403">
        <v>51210</v>
      </c>
      <c r="G26" s="395">
        <v>98.96</v>
      </c>
      <c r="H26" s="111">
        <f t="shared" si="1"/>
        <v>0.05868974934036638</v>
      </c>
      <c r="I26" s="169">
        <f t="shared" si="2"/>
        <v>19074168.535619073</v>
      </c>
      <c r="J26" s="388">
        <v>325000000</v>
      </c>
      <c r="K26" s="388">
        <v>325000000</v>
      </c>
      <c r="L26" s="388">
        <v>325000000</v>
      </c>
      <c r="M26" s="388">
        <v>325000000</v>
      </c>
      <c r="N26" s="388">
        <v>325000000</v>
      </c>
      <c r="O26" s="388">
        <v>325000000</v>
      </c>
      <c r="P26" s="388">
        <v>325000000</v>
      </c>
      <c r="Q26" s="388">
        <v>325000000</v>
      </c>
      <c r="R26" s="388">
        <v>325000000</v>
      </c>
      <c r="S26" s="388">
        <v>325000000</v>
      </c>
      <c r="T26" s="388">
        <v>325000000</v>
      </c>
      <c r="U26" s="388">
        <v>325000000</v>
      </c>
      <c r="V26" s="388">
        <v>325000000</v>
      </c>
      <c r="W26" s="373">
        <f t="shared" si="3"/>
        <v>325000000</v>
      </c>
    </row>
    <row r="27" spans="1:23" ht="12.75">
      <c r="A27" s="92">
        <f t="shared" si="0"/>
        <v>24</v>
      </c>
      <c r="B27" s="408" t="s">
        <v>75</v>
      </c>
      <c r="C27" s="380">
        <v>250000</v>
      </c>
      <c r="D27" s="393">
        <f>6.86%-1.096%</f>
        <v>0.05764000000000001</v>
      </c>
      <c r="E27" s="394">
        <v>40358</v>
      </c>
      <c r="F27" s="394">
        <v>51332</v>
      </c>
      <c r="G27" s="395">
        <v>98.97</v>
      </c>
      <c r="H27" s="111">
        <f t="shared" si="1"/>
        <v>0.0583685831133215</v>
      </c>
      <c r="I27" s="169">
        <f t="shared" si="2"/>
        <v>14592145.778330375</v>
      </c>
      <c r="J27" s="387">
        <v>250000000</v>
      </c>
      <c r="K27" s="387">
        <v>250000000</v>
      </c>
      <c r="L27" s="387">
        <v>250000000</v>
      </c>
      <c r="M27" s="387">
        <v>250000000</v>
      </c>
      <c r="N27" s="387">
        <v>250000000</v>
      </c>
      <c r="O27" s="387">
        <v>250000000</v>
      </c>
      <c r="P27" s="387">
        <v>250000000</v>
      </c>
      <c r="Q27" s="387">
        <v>250000000</v>
      </c>
      <c r="R27" s="387">
        <v>250000000</v>
      </c>
      <c r="S27" s="387">
        <v>250000000</v>
      </c>
      <c r="T27" s="387">
        <v>250000000</v>
      </c>
      <c r="U27" s="387">
        <v>250000000</v>
      </c>
      <c r="V27" s="387">
        <v>250000000</v>
      </c>
      <c r="W27" s="373">
        <f t="shared" si="3"/>
        <v>250000000</v>
      </c>
    </row>
    <row r="28" spans="1:23" ht="12.75">
      <c r="A28" s="92">
        <f t="shared" si="0"/>
        <v>25</v>
      </c>
      <c r="B28" s="408" t="s">
        <v>75</v>
      </c>
      <c r="C28" s="380">
        <v>300000</v>
      </c>
      <c r="D28" s="409">
        <v>0.05638</v>
      </c>
      <c r="E28" s="410">
        <v>40627</v>
      </c>
      <c r="F28" s="411">
        <v>51606</v>
      </c>
      <c r="G28" s="395">
        <v>98.945</v>
      </c>
      <c r="H28" s="111">
        <f t="shared" si="1"/>
        <v>0.057115729191407956</v>
      </c>
      <c r="I28" s="169">
        <f t="shared" si="2"/>
        <v>17134718.757422388</v>
      </c>
      <c r="J28" s="387">
        <v>300000000</v>
      </c>
      <c r="K28" s="387">
        <v>300000000</v>
      </c>
      <c r="L28" s="387">
        <v>300000000</v>
      </c>
      <c r="M28" s="387">
        <v>300000000</v>
      </c>
      <c r="N28" s="387">
        <v>300000000</v>
      </c>
      <c r="O28" s="387">
        <v>300000000</v>
      </c>
      <c r="P28" s="387">
        <v>300000000</v>
      </c>
      <c r="Q28" s="387">
        <v>300000000</v>
      </c>
      <c r="R28" s="387">
        <v>300000000</v>
      </c>
      <c r="S28" s="387">
        <v>300000000</v>
      </c>
      <c r="T28" s="387">
        <v>300000000</v>
      </c>
      <c r="U28" s="387">
        <v>300000000</v>
      </c>
      <c r="V28" s="387">
        <v>300000000</v>
      </c>
      <c r="W28" s="373">
        <f t="shared" si="3"/>
        <v>300000000</v>
      </c>
    </row>
    <row r="29" spans="1:23" ht="12.75">
      <c r="A29" s="92">
        <f t="shared" si="0"/>
        <v>26</v>
      </c>
      <c r="B29" s="130" t="s">
        <v>120</v>
      </c>
      <c r="C29" s="380">
        <v>250000</v>
      </c>
      <c r="D29" s="131">
        <v>0.06974</v>
      </c>
      <c r="E29" s="132">
        <v>39237</v>
      </c>
      <c r="F29" s="132">
        <v>42887</v>
      </c>
      <c r="G29" s="386">
        <v>98.2268</v>
      </c>
      <c r="H29" s="192">
        <f t="shared" si="1"/>
        <v>0.07226088639342501</v>
      </c>
      <c r="I29" s="84">
        <f t="shared" si="2"/>
        <v>18065221.598356254</v>
      </c>
      <c r="J29" s="387">
        <v>250000000</v>
      </c>
      <c r="K29" s="387">
        <v>250000000</v>
      </c>
      <c r="L29" s="387">
        <v>250000000</v>
      </c>
      <c r="M29" s="387">
        <v>250000000</v>
      </c>
      <c r="N29" s="387">
        <v>250000000</v>
      </c>
      <c r="O29" s="387">
        <v>250000000</v>
      </c>
      <c r="P29" s="387">
        <v>250000000</v>
      </c>
      <c r="Q29" s="387">
        <v>250000000</v>
      </c>
      <c r="R29" s="387">
        <v>250000000</v>
      </c>
      <c r="S29" s="387">
        <v>250000000</v>
      </c>
      <c r="T29" s="387">
        <v>250000000</v>
      </c>
      <c r="U29" s="387">
        <v>250000000</v>
      </c>
      <c r="V29" s="387">
        <v>250000000</v>
      </c>
      <c r="W29" s="105">
        <f t="shared" si="3"/>
        <v>250000000</v>
      </c>
    </row>
    <row r="30" spans="1:23" ht="12.75">
      <c r="A30" s="92">
        <f t="shared" si="0"/>
        <v>27</v>
      </c>
      <c r="B30" s="441" t="s">
        <v>75</v>
      </c>
      <c r="C30" s="380">
        <v>250000</v>
      </c>
      <c r="D30" s="393">
        <v>0.04434</v>
      </c>
      <c r="E30" s="394">
        <v>40862</v>
      </c>
      <c r="F30" s="394">
        <v>51820</v>
      </c>
      <c r="G30" s="395">
        <v>98.96</v>
      </c>
      <c r="H30" s="111">
        <f t="shared" si="1"/>
        <v>0.04497494795779782</v>
      </c>
      <c r="I30" s="169">
        <f t="shared" si="2"/>
        <v>11243736.989449454</v>
      </c>
      <c r="J30" s="388">
        <v>250000000</v>
      </c>
      <c r="K30" s="388">
        <v>250000000</v>
      </c>
      <c r="L30" s="388">
        <v>250000000</v>
      </c>
      <c r="M30" s="388">
        <v>250000000</v>
      </c>
      <c r="N30" s="388">
        <v>250000000</v>
      </c>
      <c r="O30" s="388">
        <v>250000000</v>
      </c>
      <c r="P30" s="388">
        <v>250000000</v>
      </c>
      <c r="Q30" s="388">
        <v>250000000</v>
      </c>
      <c r="R30" s="388">
        <v>250000000</v>
      </c>
      <c r="S30" s="388">
        <v>250000000</v>
      </c>
      <c r="T30" s="388">
        <v>250000000</v>
      </c>
      <c r="U30" s="388">
        <v>250000000</v>
      </c>
      <c r="V30" s="388">
        <v>250000000</v>
      </c>
      <c r="W30" s="373">
        <f t="shared" si="3"/>
        <v>250000000</v>
      </c>
    </row>
    <row r="31" spans="1:23" ht="12.75">
      <c r="A31" s="92">
        <f t="shared" si="0"/>
        <v>28</v>
      </c>
      <c r="B31" s="441" t="s">
        <v>75</v>
      </c>
      <c r="C31" s="380">
        <v>45000</v>
      </c>
      <c r="D31" s="393">
        <v>0.047</v>
      </c>
      <c r="E31" s="394">
        <v>40869</v>
      </c>
      <c r="F31" s="394">
        <v>55472</v>
      </c>
      <c r="G31" s="395">
        <f>100-1.5</f>
        <v>98.5</v>
      </c>
      <c r="H31" s="111">
        <f t="shared" si="1"/>
        <v>0.047844751292528805</v>
      </c>
      <c r="I31" s="169">
        <f t="shared" si="2"/>
        <v>2153013.808163796</v>
      </c>
      <c r="J31" s="388">
        <v>45000000</v>
      </c>
      <c r="K31" s="388">
        <v>45000000</v>
      </c>
      <c r="L31" s="388">
        <v>45000000</v>
      </c>
      <c r="M31" s="388">
        <v>45000000</v>
      </c>
      <c r="N31" s="388">
        <v>45000000</v>
      </c>
      <c r="O31" s="388">
        <v>45000000</v>
      </c>
      <c r="P31" s="388">
        <v>45000000</v>
      </c>
      <c r="Q31" s="388">
        <v>45000000</v>
      </c>
      <c r="R31" s="388">
        <v>45000000</v>
      </c>
      <c r="S31" s="388">
        <v>45000000</v>
      </c>
      <c r="T31" s="388">
        <v>45000000</v>
      </c>
      <c r="U31" s="388">
        <v>45000000</v>
      </c>
      <c r="V31" s="388">
        <v>45000000</v>
      </c>
      <c r="W31" s="440">
        <f t="shared" si="3"/>
        <v>45000000</v>
      </c>
    </row>
    <row r="32" spans="1:23" ht="12.75">
      <c r="A32" s="92">
        <f t="shared" si="0"/>
        <v>29</v>
      </c>
      <c r="C32" s="396"/>
      <c r="E32" s="103"/>
      <c r="G32" s="229" t="s">
        <v>243</v>
      </c>
      <c r="H32" s="397"/>
      <c r="I32" s="169">
        <v>1586065.51</v>
      </c>
      <c r="J32" s="398"/>
      <c r="K32" s="398"/>
      <c r="L32" s="398"/>
      <c r="M32" s="399"/>
      <c r="N32" s="398"/>
      <c r="P32" s="89"/>
      <c r="Q32" s="89"/>
      <c r="R32" s="89"/>
      <c r="S32" s="89"/>
      <c r="T32" s="89"/>
      <c r="U32" s="89"/>
      <c r="V32" s="89"/>
      <c r="W32" s="105"/>
    </row>
    <row r="33" spans="1:23" ht="12.75">
      <c r="A33" s="92">
        <f>+A32+1</f>
        <v>30</v>
      </c>
      <c r="C33" s="396"/>
      <c r="E33" s="103"/>
      <c r="G33" s="229" t="s">
        <v>244</v>
      </c>
      <c r="H33" s="397"/>
      <c r="I33" s="169">
        <f>I46</f>
        <v>350565.1408450704</v>
      </c>
      <c r="J33" s="398"/>
      <c r="K33" s="398"/>
      <c r="L33" s="398"/>
      <c r="M33" s="399"/>
      <c r="N33" s="398"/>
      <c r="P33" s="89"/>
      <c r="Q33" s="89"/>
      <c r="R33" s="89"/>
      <c r="S33" s="89"/>
      <c r="T33" s="89"/>
      <c r="U33" s="89"/>
      <c r="V33" s="89"/>
      <c r="W33" s="105"/>
    </row>
    <row r="34" spans="1:26" ht="13.5" thickBot="1">
      <c r="A34" s="92">
        <f>+A33+1</f>
        <v>31</v>
      </c>
      <c r="B34" s="439" t="s">
        <v>227</v>
      </c>
      <c r="C34" s="231"/>
      <c r="D34" s="92"/>
      <c r="E34" s="104"/>
      <c r="F34" s="104"/>
      <c r="G34" s="152"/>
      <c r="H34" s="464">
        <f>+I34/W34</f>
        <v>0.06159910062811252</v>
      </c>
      <c r="I34" s="333">
        <f>SUM(I9:I33)</f>
        <v>232466381.8964087</v>
      </c>
      <c r="J34" s="400">
        <f aca="true" t="shared" si="4" ref="J34:W34">SUM(J9:J32)</f>
        <v>3773860000</v>
      </c>
      <c r="K34" s="400">
        <f t="shared" si="4"/>
        <v>3773860000</v>
      </c>
      <c r="L34" s="400">
        <f t="shared" si="4"/>
        <v>3773860000</v>
      </c>
      <c r="M34" s="400">
        <f t="shared" si="4"/>
        <v>3773860000</v>
      </c>
      <c r="N34" s="400">
        <f t="shared" si="4"/>
        <v>3773860000</v>
      </c>
      <c r="O34" s="400">
        <f t="shared" si="4"/>
        <v>3773860000</v>
      </c>
      <c r="P34" s="401">
        <f t="shared" si="4"/>
        <v>3773860000</v>
      </c>
      <c r="Q34" s="401">
        <f t="shared" si="4"/>
        <v>3773860000</v>
      </c>
      <c r="R34" s="401">
        <f t="shared" si="4"/>
        <v>3773860000</v>
      </c>
      <c r="S34" s="401">
        <f t="shared" si="4"/>
        <v>3773860000</v>
      </c>
      <c r="T34" s="401">
        <f t="shared" si="4"/>
        <v>3773860000</v>
      </c>
      <c r="U34" s="401">
        <f t="shared" si="4"/>
        <v>3773860000</v>
      </c>
      <c r="V34" s="401">
        <f t="shared" si="4"/>
        <v>3773860000</v>
      </c>
      <c r="W34" s="374">
        <f t="shared" si="4"/>
        <v>3773860000</v>
      </c>
      <c r="Z34" s="230"/>
    </row>
    <row r="35" spans="1:26" ht="13.5" thickTop="1">
      <c r="A35" s="92">
        <f>+A34+1</f>
        <v>32</v>
      </c>
      <c r="B35" s="92"/>
      <c r="C35" s="98"/>
      <c r="D35" s="92"/>
      <c r="E35" s="104"/>
      <c r="F35" s="104"/>
      <c r="G35" s="99"/>
      <c r="H35" s="404"/>
      <c r="I35" s="405"/>
      <c r="J35" s="402"/>
      <c r="K35" s="402"/>
      <c r="L35" s="402"/>
      <c r="M35" s="402"/>
      <c r="N35" s="402"/>
      <c r="O35" s="402"/>
      <c r="P35" s="402"/>
      <c r="Q35" s="402"/>
      <c r="R35" s="402"/>
      <c r="S35" s="402"/>
      <c r="T35" s="402"/>
      <c r="U35" s="402"/>
      <c r="V35" s="402"/>
      <c r="W35" s="377"/>
      <c r="Z35" s="230"/>
    </row>
    <row r="36" spans="1:26" ht="12.75">
      <c r="A36" s="92">
        <f>+A35+1</f>
        <v>33</v>
      </c>
      <c r="B36" s="92"/>
      <c r="C36" s="98"/>
      <c r="D36" s="92"/>
      <c r="E36" s="104"/>
      <c r="F36" s="104"/>
      <c r="G36" s="99"/>
      <c r="H36" s="404"/>
      <c r="I36" s="405"/>
      <c r="J36" s="402"/>
      <c r="K36" s="402"/>
      <c r="L36" s="402"/>
      <c r="M36" s="402"/>
      <c r="N36" s="402"/>
      <c r="O36" s="402"/>
      <c r="P36" s="402"/>
      <c r="Q36" s="402"/>
      <c r="R36" s="402"/>
      <c r="S36" s="402"/>
      <c r="T36" s="402"/>
      <c r="U36" s="402"/>
      <c r="V36" s="402"/>
      <c r="W36" s="377"/>
      <c r="Z36" s="230"/>
    </row>
    <row r="37" spans="1:26" ht="12.75">
      <c r="A37" s="113" t="s">
        <v>222</v>
      </c>
      <c r="C37" s="98"/>
      <c r="D37" s="92"/>
      <c r="E37" s="104"/>
      <c r="F37" s="104"/>
      <c r="G37" s="99"/>
      <c r="H37" s="404"/>
      <c r="I37" s="405"/>
      <c r="J37" s="402"/>
      <c r="K37" s="402"/>
      <c r="L37" s="402"/>
      <c r="M37" s="402"/>
      <c r="N37" s="402"/>
      <c r="O37" s="402"/>
      <c r="P37" s="402"/>
      <c r="Q37" s="402"/>
      <c r="R37" s="402"/>
      <c r="S37" s="402"/>
      <c r="T37" s="402"/>
      <c r="U37" s="402"/>
      <c r="V37" s="402"/>
      <c r="W37" s="377"/>
      <c r="Z37" s="230"/>
    </row>
    <row r="38" spans="1:26" ht="12.75">
      <c r="A38" s="113" t="s">
        <v>234</v>
      </c>
      <c r="C38" s="98"/>
      <c r="D38" s="92"/>
      <c r="E38" s="104"/>
      <c r="F38" s="104"/>
      <c r="G38" s="99"/>
      <c r="H38" s="404"/>
      <c r="I38" s="405"/>
      <c r="J38" s="402"/>
      <c r="K38" s="402"/>
      <c r="L38" s="402"/>
      <c r="M38" s="402"/>
      <c r="N38" s="402"/>
      <c r="O38" s="402"/>
      <c r="P38" s="402"/>
      <c r="Q38" s="402"/>
      <c r="R38" s="402"/>
      <c r="S38" s="402"/>
      <c r="T38" s="402"/>
      <c r="U38" s="402"/>
      <c r="V38" s="402"/>
      <c r="W38" s="377"/>
      <c r="Z38" s="230"/>
    </row>
    <row r="39" spans="1:26" ht="12.75">
      <c r="A39" s="151" t="s">
        <v>235</v>
      </c>
      <c r="C39" s="98"/>
      <c r="D39" s="92"/>
      <c r="E39" s="104"/>
      <c r="F39" s="104"/>
      <c r="G39" s="99"/>
      <c r="H39" s="404"/>
      <c r="I39" s="405"/>
      <c r="J39" s="402"/>
      <c r="K39" s="402"/>
      <c r="L39" s="402"/>
      <c r="M39" s="402"/>
      <c r="N39" s="402"/>
      <c r="O39" s="402"/>
      <c r="P39" s="402"/>
      <c r="Q39" s="402"/>
      <c r="R39" s="402"/>
      <c r="S39" s="402"/>
      <c r="T39" s="402"/>
      <c r="U39" s="402"/>
      <c r="V39" s="402"/>
      <c r="W39" s="377"/>
      <c r="Z39" s="230"/>
    </row>
    <row r="40" spans="1:26" ht="12.75">
      <c r="A40" s="151"/>
      <c r="C40" s="98"/>
      <c r="D40" s="92"/>
      <c r="E40" s="104"/>
      <c r="F40" s="104"/>
      <c r="G40" s="99"/>
      <c r="H40" s="404"/>
      <c r="I40" s="405"/>
      <c r="J40" s="402"/>
      <c r="K40" s="402"/>
      <c r="L40" s="402"/>
      <c r="M40" s="402"/>
      <c r="N40" s="402"/>
      <c r="O40" s="402"/>
      <c r="P40" s="402"/>
      <c r="Q40" s="402"/>
      <c r="R40" s="402"/>
      <c r="S40" s="402"/>
      <c r="T40" s="402"/>
      <c r="U40" s="402"/>
      <c r="V40" s="402"/>
      <c r="W40" s="377"/>
      <c r="Z40" s="230"/>
    </row>
    <row r="41" spans="1:26" ht="12.75">
      <c r="A41" s="151" t="s">
        <v>111</v>
      </c>
      <c r="B41" s="92"/>
      <c r="C41" s="98"/>
      <c r="D41" s="92"/>
      <c r="E41" s="104"/>
      <c r="F41" s="104"/>
      <c r="G41" s="99"/>
      <c r="H41" s="465" t="s">
        <v>236</v>
      </c>
      <c r="I41" s="84">
        <f>3938343.78+665587.47</f>
        <v>4603931.25</v>
      </c>
      <c r="J41" s="402"/>
      <c r="K41" s="402"/>
      <c r="L41" s="402"/>
      <c r="M41" s="402"/>
      <c r="N41" s="402"/>
      <c r="O41" s="402"/>
      <c r="P41" s="402"/>
      <c r="Q41" s="402"/>
      <c r="R41" s="402"/>
      <c r="S41" s="402"/>
      <c r="T41" s="402"/>
      <c r="U41" s="402"/>
      <c r="V41" s="402"/>
      <c r="W41" s="377"/>
      <c r="Z41" s="230"/>
    </row>
    <row r="42" spans="1:26" ht="12.75">
      <c r="A42" s="92"/>
      <c r="B42" s="92"/>
      <c r="C42" s="98"/>
      <c r="D42" s="92"/>
      <c r="E42" s="104"/>
      <c r="F42" s="104"/>
      <c r="G42" s="99"/>
      <c r="H42" s="465" t="s">
        <v>237</v>
      </c>
      <c r="I42" s="84">
        <v>1618600</v>
      </c>
      <c r="J42" s="402"/>
      <c r="K42" s="402"/>
      <c r="L42" s="402"/>
      <c r="M42" s="402"/>
      <c r="N42" s="402"/>
      <c r="O42" s="402"/>
      <c r="P42" s="402"/>
      <c r="Q42" s="402"/>
      <c r="R42" s="402"/>
      <c r="S42" s="402"/>
      <c r="T42" s="402"/>
      <c r="U42" s="402"/>
      <c r="V42" s="402"/>
      <c r="W42" s="377"/>
      <c r="Z42" s="230"/>
    </row>
    <row r="43" spans="1:26" ht="12.75">
      <c r="A43" s="92"/>
      <c r="B43" s="92"/>
      <c r="C43" s="98"/>
      <c r="D43" s="92"/>
      <c r="E43" s="104"/>
      <c r="F43" s="104"/>
      <c r="G43" s="99"/>
      <c r="H43" s="465" t="s">
        <v>238</v>
      </c>
      <c r="I43" s="450">
        <f>SUM(I41:I42)</f>
        <v>6222531.25</v>
      </c>
      <c r="J43" s="402"/>
      <c r="K43" s="402"/>
      <c r="L43" s="402"/>
      <c r="M43" s="402"/>
      <c r="N43" s="402"/>
      <c r="O43" s="402"/>
      <c r="P43" s="402"/>
      <c r="Q43" s="402"/>
      <c r="R43" s="402"/>
      <c r="S43" s="402"/>
      <c r="T43" s="402"/>
      <c r="U43" s="402"/>
      <c r="V43" s="402"/>
      <c r="W43" s="377"/>
      <c r="Z43" s="230"/>
    </row>
    <row r="44" spans="1:26" ht="12.75">
      <c r="A44" s="92"/>
      <c r="B44" s="92"/>
      <c r="C44" s="98"/>
      <c r="D44" s="92"/>
      <c r="E44" s="104"/>
      <c r="F44" s="104"/>
      <c r="G44" s="99"/>
      <c r="H44" s="465" t="s">
        <v>239</v>
      </c>
      <c r="I44" s="466">
        <f>(18*12)-3</f>
        <v>213</v>
      </c>
      <c r="J44" s="402"/>
      <c r="K44" s="402"/>
      <c r="L44" s="402"/>
      <c r="M44" s="402"/>
      <c r="N44" s="402"/>
      <c r="O44" s="402"/>
      <c r="P44" s="402"/>
      <c r="Q44" s="402"/>
      <c r="R44" s="402"/>
      <c r="S44" s="402"/>
      <c r="T44" s="402"/>
      <c r="U44" s="402"/>
      <c r="V44" s="402"/>
      <c r="W44" s="377"/>
      <c r="Z44" s="230"/>
    </row>
    <row r="45" spans="1:26" ht="12.75">
      <c r="A45" s="92"/>
      <c r="B45" s="92"/>
      <c r="C45" s="98"/>
      <c r="D45" s="92"/>
      <c r="E45" s="104"/>
      <c r="F45" s="104"/>
      <c r="G45" s="99"/>
      <c r="H45" s="465" t="s">
        <v>240</v>
      </c>
      <c r="I45" s="466">
        <f>I43/I44</f>
        <v>29213.7617370892</v>
      </c>
      <c r="J45" s="402"/>
      <c r="K45" s="402"/>
      <c r="L45" s="402"/>
      <c r="M45" s="402"/>
      <c r="N45" s="402"/>
      <c r="O45" s="402"/>
      <c r="P45" s="402"/>
      <c r="Q45" s="402"/>
      <c r="R45" s="402"/>
      <c r="S45" s="402"/>
      <c r="T45" s="402"/>
      <c r="U45" s="402"/>
      <c r="V45" s="402"/>
      <c r="W45" s="377"/>
      <c r="Z45" s="230"/>
    </row>
    <row r="46" spans="1:26" ht="12.75">
      <c r="A46" s="92"/>
      <c r="B46" s="92"/>
      <c r="C46" s="98"/>
      <c r="D46" s="92"/>
      <c r="E46" s="104"/>
      <c r="F46" s="104"/>
      <c r="G46" s="99"/>
      <c r="H46" s="465" t="s">
        <v>241</v>
      </c>
      <c r="I46" s="466">
        <f>I45*12</f>
        <v>350565.1408450704</v>
      </c>
      <c r="J46" s="402"/>
      <c r="K46" s="402"/>
      <c r="L46" s="402"/>
      <c r="M46" s="402"/>
      <c r="N46" s="402"/>
      <c r="O46" s="402"/>
      <c r="P46" s="402"/>
      <c r="Q46" s="402"/>
      <c r="R46" s="402"/>
      <c r="S46" s="402"/>
      <c r="T46" s="402"/>
      <c r="U46" s="402"/>
      <c r="V46" s="402"/>
      <c r="W46" s="377"/>
      <c r="Z46" s="230"/>
    </row>
    <row r="47" spans="2:26" ht="12.75">
      <c r="B47" s="92"/>
      <c r="C47" s="98"/>
      <c r="D47" s="92"/>
      <c r="E47" s="104"/>
      <c r="F47" s="104"/>
      <c r="G47" s="99"/>
      <c r="H47" s="404"/>
      <c r="I47" s="405"/>
      <c r="J47" s="402"/>
      <c r="K47" s="402"/>
      <c r="L47" s="402"/>
      <c r="M47" s="402"/>
      <c r="N47" s="402"/>
      <c r="O47" s="402"/>
      <c r="P47" s="402"/>
      <c r="Q47" s="402"/>
      <c r="R47" s="402"/>
      <c r="S47" s="402"/>
      <c r="T47" s="402"/>
      <c r="U47" s="402"/>
      <c r="V47" s="402"/>
      <c r="W47" s="377"/>
      <c r="Z47" s="230"/>
    </row>
    <row r="48" spans="2:26" ht="12.75">
      <c r="B48" s="92"/>
      <c r="C48" s="98"/>
      <c r="D48" s="92"/>
      <c r="E48" s="104"/>
      <c r="F48" s="104"/>
      <c r="G48" s="99"/>
      <c r="H48" s="404"/>
      <c r="I48" s="405"/>
      <c r="J48" s="402"/>
      <c r="K48" s="402"/>
      <c r="L48" s="402"/>
      <c r="M48" s="402"/>
      <c r="N48" s="402"/>
      <c r="O48" s="402"/>
      <c r="P48" s="402"/>
      <c r="Q48" s="402"/>
      <c r="R48" s="402"/>
      <c r="S48" s="402"/>
      <c r="T48" s="402"/>
      <c r="U48" s="402"/>
      <c r="V48" s="402"/>
      <c r="W48" s="377"/>
      <c r="Z48" s="230"/>
    </row>
    <row r="49" spans="3:23" ht="12.75">
      <c r="C49" s="89"/>
      <c r="J49" s="415"/>
      <c r="K49" s="415"/>
      <c r="L49" s="415"/>
      <c r="M49" s="415"/>
      <c r="N49" s="415"/>
      <c r="O49" s="415"/>
      <c r="P49" s="415"/>
      <c r="Q49" s="415"/>
      <c r="R49" s="415"/>
      <c r="S49" s="415"/>
      <c r="T49" s="415"/>
      <c r="U49" s="415"/>
      <c r="V49" s="415"/>
      <c r="W49" s="254"/>
    </row>
    <row r="50" spans="3:23" ht="12.75">
      <c r="C50" s="89"/>
      <c r="J50" s="432"/>
      <c r="K50" s="433"/>
      <c r="L50" s="433"/>
      <c r="M50" s="433"/>
      <c r="N50" s="433"/>
      <c r="O50" s="433"/>
      <c r="P50" s="433"/>
      <c r="Q50" s="433"/>
      <c r="R50" s="433"/>
      <c r="S50" s="433"/>
      <c r="T50" s="433"/>
      <c r="U50" s="433"/>
      <c r="V50" s="433"/>
      <c r="W50" s="434"/>
    </row>
    <row r="51" spans="3:23" ht="12.75">
      <c r="C51" s="89"/>
      <c r="J51" s="432"/>
      <c r="K51" s="435"/>
      <c r="L51" s="435"/>
      <c r="M51" s="435"/>
      <c r="N51" s="435"/>
      <c r="O51" s="435"/>
      <c r="P51" s="435"/>
      <c r="Q51" s="435"/>
      <c r="R51" s="435"/>
      <c r="S51" s="435"/>
      <c r="T51" s="435"/>
      <c r="U51" s="435"/>
      <c r="V51" s="436"/>
      <c r="W51" s="435"/>
    </row>
    <row r="52" ht="12.75">
      <c r="V52" s="105"/>
    </row>
    <row r="53" spans="2:22" ht="15.75" customHeight="1">
      <c r="B53" s="163"/>
      <c r="I53" s="407"/>
      <c r="V53" s="105"/>
    </row>
    <row r="54" spans="7:23" ht="12.75">
      <c r="G54" s="135"/>
      <c r="H54" s="133"/>
      <c r="I54" s="407"/>
      <c r="W54" s="342"/>
    </row>
    <row r="56" spans="7:8" ht="12.75">
      <c r="G56" s="135"/>
      <c r="H56" s="133"/>
    </row>
    <row r="57" spans="8:9" ht="12.75">
      <c r="H57" s="133"/>
      <c r="I57" s="265"/>
    </row>
    <row r="58" spans="8:9" ht="12.75">
      <c r="H58" s="133"/>
      <c r="I58" s="265"/>
    </row>
    <row r="59" ht="12.75">
      <c r="H59" s="133"/>
    </row>
    <row r="60" ht="12.75">
      <c r="H60" s="133"/>
    </row>
  </sheetData>
  <sheetProtection/>
  <mergeCells count="6">
    <mergeCell ref="B1:C1"/>
    <mergeCell ref="C6:C8"/>
    <mergeCell ref="W5:W8"/>
    <mergeCell ref="H7:H8"/>
    <mergeCell ref="I7:I8"/>
    <mergeCell ref="G5:G8"/>
  </mergeCells>
  <printOptions horizontalCentered="1"/>
  <pageMargins left="0.28" right="0.25" top="0.61" bottom="0.77" header="0.27" footer="0.27"/>
  <pageSetup horizontalDpi="600" verticalDpi="600" orientation="landscape" scale="78" r:id="rId1"/>
  <headerFooter alignWithMargins="0">
    <oddFooter>&amp;R&amp;"Times New Roman,Regular"&amp;10Attachment B, Bench Request 002</oddFooter>
  </headerFooter>
  <rowBreaks count="1" manualBreakCount="1">
    <brk id="52" max="22" man="1"/>
  </rowBreaks>
</worksheet>
</file>

<file path=xl/worksheets/sheet6.xml><?xml version="1.0" encoding="utf-8"?>
<worksheet xmlns="http://schemas.openxmlformats.org/spreadsheetml/2006/main" xmlns:r="http://schemas.openxmlformats.org/officeDocument/2006/relationships">
  <dimension ref="A1:S58"/>
  <sheetViews>
    <sheetView showGridLines="0" zoomScalePageLayoutView="0" workbookViewId="0" topLeftCell="A1">
      <selection activeCell="E32" sqref="E32"/>
    </sheetView>
  </sheetViews>
  <sheetFormatPr defaultColWidth="11.421875" defaultRowHeight="12"/>
  <cols>
    <col min="1" max="1" width="4.28125" style="2" customWidth="1"/>
    <col min="2" max="2" width="31.140625" style="2" customWidth="1"/>
    <col min="3" max="3" width="11.8515625" style="2" customWidth="1"/>
    <col min="4" max="4" width="12.57421875" style="2" customWidth="1"/>
    <col min="5" max="5" width="10.57421875" style="2" customWidth="1"/>
    <col min="6" max="6" width="11.8515625" style="2" customWidth="1"/>
    <col min="7" max="7" width="4.28125" style="2" customWidth="1"/>
    <col min="8" max="16384" width="11.421875" style="2" customWidth="1"/>
  </cols>
  <sheetData>
    <row r="1" spans="2:6" ht="15.75">
      <c r="B1" s="467" t="s">
        <v>1</v>
      </c>
      <c r="C1" s="467"/>
      <c r="D1" s="467"/>
      <c r="E1" s="467"/>
      <c r="F1" s="467"/>
    </row>
    <row r="2" spans="1:19" ht="12.75">
      <c r="A2" s="27"/>
      <c r="B2" s="3"/>
      <c r="C2" s="3"/>
      <c r="D2" s="3"/>
      <c r="E2" s="3"/>
      <c r="F2" s="3"/>
      <c r="R2" s="4"/>
      <c r="S2" s="4"/>
    </row>
    <row r="3" spans="2:19" ht="17.25" customHeight="1">
      <c r="B3" s="469" t="s">
        <v>3</v>
      </c>
      <c r="C3" s="469"/>
      <c r="D3" s="469"/>
      <c r="E3" s="469"/>
      <c r="F3" s="469"/>
      <c r="S3" s="4"/>
    </row>
    <row r="4" spans="1:19" ht="19.5" customHeight="1">
      <c r="A4" s="117"/>
      <c r="B4" s="468" t="s">
        <v>228</v>
      </c>
      <c r="C4" s="468"/>
      <c r="D4" s="468"/>
      <c r="E4" s="468"/>
      <c r="F4" s="468"/>
      <c r="S4" s="4"/>
    </row>
    <row r="5" spans="1:8" ht="20.25" customHeight="1">
      <c r="A5" s="215" t="s">
        <v>229</v>
      </c>
      <c r="B5" s="255"/>
      <c r="C5" s="215"/>
      <c r="D5" s="215"/>
      <c r="E5" s="215"/>
      <c r="F5" s="215"/>
      <c r="H5" s="249"/>
    </row>
    <row r="6" spans="1:8" ht="12.75">
      <c r="A6" s="118"/>
      <c r="C6" s="5"/>
      <c r="H6" s="250"/>
    </row>
    <row r="7" spans="1:8" ht="12.75">
      <c r="A7" s="119">
        <v>1</v>
      </c>
      <c r="B7" s="49" t="s">
        <v>2</v>
      </c>
      <c r="C7" s="49" t="s">
        <v>20</v>
      </c>
      <c r="D7" s="49" t="s">
        <v>33</v>
      </c>
      <c r="E7" s="49" t="s">
        <v>44</v>
      </c>
      <c r="F7" s="49" t="s">
        <v>45</v>
      </c>
      <c r="H7" s="250"/>
    </row>
    <row r="8" spans="1:8" ht="12.75">
      <c r="A8" s="119">
        <f aca="true" t="shared" si="0" ref="A8:A38">+A7+1</f>
        <v>2</v>
      </c>
      <c r="B8" s="34"/>
      <c r="C8" s="28"/>
      <c r="D8" s="28"/>
      <c r="E8" s="28"/>
      <c r="F8" s="120"/>
      <c r="H8" s="250"/>
    </row>
    <row r="9" spans="1:8" ht="12.75">
      <c r="A9" s="119">
        <f t="shared" si="0"/>
        <v>3</v>
      </c>
      <c r="B9" s="437" t="s">
        <v>230</v>
      </c>
      <c r="C9" s="412"/>
      <c r="D9" s="412"/>
      <c r="E9" s="412"/>
      <c r="F9" s="413"/>
      <c r="H9" s="250"/>
    </row>
    <row r="10" spans="1:8" ht="12.75">
      <c r="A10" s="119">
        <f t="shared" si="0"/>
        <v>4</v>
      </c>
      <c r="H10" s="250"/>
    </row>
    <row r="11" spans="1:8" ht="12.75">
      <c r="A11" s="119">
        <f t="shared" si="0"/>
        <v>5</v>
      </c>
      <c r="B11" s="29"/>
      <c r="C11" s="336"/>
      <c r="D11" s="29"/>
      <c r="E11" s="30" t="s">
        <v>7</v>
      </c>
      <c r="F11" s="120" t="s">
        <v>4</v>
      </c>
      <c r="H11" s="249"/>
    </row>
    <row r="12" spans="1:8" ht="12.75">
      <c r="A12" s="119">
        <f t="shared" si="0"/>
        <v>6</v>
      </c>
      <c r="B12" s="438" t="s">
        <v>5</v>
      </c>
      <c r="C12" s="335"/>
      <c r="D12" s="31" t="s">
        <v>6</v>
      </c>
      <c r="E12" s="31" t="s">
        <v>98</v>
      </c>
      <c r="F12" s="31" t="s">
        <v>8</v>
      </c>
      <c r="H12" s="249"/>
    </row>
    <row r="13" spans="1:8" ht="12.75">
      <c r="A13" s="119">
        <f t="shared" si="0"/>
        <v>7</v>
      </c>
      <c r="B13" s="418"/>
      <c r="C13" s="419"/>
      <c r="D13" s="419"/>
      <c r="E13" s="419"/>
      <c r="F13" s="419"/>
      <c r="H13" s="249"/>
    </row>
    <row r="14" spans="1:8" ht="12.75">
      <c r="A14" s="119">
        <f t="shared" si="0"/>
        <v>8</v>
      </c>
      <c r="B14" s="420" t="s">
        <v>9</v>
      </c>
      <c r="C14" s="421"/>
      <c r="D14" s="155">
        <v>0.04</v>
      </c>
      <c r="E14" s="155">
        <v>0.0268</v>
      </c>
      <c r="F14" s="334">
        <f>ROUND(+D14*E14,4)</f>
        <v>0.0011</v>
      </c>
      <c r="H14" s="249"/>
    </row>
    <row r="15" spans="1:8" ht="12.75">
      <c r="A15" s="119">
        <f t="shared" si="0"/>
        <v>9</v>
      </c>
      <c r="B15" s="422"/>
      <c r="C15" s="318"/>
      <c r="D15" s="155"/>
      <c r="E15" s="155"/>
      <c r="F15" s="334"/>
      <c r="H15" s="249"/>
    </row>
    <row r="16" spans="1:8" ht="12.75">
      <c r="A16" s="119">
        <f t="shared" si="0"/>
        <v>10</v>
      </c>
      <c r="B16" s="420" t="s">
        <v>10</v>
      </c>
      <c r="C16" s="319"/>
      <c r="D16" s="155">
        <v>0.48000000000000004</v>
      </c>
      <c r="E16" s="334">
        <v>0.0622</v>
      </c>
      <c r="F16" s="334">
        <f>ROUND(+D16*E16,4)</f>
        <v>0.0299</v>
      </c>
      <c r="H16" s="249"/>
    </row>
    <row r="17" spans="1:8" ht="12.75">
      <c r="A17" s="119">
        <f t="shared" si="0"/>
        <v>11</v>
      </c>
      <c r="B17" s="423"/>
      <c r="C17" s="320"/>
      <c r="D17" s="155"/>
      <c r="E17" s="414"/>
      <c r="F17" s="334"/>
      <c r="H17" s="249"/>
    </row>
    <row r="18" spans="1:8" ht="12.75">
      <c r="A18" s="119">
        <f t="shared" si="0"/>
        <v>12</v>
      </c>
      <c r="B18" s="420" t="s">
        <v>12</v>
      </c>
      <c r="C18" s="321"/>
      <c r="D18" s="285">
        <v>0.48</v>
      </c>
      <c r="E18" s="334">
        <v>0.098</v>
      </c>
      <c r="F18" s="424">
        <f>ROUND(+D18*E18,4)</f>
        <v>0.047</v>
      </c>
      <c r="H18" s="249"/>
    </row>
    <row r="19" spans="1:8" ht="12.75">
      <c r="A19" s="119">
        <f t="shared" si="0"/>
        <v>13</v>
      </c>
      <c r="B19" s="423"/>
      <c r="C19" s="322"/>
      <c r="D19" s="334"/>
      <c r="E19" s="425"/>
      <c r="F19" s="334"/>
      <c r="H19" s="249"/>
    </row>
    <row r="20" spans="1:8" ht="12.75">
      <c r="A20" s="119">
        <f t="shared" si="0"/>
        <v>14</v>
      </c>
      <c r="B20" s="428" t="s">
        <v>223</v>
      </c>
      <c r="C20" s="323"/>
      <c r="D20" s="426">
        <v>1</v>
      </c>
      <c r="E20" s="427"/>
      <c r="F20" s="426">
        <f>SUM(F14:F18)</f>
        <v>0.078</v>
      </c>
      <c r="G20" s="32"/>
      <c r="H20" s="249"/>
    </row>
    <row r="21" spans="1:8" ht="12.75">
      <c r="A21" s="119">
        <f t="shared" si="0"/>
        <v>15</v>
      </c>
      <c r="B21" s="428"/>
      <c r="C21" s="323"/>
      <c r="D21" s="426"/>
      <c r="E21" s="427"/>
      <c r="F21" s="426"/>
      <c r="G21" s="32"/>
      <c r="H21" s="249"/>
    </row>
    <row r="22" spans="1:8" ht="12.75">
      <c r="A22" s="119">
        <f t="shared" si="0"/>
        <v>16</v>
      </c>
      <c r="B22" s="28"/>
      <c r="C22" s="28"/>
      <c r="D22" s="112"/>
      <c r="E22" s="28"/>
      <c r="F22" s="28"/>
      <c r="H22" s="249"/>
    </row>
    <row r="23" spans="1:8" ht="12.75">
      <c r="A23" s="119">
        <f t="shared" si="0"/>
        <v>17</v>
      </c>
      <c r="B23" s="28"/>
      <c r="D23" s="112"/>
      <c r="E23" s="28"/>
      <c r="F23" s="28"/>
      <c r="H23" s="249"/>
    </row>
    <row r="24" spans="1:8" ht="12.75">
      <c r="A24" s="119">
        <f t="shared" si="0"/>
        <v>18</v>
      </c>
      <c r="B24" s="417"/>
      <c r="C24" s="319"/>
      <c r="D24" s="112"/>
      <c r="E24" s="28"/>
      <c r="F24" s="28"/>
      <c r="H24" s="249"/>
    </row>
    <row r="25" spans="1:8" ht="12.75">
      <c r="A25" s="119">
        <f t="shared" si="0"/>
        <v>19</v>
      </c>
      <c r="B25" s="437" t="s">
        <v>231</v>
      </c>
      <c r="C25" s="412"/>
      <c r="D25" s="412"/>
      <c r="E25" s="412"/>
      <c r="F25" s="413"/>
      <c r="H25" s="249"/>
    </row>
    <row r="26" spans="1:8" ht="12.75">
      <c r="A26" s="119">
        <f t="shared" si="0"/>
        <v>20</v>
      </c>
      <c r="H26" s="249"/>
    </row>
    <row r="27" spans="1:8" ht="12.75">
      <c r="A27" s="119">
        <f>+A26+1</f>
        <v>21</v>
      </c>
      <c r="B27" s="29"/>
      <c r="C27" s="336"/>
      <c r="D27" s="29"/>
      <c r="E27" s="30" t="s">
        <v>7</v>
      </c>
      <c r="F27" s="30" t="s">
        <v>4</v>
      </c>
      <c r="H27" s="249"/>
    </row>
    <row r="28" spans="1:8" ht="12.75">
      <c r="A28" s="119">
        <f t="shared" si="0"/>
        <v>22</v>
      </c>
      <c r="B28" s="438" t="s">
        <v>5</v>
      </c>
      <c r="C28" s="335"/>
      <c r="D28" s="31" t="s">
        <v>6</v>
      </c>
      <c r="E28" s="31" t="s">
        <v>98</v>
      </c>
      <c r="F28" s="31" t="s">
        <v>8</v>
      </c>
      <c r="H28" s="249"/>
    </row>
    <row r="29" spans="1:6" ht="12.75">
      <c r="A29" s="119">
        <f t="shared" si="0"/>
        <v>23</v>
      </c>
      <c r="B29" s="32"/>
      <c r="C29" s="32"/>
      <c r="D29" s="106"/>
      <c r="E29" s="32"/>
      <c r="F29" s="121"/>
    </row>
    <row r="30" spans="1:7" ht="12.75">
      <c r="A30" s="119">
        <f t="shared" si="0"/>
        <v>24</v>
      </c>
      <c r="B30" s="420" t="s">
        <v>9</v>
      </c>
      <c r="C30" s="421"/>
      <c r="D30" s="155">
        <v>0.04</v>
      </c>
      <c r="E30" s="155">
        <v>0.0268</v>
      </c>
      <c r="F30" s="334">
        <f>ROUND(+D30*E30,4)</f>
        <v>0.0011</v>
      </c>
      <c r="G30" s="379"/>
    </row>
    <row r="31" spans="1:7" ht="12.75">
      <c r="A31" s="119">
        <f t="shared" si="0"/>
        <v>25</v>
      </c>
      <c r="B31" s="422"/>
      <c r="C31" s="318"/>
      <c r="D31" s="155"/>
      <c r="E31" s="155"/>
      <c r="F31" s="334"/>
      <c r="G31" s="107"/>
    </row>
    <row r="32" spans="1:7" ht="12.75">
      <c r="A32" s="119">
        <f t="shared" si="0"/>
        <v>26</v>
      </c>
      <c r="B32" s="420" t="s">
        <v>10</v>
      </c>
      <c r="C32" s="319"/>
      <c r="D32" s="155">
        <v>0.48000000000000004</v>
      </c>
      <c r="E32" s="334">
        <v>0.06159910062811252</v>
      </c>
      <c r="F32" s="334">
        <f>ROUND(+D32*E32,4)</f>
        <v>0.0296</v>
      </c>
      <c r="G32" s="378"/>
    </row>
    <row r="33" spans="1:7" ht="12.75">
      <c r="A33" s="119">
        <f t="shared" si="0"/>
        <v>27</v>
      </c>
      <c r="B33" s="423"/>
      <c r="C33" s="320"/>
      <c r="D33" s="155"/>
      <c r="E33" s="414"/>
      <c r="F33" s="334"/>
      <c r="G33" s="107"/>
    </row>
    <row r="34" spans="1:7" ht="12.75">
      <c r="A34" s="119">
        <f t="shared" si="0"/>
        <v>28</v>
      </c>
      <c r="B34" s="420" t="s">
        <v>12</v>
      </c>
      <c r="C34" s="321"/>
      <c r="D34" s="285">
        <v>0.48</v>
      </c>
      <c r="E34" s="334">
        <v>0.098</v>
      </c>
      <c r="F34" s="424">
        <f>ROUND(+D34*E34,4)</f>
        <v>0.047</v>
      </c>
      <c r="G34" s="122"/>
    </row>
    <row r="35" spans="1:7" ht="12.75">
      <c r="A35" s="119">
        <f t="shared" si="0"/>
        <v>29</v>
      </c>
      <c r="B35" s="423"/>
      <c r="C35" s="322"/>
      <c r="D35" s="334"/>
      <c r="E35" s="425"/>
      <c r="F35" s="334"/>
      <c r="G35" s="107"/>
    </row>
    <row r="36" spans="1:7" ht="12.75">
      <c r="A36" s="119">
        <f t="shared" si="0"/>
        <v>30</v>
      </c>
      <c r="B36" s="428" t="s">
        <v>223</v>
      </c>
      <c r="C36" s="323"/>
      <c r="D36" s="426">
        <f>SUM(D30:D34)</f>
        <v>1</v>
      </c>
      <c r="E36" s="427"/>
      <c r="F36" s="426">
        <f>SUM(F30:F34)</f>
        <v>0.0777</v>
      </c>
      <c r="G36" s="108"/>
    </row>
    <row r="37" spans="1:7" ht="12.75">
      <c r="A37" s="119">
        <f t="shared" si="0"/>
        <v>31</v>
      </c>
      <c r="B37" s="28"/>
      <c r="C37" s="35"/>
      <c r="D37" s="109"/>
      <c r="E37" s="35"/>
      <c r="F37" s="109"/>
      <c r="G37" s="109"/>
    </row>
    <row r="38" spans="1:6" ht="12.75">
      <c r="A38" s="119">
        <f t="shared" si="0"/>
        <v>32</v>
      </c>
      <c r="B38" s="416" t="s">
        <v>226</v>
      </c>
      <c r="C38" s="33"/>
      <c r="D38" s="28"/>
      <c r="E38" s="85"/>
      <c r="F38" s="85"/>
    </row>
    <row r="39" spans="1:10" ht="12.75">
      <c r="A39" s="119"/>
      <c r="B39" s="416"/>
      <c r="G39" s="429"/>
      <c r="H39" s="418"/>
      <c r="I39" s="430"/>
      <c r="J39" s="430"/>
    </row>
    <row r="40" spans="1:10" ht="12.75" customHeight="1">
      <c r="A40" s="1"/>
      <c r="G40" s="429"/>
      <c r="H40" s="429"/>
      <c r="I40" s="429"/>
      <c r="J40" s="429"/>
    </row>
    <row r="41" spans="1:10" ht="12.75">
      <c r="A41" s="1"/>
      <c r="G41" s="429"/>
      <c r="H41" s="334"/>
      <c r="I41" s="334"/>
      <c r="J41" s="107"/>
    </row>
    <row r="42" spans="1:10" ht="12.75">
      <c r="A42" s="1"/>
      <c r="G42" s="429"/>
      <c r="H42" s="431"/>
      <c r="I42" s="334"/>
      <c r="J42" s="107"/>
    </row>
    <row r="43" spans="1:10" ht="13.5" customHeight="1">
      <c r="A43" s="163"/>
      <c r="G43" s="429"/>
      <c r="H43" s="334"/>
      <c r="I43" s="334"/>
      <c r="J43" s="107"/>
    </row>
    <row r="44" spans="1:10" ht="12.75">
      <c r="A44" s="1"/>
      <c r="G44" s="429"/>
      <c r="H44" s="334"/>
      <c r="I44" s="425"/>
      <c r="J44" s="107"/>
    </row>
    <row r="45" spans="1:10" ht="12.75">
      <c r="A45" s="1"/>
      <c r="G45" s="429"/>
      <c r="H45" s="424"/>
      <c r="I45" s="334"/>
      <c r="J45" s="122"/>
    </row>
    <row r="46" spans="7:10" ht="12.75">
      <c r="G46" s="429"/>
      <c r="H46" s="429"/>
      <c r="I46" s="429"/>
      <c r="J46" s="107"/>
    </row>
    <row r="47" spans="7:10" ht="12.75">
      <c r="G47" s="429"/>
      <c r="H47" s="108"/>
      <c r="I47" s="429"/>
      <c r="J47" s="108"/>
    </row>
    <row r="50" spans="3:4" ht="12.75">
      <c r="C50" s="6"/>
      <c r="D50" s="7"/>
    </row>
    <row r="51" ht="12.75">
      <c r="D51" s="7"/>
    </row>
    <row r="52" spans="3:4" ht="12.75">
      <c r="C52" s="6"/>
      <c r="D52" s="7"/>
    </row>
    <row r="53" spans="3:4" ht="12.75">
      <c r="C53" s="6"/>
      <c r="D53" s="7"/>
    </row>
    <row r="54" spans="3:4" ht="12.75">
      <c r="C54" s="6"/>
      <c r="D54" s="7"/>
    </row>
    <row r="55" spans="3:4" ht="12.75">
      <c r="C55" s="6"/>
      <c r="D55" s="7"/>
    </row>
    <row r="56" ht="12.75">
      <c r="D56" s="7"/>
    </row>
    <row r="57" spans="3:4" ht="12.75">
      <c r="C57" s="6"/>
      <c r="D57" s="7"/>
    </row>
    <row r="58" ht="12.75">
      <c r="D58" s="8"/>
    </row>
  </sheetData>
  <sheetProtection/>
  <mergeCells count="3">
    <mergeCell ref="B1:F1"/>
    <mergeCell ref="B4:F4"/>
    <mergeCell ref="B3:F3"/>
  </mergeCells>
  <printOptions horizontalCentered="1"/>
  <pageMargins left="0.5" right="0.53" top="0.61" bottom="0.77" header="0.27" footer="0.27"/>
  <pageSetup horizontalDpi="600" verticalDpi="600" orientation="landscape" scale="95" r:id="rId1"/>
  <headerFooter alignWithMargins="0">
    <oddFooter>&amp;R&amp;"Times New Roman,Regular"&amp;10Attachment C, Bench Request 002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R132"/>
  <sheetViews>
    <sheetView zoomScalePageLayoutView="0" workbookViewId="0" topLeftCell="A1">
      <selection activeCell="J17" sqref="J17"/>
    </sheetView>
  </sheetViews>
  <sheetFormatPr defaultColWidth="8.7109375" defaultRowHeight="12"/>
  <cols>
    <col min="1" max="1" width="4.7109375" style="199" customWidth="1"/>
    <col min="2" max="2" width="19.57421875" style="10" customWidth="1"/>
    <col min="3" max="3" width="10.140625" style="10" customWidth="1"/>
    <col min="4" max="5" width="9.7109375" style="10" customWidth="1"/>
    <col min="6" max="6" width="7.7109375" style="10" customWidth="1"/>
    <col min="7" max="7" width="11.00390625" style="10" customWidth="1"/>
    <col min="8" max="8" width="11.57421875" style="10" customWidth="1"/>
    <col min="9" max="9" width="8.7109375" style="10" customWidth="1"/>
    <col min="10" max="10" width="10.57421875" style="10" customWidth="1"/>
    <col min="11" max="16384" width="8.7109375" style="10" customWidth="1"/>
  </cols>
  <sheetData>
    <row r="1" spans="2:43" ht="15.75">
      <c r="B1" s="221" t="s">
        <v>19</v>
      </c>
      <c r="C1" s="221"/>
      <c r="D1" s="221"/>
      <c r="E1" s="221"/>
      <c r="F1" s="221"/>
      <c r="G1" s="221"/>
      <c r="H1" s="221"/>
      <c r="I1" s="221"/>
      <c r="J1" s="221"/>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row>
    <row r="2" spans="2:43" ht="15.75">
      <c r="B2" s="232" t="s">
        <v>195</v>
      </c>
      <c r="C2" s="221"/>
      <c r="D2" s="221"/>
      <c r="E2" s="221"/>
      <c r="F2" s="221"/>
      <c r="G2" s="221"/>
      <c r="H2" s="221"/>
      <c r="I2" s="221"/>
      <c r="J2" s="221"/>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row>
    <row r="3" spans="1:43" ht="15.75">
      <c r="A3" s="10"/>
      <c r="B3" s="233" t="e">
        <f>#REF!</f>
        <v>#REF!</v>
      </c>
      <c r="C3" s="233"/>
      <c r="D3" s="233"/>
      <c r="E3" s="233"/>
      <c r="F3" s="233"/>
      <c r="G3" s="233"/>
      <c r="H3" s="233"/>
      <c r="I3" s="233"/>
      <c r="J3" s="23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row>
    <row r="4" spans="1:43" ht="15.75">
      <c r="A4" s="200"/>
      <c r="B4" s="337"/>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row>
    <row r="5" spans="1:43" ht="15.75">
      <c r="A5" s="201"/>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row>
    <row r="6" spans="1:70" ht="15.75">
      <c r="A6" s="201">
        <v>1</v>
      </c>
      <c r="B6" s="184" t="s">
        <v>2</v>
      </c>
      <c r="C6" s="184" t="s">
        <v>20</v>
      </c>
      <c r="D6" s="184" t="s">
        <v>33</v>
      </c>
      <c r="E6" s="184" t="s">
        <v>44</v>
      </c>
      <c r="F6" s="184" t="s">
        <v>45</v>
      </c>
      <c r="G6" s="49" t="s">
        <v>46</v>
      </c>
      <c r="H6" s="184" t="s">
        <v>47</v>
      </c>
      <c r="I6" s="184" t="s">
        <v>48</v>
      </c>
      <c r="J6" s="184" t="s">
        <v>49</v>
      </c>
      <c r="K6" s="53"/>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row>
    <row r="7" spans="1:70" ht="15.75">
      <c r="A7" s="201">
        <f aca="true" t="shared" si="0" ref="A7:A18">+A6+1</f>
        <v>2</v>
      </c>
      <c r="B7" s="204"/>
      <c r="C7" s="204"/>
      <c r="D7" s="204"/>
      <c r="E7" s="204"/>
      <c r="F7" s="204"/>
      <c r="G7" s="205"/>
      <c r="H7" s="204"/>
      <c r="J7" s="198"/>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c r="BP7" s="203"/>
      <c r="BQ7" s="203"/>
      <c r="BR7" s="203"/>
    </row>
    <row r="8" spans="1:70" ht="34.5">
      <c r="A8" s="201">
        <f t="shared" si="0"/>
        <v>3</v>
      </c>
      <c r="B8" s="204"/>
      <c r="C8" s="164" t="s">
        <v>35</v>
      </c>
      <c r="D8" s="164" t="s">
        <v>52</v>
      </c>
      <c r="E8" s="164" t="s">
        <v>105</v>
      </c>
      <c r="F8" s="164" t="s">
        <v>38</v>
      </c>
      <c r="G8" s="164" t="s">
        <v>127</v>
      </c>
      <c r="H8" s="164" t="s">
        <v>81</v>
      </c>
      <c r="I8" s="164" t="s">
        <v>196</v>
      </c>
      <c r="J8" s="164" t="s">
        <v>36</v>
      </c>
      <c r="K8" s="202"/>
      <c r="L8" s="202"/>
      <c r="M8" s="202"/>
      <c r="N8" s="202"/>
      <c r="O8" s="202"/>
      <c r="P8" s="202"/>
      <c r="Q8" s="202"/>
      <c r="R8" s="202"/>
      <c r="S8" s="202"/>
      <c r="T8" s="202"/>
      <c r="U8" s="202"/>
      <c r="V8" s="202"/>
      <c r="W8" s="202"/>
      <c r="X8" s="202"/>
      <c r="Y8" s="202"/>
      <c r="Z8" s="202"/>
      <c r="AA8" s="202"/>
      <c r="AB8" s="202"/>
      <c r="AC8" s="202"/>
      <c r="AD8" s="202"/>
      <c r="AE8" s="202"/>
      <c r="AF8" s="203"/>
      <c r="AG8" s="202"/>
      <c r="AH8" s="202"/>
      <c r="AI8" s="202"/>
      <c r="AJ8" s="202"/>
      <c r="AK8" s="202"/>
      <c r="AL8" s="202"/>
      <c r="AM8" s="202"/>
      <c r="AN8" s="202"/>
      <c r="AO8" s="202"/>
      <c r="AP8" s="202"/>
      <c r="AQ8" s="202"/>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row>
    <row r="9" spans="1:70" ht="15.75">
      <c r="A9" s="201">
        <f t="shared" si="0"/>
        <v>4</v>
      </c>
      <c r="B9" s="165" t="s">
        <v>123</v>
      </c>
      <c r="C9" s="206"/>
      <c r="D9" s="206"/>
      <c r="E9" s="166"/>
      <c r="F9" s="166"/>
      <c r="G9" s="160"/>
      <c r="H9" s="207"/>
      <c r="J9" s="208"/>
      <c r="K9" s="162"/>
      <c r="L9" s="191"/>
      <c r="M9" s="202"/>
      <c r="N9" s="202"/>
      <c r="O9" s="202"/>
      <c r="P9" s="202"/>
      <c r="Q9" s="202"/>
      <c r="R9" s="202"/>
      <c r="S9" s="202"/>
      <c r="T9" s="202"/>
      <c r="U9" s="202"/>
      <c r="V9" s="202"/>
      <c r="W9" s="202"/>
      <c r="X9" s="202"/>
      <c r="Y9" s="202"/>
      <c r="Z9" s="202"/>
      <c r="AA9" s="202"/>
      <c r="AB9" s="202"/>
      <c r="AC9" s="202"/>
      <c r="AD9" s="202"/>
      <c r="AE9" s="202"/>
      <c r="AF9" s="203"/>
      <c r="AG9" s="202"/>
      <c r="AH9" s="202"/>
      <c r="AI9" s="202"/>
      <c r="AJ9" s="202"/>
      <c r="AK9" s="202"/>
      <c r="AL9" s="202"/>
      <c r="AM9" s="202"/>
      <c r="AN9" s="202"/>
      <c r="AO9" s="202"/>
      <c r="AP9" s="202"/>
      <c r="AQ9" s="202"/>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row>
    <row r="10" spans="1:70" ht="14.25" customHeight="1">
      <c r="A10" s="201">
        <f t="shared" si="0"/>
        <v>5</v>
      </c>
      <c r="C10" s="210"/>
      <c r="D10" s="211"/>
      <c r="E10" s="212"/>
      <c r="F10" s="204"/>
      <c r="G10" s="204"/>
      <c r="H10" s="204"/>
      <c r="J10" s="213"/>
      <c r="K10" s="162"/>
      <c r="L10" s="191"/>
      <c r="M10" s="214"/>
      <c r="N10" s="202"/>
      <c r="O10" s="202"/>
      <c r="P10" s="202"/>
      <c r="Q10" s="202"/>
      <c r="R10" s="202"/>
      <c r="S10" s="202"/>
      <c r="T10" s="202"/>
      <c r="U10" s="202"/>
      <c r="V10" s="202"/>
      <c r="W10" s="202"/>
      <c r="X10" s="202"/>
      <c r="Y10" s="202"/>
      <c r="Z10" s="202"/>
      <c r="AA10" s="202"/>
      <c r="AB10" s="202"/>
      <c r="AC10" s="202"/>
      <c r="AD10" s="202"/>
      <c r="AE10" s="202"/>
      <c r="AF10" s="203"/>
      <c r="AG10" s="202"/>
      <c r="AH10" s="202"/>
      <c r="AI10" s="202"/>
      <c r="AJ10" s="202"/>
      <c r="AK10" s="202"/>
      <c r="AL10" s="202"/>
      <c r="AM10" s="202"/>
      <c r="AN10" s="202"/>
      <c r="AO10" s="202"/>
      <c r="AP10" s="202"/>
      <c r="AQ10" s="202"/>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row>
    <row r="11" spans="1:70" ht="15.75">
      <c r="A11" s="201">
        <f t="shared" si="0"/>
        <v>6</v>
      </c>
      <c r="B11" s="157" t="s">
        <v>23</v>
      </c>
      <c r="C11" s="158">
        <v>22830</v>
      </c>
      <c r="D11" s="158" t="s">
        <v>53</v>
      </c>
      <c r="E11" s="159" t="s">
        <v>104</v>
      </c>
      <c r="F11" s="154">
        <v>0.0484</v>
      </c>
      <c r="G11" s="160">
        <v>1458300</v>
      </c>
      <c r="H11" s="153">
        <v>97.86666666666667</v>
      </c>
      <c r="I11" s="216">
        <v>0.0495</v>
      </c>
      <c r="J11" s="161">
        <f>+I11*G11</f>
        <v>72185.85</v>
      </c>
      <c r="K11" s="216"/>
      <c r="L11" s="202"/>
      <c r="M11" s="202"/>
      <c r="N11" s="202"/>
      <c r="O11" s="202"/>
      <c r="P11" s="202"/>
      <c r="Q11" s="202"/>
      <c r="R11" s="202"/>
      <c r="S11" s="202"/>
      <c r="T11" s="202"/>
      <c r="U11" s="202"/>
      <c r="V11" s="202"/>
      <c r="W11" s="202"/>
      <c r="X11" s="202"/>
      <c r="Y11" s="202"/>
      <c r="Z11" s="202"/>
      <c r="AA11" s="202"/>
      <c r="AB11" s="202"/>
      <c r="AC11" s="202"/>
      <c r="AD11" s="202"/>
      <c r="AE11" s="202"/>
      <c r="AF11" s="203"/>
      <c r="AG11" s="202"/>
      <c r="AH11" s="202"/>
      <c r="AI11" s="202"/>
      <c r="AJ11" s="202"/>
      <c r="AK11" s="202"/>
      <c r="AL11" s="202"/>
      <c r="AM11" s="202"/>
      <c r="AN11" s="202"/>
      <c r="AO11" s="202"/>
      <c r="AP11" s="202"/>
      <c r="AQ11" s="202"/>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row>
    <row r="12" spans="1:70" ht="15.75">
      <c r="A12" s="201">
        <f t="shared" si="0"/>
        <v>7</v>
      </c>
      <c r="B12" s="157" t="s">
        <v>22</v>
      </c>
      <c r="C12" s="158">
        <v>23516</v>
      </c>
      <c r="D12" s="158" t="s">
        <v>53</v>
      </c>
      <c r="E12" s="159" t="s">
        <v>104</v>
      </c>
      <c r="F12" s="154">
        <v>0.047</v>
      </c>
      <c r="G12" s="160">
        <v>431100</v>
      </c>
      <c r="H12" s="153">
        <v>98.516</v>
      </c>
      <c r="I12" s="216">
        <v>0.0477</v>
      </c>
      <c r="J12" s="161">
        <f>+I12*G12</f>
        <v>20563.47</v>
      </c>
      <c r="K12" s="216"/>
      <c r="L12" s="202"/>
      <c r="M12" s="202"/>
      <c r="N12" s="202"/>
      <c r="O12" s="202"/>
      <c r="P12" s="202"/>
      <c r="Q12" s="202"/>
      <c r="R12" s="202"/>
      <c r="S12" s="202"/>
      <c r="T12" s="202"/>
      <c r="U12" s="202"/>
      <c r="V12" s="202"/>
      <c r="W12" s="202"/>
      <c r="X12" s="202"/>
      <c r="Y12" s="202"/>
      <c r="Z12" s="202"/>
      <c r="AA12" s="202"/>
      <c r="AB12" s="202"/>
      <c r="AC12" s="202"/>
      <c r="AD12" s="202"/>
      <c r="AE12" s="202"/>
      <c r="AF12" s="203"/>
      <c r="AG12" s="202"/>
      <c r="AH12" s="202"/>
      <c r="AI12" s="202"/>
      <c r="AJ12" s="202"/>
      <c r="AK12" s="202"/>
      <c r="AL12" s="202"/>
      <c r="AM12" s="202"/>
      <c r="AN12" s="202"/>
      <c r="AO12" s="202"/>
      <c r="AP12" s="202"/>
      <c r="AQ12" s="202"/>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row>
    <row r="13" spans="1:70" ht="15.75">
      <c r="A13" s="201">
        <f t="shared" si="0"/>
        <v>8</v>
      </c>
      <c r="B13" s="157" t="s">
        <v>54</v>
      </c>
      <c r="C13" s="159"/>
      <c r="D13" s="159"/>
      <c r="E13" s="159"/>
      <c r="F13" s="154"/>
      <c r="H13" s="160"/>
      <c r="I13" s="205" t="s">
        <v>124</v>
      </c>
      <c r="J13" s="46">
        <f>'Reacquired PS '!G23</f>
        <v>69862.5</v>
      </c>
      <c r="K13" s="202"/>
      <c r="L13" s="202"/>
      <c r="M13" s="202"/>
      <c r="N13" s="202"/>
      <c r="O13" s="202"/>
      <c r="P13" s="202"/>
      <c r="Q13" s="202"/>
      <c r="R13" s="202"/>
      <c r="S13" s="202"/>
      <c r="T13" s="202"/>
      <c r="U13" s="202"/>
      <c r="V13" s="202"/>
      <c r="W13" s="202"/>
      <c r="X13" s="202"/>
      <c r="Y13" s="202"/>
      <c r="Z13" s="202"/>
      <c r="AA13" s="202"/>
      <c r="AB13" s="202"/>
      <c r="AC13" s="202"/>
      <c r="AD13" s="202"/>
      <c r="AE13" s="202"/>
      <c r="AF13" s="203"/>
      <c r="AG13" s="202"/>
      <c r="AH13" s="202"/>
      <c r="AI13" s="202"/>
      <c r="AJ13" s="202"/>
      <c r="AK13" s="202"/>
      <c r="AL13" s="202"/>
      <c r="AM13" s="202"/>
      <c r="AN13" s="202"/>
      <c r="AO13" s="202"/>
      <c r="AP13" s="202"/>
      <c r="AQ13" s="202"/>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row>
    <row r="14" spans="1:70" ht="16.5" thickBot="1">
      <c r="A14" s="201">
        <f t="shared" si="0"/>
        <v>9</v>
      </c>
      <c r="B14" s="204"/>
      <c r="C14" s="204"/>
      <c r="D14" s="204"/>
      <c r="E14" s="204"/>
      <c r="F14" s="154"/>
      <c r="G14" s="247">
        <f>SUM(G11:G12)</f>
        <v>1889400</v>
      </c>
      <c r="H14" s="217"/>
      <c r="I14" s="209">
        <f>+J14/G14</f>
        <v>0.08606532232454749</v>
      </c>
      <c r="J14" s="248">
        <f>SUM(J11:J13)</f>
        <v>162611.82</v>
      </c>
      <c r="K14" s="202"/>
      <c r="L14" s="202"/>
      <c r="M14" s="202"/>
      <c r="N14" s="202"/>
      <c r="O14" s="202"/>
      <c r="P14" s="202"/>
      <c r="Q14" s="202"/>
      <c r="R14" s="202"/>
      <c r="S14" s="202"/>
      <c r="T14" s="202"/>
      <c r="U14" s="202"/>
      <c r="V14" s="202"/>
      <c r="W14" s="202"/>
      <c r="X14" s="202"/>
      <c r="Y14" s="202"/>
      <c r="Z14" s="202"/>
      <c r="AA14" s="202"/>
      <c r="AB14" s="202"/>
      <c r="AC14" s="202"/>
      <c r="AD14" s="202"/>
      <c r="AE14" s="202"/>
      <c r="AF14" s="203"/>
      <c r="AG14" s="202"/>
      <c r="AH14" s="202"/>
      <c r="AI14" s="202"/>
      <c r="AJ14" s="202"/>
      <c r="AK14" s="202"/>
      <c r="AL14" s="202"/>
      <c r="AM14" s="202"/>
      <c r="AN14" s="202"/>
      <c r="AO14" s="202"/>
      <c r="AP14" s="202"/>
      <c r="AQ14" s="202"/>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row>
    <row r="15" spans="1:70" ht="16.5" thickTop="1">
      <c r="A15" s="201">
        <f t="shared" si="0"/>
        <v>10</v>
      </c>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row>
    <row r="16" spans="1:70" ht="15.75">
      <c r="A16" s="201">
        <f t="shared" si="0"/>
        <v>11</v>
      </c>
      <c r="B16" s="218"/>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row>
    <row r="17" spans="1:70" ht="15.75">
      <c r="A17" s="201">
        <f t="shared" si="0"/>
        <v>12</v>
      </c>
      <c r="B17" s="218" t="s">
        <v>125</v>
      </c>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row>
    <row r="18" spans="1:8" ht="15.75">
      <c r="A18" s="201">
        <f t="shared" si="0"/>
        <v>13</v>
      </c>
      <c r="B18" s="219" t="s">
        <v>126</v>
      </c>
      <c r="C18" s="203"/>
      <c r="D18" s="203"/>
      <c r="E18" s="203"/>
      <c r="F18" s="203"/>
      <c r="G18" s="203"/>
      <c r="H18" s="203"/>
    </row>
    <row r="19" spans="1:8" ht="15.75" customHeight="1">
      <c r="A19" s="220"/>
      <c r="B19" s="196"/>
      <c r="C19" s="203"/>
      <c r="D19" s="203"/>
      <c r="E19" s="203"/>
      <c r="F19" s="203"/>
      <c r="G19" s="203"/>
      <c r="H19" s="203"/>
    </row>
    <row r="20" spans="1:8" ht="15.75">
      <c r="A20" s="220"/>
      <c r="B20" s="203"/>
      <c r="C20" s="203"/>
      <c r="D20" s="203"/>
      <c r="E20" s="203"/>
      <c r="F20" s="203"/>
      <c r="G20" s="203"/>
      <c r="H20" s="133"/>
    </row>
    <row r="21" spans="1:8" ht="15.75">
      <c r="A21" s="220"/>
      <c r="B21" s="203"/>
      <c r="C21" s="203"/>
      <c r="D21" s="203"/>
      <c r="E21" s="203"/>
      <c r="F21" s="203"/>
      <c r="G21" s="203"/>
      <c r="H21" s="203"/>
    </row>
    <row r="22" spans="1:8" ht="15.75">
      <c r="A22" s="220"/>
      <c r="B22" s="203"/>
      <c r="C22" s="203"/>
      <c r="D22" s="203"/>
      <c r="E22" s="203"/>
      <c r="F22" s="203"/>
      <c r="G22" s="203"/>
      <c r="H22" s="203"/>
    </row>
    <row r="23" spans="1:8" ht="15.75">
      <c r="A23" s="220"/>
      <c r="B23" s="203"/>
      <c r="C23" s="203"/>
      <c r="D23" s="203"/>
      <c r="E23" s="203"/>
      <c r="F23" s="203"/>
      <c r="G23" s="203"/>
      <c r="H23" s="315"/>
    </row>
    <row r="24" spans="1:8" ht="15.75">
      <c r="A24" s="220"/>
      <c r="B24" s="203"/>
      <c r="C24" s="203"/>
      <c r="D24" s="203"/>
      <c r="E24" s="203"/>
      <c r="F24" s="203"/>
      <c r="G24" s="203"/>
      <c r="H24" s="316"/>
    </row>
    <row r="25" spans="1:8" ht="15.75">
      <c r="A25" s="220"/>
      <c r="B25" s="203"/>
      <c r="C25" s="203"/>
      <c r="D25" s="203"/>
      <c r="E25" s="203"/>
      <c r="F25" s="203"/>
      <c r="G25" s="203"/>
      <c r="H25" s="203"/>
    </row>
    <row r="26" spans="1:8" ht="15.75">
      <c r="A26" s="220"/>
      <c r="B26" s="203"/>
      <c r="C26" s="203"/>
      <c r="D26" s="203"/>
      <c r="E26" s="203"/>
      <c r="F26" s="203"/>
      <c r="G26" s="203"/>
      <c r="H26" s="203"/>
    </row>
    <row r="27" spans="1:8" ht="15.75">
      <c r="A27" s="220"/>
      <c r="B27" s="203"/>
      <c r="C27" s="203"/>
      <c r="D27" s="203"/>
      <c r="E27" s="203"/>
      <c r="F27" s="203"/>
      <c r="G27" s="203"/>
      <c r="H27" s="203"/>
    </row>
    <row r="28" spans="1:8" ht="15.75">
      <c r="A28" s="220"/>
      <c r="B28" s="203"/>
      <c r="C28" s="203"/>
      <c r="D28" s="203"/>
      <c r="E28" s="203"/>
      <c r="F28" s="203"/>
      <c r="G28" s="203"/>
      <c r="H28" s="203"/>
    </row>
    <row r="29" spans="1:8" ht="15.75">
      <c r="A29" s="220"/>
      <c r="B29" s="203"/>
      <c r="C29" s="203"/>
      <c r="D29" s="203"/>
      <c r="E29" s="203"/>
      <c r="F29" s="203"/>
      <c r="G29" s="203"/>
      <c r="H29" s="203"/>
    </row>
    <row r="30" spans="1:8" ht="15.75">
      <c r="A30" s="220"/>
      <c r="B30" s="203"/>
      <c r="C30" s="203"/>
      <c r="D30" s="203"/>
      <c r="E30" s="203"/>
      <c r="F30" s="203"/>
      <c r="G30" s="203"/>
      <c r="H30" s="203"/>
    </row>
    <row r="31" spans="1:8" ht="15.75">
      <c r="A31" s="220"/>
      <c r="B31" s="203"/>
      <c r="C31" s="203"/>
      <c r="D31" s="203"/>
      <c r="E31" s="203"/>
      <c r="F31" s="203"/>
      <c r="G31" s="203"/>
      <c r="H31" s="203"/>
    </row>
    <row r="32" spans="1:8" ht="15.75">
      <c r="A32" s="220"/>
      <c r="B32" s="203"/>
      <c r="C32" s="203"/>
      <c r="D32" s="203"/>
      <c r="E32" s="203"/>
      <c r="F32" s="203"/>
      <c r="G32" s="203"/>
      <c r="H32" s="203"/>
    </row>
    <row r="33" spans="1:8" ht="15.75">
      <c r="A33" s="220"/>
      <c r="B33" s="203"/>
      <c r="C33" s="203"/>
      <c r="D33" s="203"/>
      <c r="E33" s="203"/>
      <c r="F33" s="203"/>
      <c r="G33" s="203"/>
      <c r="H33" s="203"/>
    </row>
    <row r="34" spans="1:8" ht="15.75">
      <c r="A34" s="220"/>
      <c r="B34" s="203"/>
      <c r="C34" s="203"/>
      <c r="D34" s="203"/>
      <c r="E34" s="203"/>
      <c r="F34" s="203"/>
      <c r="G34" s="203"/>
      <c r="H34" s="203"/>
    </row>
    <row r="35" spans="1:8" ht="15.75">
      <c r="A35" s="220"/>
      <c r="B35" s="203"/>
      <c r="C35" s="203"/>
      <c r="D35" s="203"/>
      <c r="E35" s="203"/>
      <c r="F35" s="203"/>
      <c r="G35" s="203"/>
      <c r="H35" s="203"/>
    </row>
    <row r="36" spans="1:8" ht="15.75">
      <c r="A36" s="220"/>
      <c r="B36" s="203"/>
      <c r="C36" s="203"/>
      <c r="D36" s="203"/>
      <c r="E36" s="203"/>
      <c r="F36" s="203"/>
      <c r="G36" s="203"/>
      <c r="H36" s="203"/>
    </row>
    <row r="37" spans="1:8" ht="15.75">
      <c r="A37" s="220"/>
      <c r="B37" s="203"/>
      <c r="C37" s="203"/>
      <c r="D37" s="203"/>
      <c r="E37" s="203"/>
      <c r="F37" s="203"/>
      <c r="G37" s="203"/>
      <c r="H37" s="203"/>
    </row>
    <row r="38" spans="1:8" ht="15.75">
      <c r="A38" s="220"/>
      <c r="B38" s="203"/>
      <c r="C38" s="203"/>
      <c r="D38" s="203"/>
      <c r="E38" s="203"/>
      <c r="F38" s="203"/>
      <c r="G38" s="203"/>
      <c r="H38" s="203"/>
    </row>
    <row r="39" spans="1:8" ht="15.75">
      <c r="A39" s="220"/>
      <c r="B39" s="203"/>
      <c r="C39" s="203"/>
      <c r="D39" s="203"/>
      <c r="E39" s="203"/>
      <c r="F39" s="203"/>
      <c r="G39" s="203"/>
      <c r="H39" s="203"/>
    </row>
    <row r="40" spans="1:8" ht="15.75">
      <c r="A40" s="220"/>
      <c r="B40" s="203"/>
      <c r="C40" s="203"/>
      <c r="D40" s="203"/>
      <c r="E40" s="203"/>
      <c r="F40" s="203"/>
      <c r="G40" s="203"/>
      <c r="H40" s="203"/>
    </row>
    <row r="41" spans="1:8" ht="15.75">
      <c r="A41" s="220"/>
      <c r="B41" s="203"/>
      <c r="C41" s="203"/>
      <c r="D41" s="203"/>
      <c r="E41" s="203"/>
      <c r="F41" s="203"/>
      <c r="G41" s="203"/>
      <c r="H41" s="203"/>
    </row>
    <row r="42" spans="1:8" ht="15.75">
      <c r="A42" s="220"/>
      <c r="B42" s="203"/>
      <c r="C42" s="203"/>
      <c r="D42" s="203"/>
      <c r="E42" s="203"/>
      <c r="F42" s="203"/>
      <c r="G42" s="203"/>
      <c r="H42" s="203"/>
    </row>
    <row r="43" spans="1:8" ht="15.75">
      <c r="A43" s="220"/>
      <c r="B43" s="203"/>
      <c r="C43" s="203"/>
      <c r="D43" s="203"/>
      <c r="E43" s="203"/>
      <c r="F43" s="203"/>
      <c r="G43" s="203"/>
      <c r="H43" s="203"/>
    </row>
    <row r="44" spans="1:8" ht="15.75">
      <c r="A44" s="220"/>
      <c r="B44" s="203"/>
      <c r="C44" s="203"/>
      <c r="D44" s="203"/>
      <c r="E44" s="203"/>
      <c r="F44" s="203"/>
      <c r="G44" s="203"/>
      <c r="H44" s="203"/>
    </row>
    <row r="45" spans="1:8" ht="15.75">
      <c r="A45" s="220"/>
      <c r="B45" s="203"/>
      <c r="C45" s="203"/>
      <c r="D45" s="203"/>
      <c r="E45" s="203"/>
      <c r="F45" s="203"/>
      <c r="G45" s="203"/>
      <c r="H45" s="203"/>
    </row>
    <row r="46" spans="1:8" ht="15.75">
      <c r="A46" s="220"/>
      <c r="B46" s="203"/>
      <c r="C46" s="203"/>
      <c r="D46" s="203"/>
      <c r="E46" s="203"/>
      <c r="F46" s="203"/>
      <c r="G46" s="203"/>
      <c r="H46" s="203"/>
    </row>
    <row r="47" spans="1:8" ht="15.75">
      <c r="A47" s="220"/>
      <c r="B47" s="203"/>
      <c r="C47" s="203"/>
      <c r="D47" s="203"/>
      <c r="E47" s="203"/>
      <c r="F47" s="203"/>
      <c r="G47" s="203"/>
      <c r="H47" s="203"/>
    </row>
    <row r="48" spans="1:8" ht="15.75">
      <c r="A48" s="220"/>
      <c r="B48" s="203"/>
      <c r="C48" s="203"/>
      <c r="D48" s="203"/>
      <c r="E48" s="203"/>
      <c r="F48" s="203"/>
      <c r="G48" s="203"/>
      <c r="H48" s="203"/>
    </row>
    <row r="49" spans="1:8" ht="15.75">
      <c r="A49" s="220"/>
      <c r="B49" s="203"/>
      <c r="C49" s="203"/>
      <c r="D49" s="203"/>
      <c r="E49" s="203"/>
      <c r="F49" s="203"/>
      <c r="G49" s="203"/>
      <c r="H49" s="203"/>
    </row>
    <row r="50" spans="1:8" ht="15.75">
      <c r="A50" s="220"/>
      <c r="B50" s="203"/>
      <c r="C50" s="203"/>
      <c r="D50" s="203"/>
      <c r="E50" s="203"/>
      <c r="F50" s="203"/>
      <c r="G50" s="203"/>
      <c r="H50" s="203"/>
    </row>
    <row r="51" spans="1:8" ht="15.75">
      <c r="A51" s="220"/>
      <c r="B51" s="203"/>
      <c r="C51" s="203"/>
      <c r="D51" s="203"/>
      <c r="E51" s="203"/>
      <c r="F51" s="203"/>
      <c r="G51" s="203"/>
      <c r="H51" s="203"/>
    </row>
    <row r="52" spans="1:8" ht="15.75">
      <c r="A52" s="220"/>
      <c r="B52" s="203"/>
      <c r="C52" s="203"/>
      <c r="D52" s="203"/>
      <c r="E52" s="203"/>
      <c r="F52" s="203"/>
      <c r="G52" s="203"/>
      <c r="H52" s="203"/>
    </row>
    <row r="53" spans="1:8" ht="15.75">
      <c r="A53" s="220"/>
      <c r="B53" s="203"/>
      <c r="C53" s="203"/>
      <c r="D53" s="203"/>
      <c r="E53" s="203"/>
      <c r="F53" s="203"/>
      <c r="G53" s="203"/>
      <c r="H53" s="203"/>
    </row>
    <row r="54" spans="1:8" ht="15.75">
      <c r="A54" s="220"/>
      <c r="B54" s="203"/>
      <c r="C54" s="203"/>
      <c r="D54" s="203"/>
      <c r="E54" s="203"/>
      <c r="F54" s="203"/>
      <c r="G54" s="203"/>
      <c r="H54" s="203"/>
    </row>
    <row r="55" spans="1:8" ht="15.75">
      <c r="A55" s="220"/>
      <c r="B55" s="203"/>
      <c r="C55" s="203"/>
      <c r="D55" s="203"/>
      <c r="E55" s="203"/>
      <c r="F55" s="203"/>
      <c r="G55" s="203"/>
      <c r="H55" s="203"/>
    </row>
    <row r="56" spans="1:8" ht="15.75">
      <c r="A56" s="220"/>
      <c r="B56" s="203"/>
      <c r="C56" s="203"/>
      <c r="D56" s="203"/>
      <c r="E56" s="203"/>
      <c r="F56" s="203"/>
      <c r="G56" s="203"/>
      <c r="H56" s="203"/>
    </row>
    <row r="57" spans="1:8" ht="15.75">
      <c r="A57" s="220"/>
      <c r="B57" s="203"/>
      <c r="C57" s="203"/>
      <c r="D57" s="203"/>
      <c r="E57" s="203"/>
      <c r="F57" s="203"/>
      <c r="G57" s="203"/>
      <c r="H57" s="203"/>
    </row>
    <row r="58" spans="1:8" ht="15.75">
      <c r="A58" s="220"/>
      <c r="B58" s="203"/>
      <c r="C58" s="203"/>
      <c r="D58" s="203"/>
      <c r="E58" s="203"/>
      <c r="F58" s="203"/>
      <c r="G58" s="203"/>
      <c r="H58" s="203"/>
    </row>
    <row r="59" spans="1:8" ht="15.75">
      <c r="A59" s="220"/>
      <c r="B59" s="203"/>
      <c r="C59" s="203"/>
      <c r="D59" s="203"/>
      <c r="E59" s="203"/>
      <c r="F59" s="203"/>
      <c r="G59" s="203"/>
      <c r="H59" s="203"/>
    </row>
    <row r="60" spans="1:8" ht="15.75">
      <c r="A60" s="220"/>
      <c r="B60" s="203"/>
      <c r="C60" s="203"/>
      <c r="D60" s="203"/>
      <c r="E60" s="203"/>
      <c r="F60" s="203"/>
      <c r="G60" s="203"/>
      <c r="H60" s="203"/>
    </row>
    <row r="61" spans="1:8" ht="15.75">
      <c r="A61" s="220"/>
      <c r="B61" s="203"/>
      <c r="C61" s="203"/>
      <c r="D61" s="203"/>
      <c r="E61" s="203"/>
      <c r="F61" s="203"/>
      <c r="G61" s="203"/>
      <c r="H61" s="203"/>
    </row>
    <row r="62" spans="1:8" ht="15.75">
      <c r="A62" s="220"/>
      <c r="B62" s="203"/>
      <c r="C62" s="203"/>
      <c r="D62" s="203"/>
      <c r="E62" s="203"/>
      <c r="F62" s="203"/>
      <c r="G62" s="203"/>
      <c r="H62" s="203"/>
    </row>
    <row r="63" spans="1:8" ht="15.75">
      <c r="A63" s="220"/>
      <c r="B63" s="203"/>
      <c r="C63" s="203"/>
      <c r="D63" s="203"/>
      <c r="E63" s="203"/>
      <c r="F63" s="203"/>
      <c r="G63" s="203"/>
      <c r="H63" s="203"/>
    </row>
    <row r="64" spans="1:8" ht="15.75">
      <c r="A64" s="220"/>
      <c r="B64" s="203"/>
      <c r="C64" s="203"/>
      <c r="D64" s="203"/>
      <c r="E64" s="203"/>
      <c r="F64" s="203"/>
      <c r="G64" s="203"/>
      <c r="H64" s="203"/>
    </row>
    <row r="65" spans="1:8" ht="15.75">
      <c r="A65" s="220"/>
      <c r="B65" s="203"/>
      <c r="C65" s="203"/>
      <c r="D65" s="203"/>
      <c r="E65" s="203"/>
      <c r="F65" s="203"/>
      <c r="G65" s="203"/>
      <c r="H65" s="203"/>
    </row>
    <row r="66" spans="1:8" ht="15.75">
      <c r="A66" s="220"/>
      <c r="B66" s="203"/>
      <c r="C66" s="203"/>
      <c r="D66" s="203"/>
      <c r="E66" s="203"/>
      <c r="F66" s="203"/>
      <c r="G66" s="203"/>
      <c r="H66" s="203"/>
    </row>
    <row r="67" spans="1:8" ht="15.75">
      <c r="A67" s="220"/>
      <c r="B67" s="203"/>
      <c r="C67" s="203"/>
      <c r="D67" s="203"/>
      <c r="E67" s="203"/>
      <c r="F67" s="203"/>
      <c r="G67" s="203"/>
      <c r="H67" s="203"/>
    </row>
    <row r="68" spans="1:8" ht="15.75">
      <c r="A68" s="220"/>
      <c r="B68" s="203"/>
      <c r="C68" s="203"/>
      <c r="D68" s="203"/>
      <c r="E68" s="203"/>
      <c r="F68" s="203"/>
      <c r="G68" s="203"/>
      <c r="H68" s="203"/>
    </row>
    <row r="69" spans="1:8" ht="15.75">
      <c r="A69" s="220"/>
      <c r="B69" s="203"/>
      <c r="C69" s="203"/>
      <c r="D69" s="203"/>
      <c r="E69" s="203"/>
      <c r="F69" s="203"/>
      <c r="G69" s="203"/>
      <c r="H69" s="203"/>
    </row>
    <row r="70" spans="1:8" ht="15.75">
      <c r="A70" s="220"/>
      <c r="B70" s="203"/>
      <c r="C70" s="203"/>
      <c r="D70" s="203"/>
      <c r="E70" s="203"/>
      <c r="F70" s="203"/>
      <c r="G70" s="203"/>
      <c r="H70" s="203"/>
    </row>
    <row r="71" spans="1:8" ht="15.75">
      <c r="A71" s="220"/>
      <c r="B71" s="203"/>
      <c r="C71" s="203"/>
      <c r="D71" s="203"/>
      <c r="E71" s="203"/>
      <c r="F71" s="203"/>
      <c r="G71" s="203"/>
      <c r="H71" s="203"/>
    </row>
    <row r="72" spans="1:8" ht="15.75">
      <c r="A72" s="220"/>
      <c r="B72" s="203"/>
      <c r="C72" s="203"/>
      <c r="D72" s="203"/>
      <c r="E72" s="203"/>
      <c r="F72" s="203"/>
      <c r="G72" s="203"/>
      <c r="H72" s="203"/>
    </row>
    <row r="73" spans="1:8" ht="15.75">
      <c r="A73" s="220"/>
      <c r="B73" s="203"/>
      <c r="C73" s="203"/>
      <c r="D73" s="203"/>
      <c r="E73" s="203"/>
      <c r="F73" s="203"/>
      <c r="G73" s="203"/>
      <c r="H73" s="203"/>
    </row>
    <row r="74" spans="1:8" ht="15.75">
      <c r="A74" s="220"/>
      <c r="B74" s="203"/>
      <c r="C74" s="203"/>
      <c r="D74" s="203"/>
      <c r="E74" s="203"/>
      <c r="F74" s="203"/>
      <c r="G74" s="203"/>
      <c r="H74" s="203"/>
    </row>
    <row r="75" spans="1:8" ht="15.75">
      <c r="A75" s="220"/>
      <c r="B75" s="203"/>
      <c r="C75" s="203"/>
      <c r="D75" s="203"/>
      <c r="E75" s="203"/>
      <c r="F75" s="203"/>
      <c r="G75" s="203"/>
      <c r="H75" s="203"/>
    </row>
    <row r="76" spans="1:8" ht="15.75">
      <c r="A76" s="220"/>
      <c r="B76" s="203"/>
      <c r="C76" s="203"/>
      <c r="D76" s="203"/>
      <c r="E76" s="203"/>
      <c r="F76" s="203"/>
      <c r="G76" s="203"/>
      <c r="H76" s="203"/>
    </row>
    <row r="77" spans="1:8" ht="15.75">
      <c r="A77" s="220"/>
      <c r="B77" s="203"/>
      <c r="C77" s="203"/>
      <c r="D77" s="203"/>
      <c r="E77" s="203"/>
      <c r="F77" s="203"/>
      <c r="G77" s="203"/>
      <c r="H77" s="203"/>
    </row>
    <row r="78" spans="1:8" ht="15.75">
      <c r="A78" s="220"/>
      <c r="B78" s="203"/>
      <c r="C78" s="203"/>
      <c r="D78" s="203"/>
      <c r="E78" s="203"/>
      <c r="F78" s="203"/>
      <c r="G78" s="203"/>
      <c r="H78" s="203"/>
    </row>
    <row r="79" spans="1:8" ht="15.75">
      <c r="A79" s="220"/>
      <c r="B79" s="203"/>
      <c r="C79" s="203"/>
      <c r="D79" s="203"/>
      <c r="E79" s="203"/>
      <c r="F79" s="203"/>
      <c r="G79" s="203"/>
      <c r="H79" s="203"/>
    </row>
    <row r="80" spans="1:8" ht="15.75">
      <c r="A80" s="220"/>
      <c r="B80" s="203"/>
      <c r="C80" s="203"/>
      <c r="D80" s="203"/>
      <c r="E80" s="203"/>
      <c r="F80" s="203"/>
      <c r="G80" s="203"/>
      <c r="H80" s="203"/>
    </row>
    <row r="81" spans="1:8" ht="15.75">
      <c r="A81" s="220"/>
      <c r="B81" s="203"/>
      <c r="C81" s="203"/>
      <c r="D81" s="203"/>
      <c r="E81" s="203"/>
      <c r="F81" s="203"/>
      <c r="G81" s="203"/>
      <c r="H81" s="203"/>
    </row>
    <row r="82" spans="1:8" ht="15.75">
      <c r="A82" s="220"/>
      <c r="B82" s="203"/>
      <c r="C82" s="203"/>
      <c r="D82" s="203"/>
      <c r="E82" s="203"/>
      <c r="F82" s="203"/>
      <c r="G82" s="203"/>
      <c r="H82" s="203"/>
    </row>
    <row r="83" spans="1:8" ht="15.75">
      <c r="A83" s="220"/>
      <c r="B83" s="203"/>
      <c r="C83" s="203"/>
      <c r="D83" s="203"/>
      <c r="E83" s="203"/>
      <c r="F83" s="203"/>
      <c r="G83" s="203"/>
      <c r="H83" s="203"/>
    </row>
    <row r="84" spans="1:8" ht="15.75">
      <c r="A84" s="220"/>
      <c r="B84" s="203"/>
      <c r="C84" s="203"/>
      <c r="D84" s="203"/>
      <c r="E84" s="203"/>
      <c r="F84" s="203"/>
      <c r="G84" s="203"/>
      <c r="H84" s="203"/>
    </row>
    <row r="85" spans="1:8" ht="15.75">
      <c r="A85" s="220"/>
      <c r="B85" s="203"/>
      <c r="C85" s="203"/>
      <c r="D85" s="203"/>
      <c r="E85" s="203"/>
      <c r="F85" s="203"/>
      <c r="G85" s="203"/>
      <c r="H85" s="203"/>
    </row>
    <row r="86" spans="1:8" ht="15.75">
      <c r="A86" s="220"/>
      <c r="B86" s="203"/>
      <c r="C86" s="203"/>
      <c r="D86" s="203"/>
      <c r="E86" s="203"/>
      <c r="F86" s="203"/>
      <c r="G86" s="203"/>
      <c r="H86" s="203"/>
    </row>
    <row r="87" spans="1:8" ht="15.75">
      <c r="A87" s="220"/>
      <c r="B87" s="203"/>
      <c r="C87" s="203"/>
      <c r="D87" s="203"/>
      <c r="E87" s="203"/>
      <c r="F87" s="203"/>
      <c r="G87" s="203"/>
      <c r="H87" s="203"/>
    </row>
    <row r="88" spans="1:8" ht="15.75">
      <c r="A88" s="220"/>
      <c r="B88" s="203"/>
      <c r="C88" s="203"/>
      <c r="D88" s="203"/>
      <c r="E88" s="203"/>
      <c r="F88" s="203"/>
      <c r="G88" s="203"/>
      <c r="H88" s="203"/>
    </row>
    <row r="89" spans="1:8" ht="15.75">
      <c r="A89" s="220"/>
      <c r="B89" s="203"/>
      <c r="C89" s="203"/>
      <c r="D89" s="203"/>
      <c r="E89" s="203"/>
      <c r="F89" s="203"/>
      <c r="G89" s="203"/>
      <c r="H89" s="203"/>
    </row>
    <row r="90" spans="1:8" ht="15.75">
      <c r="A90" s="220"/>
      <c r="B90" s="203"/>
      <c r="C90" s="203"/>
      <c r="D90" s="203"/>
      <c r="E90" s="203"/>
      <c r="F90" s="203"/>
      <c r="G90" s="203"/>
      <c r="H90" s="203"/>
    </row>
    <row r="91" spans="1:8" ht="15.75">
      <c r="A91" s="220"/>
      <c r="B91" s="203"/>
      <c r="C91" s="203"/>
      <c r="D91" s="203"/>
      <c r="E91" s="203"/>
      <c r="F91" s="203"/>
      <c r="G91" s="203"/>
      <c r="H91" s="203"/>
    </row>
    <row r="92" spans="1:8" ht="15.75">
      <c r="A92" s="220"/>
      <c r="B92" s="203"/>
      <c r="C92" s="203"/>
      <c r="D92" s="203"/>
      <c r="E92" s="203"/>
      <c r="F92" s="203"/>
      <c r="G92" s="203"/>
      <c r="H92" s="203"/>
    </row>
    <row r="93" spans="1:8" ht="15.75">
      <c r="A93" s="220"/>
      <c r="B93" s="203"/>
      <c r="C93" s="203"/>
      <c r="D93" s="203"/>
      <c r="E93" s="203"/>
      <c r="F93" s="203"/>
      <c r="G93" s="203"/>
      <c r="H93" s="203"/>
    </row>
    <row r="94" spans="1:8" ht="15.75">
      <c r="A94" s="220"/>
      <c r="B94" s="203"/>
      <c r="C94" s="203"/>
      <c r="D94" s="203"/>
      <c r="E94" s="203"/>
      <c r="F94" s="203"/>
      <c r="G94" s="203"/>
      <c r="H94" s="203"/>
    </row>
    <row r="95" spans="1:8" ht="15.75">
      <c r="A95" s="220"/>
      <c r="B95" s="203"/>
      <c r="C95" s="203"/>
      <c r="D95" s="203"/>
      <c r="E95" s="203"/>
      <c r="F95" s="203"/>
      <c r="G95" s="203"/>
      <c r="H95" s="203"/>
    </row>
    <row r="96" spans="1:8" ht="15.75">
      <c r="A96" s="220"/>
      <c r="B96" s="203"/>
      <c r="C96" s="203"/>
      <c r="D96" s="203"/>
      <c r="E96" s="203"/>
      <c r="F96" s="203"/>
      <c r="G96" s="203"/>
      <c r="H96" s="203"/>
    </row>
    <row r="97" spans="1:8" ht="15.75">
      <c r="A97" s="220"/>
      <c r="B97" s="203"/>
      <c r="C97" s="203"/>
      <c r="D97" s="203"/>
      <c r="E97" s="203"/>
      <c r="F97" s="203"/>
      <c r="G97" s="203"/>
      <c r="H97" s="203"/>
    </row>
    <row r="98" spans="1:8" ht="15.75">
      <c r="A98" s="220"/>
      <c r="B98" s="203"/>
      <c r="C98" s="203"/>
      <c r="D98" s="203"/>
      <c r="E98" s="203"/>
      <c r="F98" s="203"/>
      <c r="G98" s="203"/>
      <c r="H98" s="203"/>
    </row>
    <row r="99" spans="1:8" ht="15.75">
      <c r="A99" s="220"/>
      <c r="B99" s="203"/>
      <c r="C99" s="203"/>
      <c r="D99" s="203"/>
      <c r="E99" s="203"/>
      <c r="F99" s="203"/>
      <c r="G99" s="203"/>
      <c r="H99" s="203"/>
    </row>
    <row r="100" spans="1:8" ht="15.75">
      <c r="A100" s="220"/>
      <c r="B100" s="203"/>
      <c r="C100" s="203"/>
      <c r="D100" s="203"/>
      <c r="E100" s="203"/>
      <c r="F100" s="203"/>
      <c r="G100" s="203"/>
      <c r="H100" s="203"/>
    </row>
    <row r="101" spans="1:8" ht="15.75">
      <c r="A101" s="220"/>
      <c r="B101" s="203"/>
      <c r="C101" s="203"/>
      <c r="D101" s="203"/>
      <c r="E101" s="203"/>
      <c r="F101" s="203"/>
      <c r="G101" s="203"/>
      <c r="H101" s="203"/>
    </row>
    <row r="102" spans="1:8" ht="15.75">
      <c r="A102" s="220"/>
      <c r="B102" s="203"/>
      <c r="C102" s="203"/>
      <c r="D102" s="203"/>
      <c r="E102" s="203"/>
      <c r="F102" s="203"/>
      <c r="G102" s="203"/>
      <c r="H102" s="203"/>
    </row>
    <row r="103" spans="1:8" ht="15.75">
      <c r="A103" s="220"/>
      <c r="B103" s="203"/>
      <c r="C103" s="203"/>
      <c r="D103" s="203"/>
      <c r="E103" s="203"/>
      <c r="F103" s="203"/>
      <c r="G103" s="203"/>
      <c r="H103" s="203"/>
    </row>
    <row r="104" spans="1:8" ht="15.75">
      <c r="A104" s="220"/>
      <c r="B104" s="203"/>
      <c r="C104" s="203"/>
      <c r="D104" s="203"/>
      <c r="E104" s="203"/>
      <c r="F104" s="203"/>
      <c r="G104" s="203"/>
      <c r="H104" s="203"/>
    </row>
    <row r="105" spans="1:8" ht="15.75">
      <c r="A105" s="220"/>
      <c r="B105" s="203"/>
      <c r="C105" s="203"/>
      <c r="D105" s="203"/>
      <c r="E105" s="203"/>
      <c r="F105" s="203"/>
      <c r="G105" s="203"/>
      <c r="H105" s="203"/>
    </row>
    <row r="106" spans="1:8" ht="15.75">
      <c r="A106" s="220"/>
      <c r="B106" s="203"/>
      <c r="C106" s="203"/>
      <c r="D106" s="203"/>
      <c r="E106" s="203"/>
      <c r="F106" s="203"/>
      <c r="G106" s="203"/>
      <c r="H106" s="203"/>
    </row>
    <row r="107" spans="1:8" ht="15.75">
      <c r="A107" s="220"/>
      <c r="B107" s="203"/>
      <c r="C107" s="203"/>
      <c r="D107" s="203"/>
      <c r="E107" s="203"/>
      <c r="F107" s="203"/>
      <c r="G107" s="203"/>
      <c r="H107" s="203"/>
    </row>
    <row r="108" spans="1:8" ht="15.75">
      <c r="A108" s="220"/>
      <c r="B108" s="203"/>
      <c r="C108" s="203"/>
      <c r="D108" s="203"/>
      <c r="E108" s="203"/>
      <c r="F108" s="203"/>
      <c r="G108" s="203"/>
      <c r="H108" s="203"/>
    </row>
    <row r="109" spans="1:8" ht="15.75">
      <c r="A109" s="220"/>
      <c r="B109" s="203"/>
      <c r="C109" s="203"/>
      <c r="D109" s="203"/>
      <c r="E109" s="203"/>
      <c r="F109" s="203"/>
      <c r="G109" s="203"/>
      <c r="H109" s="203"/>
    </row>
    <row r="110" spans="1:8" ht="15.75">
      <c r="A110" s="220"/>
      <c r="B110" s="203"/>
      <c r="C110" s="203"/>
      <c r="D110" s="203"/>
      <c r="E110" s="203"/>
      <c r="F110" s="203"/>
      <c r="G110" s="203"/>
      <c r="H110" s="203"/>
    </row>
    <row r="111" spans="1:8" ht="15.75">
      <c r="A111" s="220"/>
      <c r="B111" s="203"/>
      <c r="C111" s="203"/>
      <c r="D111" s="203"/>
      <c r="E111" s="203"/>
      <c r="F111" s="203"/>
      <c r="G111" s="203"/>
      <c r="H111" s="203"/>
    </row>
    <row r="112" spans="1:8" ht="15.75">
      <c r="A112" s="220"/>
      <c r="B112" s="203"/>
      <c r="C112" s="203"/>
      <c r="D112" s="203"/>
      <c r="E112" s="203"/>
      <c r="F112" s="203"/>
      <c r="G112" s="203"/>
      <c r="H112" s="203"/>
    </row>
    <row r="113" spans="1:8" ht="15.75">
      <c r="A113" s="220"/>
      <c r="B113" s="203"/>
      <c r="C113" s="203"/>
      <c r="D113" s="203"/>
      <c r="E113" s="203"/>
      <c r="F113" s="203"/>
      <c r="G113" s="203"/>
      <c r="H113" s="203"/>
    </row>
    <row r="114" spans="1:8" ht="15.75">
      <c r="A114" s="220"/>
      <c r="B114" s="203"/>
      <c r="C114" s="203"/>
      <c r="D114" s="203"/>
      <c r="E114" s="203"/>
      <c r="F114" s="203"/>
      <c r="G114" s="203"/>
      <c r="H114" s="203"/>
    </row>
    <row r="115" spans="1:8" ht="15.75">
      <c r="A115" s="220"/>
      <c r="B115" s="203"/>
      <c r="C115" s="203"/>
      <c r="D115" s="203"/>
      <c r="E115" s="203"/>
      <c r="F115" s="203"/>
      <c r="G115" s="203"/>
      <c r="H115" s="203"/>
    </row>
    <row r="116" spans="1:8" ht="15.75">
      <c r="A116" s="220"/>
      <c r="B116" s="203"/>
      <c r="C116" s="203"/>
      <c r="D116" s="203"/>
      <c r="E116" s="203"/>
      <c r="F116" s="203"/>
      <c r="G116" s="203"/>
      <c r="H116" s="203"/>
    </row>
    <row r="117" spans="1:8" ht="15.75">
      <c r="A117" s="220"/>
      <c r="B117" s="203"/>
      <c r="C117" s="203"/>
      <c r="D117" s="203"/>
      <c r="E117" s="203"/>
      <c r="F117" s="203"/>
      <c r="G117" s="203"/>
      <c r="H117" s="203"/>
    </row>
    <row r="118" spans="1:8" ht="15.75">
      <c r="A118" s="220"/>
      <c r="B118" s="203"/>
      <c r="C118" s="203"/>
      <c r="D118" s="203"/>
      <c r="E118" s="203"/>
      <c r="F118" s="203"/>
      <c r="G118" s="203"/>
      <c r="H118" s="203"/>
    </row>
    <row r="119" spans="1:8" ht="15.75">
      <c r="A119" s="220"/>
      <c r="B119" s="203"/>
      <c r="C119" s="203"/>
      <c r="D119" s="203"/>
      <c r="E119" s="203"/>
      <c r="F119" s="203"/>
      <c r="G119" s="203"/>
      <c r="H119" s="203"/>
    </row>
    <row r="120" spans="1:8" ht="15.75">
      <c r="A120" s="220"/>
      <c r="B120" s="203"/>
      <c r="C120" s="203"/>
      <c r="D120" s="203"/>
      <c r="E120" s="203"/>
      <c r="F120" s="203"/>
      <c r="G120" s="203"/>
      <c r="H120" s="203"/>
    </row>
    <row r="121" spans="1:8" ht="15.75">
      <c r="A121" s="220"/>
      <c r="B121" s="203"/>
      <c r="C121" s="203"/>
      <c r="D121" s="203"/>
      <c r="E121" s="203"/>
      <c r="F121" s="203"/>
      <c r="G121" s="203"/>
      <c r="H121" s="203"/>
    </row>
    <row r="122" spans="1:8" ht="15.75">
      <c r="A122" s="220"/>
      <c r="B122" s="203"/>
      <c r="C122" s="203"/>
      <c r="D122" s="203"/>
      <c r="E122" s="203"/>
      <c r="F122" s="203"/>
      <c r="G122" s="203"/>
      <c r="H122" s="203"/>
    </row>
    <row r="123" spans="1:8" ht="15.75">
      <c r="A123" s="220"/>
      <c r="B123" s="203"/>
      <c r="C123" s="203"/>
      <c r="D123" s="203"/>
      <c r="E123" s="203"/>
      <c r="F123" s="203"/>
      <c r="G123" s="203"/>
      <c r="H123" s="203"/>
    </row>
    <row r="124" spans="1:8" ht="15.75">
      <c r="A124" s="220"/>
      <c r="B124" s="203"/>
      <c r="C124" s="203"/>
      <c r="D124" s="203"/>
      <c r="E124" s="203"/>
      <c r="F124" s="203"/>
      <c r="G124" s="203"/>
      <c r="H124" s="203"/>
    </row>
    <row r="125" spans="1:8" ht="15.75">
      <c r="A125" s="220"/>
      <c r="B125" s="203"/>
      <c r="C125" s="203"/>
      <c r="D125" s="203"/>
      <c r="E125" s="203"/>
      <c r="F125" s="203"/>
      <c r="G125" s="203"/>
      <c r="H125" s="203"/>
    </row>
    <row r="126" spans="1:8" ht="15.75">
      <c r="A126" s="220"/>
      <c r="B126" s="203"/>
      <c r="C126" s="203"/>
      <c r="D126" s="203"/>
      <c r="E126" s="203"/>
      <c r="F126" s="203"/>
      <c r="G126" s="203"/>
      <c r="H126" s="203"/>
    </row>
    <row r="127" spans="1:8" ht="15.75">
      <c r="A127" s="220"/>
      <c r="B127" s="203"/>
      <c r="C127" s="203"/>
      <c r="D127" s="203"/>
      <c r="E127" s="203"/>
      <c r="F127" s="203"/>
      <c r="G127" s="203"/>
      <c r="H127" s="203"/>
    </row>
    <row r="128" spans="1:8" ht="15.75">
      <c r="A128" s="220"/>
      <c r="B128" s="203"/>
      <c r="C128" s="203"/>
      <c r="D128" s="203"/>
      <c r="E128" s="203"/>
      <c r="F128" s="203"/>
      <c r="G128" s="203"/>
      <c r="H128" s="203"/>
    </row>
    <row r="129" spans="1:8" ht="15.75">
      <c r="A129" s="220"/>
      <c r="B129" s="203"/>
      <c r="C129" s="203"/>
      <c r="D129" s="203"/>
      <c r="E129" s="203"/>
      <c r="F129" s="203"/>
      <c r="G129" s="203"/>
      <c r="H129" s="203"/>
    </row>
    <row r="130" spans="1:8" ht="15.75">
      <c r="A130" s="220"/>
      <c r="B130" s="203"/>
      <c r="C130" s="203"/>
      <c r="D130" s="203"/>
      <c r="E130" s="203"/>
      <c r="F130" s="203"/>
      <c r="G130" s="203"/>
      <c r="H130" s="203"/>
    </row>
    <row r="131" spans="1:8" ht="15.75">
      <c r="A131" s="220"/>
      <c r="B131" s="203"/>
      <c r="C131" s="203"/>
      <c r="D131" s="203"/>
      <c r="E131" s="203"/>
      <c r="F131" s="203"/>
      <c r="G131" s="203"/>
      <c r="H131" s="203"/>
    </row>
    <row r="132" spans="1:8" ht="15.75">
      <c r="A132" s="220"/>
      <c r="B132" s="203"/>
      <c r="C132" s="203"/>
      <c r="D132" s="203"/>
      <c r="E132" s="203"/>
      <c r="F132" s="203"/>
      <c r="G132" s="203"/>
      <c r="H132" s="203"/>
    </row>
  </sheetData>
  <sheetProtection/>
  <printOptions horizontalCentered="1"/>
  <pageMargins left="0.5" right="0.53" top="0.78" bottom="0.94" header="0.27" footer="0.34"/>
  <pageSetup fitToHeight="1" fitToWidth="1" horizontalDpi="600" verticalDpi="600" orientation="landscape" r:id="rId1"/>
  <headerFooter alignWithMargins="0">
    <oddFooter>&amp;L&amp;"Times New Roman,Regular"&amp;11_____ Exhibit (Confidential) to the
Prefiled Direct Testimony of Donald E. Gaines&amp;R&amp;"Times New Roman,Regular"&amp;11Exhibit No. ___(DEG-  C)
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X34"/>
  <sheetViews>
    <sheetView zoomScalePageLayoutView="0" workbookViewId="0" topLeftCell="A1">
      <selection activeCell="J17" sqref="J17"/>
    </sheetView>
  </sheetViews>
  <sheetFormatPr defaultColWidth="7.57421875" defaultRowHeight="12"/>
  <cols>
    <col min="1" max="1" width="3.421875" style="13" customWidth="1"/>
    <col min="2" max="2" width="31.421875" style="11" customWidth="1"/>
    <col min="3" max="3" width="9.57421875" style="11" customWidth="1"/>
    <col min="4" max="4" width="10.7109375" style="11" customWidth="1"/>
    <col min="5" max="6" width="9.28125" style="11" customWidth="1"/>
    <col min="7" max="7" width="10.140625" style="11" customWidth="1"/>
    <col min="8" max="8" width="11.00390625" style="11" customWidth="1"/>
    <col min="9" max="10" width="9.28125" style="11" customWidth="1"/>
    <col min="11" max="12" width="11.00390625" style="11" customWidth="1"/>
    <col min="13" max="13" width="3.421875" style="11" customWidth="1"/>
    <col min="14" max="14" width="11.57421875" style="11" customWidth="1"/>
    <col min="15" max="16384" width="7.57421875" style="11" customWidth="1"/>
  </cols>
  <sheetData>
    <row r="1" spans="1:38" ht="14.25" customHeight="1">
      <c r="A1" s="57"/>
      <c r="B1" s="317" t="s">
        <v>24</v>
      </c>
      <c r="C1" s="234"/>
      <c r="D1" s="234"/>
      <c r="E1" s="234"/>
      <c r="F1" s="234"/>
      <c r="G1" s="234"/>
      <c r="H1" s="234"/>
      <c r="I1" s="234"/>
      <c r="J1" s="234"/>
      <c r="K1" s="234"/>
      <c r="L1" s="234"/>
      <c r="M1" s="234"/>
      <c r="N1" s="58"/>
      <c r="O1" s="58"/>
      <c r="P1" s="58"/>
      <c r="Q1" s="58"/>
      <c r="R1" s="58"/>
      <c r="S1" s="58"/>
      <c r="T1" s="58"/>
      <c r="U1" s="58"/>
      <c r="V1" s="58"/>
      <c r="W1" s="58"/>
      <c r="X1" s="58"/>
      <c r="Y1" s="58"/>
      <c r="Z1" s="58"/>
      <c r="AA1" s="58"/>
      <c r="AB1" s="58"/>
      <c r="AC1" s="58"/>
      <c r="AD1" s="58"/>
      <c r="AE1" s="58"/>
      <c r="AF1" s="58"/>
      <c r="AG1" s="58"/>
      <c r="AH1" s="58"/>
      <c r="AI1" s="58"/>
      <c r="AJ1" s="58"/>
      <c r="AK1" s="58"/>
      <c r="AL1" s="58"/>
    </row>
    <row r="2" spans="1:38" ht="14.25" customHeight="1">
      <c r="A2" s="57"/>
      <c r="B2" s="317" t="s">
        <v>25</v>
      </c>
      <c r="C2" s="234"/>
      <c r="D2" s="234"/>
      <c r="E2" s="234"/>
      <c r="F2" s="234"/>
      <c r="G2" s="234"/>
      <c r="H2" s="234"/>
      <c r="I2" s="234"/>
      <c r="J2" s="234"/>
      <c r="K2" s="234"/>
      <c r="L2" s="234"/>
      <c r="M2" s="234"/>
      <c r="N2" s="58"/>
      <c r="O2" s="58"/>
      <c r="P2" s="58"/>
      <c r="Q2" s="58"/>
      <c r="R2" s="58"/>
      <c r="S2" s="58"/>
      <c r="T2" s="58"/>
      <c r="U2" s="58"/>
      <c r="V2" s="58"/>
      <c r="W2" s="58"/>
      <c r="X2" s="58"/>
      <c r="Y2" s="58"/>
      <c r="Z2" s="58"/>
      <c r="AA2" s="58"/>
      <c r="AB2" s="58"/>
      <c r="AC2" s="58"/>
      <c r="AD2" s="58"/>
      <c r="AE2" s="58"/>
      <c r="AF2" s="58"/>
      <c r="AG2" s="58"/>
      <c r="AH2" s="58"/>
      <c r="AI2" s="58"/>
      <c r="AJ2" s="58"/>
      <c r="AK2" s="58"/>
      <c r="AL2" s="58"/>
    </row>
    <row r="3" spans="1:38" ht="14.25" customHeight="1">
      <c r="A3" s="57"/>
      <c r="B3" s="317" t="s">
        <v>26</v>
      </c>
      <c r="C3" s="234"/>
      <c r="D3" s="234"/>
      <c r="E3" s="234"/>
      <c r="F3" s="234"/>
      <c r="G3" s="234"/>
      <c r="H3" s="234"/>
      <c r="I3" s="234"/>
      <c r="J3" s="234"/>
      <c r="K3" s="234"/>
      <c r="L3" s="234"/>
      <c r="M3" s="234"/>
      <c r="N3" s="58"/>
      <c r="O3" s="58"/>
      <c r="P3" s="58"/>
      <c r="Q3" s="58"/>
      <c r="R3" s="58"/>
      <c r="S3" s="58"/>
      <c r="T3" s="58"/>
      <c r="U3" s="58"/>
      <c r="V3" s="58"/>
      <c r="W3" s="58"/>
      <c r="X3" s="58"/>
      <c r="Y3" s="58"/>
      <c r="Z3" s="58"/>
      <c r="AA3" s="58"/>
      <c r="AB3" s="58"/>
      <c r="AC3" s="58"/>
      <c r="AD3" s="58"/>
      <c r="AE3" s="58"/>
      <c r="AF3" s="58"/>
      <c r="AG3" s="58"/>
      <c r="AH3" s="58"/>
      <c r="AI3" s="58"/>
      <c r="AJ3" s="58"/>
      <c r="AK3" s="58"/>
      <c r="AL3" s="58"/>
    </row>
    <row r="4" spans="1:38" s="12" customFormat="1" ht="14.25" customHeight="1">
      <c r="A4" s="59"/>
      <c r="B4" s="233" t="e">
        <f>#REF!</f>
        <v>#REF!</v>
      </c>
      <c r="C4" s="235"/>
      <c r="D4" s="235"/>
      <c r="E4" s="235"/>
      <c r="F4" s="235"/>
      <c r="G4" s="235"/>
      <c r="H4" s="235"/>
      <c r="I4" s="235"/>
      <c r="J4" s="235"/>
      <c r="K4" s="235"/>
      <c r="L4" s="235"/>
      <c r="M4" s="235"/>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38" s="12" customFormat="1" ht="15">
      <c r="A5" s="59"/>
      <c r="B5" s="337"/>
      <c r="C5" s="60"/>
      <c r="D5" s="60"/>
      <c r="E5" s="60"/>
      <c r="F5" s="60"/>
      <c r="G5" s="60"/>
      <c r="H5" s="60"/>
      <c r="I5" s="60"/>
      <c r="J5" s="60"/>
      <c r="K5" s="60"/>
      <c r="L5" s="60"/>
      <c r="M5" s="60"/>
      <c r="N5" s="59"/>
      <c r="O5" s="59"/>
      <c r="P5" s="59"/>
      <c r="Q5" s="59"/>
      <c r="R5" s="59"/>
      <c r="S5" s="59"/>
      <c r="T5" s="59"/>
      <c r="U5" s="59"/>
      <c r="V5" s="59"/>
      <c r="W5" s="59"/>
      <c r="X5" s="59"/>
      <c r="Y5" s="59"/>
      <c r="Z5" s="59"/>
      <c r="AA5" s="59"/>
      <c r="AB5" s="59"/>
      <c r="AC5" s="59"/>
      <c r="AD5" s="59"/>
      <c r="AE5" s="59"/>
      <c r="AF5" s="59"/>
      <c r="AG5" s="59"/>
      <c r="AH5" s="59"/>
      <c r="AI5" s="59"/>
      <c r="AJ5" s="59"/>
      <c r="AK5" s="59"/>
      <c r="AL5" s="59"/>
    </row>
    <row r="6" spans="1:38" ht="13.5" customHeight="1">
      <c r="A6" s="48">
        <v>1</v>
      </c>
      <c r="B6" s="49" t="s">
        <v>2</v>
      </c>
      <c r="C6" s="49" t="s">
        <v>20</v>
      </c>
      <c r="D6" s="49" t="s">
        <v>33</v>
      </c>
      <c r="E6" s="49" t="s">
        <v>44</v>
      </c>
      <c r="F6" s="49" t="s">
        <v>45</v>
      </c>
      <c r="G6" s="49" t="s">
        <v>46</v>
      </c>
      <c r="H6" s="49" t="s">
        <v>47</v>
      </c>
      <c r="I6" s="49" t="s">
        <v>48</v>
      </c>
      <c r="J6" s="49" t="s">
        <v>49</v>
      </c>
      <c r="K6" s="49" t="s">
        <v>55</v>
      </c>
      <c r="L6" s="49" t="s">
        <v>56</v>
      </c>
      <c r="N6" s="58"/>
      <c r="O6" s="58"/>
      <c r="P6" s="58"/>
      <c r="Q6" s="58"/>
      <c r="R6" s="58"/>
      <c r="S6" s="58"/>
      <c r="T6" s="58"/>
      <c r="U6" s="58"/>
      <c r="V6" s="58"/>
      <c r="W6" s="58"/>
      <c r="X6" s="58"/>
      <c r="Y6" s="58"/>
      <c r="Z6" s="58"/>
      <c r="AA6" s="58"/>
      <c r="AB6" s="58"/>
      <c r="AC6" s="58"/>
      <c r="AD6" s="58"/>
      <c r="AE6" s="58"/>
      <c r="AF6" s="58"/>
      <c r="AG6" s="58"/>
      <c r="AH6" s="58"/>
      <c r="AI6" s="58"/>
      <c r="AJ6" s="58"/>
      <c r="AK6" s="58"/>
      <c r="AL6" s="58"/>
    </row>
    <row r="7" spans="1:38" ht="13.5" customHeight="1">
      <c r="A7" s="48">
        <f aca="true" t="shared" si="0" ref="A7:A23">+A6+1</f>
        <v>2</v>
      </c>
      <c r="B7" s="49"/>
      <c r="C7" s="49"/>
      <c r="D7" s="49"/>
      <c r="E7" s="49"/>
      <c r="F7" s="49"/>
      <c r="G7" s="49"/>
      <c r="H7" s="49"/>
      <c r="I7" s="49"/>
      <c r="J7" s="49"/>
      <c r="K7" s="49"/>
      <c r="L7" s="61"/>
      <c r="N7" s="58"/>
      <c r="O7" s="58"/>
      <c r="P7" s="58"/>
      <c r="Q7" s="58"/>
      <c r="R7" s="58"/>
      <c r="S7" s="58"/>
      <c r="T7" s="58"/>
      <c r="U7" s="58"/>
      <c r="V7" s="58"/>
      <c r="W7" s="58"/>
      <c r="X7" s="58"/>
      <c r="Y7" s="58"/>
      <c r="Z7" s="58"/>
      <c r="AA7" s="58"/>
      <c r="AB7" s="58"/>
      <c r="AC7" s="58"/>
      <c r="AD7" s="58"/>
      <c r="AE7" s="58"/>
      <c r="AF7" s="58"/>
      <c r="AG7" s="58"/>
      <c r="AH7" s="58"/>
      <c r="AI7" s="58"/>
      <c r="AJ7" s="58"/>
      <c r="AK7" s="58"/>
      <c r="AL7" s="58"/>
    </row>
    <row r="8" spans="1:38" ht="15" customHeight="1">
      <c r="A8" s="48">
        <f t="shared" si="0"/>
        <v>3</v>
      </c>
      <c r="B8" s="170" t="s">
        <v>27</v>
      </c>
      <c r="C8" s="63"/>
      <c r="D8" s="64"/>
      <c r="E8" s="64"/>
      <c r="F8" s="63"/>
      <c r="G8" s="63"/>
      <c r="H8" s="63"/>
      <c r="I8" s="63"/>
      <c r="J8" s="63"/>
      <c r="K8" s="480" t="s">
        <v>109</v>
      </c>
      <c r="L8" s="480" t="s">
        <v>50</v>
      </c>
      <c r="N8" s="58"/>
      <c r="O8" s="58"/>
      <c r="P8" s="58"/>
      <c r="Q8" s="58"/>
      <c r="R8" s="58"/>
      <c r="S8" s="58"/>
      <c r="T8" s="58"/>
      <c r="U8" s="58"/>
      <c r="V8" s="58"/>
      <c r="W8" s="58"/>
      <c r="X8" s="58"/>
      <c r="Y8" s="58"/>
      <c r="Z8" s="58"/>
      <c r="AA8" s="58"/>
      <c r="AB8" s="58"/>
      <c r="AC8" s="58"/>
      <c r="AD8" s="58"/>
      <c r="AE8" s="58"/>
      <c r="AF8" s="58"/>
      <c r="AG8" s="58"/>
      <c r="AH8" s="58"/>
      <c r="AI8" s="58"/>
      <c r="AJ8" s="58"/>
      <c r="AK8" s="58"/>
      <c r="AL8" s="58"/>
    </row>
    <row r="9" spans="1:38" ht="15" customHeight="1">
      <c r="A9" s="48">
        <f t="shared" si="0"/>
        <v>4</v>
      </c>
      <c r="B9" s="170"/>
      <c r="C9" s="63"/>
      <c r="D9" s="64"/>
      <c r="E9" s="64"/>
      <c r="F9" s="63"/>
      <c r="G9" s="480" t="s">
        <v>41</v>
      </c>
      <c r="H9" s="63"/>
      <c r="I9" s="63"/>
      <c r="J9" s="63"/>
      <c r="K9" s="480"/>
      <c r="L9" s="480"/>
      <c r="N9" s="58"/>
      <c r="O9" s="58"/>
      <c r="P9" s="58"/>
      <c r="Q9" s="58"/>
      <c r="R9" s="58"/>
      <c r="S9" s="58"/>
      <c r="T9" s="58"/>
      <c r="U9" s="58"/>
      <c r="V9" s="58"/>
      <c r="W9" s="58"/>
      <c r="X9" s="58"/>
      <c r="Y9" s="58"/>
      <c r="Z9" s="58"/>
      <c r="AA9" s="58"/>
      <c r="AB9" s="58"/>
      <c r="AC9" s="58"/>
      <c r="AD9" s="58"/>
      <c r="AE9" s="58"/>
      <c r="AF9" s="58"/>
      <c r="AG9" s="58"/>
      <c r="AH9" s="58"/>
      <c r="AI9" s="58"/>
      <c r="AJ9" s="58"/>
      <c r="AK9" s="58"/>
      <c r="AL9" s="58"/>
    </row>
    <row r="10" spans="1:38" ht="15" customHeight="1">
      <c r="A10" s="48">
        <f t="shared" si="0"/>
        <v>5</v>
      </c>
      <c r="B10" s="63"/>
      <c r="C10" s="65"/>
      <c r="D10" s="480" t="s">
        <v>37</v>
      </c>
      <c r="E10" s="62"/>
      <c r="F10" s="480" t="s">
        <v>101</v>
      </c>
      <c r="G10" s="480"/>
      <c r="H10" s="480" t="s">
        <v>40</v>
      </c>
      <c r="I10" s="480" t="s">
        <v>62</v>
      </c>
      <c r="J10" s="128"/>
      <c r="K10" s="480"/>
      <c r="L10" s="480"/>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row>
    <row r="11" spans="1:38" s="14" customFormat="1" ht="15" customHeight="1">
      <c r="A11" s="48">
        <f t="shared" si="0"/>
        <v>6</v>
      </c>
      <c r="B11" s="171" t="s">
        <v>13</v>
      </c>
      <c r="C11" s="41" t="s">
        <v>21</v>
      </c>
      <c r="D11" s="481"/>
      <c r="E11" s="41" t="s">
        <v>35</v>
      </c>
      <c r="F11" s="481"/>
      <c r="G11" s="481"/>
      <c r="H11" s="481"/>
      <c r="I11" s="481"/>
      <c r="J11" s="41" t="s">
        <v>39</v>
      </c>
      <c r="K11" s="481"/>
      <c r="L11" s="481"/>
      <c r="N11" s="136"/>
      <c r="O11" s="66"/>
      <c r="P11" s="66"/>
      <c r="Q11" s="66"/>
      <c r="R11" s="66"/>
      <c r="S11" s="66"/>
      <c r="T11" s="66"/>
      <c r="U11" s="66"/>
      <c r="V11" s="66"/>
      <c r="W11" s="66"/>
      <c r="X11" s="66"/>
      <c r="Y11" s="66"/>
      <c r="Z11" s="66"/>
      <c r="AA11" s="66"/>
      <c r="AB11" s="66"/>
      <c r="AC11" s="66"/>
      <c r="AD11" s="66"/>
      <c r="AE11" s="66"/>
      <c r="AF11" s="66"/>
      <c r="AG11" s="66"/>
      <c r="AH11" s="66"/>
      <c r="AI11" s="66"/>
      <c r="AJ11" s="66"/>
      <c r="AK11" s="66"/>
      <c r="AL11" s="66"/>
    </row>
    <row r="12" spans="1:38" ht="13.5" customHeight="1">
      <c r="A12" s="48">
        <f t="shared" si="0"/>
        <v>7</v>
      </c>
      <c r="B12" s="172" t="s">
        <v>102</v>
      </c>
      <c r="C12" s="45">
        <v>25</v>
      </c>
      <c r="D12" s="51">
        <v>2400000</v>
      </c>
      <c r="E12" s="50">
        <v>34297</v>
      </c>
      <c r="F12" s="67">
        <v>37926</v>
      </c>
      <c r="G12" s="69">
        <f>D12*C12</f>
        <v>60000000</v>
      </c>
      <c r="H12" s="51">
        <v>2400000</v>
      </c>
      <c r="I12" s="51"/>
      <c r="J12" s="68">
        <v>25</v>
      </c>
      <c r="K12" s="69">
        <f>ROUND((J12-C12)*H12,0)</f>
        <v>0</v>
      </c>
      <c r="L12" s="64" t="s">
        <v>80</v>
      </c>
      <c r="N12" s="137"/>
      <c r="O12" s="58"/>
      <c r="P12" s="58"/>
      <c r="Q12" s="58"/>
      <c r="R12" s="58"/>
      <c r="S12" s="58"/>
      <c r="T12" s="58"/>
      <c r="U12" s="58"/>
      <c r="V12" s="58"/>
      <c r="W12" s="58"/>
      <c r="X12" s="58"/>
      <c r="Y12" s="58"/>
      <c r="Z12" s="58"/>
      <c r="AA12" s="58"/>
      <c r="AB12" s="58"/>
      <c r="AC12" s="58"/>
      <c r="AD12" s="58"/>
      <c r="AE12" s="58"/>
      <c r="AF12" s="58"/>
      <c r="AG12" s="58"/>
      <c r="AH12" s="58"/>
      <c r="AI12" s="58"/>
      <c r="AJ12" s="58"/>
      <c r="AK12" s="58"/>
      <c r="AL12" s="58"/>
    </row>
    <row r="13" spans="1:38" ht="13.5" customHeight="1">
      <c r="A13" s="48">
        <f t="shared" si="0"/>
        <v>8</v>
      </c>
      <c r="B13" s="52" t="s">
        <v>130</v>
      </c>
      <c r="C13" s="45">
        <v>100</v>
      </c>
      <c r="D13" s="51">
        <v>750000</v>
      </c>
      <c r="E13" s="50">
        <v>33688</v>
      </c>
      <c r="F13" s="67">
        <v>37848</v>
      </c>
      <c r="G13" s="69">
        <f>D13*C13</f>
        <v>75000000</v>
      </c>
      <c r="H13" s="51">
        <v>337500</v>
      </c>
      <c r="I13" s="51"/>
      <c r="J13" s="68">
        <v>102.07</v>
      </c>
      <c r="K13" s="80">
        <f>ROUND((J13-C13)*H13,0)</f>
        <v>698625</v>
      </c>
      <c r="L13" s="76">
        <f>+F13+(365*10)+2</f>
        <v>41500</v>
      </c>
      <c r="N13" s="138"/>
      <c r="O13" s="138"/>
      <c r="P13" s="42"/>
      <c r="Q13" s="43"/>
      <c r="R13" s="58"/>
      <c r="S13" s="58"/>
      <c r="T13" s="58"/>
      <c r="U13" s="58"/>
      <c r="V13" s="58"/>
      <c r="W13" s="58"/>
      <c r="X13" s="58"/>
      <c r="Y13" s="58"/>
      <c r="Z13" s="58"/>
      <c r="AA13" s="58"/>
      <c r="AB13" s="58"/>
      <c r="AC13" s="58"/>
      <c r="AD13" s="58"/>
      <c r="AE13" s="58"/>
      <c r="AF13" s="58"/>
      <c r="AG13" s="58"/>
      <c r="AH13" s="58"/>
      <c r="AI13" s="58"/>
      <c r="AJ13" s="58"/>
      <c r="AK13" s="58"/>
      <c r="AL13" s="58"/>
    </row>
    <row r="14" spans="1:38" s="15" customFormat="1" ht="13.5" customHeight="1">
      <c r="A14" s="48">
        <f t="shared" si="0"/>
        <v>9</v>
      </c>
      <c r="B14" s="52"/>
      <c r="C14" s="63"/>
      <c r="D14" s="173"/>
      <c r="E14" s="173"/>
      <c r="F14" s="174"/>
      <c r="G14" s="175"/>
      <c r="H14" s="176"/>
      <c r="I14" s="176"/>
      <c r="J14" s="175"/>
      <c r="K14" s="71"/>
      <c r="L14" s="76"/>
      <c r="N14" s="139"/>
      <c r="O14" s="70"/>
      <c r="P14" s="70"/>
      <c r="Q14" s="70"/>
      <c r="R14" s="70"/>
      <c r="S14" s="70"/>
      <c r="T14" s="70"/>
      <c r="U14" s="70"/>
      <c r="V14" s="70"/>
      <c r="W14" s="70"/>
      <c r="X14" s="70"/>
      <c r="Y14" s="70"/>
      <c r="Z14" s="70"/>
      <c r="AA14" s="70"/>
      <c r="AB14" s="70"/>
      <c r="AC14" s="70"/>
      <c r="AD14" s="70"/>
      <c r="AE14" s="70"/>
      <c r="AF14" s="70"/>
      <c r="AG14" s="70"/>
      <c r="AH14" s="70"/>
      <c r="AI14" s="70"/>
      <c r="AJ14" s="70"/>
      <c r="AK14" s="70"/>
      <c r="AL14" s="70"/>
    </row>
    <row r="15" spans="1:38" s="15" customFormat="1" ht="13.5" customHeight="1">
      <c r="A15" s="48">
        <f t="shared" si="0"/>
        <v>10</v>
      </c>
      <c r="B15" s="52"/>
      <c r="C15" s="63"/>
      <c r="D15" s="173"/>
      <c r="E15" s="173"/>
      <c r="F15" s="174"/>
      <c r="G15" s="175"/>
      <c r="H15" s="176"/>
      <c r="I15" s="176"/>
      <c r="J15" s="175"/>
      <c r="K15" s="71"/>
      <c r="L15" s="76"/>
      <c r="N15" s="139"/>
      <c r="O15" s="70"/>
      <c r="P15" s="70"/>
      <c r="Q15" s="70"/>
      <c r="R15" s="70"/>
      <c r="S15" s="70"/>
      <c r="T15" s="70"/>
      <c r="U15" s="70"/>
      <c r="V15" s="70"/>
      <c r="W15" s="70"/>
      <c r="X15" s="70"/>
      <c r="Y15" s="70"/>
      <c r="Z15" s="70"/>
      <c r="AA15" s="70"/>
      <c r="AB15" s="70"/>
      <c r="AC15" s="70"/>
      <c r="AD15" s="70"/>
      <c r="AE15" s="70"/>
      <c r="AF15" s="70"/>
      <c r="AG15" s="70"/>
      <c r="AH15" s="70"/>
      <c r="AI15" s="70"/>
      <c r="AJ15" s="70"/>
      <c r="AK15" s="70"/>
      <c r="AL15" s="70"/>
    </row>
    <row r="16" spans="1:38" s="15" customFormat="1" ht="13.5" customHeight="1">
      <c r="A16" s="48">
        <f t="shared" si="0"/>
        <v>11</v>
      </c>
      <c r="B16" s="52"/>
      <c r="C16" s="61"/>
      <c r="D16" s="61"/>
      <c r="E16" s="72"/>
      <c r="F16" s="72"/>
      <c r="G16" s="73"/>
      <c r="H16" s="74"/>
      <c r="I16" s="75"/>
      <c r="J16" s="75"/>
      <c r="K16" s="74"/>
      <c r="L16" s="71"/>
      <c r="M16" s="76"/>
      <c r="N16" s="139"/>
      <c r="O16" s="70"/>
      <c r="P16" s="70"/>
      <c r="Q16" s="70"/>
      <c r="R16" s="70"/>
      <c r="S16" s="70"/>
      <c r="T16" s="70"/>
      <c r="U16" s="70"/>
      <c r="V16" s="70"/>
      <c r="W16" s="70"/>
      <c r="X16" s="70"/>
      <c r="Y16" s="70"/>
      <c r="Z16" s="70"/>
      <c r="AA16" s="70"/>
      <c r="AB16" s="70"/>
      <c r="AC16" s="70"/>
      <c r="AD16" s="70"/>
      <c r="AE16" s="70"/>
      <c r="AF16" s="70"/>
      <c r="AG16" s="70"/>
      <c r="AH16" s="70"/>
      <c r="AI16" s="70"/>
      <c r="AJ16" s="70"/>
      <c r="AK16" s="70"/>
      <c r="AL16" s="70"/>
    </row>
    <row r="17" spans="1:50" ht="13.5" customHeight="1">
      <c r="A17" s="48">
        <f t="shared" si="0"/>
        <v>12</v>
      </c>
      <c r="B17" s="170" t="s">
        <v>51</v>
      </c>
      <c r="C17" s="63"/>
      <c r="D17" s="63"/>
      <c r="E17" s="63"/>
      <c r="F17" s="63"/>
      <c r="G17" s="63"/>
      <c r="H17" s="128"/>
      <c r="I17" s="77"/>
      <c r="J17" s="77"/>
      <c r="K17" s="77"/>
      <c r="L17" s="77" t="s">
        <v>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row>
    <row r="18" spans="1:50" ht="12" customHeight="1">
      <c r="A18" s="48">
        <f t="shared" si="0"/>
        <v>13</v>
      </c>
      <c r="B18" s="170"/>
      <c r="C18" s="63"/>
      <c r="D18" s="63"/>
      <c r="E18" s="63"/>
      <c r="F18" s="63"/>
      <c r="G18" s="63"/>
      <c r="H18" s="128"/>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row>
    <row r="19" spans="1:50" ht="47.25" customHeight="1">
      <c r="A19" s="48">
        <f t="shared" si="0"/>
        <v>14</v>
      </c>
      <c r="B19" s="171" t="s">
        <v>13</v>
      </c>
      <c r="C19" s="41" t="s">
        <v>42</v>
      </c>
      <c r="D19" s="41" t="s">
        <v>103</v>
      </c>
      <c r="E19" s="41" t="s">
        <v>129</v>
      </c>
      <c r="F19" s="41" t="s">
        <v>61</v>
      </c>
      <c r="G19" s="41" t="s">
        <v>63</v>
      </c>
      <c r="H19" s="128"/>
      <c r="I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row>
    <row r="20" spans="1:50" ht="12.75">
      <c r="A20" s="48">
        <f t="shared" si="0"/>
        <v>15</v>
      </c>
      <c r="B20" s="156"/>
      <c r="C20" s="62"/>
      <c r="D20" s="62"/>
      <c r="E20" s="62"/>
      <c r="F20" s="62"/>
      <c r="G20" s="62"/>
      <c r="H20" s="128"/>
      <c r="I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row>
    <row r="21" spans="1:50" ht="12.75">
      <c r="A21" s="48">
        <f t="shared" si="0"/>
        <v>16</v>
      </c>
      <c r="B21" s="54" t="s">
        <v>11</v>
      </c>
      <c r="C21" s="62"/>
      <c r="D21" s="62"/>
      <c r="E21" s="62"/>
      <c r="F21" s="62"/>
      <c r="G21" s="62"/>
      <c r="H21" s="128"/>
      <c r="I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row>
    <row r="22" spans="1:38" ht="13.5" customHeight="1">
      <c r="A22" s="48">
        <f t="shared" si="0"/>
        <v>17</v>
      </c>
      <c r="B22" s="52" t="s">
        <v>130</v>
      </c>
      <c r="C22" s="69">
        <f>K13</f>
        <v>698625</v>
      </c>
      <c r="D22" s="64">
        <v>10</v>
      </c>
      <c r="E22" s="236">
        <v>12</v>
      </c>
      <c r="F22" s="68">
        <f>+C22/D22/E22</f>
        <v>5821.875</v>
      </c>
      <c r="G22" s="69">
        <f>+F22*12</f>
        <v>69862.5</v>
      </c>
      <c r="H22" s="128"/>
      <c r="I22" s="79"/>
      <c r="AA22" s="58"/>
      <c r="AB22" s="58"/>
      <c r="AC22" s="58"/>
      <c r="AD22" s="58"/>
      <c r="AE22" s="58"/>
      <c r="AF22" s="58"/>
      <c r="AG22" s="58"/>
      <c r="AH22" s="58"/>
      <c r="AI22" s="58"/>
      <c r="AJ22" s="58"/>
      <c r="AK22" s="58"/>
      <c r="AL22" s="58"/>
    </row>
    <row r="23" spans="1:38" s="12" customFormat="1" ht="13.5" customHeight="1" thickBot="1">
      <c r="A23" s="48">
        <f t="shared" si="0"/>
        <v>18</v>
      </c>
      <c r="B23" s="237" t="s">
        <v>128</v>
      </c>
      <c r="C23" s="238">
        <f>SUM(C22:C22)</f>
        <v>698625</v>
      </c>
      <c r="D23" s="127"/>
      <c r="E23" s="78"/>
      <c r="F23" s="68"/>
      <c r="G23" s="143">
        <f>SUM(G22:G22)</f>
        <v>69862.5</v>
      </c>
      <c r="H23" s="177"/>
      <c r="I23" s="81"/>
      <c r="AA23" s="59"/>
      <c r="AB23" s="59"/>
      <c r="AC23" s="59"/>
      <c r="AD23" s="59"/>
      <c r="AE23" s="59"/>
      <c r="AF23" s="59"/>
      <c r="AG23" s="59"/>
      <c r="AH23" s="59"/>
      <c r="AI23" s="59"/>
      <c r="AJ23" s="59"/>
      <c r="AK23" s="59"/>
      <c r="AL23" s="59"/>
    </row>
    <row r="24" spans="1:38" ht="13.5" customHeight="1" thickTop="1">
      <c r="A24" s="48"/>
      <c r="B24" s="63"/>
      <c r="C24" s="140"/>
      <c r="D24" s="140"/>
      <c r="E24" s="79"/>
      <c r="F24" s="79"/>
      <c r="G24" s="79"/>
      <c r="H24" s="69"/>
      <c r="I24" s="79"/>
      <c r="AA24" s="58"/>
      <c r="AB24" s="58"/>
      <c r="AC24" s="58"/>
      <c r="AD24" s="58"/>
      <c r="AE24" s="58"/>
      <c r="AF24" s="58"/>
      <c r="AG24" s="58"/>
      <c r="AH24" s="58"/>
      <c r="AI24" s="58"/>
      <c r="AJ24" s="58"/>
      <c r="AK24" s="58"/>
      <c r="AL24" s="58"/>
    </row>
    <row r="25" spans="1:38" ht="13.5" customHeight="1">
      <c r="A25" s="48"/>
      <c r="I25" s="44"/>
      <c r="AA25" s="58"/>
      <c r="AB25" s="58"/>
      <c r="AC25" s="58"/>
      <c r="AD25" s="58"/>
      <c r="AE25" s="58"/>
      <c r="AF25" s="58"/>
      <c r="AG25" s="58"/>
      <c r="AH25" s="58"/>
      <c r="AI25" s="58"/>
      <c r="AJ25" s="58"/>
      <c r="AK25" s="58"/>
      <c r="AL25" s="58"/>
    </row>
    <row r="26" spans="1:38" ht="13.5" customHeight="1">
      <c r="A26" s="48"/>
      <c r="B26" s="47"/>
      <c r="C26" s="52"/>
      <c r="D26" s="52"/>
      <c r="E26" s="52"/>
      <c r="F26" s="52"/>
      <c r="G26" s="52"/>
      <c r="H26" s="52"/>
      <c r="I26" s="44"/>
      <c r="AA26" s="58"/>
      <c r="AB26" s="58"/>
      <c r="AC26" s="58"/>
      <c r="AD26" s="58"/>
      <c r="AE26" s="58"/>
      <c r="AF26" s="58"/>
      <c r="AG26" s="58"/>
      <c r="AH26" s="58"/>
      <c r="AI26" s="58"/>
      <c r="AJ26" s="58"/>
      <c r="AK26" s="58"/>
      <c r="AL26" s="58"/>
    </row>
    <row r="27" spans="1:38" ht="13.5" customHeight="1">
      <c r="A27" s="40"/>
      <c r="I27" s="44"/>
      <c r="J27" s="44"/>
      <c r="K27" s="44"/>
      <c r="L27" s="44"/>
      <c r="M27" s="79"/>
      <c r="N27" s="79"/>
      <c r="O27" s="79"/>
      <c r="P27" s="58"/>
      <c r="Q27" s="58"/>
      <c r="R27" s="58"/>
      <c r="S27" s="58"/>
      <c r="T27" s="58"/>
      <c r="U27" s="58"/>
      <c r="V27" s="58"/>
      <c r="W27" s="58"/>
      <c r="X27" s="58"/>
      <c r="Y27" s="58"/>
      <c r="Z27" s="58"/>
      <c r="AA27" s="58"/>
      <c r="AB27" s="58"/>
      <c r="AC27" s="58"/>
      <c r="AD27" s="58"/>
      <c r="AE27" s="58"/>
      <c r="AF27" s="58"/>
      <c r="AG27" s="58"/>
      <c r="AH27" s="58"/>
      <c r="AI27" s="58"/>
      <c r="AJ27" s="58"/>
      <c r="AK27" s="58"/>
      <c r="AL27" s="58"/>
    </row>
    <row r="28" spans="1:15" ht="12.75">
      <c r="A28" s="11"/>
      <c r="I28" s="129"/>
      <c r="J28" s="129"/>
      <c r="K28" s="129"/>
      <c r="L28" s="129"/>
      <c r="M28" s="79"/>
      <c r="N28" s="79"/>
      <c r="O28" s="79"/>
    </row>
    <row r="29" spans="1:15" ht="12.75">
      <c r="A29" s="40"/>
      <c r="B29" s="128"/>
      <c r="C29" s="128"/>
      <c r="D29" s="128"/>
      <c r="E29" s="128"/>
      <c r="F29" s="128"/>
      <c r="G29" s="128"/>
      <c r="H29" s="128"/>
      <c r="M29" s="79"/>
      <c r="N29" s="79"/>
      <c r="O29" s="79"/>
    </row>
    <row r="30" spans="2:21" ht="15.75">
      <c r="B30" s="148"/>
      <c r="C30" s="149"/>
      <c r="D30" s="149"/>
      <c r="E30" s="149"/>
      <c r="F30" s="149"/>
      <c r="G30" s="149"/>
      <c r="H30" s="150"/>
      <c r="I30" s="23"/>
      <c r="J30" s="23"/>
      <c r="K30" s="36"/>
      <c r="L30" s="37"/>
      <c r="M30" s="79"/>
      <c r="N30" s="79"/>
      <c r="O30" s="79"/>
      <c r="P30" s="142"/>
      <c r="Q30" s="23"/>
      <c r="R30" s="23"/>
      <c r="S30" s="55"/>
      <c r="T30" s="56"/>
      <c r="U30" s="9"/>
    </row>
    <row r="31" spans="2:15" ht="12.75">
      <c r="B31" s="128"/>
      <c r="C31" s="128"/>
      <c r="D31" s="128"/>
      <c r="E31" s="128"/>
      <c r="F31" s="128"/>
      <c r="G31" s="128"/>
      <c r="H31" s="128"/>
      <c r="M31" s="79"/>
      <c r="N31" s="79"/>
      <c r="O31" s="79"/>
    </row>
    <row r="32" spans="2:15" ht="12.75">
      <c r="B32" s="128"/>
      <c r="C32" s="128"/>
      <c r="D32" s="128"/>
      <c r="E32" s="128"/>
      <c r="F32" s="128"/>
      <c r="G32" s="128"/>
      <c r="H32" s="128"/>
      <c r="M32" s="79"/>
      <c r="N32" s="79"/>
      <c r="O32" s="79"/>
    </row>
    <row r="33" spans="2:15" ht="12.75">
      <c r="B33" s="128"/>
      <c r="C33" s="128"/>
      <c r="D33" s="128"/>
      <c r="E33" s="128"/>
      <c r="F33" s="128"/>
      <c r="G33" s="128"/>
      <c r="H33" s="128"/>
      <c r="M33" s="79"/>
      <c r="N33" s="79"/>
      <c r="O33" s="79"/>
    </row>
    <row r="34" spans="2:8" ht="12.75">
      <c r="B34" s="128"/>
      <c r="C34" s="128"/>
      <c r="D34" s="128"/>
      <c r="E34" s="128"/>
      <c r="F34" s="128"/>
      <c r="G34" s="128"/>
      <c r="H34" s="128"/>
    </row>
  </sheetData>
  <sheetProtection/>
  <mergeCells count="7">
    <mergeCell ref="L8:L11"/>
    <mergeCell ref="D10:D11"/>
    <mergeCell ref="F10:F11"/>
    <mergeCell ref="H10:H11"/>
    <mergeCell ref="G9:G11"/>
    <mergeCell ref="I10:I11"/>
    <mergeCell ref="K8:K11"/>
  </mergeCells>
  <printOptions horizontalCentered="1"/>
  <pageMargins left="0.5" right="0.53" top="0.78" bottom="0.94" header="0.27" footer="0.34"/>
  <pageSetup fitToHeight="1" fitToWidth="1" horizontalDpi="600" verticalDpi="600" orientation="landscape" r:id="rId1"/>
  <headerFooter alignWithMargins="0">
    <oddFooter>&amp;L&amp;"Times New Roman,Regular"&amp;11_____ Exhibit (Confidential) to the
Prefiled Direct Testimony of Donald E. Gaines&amp;R&amp;"Times New Roman,Regular"&amp;11Exhibit No. ___(DEG-  C)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Puget Sound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PSE</dc:creator>
  <cp:keywords/>
  <dc:description/>
  <cp:lastModifiedBy>Puget Sound Energy</cp:lastModifiedBy>
  <cp:lastPrinted>2013-05-22T22:45:31Z</cp:lastPrinted>
  <dcterms:created xsi:type="dcterms:W3CDTF">2001-12-28T16:42:36Z</dcterms:created>
  <dcterms:modified xsi:type="dcterms:W3CDTF">2013-05-22T23:07:35Z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erence">
    <vt:lpwstr/>
  </property>
  <property fmtid="{D5CDD505-2E9C-101B-9397-08002B2CF9AE}" pid="3" name="title">
    <vt:lpwstr/>
  </property>
  <property fmtid="{D5CDD505-2E9C-101B-9397-08002B2CF9AE}" pid="4" name="refname1">
    <vt:lpwstr/>
  </property>
  <property fmtid="{D5CDD505-2E9C-101B-9397-08002B2CF9AE}" pid="5" name="refname2">
    <vt:lpwstr/>
  </property>
  <property fmtid="{D5CDD505-2E9C-101B-9397-08002B2CF9AE}" pid="6" name="DocumentSetType">
    <vt:lpwstr>Response</vt:lpwstr>
  </property>
  <property fmtid="{D5CDD505-2E9C-101B-9397-08002B2CF9AE}" pid="7" name="IsHighlyConfidential">
    <vt:lpwstr>0</vt:lpwstr>
  </property>
  <property fmtid="{D5CDD505-2E9C-101B-9397-08002B2CF9AE}" pid="8" name="DocketNumber">
    <vt:lpwstr>121373</vt:lpwstr>
  </property>
  <property fmtid="{D5CDD505-2E9C-101B-9397-08002B2CF9AE}" pid="9" name="IsConfidential">
    <vt:lpwstr>0</vt:lpwstr>
  </property>
  <property fmtid="{D5CDD505-2E9C-101B-9397-08002B2CF9AE}" pid="10" name="Date1">
    <vt:lpwstr>2013-05-23T00:00:00Z</vt:lpwstr>
  </property>
  <property fmtid="{D5CDD505-2E9C-101B-9397-08002B2CF9AE}" pid="11" name="CaseType">
    <vt:lpwstr>Petition</vt:lpwstr>
  </property>
  <property fmtid="{D5CDD505-2E9C-101B-9397-08002B2CF9AE}" pid="12" name="OpenedDate">
    <vt:lpwstr>2012-08-20T00:00:00Z</vt:lpwstr>
  </property>
  <property fmtid="{D5CDD505-2E9C-101B-9397-08002B2CF9AE}" pid="13" name="Prefix">
    <vt:lpwstr>UE</vt:lpwstr>
  </property>
  <property fmtid="{D5CDD505-2E9C-101B-9397-08002B2CF9AE}" pid="14" name="CaseCompanyNames">
    <vt:lpwstr>Puget Sound Energy</vt:lpwstr>
  </property>
  <property fmtid="{D5CDD505-2E9C-101B-9397-08002B2CF9AE}" pid="15" name="IndustryCode">
    <vt:lpwstr>140</vt:lpwstr>
  </property>
  <property fmtid="{D5CDD505-2E9C-101B-9397-08002B2CF9AE}" pid="16" name="CaseStatus">
    <vt:lpwstr>Closed</vt:lpwstr>
  </property>
  <property fmtid="{D5CDD505-2E9C-101B-9397-08002B2CF9AE}" pid="17" name="_docset_NoMedatataSyncRequired">
    <vt:lpwstr>False</vt:lpwstr>
  </property>
  <property fmtid="{D5CDD505-2E9C-101B-9397-08002B2CF9AE}" pid="18" name="Nickname">
    <vt:lpwstr/>
  </property>
  <property fmtid="{D5CDD505-2E9C-101B-9397-08002B2CF9AE}" pid="19" name="Process">
    <vt:lpwstr/>
  </property>
  <property fmtid="{D5CDD505-2E9C-101B-9397-08002B2CF9AE}" pid="20" name="Visibility">
    <vt:lpwstr/>
  </property>
  <property fmtid="{D5CDD505-2E9C-101B-9397-08002B2CF9AE}" pid="21" name="DocumentGroup">
    <vt:lpwstr/>
  </property>
</Properties>
</file>