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8.xml" ContentType="application/vnd.openxmlformats-officedocument.spreadsheetml.comments+xml"/>
  <Override PartName="/xl/comments4.xml" ContentType="application/vnd.openxmlformats-officedocument.spreadsheetml.comments+xml"/>
  <Override PartName="/xl/comments12.xml" ContentType="application/vnd.openxmlformats-officedocument.spreadsheetml.comments+xml"/>
  <Override PartName="/xl/comments9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S:\PGA Analysis\WA PGA\WA Monthly Report\2021\09.2021\"/>
    </mc:Choice>
  </mc:AlternateContent>
  <xr:revisionPtr revIDLastSave="0" documentId="13_ncr:1_{D38B8957-89A8-413E-9E95-6D40F1ED1770}" xr6:coauthVersionLast="45" xr6:coauthVersionMax="45" xr10:uidLastSave="{00000000-0000-0000-0000-000000000000}"/>
  <bookViews>
    <workbookView xWindow="-120" yWindow="-120" windowWidth="29040" windowHeight="15840" tabRatio="772" firstSheet="3" activeTab="12" xr2:uid="{00000000-000D-0000-FFFF-FFFF00000000}"/>
  </bookViews>
  <sheets>
    <sheet name="Jan OLD FORMAT" sheetId="59" r:id="rId1"/>
    <sheet name="Feb OLD FORMAT" sheetId="60" r:id="rId2"/>
    <sheet name="Mar OLD FORMAT" sheetId="61" r:id="rId3"/>
    <sheet name="Jan NEW FORMAT" sheetId="64" r:id="rId4"/>
    <sheet name="Feb NEW FORMAT" sheetId="63" r:id="rId5"/>
    <sheet name="Mar NEW FORMAT" sheetId="62" r:id="rId6"/>
    <sheet name="April" sheetId="65" r:id="rId7"/>
    <sheet name="May" sheetId="66" r:id="rId8"/>
    <sheet name="Jun" sheetId="67" r:id="rId9"/>
    <sheet name="Jul" sheetId="68" r:id="rId10"/>
    <sheet name="Aug" sheetId="69" r:id="rId11"/>
    <sheet name="Sep" sheetId="70" r:id="rId12"/>
    <sheet name="191010 WA DEF" sheetId="39" r:id="rId13"/>
    <sheet name="191000 WA Amort" sheetId="41" r:id="rId14"/>
  </sheets>
  <externalReferences>
    <externalReference r:id="rId15"/>
    <externalReference r:id="rId16"/>
    <externalReference r:id="rId17"/>
  </externalReferences>
  <definedNames>
    <definedName name="Actual_Cost_Per_MMBtu" localSheetId="13">'[1]Oregon Gas Costs - 1999'!#REF!</definedName>
    <definedName name="Actual_Cost_Per_MMBtu" localSheetId="1">'[1]Oregon Gas Costs - 1999'!#REF!</definedName>
    <definedName name="Actual_Cost_Per_MMBtu" localSheetId="0">'[1]Oregon Gas Costs - 1999'!#REF!</definedName>
    <definedName name="Actual_Cost_Per_MMBtu" localSheetId="2">'[1]Oregon Gas Costs - 1999'!#REF!</definedName>
    <definedName name="Actual_Cost_Per_MMBtu">'[1]Oregon Gas Costs - 1999'!#REF!</definedName>
    <definedName name="Actual_Gas_Costs" localSheetId="13">#REF!</definedName>
    <definedName name="Actual_Gas_Costs" localSheetId="1">#REF!</definedName>
    <definedName name="Actual_Gas_Costs" localSheetId="0">#REF!</definedName>
    <definedName name="Actual_Gas_Costs" localSheetId="2">#REF!</definedName>
    <definedName name="Actual_Gas_Costs">#REF!</definedName>
    <definedName name="Actual_Volumes" localSheetId="13">#REF!</definedName>
    <definedName name="Actual_Volumes" localSheetId="1">#REF!</definedName>
    <definedName name="Actual_Volumes" localSheetId="0">#REF!</definedName>
    <definedName name="Actual_Volumes" localSheetId="2">#REF!</definedName>
    <definedName name="Actual_Volumes">#REF!</definedName>
    <definedName name="Analysis_of_Year_to_Date_Gas_Costs___WWP_System" localSheetId="13">#REF!</definedName>
    <definedName name="Analysis_of_Year_to_Date_Gas_Costs___WWP_System" localSheetId="1">#REF!</definedName>
    <definedName name="Analysis_of_Year_to_Date_Gas_Costs___WWP_System" localSheetId="0">#REF!</definedName>
    <definedName name="Analysis_of_Year_to_Date_Gas_Costs___WWP_System" localSheetId="2">#REF!</definedName>
    <definedName name="Analysis_of_Year_to_Date_Gas_Costs___WWP_System">#REF!</definedName>
    <definedName name="Balancing_Account_Summary" localSheetId="13">#REF!</definedName>
    <definedName name="Balancing_Account_Summary" localSheetId="1">#REF!</definedName>
    <definedName name="Balancing_Account_Summary" localSheetId="0">#REF!</definedName>
    <definedName name="Balancing_Account_Summary" localSheetId="2">#REF!</definedName>
    <definedName name="Balancing_Account_Summary">#REF!</definedName>
    <definedName name="Budgeted_Costs_Volumes" localSheetId="13">#REF!</definedName>
    <definedName name="Budgeted_Costs_Volumes" localSheetId="1">#REF!</definedName>
    <definedName name="Budgeted_Costs_Volumes" localSheetId="0">#REF!</definedName>
    <definedName name="Budgeted_Costs_Volumes" localSheetId="2">#REF!</definedName>
    <definedName name="Budgeted_Costs_Volumes">#REF!</definedName>
    <definedName name="Commodity_Costs" localSheetId="13">#REF!</definedName>
    <definedName name="Commodity_Costs" localSheetId="1">#REF!</definedName>
    <definedName name="Commodity_Costs" localSheetId="0">#REF!</definedName>
    <definedName name="Commodity_Costs" localSheetId="2">#REF!</definedName>
    <definedName name="Commodity_Costs">#REF!</definedName>
    <definedName name="_xlnm.Database" localSheetId="13">'[2]May 2000'!#REF!</definedName>
    <definedName name="_xlnm.Database" localSheetId="1">'[2]May 2000'!#REF!</definedName>
    <definedName name="_xlnm.Database" localSheetId="0">'[2]May 2000'!#REF!</definedName>
    <definedName name="_xlnm.Database" localSheetId="2">'[2]May 2000'!#REF!</definedName>
    <definedName name="_xlnm.Database">'[2]May 2000'!#REF!</definedName>
    <definedName name="EIA857_Report_Info" localSheetId="13">#REF!</definedName>
    <definedName name="EIA857_Report_Info" localSheetId="1">#REF!</definedName>
    <definedName name="EIA857_Report_Info" localSheetId="0">#REF!</definedName>
    <definedName name="EIA857_Report_Info" localSheetId="2">#REF!</definedName>
    <definedName name="EIA857_Report_Info">#REF!</definedName>
    <definedName name="InputMonth">[3]Start!$B$2</definedName>
    <definedName name="JanJunPretaxRate">[3]Start!$C$7</definedName>
    <definedName name="jj" localSheetId="13">'[1]Oregon Gas Costs - 1999'!#REF!</definedName>
    <definedName name="jj" localSheetId="1">'[1]Oregon Gas Costs - 1999'!#REF!</definedName>
    <definedName name="jj" localSheetId="0">'[1]Oregon Gas Costs - 1999'!#REF!</definedName>
    <definedName name="jj" localSheetId="2">'[1]Oregon Gas Costs - 1999'!#REF!</definedName>
    <definedName name="jj">'[1]Oregon Gas Costs - 1999'!#REF!</definedName>
    <definedName name="Journal_Entry_Dollars" localSheetId="13">#REF!</definedName>
    <definedName name="Journal_Entry_Dollars" localSheetId="1">#REF!</definedName>
    <definedName name="Journal_Entry_Dollars" localSheetId="0">#REF!</definedName>
    <definedName name="Journal_Entry_Dollars" localSheetId="2">#REF!</definedName>
    <definedName name="Journal_Entry_Dollars">#REF!</definedName>
    <definedName name="Journal_Entry_Volumes" localSheetId="13">#REF!</definedName>
    <definedName name="Journal_Entry_Volumes" localSheetId="1">#REF!</definedName>
    <definedName name="Journal_Entry_Volumes" localSheetId="0">#REF!</definedName>
    <definedName name="Journal_Entry_Volumes" localSheetId="2">#REF!</definedName>
    <definedName name="Journal_Entry_Volumes">#REF!</definedName>
    <definedName name="JournalEntryPrintArea" localSheetId="13">#REF!</definedName>
    <definedName name="JournalEntryPrintArea" localSheetId="1">#REF!</definedName>
    <definedName name="JournalEntryPrintArea" localSheetId="0">#REF!</definedName>
    <definedName name="JournalEntryPrintArea" localSheetId="2">#REF!</definedName>
    <definedName name="JournalEntryPrintArea">#REF!</definedName>
    <definedName name="JulDecPretaxRate">[3]Start!$C$8</definedName>
    <definedName name="Notes" localSheetId="13">#REF!</definedName>
    <definedName name="Notes" localSheetId="1">#REF!</definedName>
    <definedName name="Notes" localSheetId="0">#REF!</definedName>
    <definedName name="Notes" localSheetId="2">#REF!</definedName>
    <definedName name="Notes">#REF!</definedName>
    <definedName name="_xlnm.Print_Area" localSheetId="13">'191000 WA Amort'!$A$1:$S$45</definedName>
    <definedName name="_xlnm.Print_Area" localSheetId="12">'191010 WA DEF'!$A$1:$L$45</definedName>
    <definedName name="_xlnm.Print_Area" localSheetId="6">April!$B$1:$R$50</definedName>
    <definedName name="_xlnm.Print_Area" localSheetId="10">Aug!$B$1:$R$48</definedName>
    <definedName name="_xlnm.Print_Area" localSheetId="4">'Feb NEW FORMAT'!$B$1:$R$42</definedName>
    <definedName name="_xlnm.Print_Area" localSheetId="1">'Feb OLD FORMAT'!$A$1:$M$65</definedName>
    <definedName name="_xlnm.Print_Area" localSheetId="3">'Jan NEW FORMAT'!$B$1:$R$42</definedName>
    <definedName name="_xlnm.Print_Area" localSheetId="0">'Jan OLD FORMAT'!$A$1:$M$65</definedName>
    <definedName name="_xlnm.Print_Area" localSheetId="9">Jul!$B$1:$R$48</definedName>
    <definedName name="_xlnm.Print_Area" localSheetId="8">Jun!$B$1:$R$48</definedName>
    <definedName name="_xlnm.Print_Area" localSheetId="5">'Mar NEW FORMAT'!$B$1:$R$42</definedName>
    <definedName name="_xlnm.Print_Area" localSheetId="2">'Mar OLD FORMAT'!$A$1:$M$65</definedName>
    <definedName name="_xlnm.Print_Area" localSheetId="7">May!$B$1:$R$48</definedName>
    <definedName name="_xlnm.Print_Area" localSheetId="11">Sep!$B$1:$R$48</definedName>
    <definedName name="_xlnm.Print_Titles" localSheetId="1">'Feb OLD FORMAT'!$1:$2</definedName>
    <definedName name="_xlnm.Print_Titles" localSheetId="0">'Jan OLD FORMAT'!$1:$2</definedName>
    <definedName name="_xlnm.Print_Titles" localSheetId="2">'Mar OLD FORMAT'!$1:$2</definedName>
    <definedName name="SPREADSHEET_DOCUMENTATION" localSheetId="13">#REF!</definedName>
    <definedName name="SPREADSHEET_DOCUMENTATION" localSheetId="1">#REF!</definedName>
    <definedName name="SPREADSHEET_DOCUMENTATION" localSheetId="0">#REF!</definedName>
    <definedName name="SPREADSHEET_DOCUMENTATION" localSheetId="2">#REF!</definedName>
    <definedName name="SPREADSHEET_DOCUMENTATION">#REF!</definedName>
    <definedName name="Summary_of_Off_system_Sales" localSheetId="13">'[1]Oregon Gas Costs - 1999'!#REF!</definedName>
    <definedName name="Summary_of_Off_system_Sales" localSheetId="1">'[1]Oregon Gas Costs - 1999'!#REF!</definedName>
    <definedName name="Summary_of_Off_system_Sales" localSheetId="0">'[1]Oregon Gas Costs - 1999'!#REF!</definedName>
    <definedName name="Summary_of_Off_system_Sales" localSheetId="2">'[1]Oregon Gas Costs - 1999'!#REF!</definedName>
    <definedName name="Summary_of_Off_system_Sales">'[1]Oregon Gas Costs - 1999'!#REF!</definedName>
    <definedName name="Transportation_Costs" localSheetId="13">#REF!</definedName>
    <definedName name="Transportation_Costs" localSheetId="1">#REF!</definedName>
    <definedName name="Transportation_Costs" localSheetId="0">#REF!</definedName>
    <definedName name="Transportation_Costs" localSheetId="2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41" l="1"/>
  <c r="F26" i="41" l="1"/>
  <c r="D1396" i="70" l="1"/>
  <c r="L28" i="70"/>
  <c r="N28" i="70" s="1"/>
  <c r="P27" i="70"/>
  <c r="L27" i="70"/>
  <c r="N27" i="70" s="1"/>
  <c r="P26" i="70"/>
  <c r="L26" i="70"/>
  <c r="N26" i="70" s="1"/>
  <c r="P25" i="70"/>
  <c r="L25" i="70"/>
  <c r="N25" i="70" s="1"/>
  <c r="P24" i="70"/>
  <c r="L24" i="70"/>
  <c r="N24" i="70" s="1"/>
  <c r="P23" i="70"/>
  <c r="L23" i="70"/>
  <c r="L17" i="70"/>
  <c r="L19" i="70" s="1"/>
  <c r="N16" i="70"/>
  <c r="P15" i="70"/>
  <c r="P17" i="70" s="1"/>
  <c r="N15" i="70"/>
  <c r="N14" i="70"/>
  <c r="N13" i="70"/>
  <c r="N12" i="70"/>
  <c r="N11" i="70"/>
  <c r="N10" i="70"/>
  <c r="E8" i="70"/>
  <c r="N17" i="70" l="1"/>
  <c r="L36" i="70" s="1"/>
  <c r="L29" i="70"/>
  <c r="R15" i="70"/>
  <c r="N36" i="70" s="1"/>
  <c r="G33" i="70"/>
  <c r="I34" i="70"/>
  <c r="E12" i="70"/>
  <c r="I36" i="70"/>
  <c r="G35" i="70"/>
  <c r="E13" i="70"/>
  <c r="E31" i="70" s="1"/>
  <c r="E32" i="70" s="1"/>
  <c r="L31" i="70"/>
  <c r="R28" i="70"/>
  <c r="O36" i="70" s="1"/>
  <c r="P28" i="70"/>
  <c r="P30" i="70" s="1"/>
  <c r="N23" i="70"/>
  <c r="N29" i="70" s="1"/>
  <c r="M36" i="70" s="1"/>
  <c r="D1396" i="69"/>
  <c r="L28" i="69"/>
  <c r="N28" i="69" s="1"/>
  <c r="P27" i="69"/>
  <c r="R27" i="69" s="1"/>
  <c r="L27" i="69"/>
  <c r="N27" i="69" s="1"/>
  <c r="P26" i="69"/>
  <c r="R26" i="69" s="1"/>
  <c r="L26" i="69"/>
  <c r="N26" i="69" s="1"/>
  <c r="P25" i="69"/>
  <c r="R25" i="69" s="1"/>
  <c r="L25" i="69"/>
  <c r="N25" i="69" s="1"/>
  <c r="P24" i="69"/>
  <c r="R24" i="69" s="1"/>
  <c r="L24" i="69"/>
  <c r="N24" i="69" s="1"/>
  <c r="P23" i="69"/>
  <c r="R23" i="69" s="1"/>
  <c r="R28" i="69" s="1"/>
  <c r="O36" i="69" s="1"/>
  <c r="L23" i="69"/>
  <c r="L17" i="69"/>
  <c r="L19" i="69" s="1"/>
  <c r="N16" i="69"/>
  <c r="P15" i="69"/>
  <c r="P17" i="69" s="1"/>
  <c r="N15" i="69"/>
  <c r="R14" i="69"/>
  <c r="N14" i="69"/>
  <c r="R13" i="69"/>
  <c r="N13" i="69"/>
  <c r="R12" i="69"/>
  <c r="N12" i="69"/>
  <c r="R11" i="69"/>
  <c r="N11" i="69"/>
  <c r="R10" i="69"/>
  <c r="R15" i="69" s="1"/>
  <c r="N36" i="69" s="1"/>
  <c r="N10" i="69"/>
  <c r="E8" i="69"/>
  <c r="L29" i="69" l="1"/>
  <c r="L31" i="69" s="1"/>
  <c r="N17" i="69"/>
  <c r="L36" i="69" s="1"/>
  <c r="E14" i="70"/>
  <c r="H14" i="70" s="1"/>
  <c r="H39" i="70" s="1"/>
  <c r="N35" i="70" s="1"/>
  <c r="N37" i="70" s="1"/>
  <c r="G8" i="70"/>
  <c r="I8" i="70" s="1"/>
  <c r="I32" i="70" s="1"/>
  <c r="I39" i="70" s="1"/>
  <c r="O35" i="70" s="1"/>
  <c r="O37" i="70" s="1"/>
  <c r="P36" i="70"/>
  <c r="F14" i="70"/>
  <c r="F39" i="70" s="1"/>
  <c r="L35" i="70" s="1"/>
  <c r="L37" i="70" s="1"/>
  <c r="G27" i="39" s="1"/>
  <c r="E37" i="70"/>
  <c r="E39" i="70" s="1"/>
  <c r="I34" i="69"/>
  <c r="G35" i="69"/>
  <c r="I36" i="69"/>
  <c r="E12" i="69"/>
  <c r="E13" i="69"/>
  <c r="E31" i="69" s="1"/>
  <c r="E32" i="69" s="1"/>
  <c r="G33" i="69"/>
  <c r="P28" i="69"/>
  <c r="P30" i="69" s="1"/>
  <c r="N23" i="69"/>
  <c r="N29" i="69" s="1"/>
  <c r="M36" i="69" s="1"/>
  <c r="F25" i="41"/>
  <c r="D1396" i="68"/>
  <c r="L28" i="68"/>
  <c r="N28" i="68" s="1"/>
  <c r="P27" i="68"/>
  <c r="R27" i="68" s="1"/>
  <c r="L27" i="68"/>
  <c r="N27" i="68" s="1"/>
  <c r="P26" i="68"/>
  <c r="R26" i="68" s="1"/>
  <c r="L26" i="68"/>
  <c r="N26" i="68" s="1"/>
  <c r="P25" i="68"/>
  <c r="R25" i="68" s="1"/>
  <c r="L25" i="68"/>
  <c r="N25" i="68" s="1"/>
  <c r="P24" i="68"/>
  <c r="R24" i="68" s="1"/>
  <c r="L24" i="68"/>
  <c r="N24" i="68" s="1"/>
  <c r="P23" i="68"/>
  <c r="R23" i="68" s="1"/>
  <c r="L23" i="68"/>
  <c r="L17" i="68"/>
  <c r="L19" i="68" s="1"/>
  <c r="N16" i="68"/>
  <c r="P15" i="68"/>
  <c r="P17" i="68" s="1"/>
  <c r="N15" i="68"/>
  <c r="R14" i="68"/>
  <c r="N14" i="68"/>
  <c r="R13" i="68"/>
  <c r="N13" i="68"/>
  <c r="R12" i="68"/>
  <c r="N12" i="68"/>
  <c r="R11" i="68"/>
  <c r="N11" i="68"/>
  <c r="R10" i="68"/>
  <c r="N10" i="68"/>
  <c r="E8" i="68"/>
  <c r="G32" i="70" l="1"/>
  <c r="G39" i="70" s="1"/>
  <c r="M35" i="70" s="1"/>
  <c r="M37" i="70" s="1"/>
  <c r="F27" i="39" s="1"/>
  <c r="O39" i="70"/>
  <c r="E42" i="70"/>
  <c r="E14" i="69"/>
  <c r="G8" i="69"/>
  <c r="I8" i="69" s="1"/>
  <c r="I32" i="69" s="1"/>
  <c r="I39" i="69" s="1"/>
  <c r="O35" i="69" s="1"/>
  <c r="O37" i="69" s="1"/>
  <c r="F14" i="69"/>
  <c r="F39" i="69" s="1"/>
  <c r="L35" i="69" s="1"/>
  <c r="L37" i="69" s="1"/>
  <c r="H14" i="69"/>
  <c r="H39" i="69" s="1"/>
  <c r="N35" i="69" s="1"/>
  <c r="N37" i="69" s="1"/>
  <c r="E37" i="69"/>
  <c r="E39" i="69" s="1"/>
  <c r="P36" i="69"/>
  <c r="R15" i="68"/>
  <c r="N36" i="68" s="1"/>
  <c r="L29" i="68"/>
  <c r="N17" i="68"/>
  <c r="L36" i="68" s="1"/>
  <c r="I34" i="68"/>
  <c r="E12" i="68"/>
  <c r="I36" i="68"/>
  <c r="G35" i="68"/>
  <c r="G33" i="68"/>
  <c r="E13" i="68"/>
  <c r="E31" i="68" s="1"/>
  <c r="E32" i="68" s="1"/>
  <c r="L31" i="68"/>
  <c r="R28" i="68"/>
  <c r="O36" i="68" s="1"/>
  <c r="P28" i="68"/>
  <c r="P30" i="68" s="1"/>
  <c r="N23" i="68"/>
  <c r="N29" i="68" s="1"/>
  <c r="M36" i="68" s="1"/>
  <c r="F24" i="41"/>
  <c r="D1396" i="67"/>
  <c r="L28" i="67"/>
  <c r="N28" i="67" s="1"/>
  <c r="P27" i="67"/>
  <c r="R27" i="67" s="1"/>
  <c r="L27" i="67"/>
  <c r="N27" i="67" s="1"/>
  <c r="P26" i="67"/>
  <c r="R26" i="67" s="1"/>
  <c r="L26" i="67"/>
  <c r="N26" i="67" s="1"/>
  <c r="P25" i="67"/>
  <c r="R25" i="67" s="1"/>
  <c r="L25" i="67"/>
  <c r="N25" i="67" s="1"/>
  <c r="P24" i="67"/>
  <c r="R24" i="67" s="1"/>
  <c r="L24" i="67"/>
  <c r="N24" i="67" s="1"/>
  <c r="P23" i="67"/>
  <c r="R23" i="67" s="1"/>
  <c r="L23" i="67"/>
  <c r="N23" i="67" s="1"/>
  <c r="L17" i="67"/>
  <c r="L19" i="67" s="1"/>
  <c r="N16" i="67"/>
  <c r="P15" i="67"/>
  <c r="P17" i="67" s="1"/>
  <c r="N15" i="67"/>
  <c r="R14" i="67"/>
  <c r="N14" i="67"/>
  <c r="R13" i="67"/>
  <c r="N13" i="67"/>
  <c r="R12" i="67"/>
  <c r="N12" i="67"/>
  <c r="R11" i="67"/>
  <c r="N11" i="67"/>
  <c r="R10" i="67"/>
  <c r="N10" i="67"/>
  <c r="E8" i="67"/>
  <c r="P35" i="70" l="1"/>
  <c r="M39" i="70"/>
  <c r="G26" i="39"/>
  <c r="G32" i="69"/>
  <c r="G39" i="69" s="1"/>
  <c r="M35" i="69" s="1"/>
  <c r="M37" i="69" s="1"/>
  <c r="O39" i="69"/>
  <c r="E42" i="69"/>
  <c r="G8" i="68"/>
  <c r="I8" i="68" s="1"/>
  <c r="E14" i="68"/>
  <c r="F14" i="68" s="1"/>
  <c r="F39" i="68" s="1"/>
  <c r="L35" i="68" s="1"/>
  <c r="L37" i="68" s="1"/>
  <c r="G25" i="39" s="1"/>
  <c r="P36" i="68"/>
  <c r="I32" i="68"/>
  <c r="I39" i="68" s="1"/>
  <c r="O35" i="68" s="1"/>
  <c r="O37" i="68" s="1"/>
  <c r="G32" i="68"/>
  <c r="G39" i="68" s="1"/>
  <c r="M35" i="68" s="1"/>
  <c r="M37" i="68" s="1"/>
  <c r="F25" i="39" s="1"/>
  <c r="E37" i="68"/>
  <c r="R15" i="67"/>
  <c r="N36" i="67" s="1"/>
  <c r="R28" i="67"/>
  <c r="O36" i="67" s="1"/>
  <c r="N17" i="67"/>
  <c r="G35" i="67"/>
  <c r="E13" i="67"/>
  <c r="E31" i="67" s="1"/>
  <c r="I36" i="67"/>
  <c r="G33" i="67"/>
  <c r="E12" i="67"/>
  <c r="E14" i="67" s="1"/>
  <c r="E32" i="67"/>
  <c r="I34" i="67"/>
  <c r="L36" i="67"/>
  <c r="N29" i="67"/>
  <c r="M36" i="67" s="1"/>
  <c r="L29" i="67"/>
  <c r="P28" i="67"/>
  <c r="P30" i="67" s="1"/>
  <c r="F23" i="41"/>
  <c r="E39" i="68" l="1"/>
  <c r="E42" i="68" s="1"/>
  <c r="F26" i="39"/>
  <c r="P35" i="69"/>
  <c r="M39" i="69"/>
  <c r="M39" i="68"/>
  <c r="H14" i="68"/>
  <c r="H39" i="68" s="1"/>
  <c r="N35" i="68" s="1"/>
  <c r="N37" i="68" s="1"/>
  <c r="P36" i="67"/>
  <c r="H14" i="67"/>
  <c r="H39" i="67" s="1"/>
  <c r="N35" i="67" s="1"/>
  <c r="N37" i="67" s="1"/>
  <c r="F14" i="67"/>
  <c r="F39" i="67" s="1"/>
  <c r="L35" i="67" s="1"/>
  <c r="L37" i="67" s="1"/>
  <c r="G24" i="39" s="1"/>
  <c r="E37" i="67"/>
  <c r="E39" i="67" s="1"/>
  <c r="G8" i="67"/>
  <c r="I8" i="67" s="1"/>
  <c r="I32" i="67" s="1"/>
  <c r="I39" i="67" s="1"/>
  <c r="O35" i="67" s="1"/>
  <c r="O37" i="67" s="1"/>
  <c r="L31" i="67"/>
  <c r="D1396" i="66"/>
  <c r="L28" i="66"/>
  <c r="N28" i="66" s="1"/>
  <c r="P27" i="66"/>
  <c r="R27" i="66" s="1"/>
  <c r="L27" i="66"/>
  <c r="N27" i="66" s="1"/>
  <c r="P26" i="66"/>
  <c r="R26" i="66" s="1"/>
  <c r="L26" i="66"/>
  <c r="N26" i="66" s="1"/>
  <c r="P25" i="66"/>
  <c r="R25" i="66" s="1"/>
  <c r="L25" i="66"/>
  <c r="N25" i="66" s="1"/>
  <c r="P24" i="66"/>
  <c r="R24" i="66" s="1"/>
  <c r="L24" i="66"/>
  <c r="N24" i="66" s="1"/>
  <c r="P23" i="66"/>
  <c r="L23" i="66"/>
  <c r="N23" i="66" s="1"/>
  <c r="L17" i="66"/>
  <c r="L19" i="66" s="1"/>
  <c r="N16" i="66"/>
  <c r="P15" i="66"/>
  <c r="P17" i="66" s="1"/>
  <c r="N15" i="66"/>
  <c r="R14" i="66"/>
  <c r="N14" i="66"/>
  <c r="R13" i="66"/>
  <c r="N13" i="66"/>
  <c r="R12" i="66"/>
  <c r="N12" i="66"/>
  <c r="R11" i="66"/>
  <c r="N11" i="66"/>
  <c r="R10" i="66"/>
  <c r="N10" i="66"/>
  <c r="E8" i="66"/>
  <c r="O39" i="68" l="1"/>
  <c r="P35" i="68"/>
  <c r="G32" i="67"/>
  <c r="G39" i="67" s="1"/>
  <c r="M35" i="67" s="1"/>
  <c r="M37" i="67" s="1"/>
  <c r="O39" i="67"/>
  <c r="E42" i="67"/>
  <c r="R15" i="66"/>
  <c r="N36" i="66" s="1"/>
  <c r="P28" i="66"/>
  <c r="P30" i="66" s="1"/>
  <c r="N17" i="66"/>
  <c r="L36" i="66" s="1"/>
  <c r="E13" i="66"/>
  <c r="E31" i="66" s="1"/>
  <c r="E32" i="66" s="1"/>
  <c r="I34" i="66"/>
  <c r="I36" i="66"/>
  <c r="G33" i="66"/>
  <c r="E12" i="66"/>
  <c r="E14" i="66" s="1"/>
  <c r="G35" i="66"/>
  <c r="N29" i="66"/>
  <c r="M36" i="66" s="1"/>
  <c r="R23" i="66"/>
  <c r="R28" i="66" s="1"/>
  <c r="O36" i="66" s="1"/>
  <c r="L29" i="66"/>
  <c r="E49" i="65"/>
  <c r="M39" i="67" l="1"/>
  <c r="F24" i="39"/>
  <c r="P35" i="67"/>
  <c r="P36" i="66"/>
  <c r="F14" i="66"/>
  <c r="F39" i="66" s="1"/>
  <c r="L35" i="66" s="1"/>
  <c r="L37" i="66" s="1"/>
  <c r="G23" i="39" s="1"/>
  <c r="H14" i="66"/>
  <c r="H39" i="66" s="1"/>
  <c r="N35" i="66" s="1"/>
  <c r="N37" i="66" s="1"/>
  <c r="L31" i="66"/>
  <c r="G8" i="66"/>
  <c r="I8" i="66" s="1"/>
  <c r="I32" i="66" s="1"/>
  <c r="I39" i="66" s="1"/>
  <c r="O35" i="66" s="1"/>
  <c r="O37" i="66" s="1"/>
  <c r="E37" i="66"/>
  <c r="E39" i="66" s="1"/>
  <c r="F22" i="41"/>
  <c r="G32" i="66" l="1"/>
  <c r="G39" i="66" s="1"/>
  <c r="M35" i="66" s="1"/>
  <c r="M37" i="66" s="1"/>
  <c r="F23" i="39" s="1"/>
  <c r="O39" i="66"/>
  <c r="E42" i="66"/>
  <c r="D1398" i="65"/>
  <c r="L28" i="65"/>
  <c r="N28" i="65" s="1"/>
  <c r="P27" i="65"/>
  <c r="R27" i="65" s="1"/>
  <c r="L27" i="65"/>
  <c r="N27" i="65" s="1"/>
  <c r="P26" i="65"/>
  <c r="R26" i="65" s="1"/>
  <c r="L26" i="65"/>
  <c r="N26" i="65" s="1"/>
  <c r="P25" i="65"/>
  <c r="R25" i="65" s="1"/>
  <c r="L25" i="65"/>
  <c r="N25" i="65" s="1"/>
  <c r="P24" i="65"/>
  <c r="R24" i="65" s="1"/>
  <c r="L24" i="65"/>
  <c r="N24" i="65" s="1"/>
  <c r="P23" i="65"/>
  <c r="L23" i="65"/>
  <c r="N23" i="65" s="1"/>
  <c r="L17" i="65"/>
  <c r="L19" i="65" s="1"/>
  <c r="N16" i="65"/>
  <c r="P15" i="65"/>
  <c r="P17" i="65" s="1"/>
  <c r="N15" i="65"/>
  <c r="R14" i="65"/>
  <c r="N14" i="65"/>
  <c r="R13" i="65"/>
  <c r="N13" i="65"/>
  <c r="R12" i="65"/>
  <c r="N12" i="65"/>
  <c r="R11" i="65"/>
  <c r="N11" i="65"/>
  <c r="R10" i="65"/>
  <c r="N10" i="65"/>
  <c r="E8" i="65"/>
  <c r="P35" i="66" l="1"/>
  <c r="M39" i="66"/>
  <c r="N17" i="65"/>
  <c r="G33" i="65"/>
  <c r="I34" i="65"/>
  <c r="P28" i="65"/>
  <c r="P30" i="65" s="1"/>
  <c r="R15" i="65"/>
  <c r="N36" i="65" s="1"/>
  <c r="R23" i="65"/>
  <c r="R28" i="65" s="1"/>
  <c r="O36" i="65" s="1"/>
  <c r="N29" i="65"/>
  <c r="M36" i="65" s="1"/>
  <c r="G35" i="65"/>
  <c r="E12" i="65"/>
  <c r="E13" i="65"/>
  <c r="E31" i="65" s="1"/>
  <c r="E32" i="65" s="1"/>
  <c r="I36" i="65"/>
  <c r="L36" i="65"/>
  <c r="L29" i="65"/>
  <c r="I32" i="65" l="1"/>
  <c r="G32" i="65"/>
  <c r="P36" i="65"/>
  <c r="E14" i="65"/>
  <c r="E37" i="65"/>
  <c r="G8" i="65"/>
  <c r="I8" i="65" s="1"/>
  <c r="I39" i="65" s="1"/>
  <c r="O35" i="65" s="1"/>
  <c r="O37" i="65" s="1"/>
  <c r="L31" i="65"/>
  <c r="E39" i="65" l="1"/>
  <c r="H14" i="65"/>
  <c r="F14" i="65"/>
  <c r="F39" i="65" s="1"/>
  <c r="L35" i="65" s="1"/>
  <c r="L37" i="65" s="1"/>
  <c r="G22" i="39" s="1"/>
  <c r="G39" i="65"/>
  <c r="H39" i="65"/>
  <c r="N35" i="65" s="1"/>
  <c r="N37" i="65" s="1"/>
  <c r="O39" i="65" l="1"/>
  <c r="M35" i="65"/>
  <c r="M37" i="65" s="1"/>
  <c r="F22" i="39" s="1"/>
  <c r="D1395" i="64"/>
  <c r="I34" i="64"/>
  <c r="G33" i="64"/>
  <c r="L28" i="64"/>
  <c r="N28" i="64" s="1"/>
  <c r="P27" i="64"/>
  <c r="R27" i="64" s="1"/>
  <c r="L27" i="64"/>
  <c r="N27" i="64" s="1"/>
  <c r="P26" i="64"/>
  <c r="R26" i="64" s="1"/>
  <c r="L26" i="64"/>
  <c r="N26" i="64" s="1"/>
  <c r="P25" i="64"/>
  <c r="R25" i="64" s="1"/>
  <c r="L25" i="64"/>
  <c r="N25" i="64" s="1"/>
  <c r="P24" i="64"/>
  <c r="R24" i="64" s="1"/>
  <c r="L24" i="64"/>
  <c r="N24" i="64" s="1"/>
  <c r="P23" i="64"/>
  <c r="R23" i="64" s="1"/>
  <c r="L23" i="64"/>
  <c r="L17" i="64"/>
  <c r="L19" i="64" s="1"/>
  <c r="N16" i="64"/>
  <c r="P15" i="64"/>
  <c r="P17" i="64" s="1"/>
  <c r="N15" i="64"/>
  <c r="R14" i="64"/>
  <c r="N14" i="64"/>
  <c r="R13" i="64"/>
  <c r="N13" i="64"/>
  <c r="R12" i="64"/>
  <c r="N12" i="64"/>
  <c r="R11" i="64"/>
  <c r="N11" i="64"/>
  <c r="R10" i="64"/>
  <c r="N10" i="64"/>
  <c r="E8" i="64"/>
  <c r="L29" i="64" l="1"/>
  <c r="P35" i="65"/>
  <c r="M39" i="65"/>
  <c r="N17" i="64"/>
  <c r="R28" i="64"/>
  <c r="O36" i="64" s="1"/>
  <c r="R15" i="64"/>
  <c r="N36" i="64" s="1"/>
  <c r="P28" i="64"/>
  <c r="P30" i="64" s="1"/>
  <c r="N23" i="64"/>
  <c r="N29" i="64" s="1"/>
  <c r="M36" i="64" s="1"/>
  <c r="E12" i="64"/>
  <c r="E13" i="64"/>
  <c r="E31" i="64" s="1"/>
  <c r="E32" i="64" s="1"/>
  <c r="I36" i="64"/>
  <c r="G35" i="64"/>
  <c r="L31" i="64"/>
  <c r="L36" i="64"/>
  <c r="B52" i="63"/>
  <c r="B51" i="63"/>
  <c r="B46" i="63"/>
  <c r="P36" i="64" l="1"/>
  <c r="G8" i="64"/>
  <c r="I8" i="64" s="1"/>
  <c r="I32" i="64" s="1"/>
  <c r="I39" i="64" s="1"/>
  <c r="O35" i="64" s="1"/>
  <c r="O37" i="64" s="1"/>
  <c r="E14" i="64"/>
  <c r="F14" i="64" s="1"/>
  <c r="F39" i="64" s="1"/>
  <c r="L35" i="64" s="1"/>
  <c r="L37" i="64" s="1"/>
  <c r="G19" i="39" s="1"/>
  <c r="E37" i="64"/>
  <c r="E39" i="64" s="1"/>
  <c r="G32" i="64" l="1"/>
  <c r="G39" i="64" s="1"/>
  <c r="M35" i="64" s="1"/>
  <c r="M37" i="64" s="1"/>
  <c r="H14" i="64"/>
  <c r="H39" i="64" s="1"/>
  <c r="N35" i="64" s="1"/>
  <c r="N37" i="64" s="1"/>
  <c r="E42" i="64"/>
  <c r="O39" i="64" l="1"/>
  <c r="M39" i="64"/>
  <c r="F19" i="39"/>
  <c r="P35" i="64"/>
  <c r="D1406" i="63" l="1"/>
  <c r="I34" i="63"/>
  <c r="G33" i="63"/>
  <c r="L28" i="63"/>
  <c r="N28" i="63" s="1"/>
  <c r="P27" i="63"/>
  <c r="R27" i="63" s="1"/>
  <c r="L27" i="63"/>
  <c r="N27" i="63" s="1"/>
  <c r="P26" i="63"/>
  <c r="R26" i="63" s="1"/>
  <c r="L26" i="63"/>
  <c r="N26" i="63" s="1"/>
  <c r="P25" i="63"/>
  <c r="R25" i="63" s="1"/>
  <c r="L25" i="63"/>
  <c r="N25" i="63" s="1"/>
  <c r="P24" i="63"/>
  <c r="R24" i="63" s="1"/>
  <c r="L24" i="63"/>
  <c r="N24" i="63" s="1"/>
  <c r="P23" i="63"/>
  <c r="R23" i="63" s="1"/>
  <c r="L23" i="63"/>
  <c r="N23" i="63" s="1"/>
  <c r="L17" i="63"/>
  <c r="L19" i="63" s="1"/>
  <c r="N16" i="63"/>
  <c r="P15" i="63"/>
  <c r="P17" i="63" s="1"/>
  <c r="N15" i="63"/>
  <c r="R14" i="63"/>
  <c r="N14" i="63"/>
  <c r="R13" i="63"/>
  <c r="N13" i="63"/>
  <c r="R12" i="63"/>
  <c r="N12" i="63"/>
  <c r="R11" i="63"/>
  <c r="N11" i="63"/>
  <c r="R10" i="63"/>
  <c r="N10" i="63"/>
  <c r="E8" i="63"/>
  <c r="R15" i="63" l="1"/>
  <c r="N36" i="63" s="1"/>
  <c r="N29" i="63"/>
  <c r="M36" i="63" s="1"/>
  <c r="N17" i="63"/>
  <c r="E13" i="63"/>
  <c r="E31" i="63" s="1"/>
  <c r="E32" i="63" s="1"/>
  <c r="I36" i="63"/>
  <c r="G35" i="63"/>
  <c r="E12" i="63"/>
  <c r="E14" i="63" s="1"/>
  <c r="B53" i="63"/>
  <c r="B48" i="63"/>
  <c r="R28" i="63"/>
  <c r="O36" i="63" s="1"/>
  <c r="L29" i="63"/>
  <c r="P28" i="63"/>
  <c r="P30" i="63" s="1"/>
  <c r="E8" i="62"/>
  <c r="I34" i="62"/>
  <c r="G33" i="62"/>
  <c r="L36" i="63" l="1"/>
  <c r="P36" i="63"/>
  <c r="H14" i="63"/>
  <c r="H39" i="63" s="1"/>
  <c r="N35" i="63" s="1"/>
  <c r="N37" i="63" s="1"/>
  <c r="F14" i="63"/>
  <c r="F39" i="63" s="1"/>
  <c r="L35" i="63" s="1"/>
  <c r="L37" i="63" s="1"/>
  <c r="G20" i="39" s="1"/>
  <c r="L31" i="63"/>
  <c r="G8" i="63"/>
  <c r="I8" i="63" s="1"/>
  <c r="I32" i="63" s="1"/>
  <c r="I39" i="63" s="1"/>
  <c r="O35" i="63" s="1"/>
  <c r="O37" i="63" s="1"/>
  <c r="E37" i="63"/>
  <c r="E39" i="63" s="1"/>
  <c r="L28" i="62"/>
  <c r="N28" i="62" s="1"/>
  <c r="P27" i="62"/>
  <c r="R27" i="62" s="1"/>
  <c r="L27" i="62"/>
  <c r="N27" i="62" s="1"/>
  <c r="P26" i="62"/>
  <c r="R26" i="62" s="1"/>
  <c r="L26" i="62"/>
  <c r="N26" i="62" s="1"/>
  <c r="P25" i="62"/>
  <c r="R25" i="62" s="1"/>
  <c r="L25" i="62"/>
  <c r="N25" i="62" s="1"/>
  <c r="P24" i="62"/>
  <c r="R24" i="62" s="1"/>
  <c r="L24" i="62"/>
  <c r="N24" i="62" s="1"/>
  <c r="P23" i="62"/>
  <c r="R23" i="62" s="1"/>
  <c r="L23" i="62"/>
  <c r="N23" i="62" s="1"/>
  <c r="L17" i="62"/>
  <c r="L19" i="62" s="1"/>
  <c r="N16" i="62"/>
  <c r="P15" i="62"/>
  <c r="P17" i="62" s="1"/>
  <c r="N15" i="62"/>
  <c r="R14" i="62"/>
  <c r="N14" i="62"/>
  <c r="R13" i="62"/>
  <c r="N13" i="62"/>
  <c r="R12" i="62"/>
  <c r="N12" i="62"/>
  <c r="R11" i="62"/>
  <c r="N11" i="62"/>
  <c r="R10" i="62"/>
  <c r="N10" i="62"/>
  <c r="B52" i="62"/>
  <c r="D1409" i="62"/>
  <c r="G32" i="63" l="1"/>
  <c r="G39" i="63" s="1"/>
  <c r="M35" i="63" s="1"/>
  <c r="M37" i="63" s="1"/>
  <c r="O39" i="63"/>
  <c r="E42" i="63"/>
  <c r="G35" i="62"/>
  <c r="I36" i="62"/>
  <c r="E12" i="62"/>
  <c r="E13" i="62"/>
  <c r="E31" i="62" s="1"/>
  <c r="E32" i="62" s="1"/>
  <c r="R15" i="62"/>
  <c r="N36" i="62" s="1"/>
  <c r="P28" i="62"/>
  <c r="P30" i="62" s="1"/>
  <c r="N17" i="62"/>
  <c r="N29" i="62"/>
  <c r="M36" i="62" s="1"/>
  <c r="R28" i="62"/>
  <c r="L29" i="62"/>
  <c r="B46" i="62"/>
  <c r="B48" i="62" s="1"/>
  <c r="B51" i="62"/>
  <c r="B53" i="62" s="1"/>
  <c r="B56" i="62" s="1"/>
  <c r="H10" i="61"/>
  <c r="K10" i="61" s="1"/>
  <c r="C35" i="61"/>
  <c r="C52" i="61"/>
  <c r="C42" i="61"/>
  <c r="C31" i="61"/>
  <c r="C6" i="61"/>
  <c r="G8" i="62" l="1"/>
  <c r="I8" i="62" s="1"/>
  <c r="P35" i="63"/>
  <c r="M39" i="63"/>
  <c r="F20" i="39"/>
  <c r="L36" i="62"/>
  <c r="E37" i="62"/>
  <c r="G32" i="62"/>
  <c r="G39" i="62" s="1"/>
  <c r="M35" i="62" s="1"/>
  <c r="I32" i="62"/>
  <c r="I39" i="62" s="1"/>
  <c r="O35" i="62" s="1"/>
  <c r="O36" i="62"/>
  <c r="P36" i="62" s="1"/>
  <c r="E14" i="62"/>
  <c r="L31" i="62"/>
  <c r="F21" i="41"/>
  <c r="K37" i="61"/>
  <c r="K38" i="61"/>
  <c r="K39" i="61"/>
  <c r="K40" i="61"/>
  <c r="K36" i="61"/>
  <c r="G37" i="61"/>
  <c r="G38" i="61"/>
  <c r="G39" i="61"/>
  <c r="G40" i="61"/>
  <c r="G41" i="61"/>
  <c r="G36" i="61"/>
  <c r="C51" i="61"/>
  <c r="E39" i="62" l="1"/>
  <c r="E42" i="62" s="1"/>
  <c r="H14" i="62"/>
  <c r="H39" i="62" s="1"/>
  <c r="N35" i="62" s="1"/>
  <c r="N37" i="62" s="1"/>
  <c r="F14" i="62"/>
  <c r="F39" i="62" s="1"/>
  <c r="C1487" i="61"/>
  <c r="K41" i="61"/>
  <c r="K43" i="61" s="1"/>
  <c r="C41" i="61"/>
  <c r="G42" i="61"/>
  <c r="I37" i="61"/>
  <c r="M36" i="61"/>
  <c r="I36" i="61"/>
  <c r="C50" i="61"/>
  <c r="G30" i="61"/>
  <c r="G32" i="61" s="1"/>
  <c r="I29" i="61"/>
  <c r="K28" i="61"/>
  <c r="K30" i="61" s="1"/>
  <c r="I28" i="61"/>
  <c r="I27" i="61"/>
  <c r="C27" i="61"/>
  <c r="I26" i="61"/>
  <c r="I25" i="61"/>
  <c r="I24" i="61"/>
  <c r="M23" i="61"/>
  <c r="I23" i="61"/>
  <c r="C22" i="61"/>
  <c r="C20" i="61"/>
  <c r="C17" i="61"/>
  <c r="C14" i="61"/>
  <c r="H11" i="61"/>
  <c r="L11" i="61" s="1"/>
  <c r="C11" i="61"/>
  <c r="C7" i="61"/>
  <c r="F1" i="61"/>
  <c r="L35" i="62" l="1"/>
  <c r="L37" i="62" s="1"/>
  <c r="G21" i="39" s="1"/>
  <c r="M37" i="62"/>
  <c r="F21" i="39" s="1"/>
  <c r="O37" i="62"/>
  <c r="C55" i="61"/>
  <c r="I30" i="61"/>
  <c r="I52" i="61" s="1"/>
  <c r="C30" i="61"/>
  <c r="C32" i="61" s="1"/>
  <c r="H7" i="61" s="1"/>
  <c r="J7" i="61" s="1"/>
  <c r="G44" i="61"/>
  <c r="K5" i="61"/>
  <c r="L5" i="61" s="1"/>
  <c r="I41" i="61"/>
  <c r="I39" i="61"/>
  <c r="M25" i="61"/>
  <c r="M38" i="61"/>
  <c r="M37" i="61"/>
  <c r="M24" i="61"/>
  <c r="I38" i="61"/>
  <c r="C12" i="60"/>
  <c r="C15" i="60"/>
  <c r="C18" i="60"/>
  <c r="P35" i="62" l="1"/>
  <c r="O39" i="62"/>
  <c r="M39" i="62"/>
  <c r="I31" i="61"/>
  <c r="I7" i="61"/>
  <c r="I14" i="61" s="1"/>
  <c r="I51" i="61" s="1"/>
  <c r="I54" i="61" s="1"/>
  <c r="M40" i="61"/>
  <c r="M39" i="61"/>
  <c r="M27" i="61"/>
  <c r="M26" i="61"/>
  <c r="M28" i="61" s="1"/>
  <c r="I40" i="61"/>
  <c r="I42" i="61" s="1"/>
  <c r="H52" i="61" s="1"/>
  <c r="H9" i="61"/>
  <c r="C60" i="61"/>
  <c r="J14" i="61"/>
  <c r="K51" i="61" s="1"/>
  <c r="C35" i="60"/>
  <c r="C62" i="61" l="1"/>
  <c r="C65" i="61" s="1"/>
  <c r="M41" i="61"/>
  <c r="J15" i="61"/>
  <c r="I43" i="61"/>
  <c r="M29" i="61"/>
  <c r="K52" i="61"/>
  <c r="K54" i="61" s="1"/>
  <c r="J52" i="61"/>
  <c r="M42" i="61"/>
  <c r="L9" i="61"/>
  <c r="L12" i="61" s="1"/>
  <c r="H12" i="61"/>
  <c r="K9" i="61"/>
  <c r="K12" i="61" s="1"/>
  <c r="H51" i="61" s="1"/>
  <c r="C50" i="60"/>
  <c r="L14" i="61" l="1"/>
  <c r="J51" i="61"/>
  <c r="J54" i="61" s="1"/>
  <c r="H14" i="61"/>
  <c r="H15" i="61" s="1"/>
  <c r="K14" i="61"/>
  <c r="L52" i="61"/>
  <c r="C42" i="60"/>
  <c r="C6" i="60"/>
  <c r="L15" i="61" l="1"/>
  <c r="K55" i="61"/>
  <c r="L51" i="61"/>
  <c r="H54" i="61"/>
  <c r="C21" i="60"/>
  <c r="C9" i="60"/>
  <c r="I55" i="61" l="1"/>
  <c r="L54" i="61"/>
  <c r="F20" i="41"/>
  <c r="C49" i="60"/>
  <c r="C1483" i="60" l="1"/>
  <c r="K41" i="60"/>
  <c r="K43" i="60" s="1"/>
  <c r="C41" i="60"/>
  <c r="G40" i="60"/>
  <c r="G42" i="60" s="1"/>
  <c r="G44" i="60" s="1"/>
  <c r="L37" i="60"/>
  <c r="L38" i="60" s="1"/>
  <c r="H37" i="60"/>
  <c r="H38" i="60" s="1"/>
  <c r="M36" i="60"/>
  <c r="I36" i="60"/>
  <c r="C31" i="60"/>
  <c r="C48" i="60" s="1"/>
  <c r="G30" i="60"/>
  <c r="G32" i="60" s="1"/>
  <c r="I29" i="60"/>
  <c r="K28" i="60"/>
  <c r="K30" i="60" s="1"/>
  <c r="I28" i="60"/>
  <c r="I27" i="60"/>
  <c r="C27" i="60"/>
  <c r="I26" i="60"/>
  <c r="I25" i="60"/>
  <c r="L24" i="60"/>
  <c r="M24" i="60" s="1"/>
  <c r="I24" i="60"/>
  <c r="M23" i="60"/>
  <c r="I23" i="60"/>
  <c r="C22" i="60"/>
  <c r="C20" i="60"/>
  <c r="C17" i="60"/>
  <c r="C14" i="60"/>
  <c r="H11" i="60"/>
  <c r="L11" i="60" s="1"/>
  <c r="C11" i="60"/>
  <c r="H10" i="60"/>
  <c r="K10" i="60" s="1"/>
  <c r="C7" i="60"/>
  <c r="F1" i="60"/>
  <c r="L39" i="60" l="1"/>
  <c r="M38" i="60"/>
  <c r="I30" i="60"/>
  <c r="I52" i="60" s="1"/>
  <c r="L25" i="60"/>
  <c r="M37" i="60"/>
  <c r="C52" i="60"/>
  <c r="H9" i="60" s="1"/>
  <c r="I38" i="60"/>
  <c r="H39" i="60"/>
  <c r="C30" i="60"/>
  <c r="C32" i="60" s="1"/>
  <c r="H7" i="60" s="1"/>
  <c r="L40" i="60"/>
  <c r="M40" i="60" s="1"/>
  <c r="M39" i="60"/>
  <c r="K5" i="60"/>
  <c r="L5" i="60" s="1"/>
  <c r="I37" i="60"/>
  <c r="C49" i="59"/>
  <c r="C50" i="59"/>
  <c r="C42" i="59"/>
  <c r="C15" i="59"/>
  <c r="C12" i="59"/>
  <c r="C18" i="59"/>
  <c r="C6" i="59"/>
  <c r="C21" i="59"/>
  <c r="K9" i="60" l="1"/>
  <c r="K12" i="60" s="1"/>
  <c r="H51" i="60" s="1"/>
  <c r="M41" i="60"/>
  <c r="M42" i="60" s="1"/>
  <c r="I31" i="60"/>
  <c r="M25" i="60"/>
  <c r="L26" i="60"/>
  <c r="C56" i="60"/>
  <c r="C58" i="60" s="1"/>
  <c r="C61" i="60" s="1"/>
  <c r="H40" i="60"/>
  <c r="I39" i="60"/>
  <c r="J7" i="60"/>
  <c r="I7" i="60"/>
  <c r="I14" i="60" s="1"/>
  <c r="I51" i="60" s="1"/>
  <c r="I54" i="60" s="1"/>
  <c r="L9" i="60"/>
  <c r="L12" i="60" s="1"/>
  <c r="H12" i="60"/>
  <c r="F19" i="41"/>
  <c r="I25" i="59"/>
  <c r="M36" i="59"/>
  <c r="M23" i="59"/>
  <c r="I36" i="59"/>
  <c r="I24" i="59"/>
  <c r="I26" i="59"/>
  <c r="I27" i="59"/>
  <c r="I28" i="59"/>
  <c r="I29" i="59"/>
  <c r="I23" i="59"/>
  <c r="J52" i="60" l="1"/>
  <c r="M26" i="60"/>
  <c r="L27" i="60"/>
  <c r="M27" i="60" s="1"/>
  <c r="M28" i="60"/>
  <c r="J14" i="60"/>
  <c r="K51" i="60" s="1"/>
  <c r="J15" i="60"/>
  <c r="H14" i="60"/>
  <c r="H15" i="60" s="1"/>
  <c r="K14" i="60"/>
  <c r="J51" i="60"/>
  <c r="L14" i="60"/>
  <c r="H41" i="60"/>
  <c r="I41" i="60" s="1"/>
  <c r="I40" i="60"/>
  <c r="I42" i="60" s="1"/>
  <c r="H52" i="60" s="1"/>
  <c r="C1483" i="59"/>
  <c r="K41" i="59"/>
  <c r="K43" i="59" s="1"/>
  <c r="C41" i="59"/>
  <c r="G40" i="59"/>
  <c r="G42" i="59" s="1"/>
  <c r="L37" i="59"/>
  <c r="H37" i="59"/>
  <c r="I30" i="59"/>
  <c r="G30" i="59"/>
  <c r="G32" i="59" s="1"/>
  <c r="K28" i="59"/>
  <c r="K30" i="59" s="1"/>
  <c r="C27" i="59"/>
  <c r="L24" i="59"/>
  <c r="C22" i="59"/>
  <c r="C20" i="59"/>
  <c r="C17" i="59"/>
  <c r="C14" i="59"/>
  <c r="H11" i="59"/>
  <c r="L11" i="59" s="1"/>
  <c r="H10" i="59"/>
  <c r="K10" i="59" s="1"/>
  <c r="C11" i="59"/>
  <c r="C7" i="59"/>
  <c r="F1" i="59"/>
  <c r="D31" i="4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20" i="41"/>
  <c r="K20" i="41"/>
  <c r="H20" i="41"/>
  <c r="N19" i="41"/>
  <c r="N31" i="41" s="1"/>
  <c r="K19" i="41"/>
  <c r="K31" i="41" s="1"/>
  <c r="H19" i="41"/>
  <c r="H31" i="41" s="1"/>
  <c r="A20" i="39"/>
  <c r="J54" i="60" l="1"/>
  <c r="A21" i="39"/>
  <c r="M29" i="60"/>
  <c r="K52" i="60"/>
  <c r="K54" i="60" s="1"/>
  <c r="L15" i="60"/>
  <c r="L51" i="60"/>
  <c r="I43" i="60"/>
  <c r="L38" i="59"/>
  <c r="M37" i="59"/>
  <c r="L25" i="59"/>
  <c r="M24" i="59"/>
  <c r="H38" i="59"/>
  <c r="I37" i="59"/>
  <c r="C30" i="59"/>
  <c r="I31" i="59"/>
  <c r="G44" i="59"/>
  <c r="K5" i="59"/>
  <c r="L5" i="59" s="1"/>
  <c r="I52" i="59"/>
  <c r="C31" i="59"/>
  <c r="C48" i="59" s="1"/>
  <c r="C52" i="59" s="1"/>
  <c r="H18" i="41"/>
  <c r="F18" i="41"/>
  <c r="A22" i="39" l="1"/>
  <c r="L52" i="60"/>
  <c r="K55" i="60"/>
  <c r="H54" i="60"/>
  <c r="L39" i="59"/>
  <c r="M38" i="59"/>
  <c r="L26" i="59"/>
  <c r="M25" i="59"/>
  <c r="H39" i="59"/>
  <c r="I38" i="59"/>
  <c r="H9" i="59"/>
  <c r="C56" i="59"/>
  <c r="C32" i="59"/>
  <c r="H7" i="59" s="1"/>
  <c r="A23" i="39" l="1"/>
  <c r="L54" i="60"/>
  <c r="I55" i="60"/>
  <c r="M39" i="59"/>
  <c r="L40" i="59"/>
  <c r="M40" i="59" s="1"/>
  <c r="M26" i="59"/>
  <c r="L27" i="59"/>
  <c r="M27" i="59" s="1"/>
  <c r="H40" i="59"/>
  <c r="I39" i="59"/>
  <c r="C58" i="59"/>
  <c r="C61" i="59" s="1"/>
  <c r="J7" i="59"/>
  <c r="I7" i="59"/>
  <c r="I14" i="59" s="1"/>
  <c r="I51" i="59" s="1"/>
  <c r="I54" i="59" s="1"/>
  <c r="L9" i="59"/>
  <c r="L12" i="59" s="1"/>
  <c r="H12" i="59"/>
  <c r="K9" i="59"/>
  <c r="K12" i="59" s="1"/>
  <c r="A24" i="39" l="1"/>
  <c r="M41" i="59"/>
  <c r="J52" i="59" s="1"/>
  <c r="M42" i="59"/>
  <c r="M28" i="59"/>
  <c r="H41" i="59"/>
  <c r="I41" i="59" s="1"/>
  <c r="I40" i="59"/>
  <c r="J51" i="59"/>
  <c r="J54" i="59" s="1"/>
  <c r="L14" i="59"/>
  <c r="J15" i="59"/>
  <c r="J14" i="59"/>
  <c r="K51" i="59" s="1"/>
  <c r="H14" i="59"/>
  <c r="H15" i="59" s="1"/>
  <c r="K14" i="59"/>
  <c r="H51" i="59"/>
  <c r="A25" i="39" l="1"/>
  <c r="I42" i="59"/>
  <c r="I43" i="59" s="1"/>
  <c r="K52" i="59"/>
  <c r="K54" i="59" s="1"/>
  <c r="M29" i="59"/>
  <c r="L15" i="59"/>
  <c r="L51" i="59"/>
  <c r="A26" i="39" l="1"/>
  <c r="H52" i="59"/>
  <c r="K55" i="59"/>
  <c r="H17" i="41"/>
  <c r="A27" i="39" l="1"/>
  <c r="L52" i="59"/>
  <c r="H54" i="59"/>
  <c r="F17" i="41"/>
  <c r="A28" i="39" l="1"/>
  <c r="A29" i="39" s="1"/>
  <c r="A30" i="39" s="1"/>
  <c r="L54" i="59"/>
  <c r="I55" i="59"/>
  <c r="F16" i="41"/>
  <c r="F15" i="41" l="1"/>
  <c r="F14" i="41" l="1"/>
  <c r="F13" i="41" l="1"/>
  <c r="F12" i="41" l="1"/>
  <c r="B12" i="41" l="1"/>
  <c r="F11" i="41" l="1"/>
  <c r="B11" i="41" l="1"/>
  <c r="F10" i="41" l="1"/>
  <c r="B10" i="41" l="1"/>
  <c r="F9" i="41" l="1"/>
  <c r="B9" i="41" l="1"/>
  <c r="N7" i="41" l="1"/>
  <c r="K7" i="41"/>
  <c r="F8" i="41" l="1"/>
  <c r="B8" i="41" l="1"/>
  <c r="F7" i="41" l="1"/>
  <c r="H7" i="41" s="1"/>
  <c r="B7" i="41" l="1"/>
  <c r="N16" i="4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A8" i="39" l="1"/>
  <c r="A9" i="39" s="1"/>
  <c r="A10" i="39" l="1"/>
  <c r="A11" i="39" l="1"/>
  <c r="A12" i="39" l="1"/>
  <c r="A13" i="39" l="1"/>
  <c r="A14" i="39" l="1"/>
  <c r="A15" i="39" l="1"/>
  <c r="A16" i="39" l="1"/>
  <c r="A17" i="39" l="1"/>
  <c r="A18" i="39" l="1"/>
  <c r="H44" i="41" l="1"/>
  <c r="I45" i="41" l="1"/>
  <c r="H39" i="41" l="1"/>
  <c r="I39" i="41"/>
  <c r="D31" i="39" l="1"/>
  <c r="F31" i="39"/>
  <c r="G31" i="39"/>
  <c r="F39" i="39" l="1"/>
  <c r="E39" i="39" l="1"/>
  <c r="H7" i="39" l="1"/>
  <c r="O7" i="41" l="1"/>
  <c r="P7" i="41" s="1"/>
  <c r="I7" i="39"/>
  <c r="E8" i="39" s="1"/>
  <c r="E8" i="41" l="1"/>
  <c r="O8" i="41" s="1"/>
  <c r="S7" i="41"/>
  <c r="H8" i="39"/>
  <c r="L7" i="39"/>
  <c r="I8" i="39" l="1"/>
  <c r="E9" i="39" s="1"/>
  <c r="H9" i="39" s="1"/>
  <c r="P8" i="41" l="1"/>
  <c r="L8" i="39"/>
  <c r="E9" i="41" l="1"/>
  <c r="O9" i="41" s="1"/>
  <c r="S8" i="41"/>
  <c r="I9" i="39" l="1"/>
  <c r="P9" i="41"/>
  <c r="E10" i="41" l="1"/>
  <c r="O10" i="41" s="1"/>
  <c r="S9" i="41"/>
  <c r="E10" i="39"/>
  <c r="H10" i="39" s="1"/>
  <c r="L9" i="39"/>
  <c r="I10" i="39" l="1"/>
  <c r="P10" i="41"/>
  <c r="E11" i="41" l="1"/>
  <c r="O11" i="41" s="1"/>
  <c r="S10" i="41"/>
  <c r="E11" i="39"/>
  <c r="H11" i="39" s="1"/>
  <c r="L10" i="39"/>
  <c r="I11" i="39" l="1"/>
  <c r="P11" i="41"/>
  <c r="E12" i="41" l="1"/>
  <c r="O12" i="41" s="1"/>
  <c r="S11" i="41"/>
  <c r="E12" i="39"/>
  <c r="H12" i="39" s="1"/>
  <c r="L11" i="39"/>
  <c r="P12" i="41" l="1"/>
  <c r="I12" i="39"/>
  <c r="E13" i="41" l="1"/>
  <c r="S12" i="41"/>
  <c r="E13" i="39"/>
  <c r="H13" i="39" s="1"/>
  <c r="L12" i="39"/>
  <c r="I13" i="39" l="1"/>
  <c r="O13" i="41"/>
  <c r="P13" i="41" l="1"/>
  <c r="E14" i="39"/>
  <c r="H14" i="39" s="1"/>
  <c r="L13" i="39"/>
  <c r="I14" i="39" l="1"/>
  <c r="E14" i="41"/>
  <c r="O14" i="41" s="1"/>
  <c r="S13" i="41"/>
  <c r="P14" i="41" l="1"/>
  <c r="E15" i="39"/>
  <c r="H15" i="39" s="1"/>
  <c r="L14" i="39"/>
  <c r="I15" i="39" l="1"/>
  <c r="E15" i="41"/>
  <c r="O15" i="41" s="1"/>
  <c r="S14" i="41"/>
  <c r="E16" i="39" l="1"/>
  <c r="H16" i="39" s="1"/>
  <c r="L15" i="39"/>
  <c r="P15" i="41"/>
  <c r="E16" i="41" l="1"/>
  <c r="O16" i="41" s="1"/>
  <c r="P16" i="41" s="1"/>
  <c r="S16" i="41" s="1"/>
  <c r="S15" i="41"/>
  <c r="I16" i="39"/>
  <c r="D17" i="39" s="1"/>
  <c r="E45" i="39" l="1"/>
  <c r="C17" i="41"/>
  <c r="E44" i="39"/>
  <c r="F45" i="39" s="1"/>
  <c r="E17" i="39"/>
  <c r="H17" i="39" s="1"/>
  <c r="L16" i="39"/>
  <c r="E17" i="41" l="1"/>
  <c r="I17" i="39"/>
  <c r="O17" i="41" l="1"/>
  <c r="P17" i="41" s="1"/>
  <c r="E18" i="39"/>
  <c r="H18" i="39" s="1"/>
  <c r="L17" i="39"/>
  <c r="S17" i="41" l="1"/>
  <c r="E18" i="41"/>
  <c r="O18" i="41" s="1"/>
  <c r="I18" i="39"/>
  <c r="L18" i="39" l="1"/>
  <c r="E19" i="39"/>
  <c r="H19" i="39" s="1"/>
  <c r="P18" i="41"/>
  <c r="S18" i="41" l="1"/>
  <c r="E19" i="41"/>
  <c r="O19" i="41" l="1"/>
  <c r="I19" i="39"/>
  <c r="L19" i="39" l="1"/>
  <c r="E20" i="39"/>
  <c r="H20" i="39" s="1"/>
  <c r="P19" i="41"/>
  <c r="E20" i="41" s="1"/>
  <c r="O20" i="41" s="1"/>
  <c r="P20" i="41" s="1"/>
  <c r="S19" i="41" l="1"/>
  <c r="S20" i="41"/>
  <c r="E21" i="41"/>
  <c r="O21" i="41" s="1"/>
  <c r="P21" i="41" s="1"/>
  <c r="I20" i="39"/>
  <c r="S21" i="41" l="1"/>
  <c r="E22" i="41"/>
  <c r="L20" i="39"/>
  <c r="E21" i="39"/>
  <c r="H21" i="39" s="1"/>
  <c r="O22" i="41"/>
  <c r="P22" i="41" s="1"/>
  <c r="S22" i="41" l="1"/>
  <c r="E23" i="41"/>
  <c r="I21" i="39"/>
  <c r="O23" i="41"/>
  <c r="P23" i="41" s="1"/>
  <c r="S23" i="41" l="1"/>
  <c r="E24" i="41"/>
  <c r="L21" i="39"/>
  <c r="E22" i="39"/>
  <c r="H22" i="39" s="1"/>
  <c r="O24" i="41"/>
  <c r="P24" i="41" s="1"/>
  <c r="S24" i="41" l="1"/>
  <c r="E25" i="41"/>
  <c r="O25" i="41" s="1"/>
  <c r="P25" i="41" s="1"/>
  <c r="I22" i="39"/>
  <c r="E26" i="41" l="1"/>
  <c r="S25" i="41"/>
  <c r="L22" i="39"/>
  <c r="E23" i="39"/>
  <c r="H23" i="39" s="1"/>
  <c r="O26" i="41"/>
  <c r="P26" i="41" s="1"/>
  <c r="E27" i="41" l="1"/>
  <c r="O27" i="41" s="1"/>
  <c r="P27" i="41" s="1"/>
  <c r="S26" i="41"/>
  <c r="I23" i="39"/>
  <c r="I63" i="61"/>
  <c r="E28" i="41" l="1"/>
  <c r="S27" i="41"/>
  <c r="O31" i="41"/>
  <c r="H37" i="41" s="1"/>
  <c r="L23" i="39"/>
  <c r="E24" i="39"/>
  <c r="H24" i="39" s="1"/>
  <c r="O28" i="41"/>
  <c r="P28" i="41" s="1"/>
  <c r="E29" i="41" s="1"/>
  <c r="I38" i="41" l="1"/>
  <c r="I36" i="41"/>
  <c r="H38" i="41"/>
  <c r="I41" i="41" s="1"/>
  <c r="I24" i="39"/>
  <c r="O29" i="41"/>
  <c r="P29" i="41" s="1"/>
  <c r="E30" i="41" s="1"/>
  <c r="L24" i="39" l="1"/>
  <c r="E25" i="39"/>
  <c r="H25" i="39" s="1"/>
  <c r="O30" i="41"/>
  <c r="P30" i="41" s="1"/>
  <c r="I25" i="39" l="1"/>
  <c r="E42" i="65"/>
  <c r="E26" i="39" l="1"/>
  <c r="H26" i="39" s="1"/>
  <c r="I26" i="39" s="1"/>
  <c r="E27" i="39" s="1"/>
  <c r="H27" i="39" s="1"/>
  <c r="L25" i="39"/>
  <c r="L26" i="39" l="1"/>
  <c r="I27" i="39"/>
  <c r="H31" i="39"/>
  <c r="E28" i="39" l="1"/>
  <c r="H28" i="39" s="1"/>
  <c r="I28" i="39" s="1"/>
  <c r="E29" i="39" s="1"/>
  <c r="H29" i="39" s="1"/>
  <c r="I29" i="39" s="1"/>
  <c r="E30" i="39" s="1"/>
  <c r="H30" i="39" s="1"/>
  <c r="I30" i="39" s="1"/>
  <c r="L27" i="39"/>
  <c r="E38" i="39"/>
  <c r="F38" i="39"/>
  <c r="F36" i="39"/>
  <c r="E37" i="39"/>
  <c r="F41" i="39" l="1"/>
  <c r="I62" i="59" l="1"/>
  <c r="O3" i="64"/>
  <c r="O3" i="62"/>
  <c r="I62" i="60"/>
  <c r="O3" i="63"/>
  <c r="E47" i="69"/>
  <c r="F47" i="69" s="1"/>
  <c r="E47" i="67"/>
  <c r="F47" i="67" s="1"/>
  <c r="E47" i="66"/>
  <c r="F47" i="66" s="1"/>
  <c r="E47" i="70"/>
  <c r="F47" i="70" s="1"/>
  <c r="E47" i="68"/>
  <c r="F47" i="68" s="1"/>
  <c r="N3" i="63"/>
  <c r="H62" i="59"/>
  <c r="I63" i="59" s="1"/>
  <c r="H62" i="60"/>
  <c r="I63" i="60" s="1"/>
  <c r="N3" i="64"/>
  <c r="N3" i="62"/>
  <c r="E47" i="65"/>
  <c r="F47" i="65" l="1"/>
  <c r="E50" i="6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D076CA49-87F0-4F99-A0DD-DE5E30524DE3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I5" authorId="0" shapeId="0" xr:uid="{55D8C914-DBEE-46FC-9F69-16ACADCF1F86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C12" authorId="1" shapeId="0" xr:uid="{C3EB04B6-8F14-4919-9EBE-9ECB7EAF39F4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
156105.73
1532.53
(155330.53)
 to tie to WA/ID Gas Costs in relation to conversion month for new cashbook module</t>
        </r>
      </text>
    </comment>
    <comment ref="C15" authorId="1" shapeId="0" xr:uid="{F8B6C9D8-C51D-4003-AB4A-84A1CCAD51A8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
423243.89
4155.09
(421142.15)
 to tie to WA/ID Gas Costs in relation to conversion month for new cashbook module</t>
        </r>
      </text>
    </comment>
    <comment ref="C18" authorId="1" shapeId="0" xr:uid="{AE551DAC-462E-4FBE-A59C-07997C84AB3B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
122281.35
1200.47
(105611.56)
 to tie to WA/ID Gas Costs in relation to conversion month for new cashbook module</t>
        </r>
      </text>
    </comment>
    <comment ref="C35" authorId="1" shapeId="0" xr:uid="{FFB7D4C2-4974-41CB-82E3-C0F8D47FF3E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 $32964.40 to tie to WA/ID Gas Costs in relation to conversion month for new cashbook module</t>
        </r>
      </text>
    </comment>
    <comment ref="C50" authorId="1" shapeId="0" xr:uid="{CF32C559-C6E1-4E95-A8E5-D5A956E7EB22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 $65.46 to tie to WA/ID Gas Costs in relation to conversion month for new cashbook module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I5" authorId="0" shapeId="0" xr:uid="{45649AF0-7F19-4BAE-BE79-7EDFC5AEE446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C52" authorId="1" shapeId="0" xr:uid="{740D4997-C125-4BA0-A6C8-5AC3D8E9B97F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 $8988.03 to tie to WA/ID Gas Costs in relation to Oracle GL FX &amp; PPA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73634542-0632-47F7-8E8F-CDFD619458FB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E30" authorId="1" shapeId="0" xr:uid="{01137DFD-342F-4C37-977D-E947B5741578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3" authorId="1" shapeId="0" xr:uid="{10BF025C-4B11-4953-9840-3A8EACD3A102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4" authorId="1" shapeId="0" xr:uid="{DFD72B75-C6B8-4EB0-B6BA-AF0CABA46B86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K37" authorId="1" shapeId="0" xr:uid="{F9C09AEF-E7FE-4796-A521-D336DE0EE5D8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D07FE95F-B072-43E9-B0C1-70C9B1AE0813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E30" authorId="1" shapeId="0" xr:uid="{7B0AB6D0-7B08-4665-B6FB-D2F348BAAC02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3" authorId="1" shapeId="0" xr:uid="{B5EF30B1-A07E-40F7-90D0-02FC639FB35F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4" authorId="1" shapeId="0" xr:uid="{932587D1-2F21-4B56-9399-2ADD214BB36D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K37" authorId="1" shapeId="0" xr:uid="{2CBAA1A1-443F-4B7B-AF95-7D87094098C2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1987A893-D348-4C3B-BC16-864B19DBF1D1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E30" authorId="1" shapeId="0" xr:uid="{39BF246E-844E-4ADA-8243-44E022EB6174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3" authorId="1" shapeId="0" xr:uid="{9EE2DFD5-CD28-4F80-B7B3-9D4427D30013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4" authorId="1" shapeId="0" xr:uid="{9984F81B-BA60-4F40-A972-F8EFFFE634F7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K37" authorId="1" shapeId="0" xr:uid="{97CAF469-151F-47F8-9E6E-1A7D5B4AAEA0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452C2C1-0EAF-47CF-8269-F58D4BDE4903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B27B8702-2B19-46F5-A8C4-A17540B60CB6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9D1D4600-3765-4B8E-A17E-EDDF21E357D3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38B20B32-C17C-4E0D-99EB-ADBB399C03AC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D542FEDC-3781-4739-B8A2-4E2992745CF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713CA68F-5545-4BED-8168-1BC977661770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1E560321-1E0A-4AA0-9C93-FD0B2D70B95D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B947722A-755F-4467-B015-59ADC0374814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FDE226F-F354-4A6A-B169-1989B5434DBD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F8643243-CCAF-4AF2-8333-DDDFFCF8425C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AAB67BEA-F35C-4744-963E-1321D90BD090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C8C2169B-094D-4D44-B492-2621E09639D6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P17" authorId="0" shapeId="0" xr:uid="{965F01AF-BD70-4694-986E-758B15AE2CEB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plugged .02 to clean up rounding</t>
        </r>
      </text>
    </comment>
  </commentList>
</comments>
</file>

<file path=xl/sharedStrings.xml><?xml version="1.0" encoding="utf-8"?>
<sst xmlns="http://schemas.openxmlformats.org/spreadsheetml/2006/main" count="1922" uniqueCount="250">
  <si>
    <t>State of Washington</t>
  </si>
  <si>
    <t>Commodity</t>
  </si>
  <si>
    <t>Demand</t>
  </si>
  <si>
    <t>Interest</t>
  </si>
  <si>
    <t>Avista Corporation</t>
  </si>
  <si>
    <t>Misc</t>
  </si>
  <si>
    <t>Amortization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</si>
  <si>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</si>
  <si>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</si>
  <si>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</si>
  <si>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</si>
  <si>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</si>
  <si>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</si>
  <si>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</si>
  <si>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</si>
  <si>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</si>
  <si>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</si>
  <si>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</si>
  <si>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</si>
  <si>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Imbalance Cost Washington</t>
  </si>
  <si>
    <t>Imbalance Cost Idaho</t>
  </si>
  <si>
    <t>Ending Balance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</si>
  <si>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</si>
  <si>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</si>
  <si>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</si>
  <si>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</si>
  <si>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</si>
  <si>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</si>
  <si>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</si>
  <si>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</si>
  <si>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</si>
  <si>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</si>
  <si>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</si>
  <si>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</si>
  <si>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Interest Income</t>
  </si>
  <si>
    <t>Adjustments</t>
  </si>
  <si>
    <t xml:space="preserve">NWP Fixed </t>
  </si>
  <si>
    <t>Commodity Purchases (Natural Gas)</t>
  </si>
  <si>
    <t xml:space="preserve">Total Net Gas Costs </t>
  </si>
  <si>
    <t>Counterparty Invoice Total</t>
  </si>
  <si>
    <t>Volumes</t>
  </si>
  <si>
    <t>check</t>
  </si>
  <si>
    <t xml:space="preserve">Balance Sheet </t>
  </si>
  <si>
    <t>PGA Deferral Revenue from above</t>
  </si>
  <si>
    <t>less variable costs charged to Commodity</t>
  </si>
  <si>
    <t>Total Demand Costs to be Allocated</t>
  </si>
  <si>
    <t>804000 GD AN</t>
  </si>
  <si>
    <t>plus variable costs from Demand</t>
  </si>
  <si>
    <t>Total Commodity Costs to be Allocated</t>
  </si>
  <si>
    <t>808100/808200 GD AN</t>
  </si>
  <si>
    <t>Total Commodity Costs from Purchase Journals</t>
  </si>
  <si>
    <t>WA/ID Off System Revenue</t>
  </si>
  <si>
    <t>DEMAND</t>
  </si>
  <si>
    <t xml:space="preserve">Total Demand </t>
  </si>
  <si>
    <t>COMMODITY</t>
  </si>
  <si>
    <t>Commodity Physical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</si>
  <si>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</si>
  <si>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</si>
  <si>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</si>
  <si>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</si>
  <si>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</si>
  <si>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</si>
  <si>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Total Commodity Costs before refund</t>
  </si>
  <si>
    <t>NWP Total (excluding Refund)</t>
  </si>
  <si>
    <t xml:space="preserve">  Current Month Estimate</t>
  </si>
  <si>
    <t>Cochrane Credit</t>
  </si>
  <si>
    <t>811000 GD AN</t>
  </si>
  <si>
    <t>Thermal Transport</t>
  </si>
  <si>
    <t>804017 GD AN</t>
  </si>
  <si>
    <t>Foreign Exchange Hedge Activity</t>
  </si>
  <si>
    <t>804010 GD AN</t>
  </si>
  <si>
    <t>Check</t>
  </si>
  <si>
    <t>Def Rev Calc</t>
  </si>
  <si>
    <t>Spectra Westcoast Fixed</t>
  </si>
  <si>
    <t>Spectra Westcoast Variable</t>
  </si>
  <si>
    <t>Intracompany Transportation Optimization</t>
  </si>
  <si>
    <t>WA Total</t>
  </si>
  <si>
    <t>ID Total</t>
  </si>
  <si>
    <t>Debits</t>
  </si>
  <si>
    <t>Credits</t>
  </si>
  <si>
    <t>Storage (Injections)/Withdrawals</t>
  </si>
  <si>
    <t>804730 GD AN</t>
  </si>
  <si>
    <t>(overcollected)/undercollected</t>
  </si>
  <si>
    <t>(rebate)/surcharge</t>
  </si>
  <si>
    <t>NOVA Total</t>
  </si>
  <si>
    <t xml:space="preserve">Third party capacity release </t>
  </si>
  <si>
    <t>Other Pipeline Fixed charges</t>
  </si>
  <si>
    <t>495028 GD AN</t>
  </si>
  <si>
    <t>Beginning Balance</t>
  </si>
  <si>
    <t>Interest Rate</t>
  </si>
  <si>
    <t>JET Entry</t>
  </si>
  <si>
    <t>483000/483600/483730</t>
  </si>
  <si>
    <t>M Chemical Accrual</t>
  </si>
  <si>
    <t>Schedule 102</t>
  </si>
  <si>
    <t>Deferred Exchange Revenue</t>
  </si>
  <si>
    <t>Other Capacity Release credit</t>
  </si>
  <si>
    <t>804018 GD AN</t>
  </si>
  <si>
    <t>Month Ending</t>
  </si>
  <si>
    <t>GL WAND BALANCES</t>
  </si>
  <si>
    <t>MONTHLY RECON</t>
  </si>
  <si>
    <t>Accounts 191000</t>
  </si>
  <si>
    <t>Annual xfer of balance per PGA to 191000</t>
  </si>
  <si>
    <t>804000 GD WA</t>
  </si>
  <si>
    <t>804000 GD ID</t>
  </si>
  <si>
    <t>Amort</t>
  </si>
  <si>
    <t>TC Energy Foothills Fixed</t>
  </si>
  <si>
    <t>TC Energy Foothills Variable</t>
  </si>
  <si>
    <t>Foothills Total</t>
  </si>
  <si>
    <t>Spectra Total</t>
  </si>
  <si>
    <t>Questar Total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</si>
  <si>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</si>
  <si>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</si>
  <si>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</si>
  <si>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</si>
  <si>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</si>
  <si>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</si>
  <si>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</si>
  <si>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</si>
  <si>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</si>
  <si>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</si>
  <si>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</si>
  <si>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</si>
  <si>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</si>
  <si>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</si>
  <si>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</si>
  <si>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</si>
  <si>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</si>
  <si>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</si>
  <si>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</si>
  <si>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</si>
  <si>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</si>
  <si>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</si>
  <si>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</si>
  <si>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</si>
  <si>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</si>
  <si>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</si>
  <si>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</si>
  <si>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</si>
  <si>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</si>
  <si>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</si>
  <si>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</si>
  <si>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</si>
  <si>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</si>
  <si>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</si>
  <si>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</si>
  <si>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Demand (Transportation) Costs</t>
  </si>
  <si>
    <t>Total Demand Costs from Purchase Journals</t>
  </si>
  <si>
    <t>Total Current Demand Costs (excluding refund)</t>
  </si>
  <si>
    <t>Total from DJ 430 Gas Costs</t>
  </si>
  <si>
    <t>Total Deferred Commodity Costs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</si>
  <si>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</si>
  <si>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</si>
  <si>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</si>
  <si>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</si>
  <si>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</si>
  <si>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</si>
  <si>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</si>
  <si>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</si>
  <si>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</si>
  <si>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</si>
  <si>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</si>
  <si>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</si>
  <si>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(B)</t>
  </si>
  <si>
    <t>804001/804002 GD AN</t>
  </si>
  <si>
    <t>WA Imbalance - DJ436</t>
  </si>
  <si>
    <t>ID Imbalance - DJ436</t>
  </si>
  <si>
    <t>Broker Fees - DJ471</t>
  </si>
  <si>
    <t>Merchandise Processing Fee - DJ467</t>
  </si>
  <si>
    <t>Intraco Purchase from Thermal</t>
  </si>
  <si>
    <t>GST Qtrly - DJ437</t>
  </si>
  <si>
    <t>Mizuho Broker Fees - DJ476</t>
  </si>
  <si>
    <t>Wells Fargo - DJ476</t>
  </si>
  <si>
    <t>ID Entitlement Penalty</t>
  </si>
  <si>
    <t>495000 GD ID</t>
  </si>
  <si>
    <t>TC Energy GTN Fixed</t>
  </si>
  <si>
    <t xml:space="preserve">TC Energy GTN Variable </t>
  </si>
  <si>
    <t>TC Energy GTN Capacity Release</t>
  </si>
  <si>
    <t>Dominion Energy Questar Fixed</t>
  </si>
  <si>
    <t>TC Energy NOVA (AB System) Fixed</t>
  </si>
  <si>
    <t>TC Energy NOVA (AB System) Variable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</si>
  <si>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</si>
  <si>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</si>
  <si>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</si>
  <si>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</si>
  <si>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</si>
  <si>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</si>
  <si>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</si>
  <si>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</si>
  <si>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</si>
  <si>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</si>
  <si>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</si>
  <si>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</si>
  <si>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Fixed FX &amp; PPA</t>
  </si>
  <si>
    <t>Fixed Realized FX</t>
  </si>
  <si>
    <t>WA Entitlement Penalty</t>
  </si>
  <si>
    <t>495000 GD WA</t>
  </si>
  <si>
    <t>Realized FX DJ404</t>
  </si>
  <si>
    <t>AN Entitlement Penalty</t>
  </si>
  <si>
    <t>495000 GD AN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</si>
  <si>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</si>
  <si>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</si>
  <si>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</si>
  <si>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</si>
  <si>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</si>
  <si>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</si>
  <si>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</si>
  <si>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</si>
  <si>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</si>
  <si>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above</t>
  </si>
  <si>
    <t>original JE</t>
  </si>
  <si>
    <t>difference is rounding due to NUC 4 decimals vs. Oracle 9 decimals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</si>
  <si>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</si>
  <si>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</si>
  <si>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</si>
  <si>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</si>
  <si>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</si>
  <si>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</si>
  <si>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</si>
  <si>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</si>
  <si>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</si>
  <si>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</si>
  <si>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FX gain/loss - REVGSALES JE (inadvertantly not included on original deferral JE)</t>
  </si>
  <si>
    <t>Total per GL</t>
  </si>
  <si>
    <t>804%,808%,811000,483%,495028,495100</t>
  </si>
  <si>
    <t>trueups</t>
  </si>
  <si>
    <t>final JET entry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</si>
  <si>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</si>
  <si>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</si>
  <si>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</si>
  <si>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</si>
  <si>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</si>
  <si>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</si>
  <si>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</si>
  <si>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</si>
  <si>
    <t>pro rated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</si>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</sst>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&quot;$&quot;#,##0.00000_);\(&quot;$&quot;#,##0.00000\)"/>
    <numFmt numFmtId="169" formatCode="#,##0.00000_);\(#,##0.00000\)"/>
    <numFmt numFmtId="170" formatCode="#,##0.0000_);\(#,##0.0000\)"/>
    <numFmt numFmtId="171" formatCode="#,##0.0000_);[Red]\(#,##0.0000\)"/>
    <numFmt numFmtId="172" formatCode="&quot;$&quot;#,##0\ ;\(&quot;$&quot;#,##0\)"/>
    <numFmt numFmtId="173" formatCode="_(* #,##0_);_(* \(#,##0\);_(* &quot;-&quot;??_);_(@_)"/>
    <numFmt numFmtId="174" formatCode="_(* #,##0.00000_);_(* \(#,##0.00000\);_(* &quot;-&quot;?????_);_(@_)"/>
    <numFmt numFmtId="175" formatCode="_(&quot;$&quot;* #,##0.00000_);_(&quot;$&quot;* \(#,##0.00000\);_(&quot;$&quot;* &quot;-&quot;??_);_(@_)"/>
  </numFmts>
  <fonts count="53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i/>
      <sz val="12"/>
      <name val="Arial"/>
      <family val="2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391">
    <xf numFmtId="39" fontId="0" fillId="0" borderId="0" xfId="0"/>
    <xf numFmtId="39" fontId="13" fillId="0" borderId="0" xfId="0" applyFont="1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7" fontId="12" fillId="0" borderId="0" xfId="0" applyNumberFormat="1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2" fillId="0" borderId="0" xfId="0" applyFont="1" applyAlignment="1">
      <alignment horizontal="right"/>
    </xf>
    <xf numFmtId="39" fontId="13" fillId="0" borderId="0" xfId="0" applyFont="1" applyBorder="1"/>
    <xf numFmtId="39" fontId="12" fillId="0" borderId="0" xfId="0" applyFont="1" applyAlignment="1">
      <alignment horizontal="left"/>
    </xf>
    <xf numFmtId="165" fontId="12" fillId="0" borderId="0" xfId="0" applyNumberFormat="1" applyFont="1" applyProtection="1"/>
    <xf numFmtId="165" fontId="12" fillId="0" borderId="0" xfId="0" applyNumberFormat="1" applyFont="1" applyProtection="1">
      <protection locked="0"/>
    </xf>
    <xf numFmtId="168" fontId="12" fillId="0" borderId="0" xfId="0" applyNumberFormat="1" applyFont="1" applyProtection="1"/>
    <xf numFmtId="5" fontId="12" fillId="0" borderId="0" xfId="0" applyNumberFormat="1" applyFont="1" applyProtection="1"/>
    <xf numFmtId="39" fontId="12" fillId="3" borderId="0" xfId="0" applyFont="1" applyFill="1"/>
    <xf numFmtId="5" fontId="12" fillId="0" borderId="0" xfId="0" applyNumberFormat="1" applyFont="1" applyFill="1"/>
    <xf numFmtId="5" fontId="12" fillId="3" borderId="0" xfId="0" applyNumberFormat="1" applyFont="1" applyFill="1"/>
    <xf numFmtId="7" fontId="12" fillId="3" borderId="0" xfId="0" applyNumberFormat="1" applyFont="1" applyFill="1"/>
    <xf numFmtId="7" fontId="12" fillId="3" borderId="0" xfId="0" applyNumberFormat="1" applyFont="1" applyFill="1" applyBorder="1"/>
    <xf numFmtId="39" fontId="12" fillId="3" borderId="0" xfId="0" applyNumberFormat="1" applyFont="1" applyFill="1"/>
    <xf numFmtId="7" fontId="14" fillId="3" borderId="0" xfId="0" applyNumberFormat="1" applyFont="1" applyFill="1"/>
    <xf numFmtId="39" fontId="12" fillId="0" borderId="0" xfId="0" applyNumberFormat="1" applyFont="1" applyProtection="1"/>
    <xf numFmtId="39" fontId="12" fillId="3" borderId="0" xfId="0" applyNumberFormat="1" applyFont="1" applyFill="1" applyBorder="1"/>
    <xf numFmtId="8" fontId="12" fillId="3" borderId="0" xfId="2" applyFont="1" applyFill="1" applyBorder="1"/>
    <xf numFmtId="39" fontId="12" fillId="0" borderId="9" xfId="0" applyFont="1" applyBorder="1"/>
    <xf numFmtId="39" fontId="12" fillId="0" borderId="14" xfId="0" applyFont="1" applyBorder="1"/>
    <xf numFmtId="39" fontId="12" fillId="0" borderId="9" xfId="0" applyFont="1" applyFill="1" applyBorder="1"/>
    <xf numFmtId="39" fontId="13" fillId="0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3" fillId="0" borderId="0" xfId="0" applyNumberFormat="1" applyFont="1" applyAlignment="1">
      <alignment horizontal="left" vertical="top"/>
    </xf>
    <xf numFmtId="39" fontId="12" fillId="0" borderId="0" xfId="0" applyNumberFormat="1" applyFont="1" applyAlignment="1">
      <alignment horizontal="left" vertical="top"/>
    </xf>
    <xf numFmtId="39" fontId="13" fillId="0" borderId="0" xfId="0" applyFont="1" applyFill="1" applyBorder="1" applyAlignment="1">
      <alignment horizontal="left"/>
    </xf>
    <xf numFmtId="170" fontId="12" fillId="0" borderId="0" xfId="0" applyNumberFormat="1" applyFont="1"/>
    <xf numFmtId="39" fontId="12" fillId="0" borderId="8" xfId="0" applyFont="1" applyFill="1" applyBorder="1"/>
    <xf numFmtId="44" fontId="12" fillId="0" borderId="0" xfId="0" applyNumberFormat="1" applyFont="1" applyFill="1" applyBorder="1"/>
    <xf numFmtId="37" fontId="12" fillId="0" borderId="0" xfId="0" applyNumberFormat="1" applyFont="1" applyFill="1" applyBorder="1" applyProtection="1"/>
    <xf numFmtId="8" fontId="12" fillId="0" borderId="0" xfId="2" applyFont="1" applyFill="1"/>
    <xf numFmtId="44" fontId="13" fillId="3" borderId="18" xfId="0" applyNumberFormat="1" applyFont="1" applyFill="1" applyBorder="1"/>
    <xf numFmtId="39" fontId="13" fillId="0" borderId="12" xfId="0" applyFont="1" applyFill="1" applyBorder="1" applyAlignment="1">
      <alignment horizontal="center"/>
    </xf>
    <xf numFmtId="39" fontId="13" fillId="0" borderId="3" xfId="0" applyFont="1" applyFill="1" applyBorder="1" applyAlignment="1">
      <alignment horizontal="center"/>
    </xf>
    <xf numFmtId="39" fontId="13" fillId="0" borderId="6" xfId="0" applyFont="1" applyFill="1" applyBorder="1" applyAlignment="1">
      <alignment horizontal="center"/>
    </xf>
    <xf numFmtId="39" fontId="13" fillId="0" borderId="1" xfId="0" applyFont="1" applyFill="1" applyBorder="1" applyAlignment="1">
      <alignment horizontal="center"/>
    </xf>
    <xf numFmtId="39" fontId="13" fillId="0" borderId="4" xfId="0" applyFont="1" applyFill="1" applyBorder="1" applyAlignment="1">
      <alignment horizontal="center"/>
    </xf>
    <xf numFmtId="39" fontId="13" fillId="0" borderId="5" xfId="0" applyFont="1" applyFill="1" applyBorder="1" applyAlignment="1">
      <alignment horizontal="center"/>
    </xf>
    <xf numFmtId="0" fontId="12" fillId="0" borderId="0" xfId="0" applyNumberFormat="1" applyFont="1"/>
    <xf numFmtId="17" fontId="13" fillId="0" borderId="10" xfId="0" applyNumberFormat="1" applyFont="1" applyBorder="1"/>
    <xf numFmtId="39" fontId="12" fillId="0" borderId="1" xfId="0" applyFont="1" applyFill="1" applyBorder="1"/>
    <xf numFmtId="39" fontId="12" fillId="0" borderId="2" xfId="0" applyFont="1" applyFill="1" applyBorder="1"/>
    <xf numFmtId="39" fontId="12" fillId="0" borderId="7" xfId="0" applyFont="1" applyFill="1" applyBorder="1"/>
    <xf numFmtId="39" fontId="12" fillId="5" borderId="0" xfId="0" applyNumberFormat="1" applyFont="1" applyFill="1"/>
    <xf numFmtId="44" fontId="13" fillId="0" borderId="17" xfId="0" applyNumberFormat="1" applyFont="1" applyFill="1" applyBorder="1"/>
    <xf numFmtId="167" fontId="13" fillId="0" borderId="12" xfId="0" applyNumberFormat="1" applyFont="1" applyFill="1" applyBorder="1" applyAlignment="1" applyProtection="1">
      <alignment horizontal="center"/>
    </xf>
    <xf numFmtId="167" fontId="13" fillId="0" borderId="13" xfId="0" applyNumberFormat="1" applyFont="1" applyFill="1" applyBorder="1" applyAlignment="1" applyProtection="1">
      <alignment horizontal="center"/>
    </xf>
    <xf numFmtId="39" fontId="13" fillId="0" borderId="13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  <xf numFmtId="166" fontId="12" fillId="0" borderId="0" xfId="0" applyNumberFormat="1" applyFont="1" applyFill="1" applyAlignment="1" applyProtection="1">
      <alignment horizontal="left"/>
    </xf>
    <xf numFmtId="44" fontId="12" fillId="0" borderId="0" xfId="0" applyNumberFormat="1" applyFont="1" applyFill="1" applyProtection="1">
      <protection locked="0"/>
    </xf>
    <xf numFmtId="44" fontId="12" fillId="0" borderId="0" xfId="0" applyNumberFormat="1" applyFont="1" applyFill="1"/>
    <xf numFmtId="39" fontId="12" fillId="0" borderId="0" xfId="0" applyFont="1" applyFill="1" applyAlignment="1">
      <alignment horizontal="left"/>
    </xf>
    <xf numFmtId="44" fontId="12" fillId="0" borderId="0" xfId="0" applyNumberFormat="1" applyFont="1" applyFill="1" applyProtection="1"/>
    <xf numFmtId="7" fontId="12" fillId="0" borderId="0" xfId="0" applyNumberFormat="1" applyFont="1" applyFill="1" applyProtection="1"/>
    <xf numFmtId="39" fontId="12" fillId="0" borderId="7" xfId="0" applyFont="1" applyFill="1" applyBorder="1" applyAlignment="1">
      <alignment horizontal="left"/>
    </xf>
    <xf numFmtId="169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9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6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2" fontId="12" fillId="5" borderId="0" xfId="0" applyNumberFormat="1" applyFont="1" applyFill="1"/>
    <xf numFmtId="39" fontId="12" fillId="0" borderId="3" xfId="0" applyFont="1" applyFill="1" applyBorder="1"/>
    <xf numFmtId="0" fontId="12" fillId="0" borderId="0" xfId="0" applyNumberFormat="1" applyFont="1" applyFill="1" applyBorder="1"/>
    <xf numFmtId="0" fontId="12" fillId="0" borderId="9" xfId="0" applyNumberFormat="1" applyFont="1" applyFill="1" applyBorder="1"/>
    <xf numFmtId="0" fontId="12" fillId="0" borderId="0" xfId="0" applyNumberFormat="1" applyFont="1" applyFill="1" applyBorder="1" applyAlignment="1">
      <alignment horizontal="left"/>
    </xf>
    <xf numFmtId="39" fontId="12" fillId="0" borderId="19" xfId="0" applyFont="1" applyBorder="1"/>
    <xf numFmtId="38" fontId="12" fillId="0" borderId="0" xfId="1" applyNumberFormat="1" applyFont="1"/>
    <xf numFmtId="39" fontId="12" fillId="0" borderId="4" xfId="0" applyFont="1" applyBorder="1"/>
    <xf numFmtId="39" fontId="12" fillId="0" borderId="6" xfId="0" applyFont="1" applyBorder="1"/>
    <xf numFmtId="39" fontId="12" fillId="0" borderId="10" xfId="0" applyNumberFormat="1" applyFont="1" applyFill="1" applyBorder="1"/>
    <xf numFmtId="7" fontId="12" fillId="0" borderId="0" xfId="1" applyNumberFormat="1" applyFont="1"/>
    <xf numFmtId="39" fontId="12" fillId="7" borderId="0" xfId="0" applyFont="1" applyFill="1"/>
    <xf numFmtId="39" fontId="12" fillId="0" borderId="0" xfId="0" applyFont="1"/>
    <xf numFmtId="39" fontId="12" fillId="0" borderId="0" xfId="0" applyFont="1" applyFill="1"/>
    <xf numFmtId="39" fontId="12" fillId="5" borderId="1" xfId="0" applyFont="1" applyFill="1" applyBorder="1"/>
    <xf numFmtId="39" fontId="12" fillId="5" borderId="3" xfId="0" applyFont="1" applyFill="1" applyBorder="1"/>
    <xf numFmtId="39" fontId="12" fillId="0" borderId="18" xfId="0" applyNumberFormat="1" applyFont="1" applyFill="1" applyBorder="1"/>
    <xf numFmtId="0" fontId="13" fillId="0" borderId="0" xfId="0" applyNumberFormat="1" applyFont="1" applyFill="1" applyAlignment="1">
      <alignment horizontal="center"/>
    </xf>
    <xf numFmtId="38" fontId="12" fillId="9" borderId="0" xfId="1" applyNumberFormat="1" applyFont="1" applyFill="1" applyBorder="1" applyProtection="1"/>
    <xf numFmtId="39" fontId="12" fillId="7" borderId="0" xfId="0" applyFont="1" applyFill="1" applyAlignment="1">
      <alignment horizontal="right"/>
    </xf>
    <xf numFmtId="37" fontId="12" fillId="0" borderId="0" xfId="0" applyNumberFormat="1" applyFont="1" applyFill="1" applyBorder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22" xfId="137" applyFont="1" applyBorder="1" applyAlignment="1">
      <alignment horizontal="center" wrapText="1"/>
    </xf>
    <xf numFmtId="0" fontId="27" fillId="0" borderId="21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10" borderId="21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11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21" xfId="63" applyNumberFormat="1" applyFont="1" applyFill="1" applyBorder="1" applyAlignment="1">
      <alignment horizontal="left"/>
    </xf>
    <xf numFmtId="40" fontId="26" fillId="12" borderId="21" xfId="1" applyFont="1" applyFill="1" applyBorder="1"/>
    <xf numFmtId="40" fontId="26" fillId="0" borderId="21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21" xfId="138" applyFont="1" applyFill="1" applyBorder="1"/>
    <xf numFmtId="43" fontId="35" fillId="0" borderId="0" xfId="138" applyFont="1" applyFill="1" applyBorder="1"/>
    <xf numFmtId="10" fontId="35" fillId="8" borderId="21" xfId="4" applyNumberFormat="1" applyFont="1" applyFill="1" applyBorder="1"/>
    <xf numFmtId="43" fontId="35" fillId="8" borderId="21" xfId="138" applyFont="1" applyFill="1" applyBorder="1"/>
    <xf numFmtId="10" fontId="35" fillId="8" borderId="25" xfId="4" applyNumberFormat="1" applyFont="1" applyFill="1" applyBorder="1"/>
    <xf numFmtId="43" fontId="35" fillId="8" borderId="25" xfId="138" applyFont="1" applyFill="1" applyBorder="1"/>
    <xf numFmtId="43" fontId="26" fillId="0" borderId="25" xfId="138" applyFont="1" applyFill="1" applyBorder="1"/>
    <xf numFmtId="43" fontId="26" fillId="10" borderId="25" xfId="138" applyFont="1" applyFill="1" applyBorder="1"/>
    <xf numFmtId="43" fontId="27" fillId="10" borderId="25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22" xfId="137" quotePrefix="1" applyFont="1" applyBorder="1" applyAlignment="1">
      <alignment horizontal="center" wrapText="1"/>
    </xf>
    <xf numFmtId="0" fontId="27" fillId="0" borderId="25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3" xfId="137" quotePrefix="1" applyFont="1" applyBorder="1" applyAlignment="1">
      <alignment horizontal="center" wrapText="1"/>
    </xf>
    <xf numFmtId="10" fontId="35" fillId="8" borderId="24" xfId="4" applyNumberFormat="1" applyFont="1" applyFill="1" applyBorder="1"/>
    <xf numFmtId="43" fontId="35" fillId="8" borderId="24" xfId="138" applyFont="1" applyFill="1" applyBorder="1"/>
    <xf numFmtId="43" fontId="26" fillId="0" borderId="24" xfId="138" applyFont="1" applyFill="1" applyBorder="1"/>
    <xf numFmtId="43" fontId="26" fillId="10" borderId="24" xfId="138" applyFont="1" applyFill="1" applyBorder="1"/>
    <xf numFmtId="43" fontId="27" fillId="10" borderId="24" xfId="138" applyFont="1" applyFill="1" applyBorder="1"/>
    <xf numFmtId="43" fontId="35" fillId="8" borderId="26" xfId="138" applyFont="1" applyFill="1" applyBorder="1"/>
    <xf numFmtId="0" fontId="29" fillId="0" borderId="0" xfId="24" applyFont="1"/>
    <xf numFmtId="43" fontId="29" fillId="0" borderId="0" xfId="24" applyNumberFormat="1" applyFont="1"/>
    <xf numFmtId="1" fontId="26" fillId="0" borderId="21" xfId="24" applyNumberFormat="1" applyFont="1" applyFill="1" applyBorder="1" applyAlignment="1">
      <alignment horizontal="left"/>
    </xf>
    <xf numFmtId="43" fontId="26" fillId="0" borderId="21" xfId="9" applyFont="1" applyFill="1" applyBorder="1"/>
    <xf numFmtId="0" fontId="33" fillId="0" borderId="0" xfId="24" applyFont="1" applyFill="1"/>
    <xf numFmtId="164" fontId="27" fillId="0" borderId="0" xfId="92" applyNumberFormat="1" applyFont="1" applyAlignment="1">
      <alignment horizontal="left"/>
    </xf>
    <xf numFmtId="0" fontId="26" fillId="0" borderId="0" xfId="137" applyFont="1"/>
    <xf numFmtId="164" fontId="38" fillId="0" borderId="0" xfId="92" applyNumberFormat="1" applyFont="1" applyAlignment="1">
      <alignment horizontal="left"/>
    </xf>
    <xf numFmtId="10" fontId="35" fillId="8" borderId="24" xfId="139" applyNumberFormat="1" applyFont="1" applyFill="1" applyBorder="1"/>
    <xf numFmtId="169" fontId="39" fillId="8" borderId="24" xfId="145" applyNumberFormat="1" applyFont="1" applyFill="1" applyBorder="1" applyAlignment="1">
      <alignment horizontal="center"/>
    </xf>
    <xf numFmtId="43" fontId="26" fillId="0" borderId="27" xfId="138" applyFont="1" applyFill="1" applyBorder="1"/>
    <xf numFmtId="0" fontId="27" fillId="0" borderId="29" xfId="137" applyFont="1" applyBorder="1" applyAlignment="1">
      <alignment horizontal="center" wrapText="1"/>
    </xf>
    <xf numFmtId="0" fontId="27" fillId="0" borderId="30" xfId="137" applyFont="1" applyBorder="1" applyAlignment="1">
      <alignment horizontal="center" wrapText="1"/>
    </xf>
    <xf numFmtId="0" fontId="27" fillId="0" borderId="31" xfId="137" applyFont="1" applyBorder="1" applyAlignment="1">
      <alignment horizontal="center" wrapText="1"/>
    </xf>
    <xf numFmtId="43" fontId="35" fillId="8" borderId="33" xfId="138" applyFont="1" applyFill="1" applyBorder="1"/>
    <xf numFmtId="43" fontId="35" fillId="8" borderId="35" xfId="138" applyFont="1" applyFill="1" applyBorder="1"/>
    <xf numFmtId="43" fontId="26" fillId="0" borderId="28" xfId="138" applyFont="1" applyFill="1" applyBorder="1"/>
    <xf numFmtId="43" fontId="26" fillId="0" borderId="36" xfId="138" applyFont="1" applyFill="1" applyBorder="1"/>
    <xf numFmtId="173" fontId="35" fillId="8" borderId="32" xfId="138" applyNumberFormat="1" applyFont="1" applyFill="1" applyBorder="1"/>
    <xf numFmtId="38" fontId="35" fillId="8" borderId="32" xfId="138" applyNumberFormat="1" applyFont="1" applyFill="1" applyBorder="1"/>
    <xf numFmtId="0" fontId="27" fillId="0" borderId="37" xfId="137" applyFont="1" applyBorder="1" applyAlignment="1">
      <alignment horizontal="center" wrapText="1"/>
    </xf>
    <xf numFmtId="43" fontId="26" fillId="0" borderId="37" xfId="138" applyFont="1" applyFill="1" applyBorder="1"/>
    <xf numFmtId="43" fontId="26" fillId="0" borderId="33" xfId="138" applyFont="1" applyFill="1" applyBorder="1"/>
    <xf numFmtId="0" fontId="27" fillId="0" borderId="36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8" borderId="26" xfId="139" applyNumberFormat="1" applyFont="1" applyFill="1" applyBorder="1"/>
    <xf numFmtId="43" fontId="26" fillId="0" borderId="38" xfId="138" applyFont="1" applyFill="1" applyBorder="1"/>
    <xf numFmtId="173" fontId="35" fillId="8" borderId="34" xfId="138" applyNumberFormat="1" applyFont="1" applyFill="1" applyBorder="1"/>
    <xf numFmtId="38" fontId="35" fillId="8" borderId="34" xfId="138" applyNumberFormat="1" applyFont="1" applyFill="1" applyBorder="1"/>
    <xf numFmtId="43" fontId="26" fillId="0" borderId="39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44" fontId="12" fillId="0" borderId="0" xfId="0" applyNumberFormat="1" applyFont="1" applyFill="1" applyAlignment="1" applyProtection="1">
      <alignment horizontal="center"/>
    </xf>
    <xf numFmtId="171" fontId="12" fillId="0" borderId="0" xfId="1" applyNumberFormat="1" applyFont="1" applyFill="1"/>
    <xf numFmtId="7" fontId="12" fillId="0" borderId="0" xfId="0" applyNumberFormat="1" applyFont="1" applyFill="1" applyAlignment="1" applyProtection="1">
      <alignment horizontal="center"/>
    </xf>
    <xf numFmtId="7" fontId="12" fillId="0" borderId="0" xfId="0" applyNumberFormat="1" applyFont="1" applyFill="1" applyBorder="1" applyAlignment="1" applyProtection="1">
      <alignment horizontal="center"/>
    </xf>
    <xf numFmtId="169" fontId="12" fillId="0" borderId="0" xfId="0" applyNumberFormat="1" applyFont="1" applyFill="1" applyBorder="1" applyAlignment="1" applyProtection="1">
      <alignment horizontal="center"/>
      <protection locked="0"/>
    </xf>
    <xf numFmtId="39" fontId="12" fillId="0" borderId="0" xfId="0" applyNumberFormat="1" applyFont="1"/>
    <xf numFmtId="39" fontId="12" fillId="5" borderId="0" xfId="0" applyFont="1" applyFill="1"/>
    <xf numFmtId="39" fontId="12" fillId="0" borderId="0" xfId="0" applyNumberFormat="1" applyFont="1" applyAlignment="1">
      <alignment horizontal="right"/>
    </xf>
    <xf numFmtId="165" fontId="12" fillId="0" borderId="0" xfId="0" applyNumberFormat="1" applyFont="1" applyBorder="1" applyProtection="1"/>
    <xf numFmtId="0" fontId="13" fillId="9" borderId="0" xfId="0" applyNumberFormat="1" applyFont="1" applyFill="1" applyAlignment="1">
      <alignment horizontal="center"/>
    </xf>
    <xf numFmtId="17" fontId="12" fillId="0" borderId="15" xfId="0" applyNumberFormat="1" applyFont="1" applyBorder="1"/>
    <xf numFmtId="39" fontId="12" fillId="0" borderId="12" xfId="0" applyFont="1" applyFill="1" applyBorder="1" applyAlignment="1">
      <alignment horizontal="center"/>
    </xf>
    <xf numFmtId="5" fontId="12" fillId="0" borderId="0" xfId="0" applyNumberFormat="1" applyFont="1" applyFill="1" applyAlignment="1">
      <alignment horizontal="center"/>
    </xf>
    <xf numFmtId="39" fontId="12" fillId="0" borderId="13" xfId="0" applyFont="1" applyFill="1" applyBorder="1" applyAlignment="1">
      <alignment horizontal="center"/>
    </xf>
    <xf numFmtId="17" fontId="12" fillId="3" borderId="0" xfId="0" applyNumberFormat="1" applyFont="1" applyFill="1"/>
    <xf numFmtId="39" fontId="12" fillId="0" borderId="14" xfId="0" applyFont="1" applyFill="1" applyBorder="1" applyAlignment="1">
      <alignment horizontal="center"/>
    </xf>
    <xf numFmtId="5" fontId="12" fillId="3" borderId="0" xfId="0" applyNumberFormat="1" applyFont="1" applyFill="1" applyAlignment="1">
      <alignment horizontal="center"/>
    </xf>
    <xf numFmtId="10" fontId="12" fillId="9" borderId="0" xfId="4" applyNumberFormat="1" applyFont="1" applyFill="1" applyAlignment="1">
      <alignment horizontal="center"/>
    </xf>
    <xf numFmtId="44" fontId="12" fillId="0" borderId="17" xfId="0" applyNumberFormat="1" applyFont="1" applyFill="1" applyBorder="1" applyProtection="1">
      <protection locked="0"/>
    </xf>
    <xf numFmtId="39" fontId="12" fillId="0" borderId="13" xfId="0" applyFont="1" applyFill="1" applyBorder="1"/>
    <xf numFmtId="39" fontId="12" fillId="0" borderId="14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169" fontId="12" fillId="9" borderId="0" xfId="0" applyNumberFormat="1" applyFont="1" applyFill="1" applyBorder="1" applyAlignment="1" applyProtection="1">
      <alignment horizontal="center"/>
      <protection locked="0"/>
    </xf>
    <xf numFmtId="44" fontId="12" fillId="0" borderId="7" xfId="2" applyNumberFormat="1" applyFont="1" applyFill="1" applyBorder="1" applyProtection="1"/>
    <xf numFmtId="44" fontId="12" fillId="0" borderId="0" xfId="2" applyNumberFormat="1" applyFont="1" applyFill="1" applyBorder="1" applyProtection="1"/>
    <xf numFmtId="44" fontId="12" fillId="0" borderId="13" xfId="2" applyNumberFormat="1" applyFont="1" applyFill="1" applyBorder="1" applyProtection="1"/>
    <xf numFmtId="44" fontId="12" fillId="0" borderId="20" xfId="2" applyNumberFormat="1" applyFont="1" applyFill="1" applyBorder="1" applyProtection="1"/>
    <xf numFmtId="44" fontId="12" fillId="0" borderId="10" xfId="2" applyNumberFormat="1" applyFont="1" applyFill="1" applyBorder="1" applyProtection="1"/>
    <xf numFmtId="44" fontId="12" fillId="0" borderId="11" xfId="2" applyNumberFormat="1" applyFont="1" applyFill="1" applyBorder="1" applyProtection="1"/>
    <xf numFmtId="44" fontId="12" fillId="0" borderId="15" xfId="2" applyNumberFormat="1" applyFont="1" applyFill="1" applyBorder="1" applyProtection="1"/>
    <xf numFmtId="44" fontId="13" fillId="0" borderId="0" xfId="0" applyNumberFormat="1" applyFont="1" applyFill="1" applyProtection="1">
      <protection locked="0"/>
    </xf>
    <xf numFmtId="44" fontId="13" fillId="0" borderId="0" xfId="2" applyNumberFormat="1" applyFont="1" applyFill="1" applyBorder="1"/>
    <xf numFmtId="43" fontId="12" fillId="9" borderId="0" xfId="1" applyNumberFormat="1" applyFont="1" applyFill="1" applyBorder="1"/>
    <xf numFmtId="43" fontId="12" fillId="9" borderId="9" xfId="1" applyNumberFormat="1" applyFont="1" applyFill="1" applyBorder="1"/>
    <xf numFmtId="43" fontId="13" fillId="0" borderId="0" xfId="0" applyNumberFormat="1" applyFont="1" applyFill="1" applyBorder="1"/>
    <xf numFmtId="43" fontId="12" fillId="0" borderId="0" xfId="1" applyNumberFormat="1" applyFont="1" applyFill="1" applyBorder="1"/>
    <xf numFmtId="43" fontId="12" fillId="5" borderId="0" xfId="0" applyNumberFormat="1" applyFont="1" applyFill="1" applyBorder="1"/>
    <xf numFmtId="43" fontId="12" fillId="0" borderId="0" xfId="0" applyNumberFormat="1" applyFont="1" applyFill="1" applyBorder="1"/>
    <xf numFmtId="43" fontId="12" fillId="6" borderId="0" xfId="1" applyNumberFormat="1" applyFont="1" applyFill="1" applyBorder="1"/>
    <xf numFmtId="39" fontId="12" fillId="0" borderId="0" xfId="0" applyNumberFormat="1" applyFont="1" applyAlignment="1">
      <alignment horizontal="right" vertical="top"/>
    </xf>
    <xf numFmtId="10" fontId="12" fillId="0" borderId="0" xfId="4" applyNumberFormat="1" applyFont="1" applyFill="1" applyAlignment="1">
      <alignment horizontal="center"/>
    </xf>
    <xf numFmtId="43" fontId="12" fillId="0" borderId="0" xfId="1" applyNumberFormat="1" applyFont="1" applyFill="1" applyProtection="1">
      <protection locked="0"/>
    </xf>
    <xf numFmtId="43" fontId="12" fillId="0" borderId="9" xfId="1" applyNumberFormat="1" applyFont="1" applyFill="1" applyBorder="1" applyProtection="1">
      <protection locked="0"/>
    </xf>
    <xf numFmtId="43" fontId="12" fillId="0" borderId="0" xfId="0" applyNumberFormat="1" applyFont="1" applyFill="1" applyProtection="1">
      <protection locked="0"/>
    </xf>
    <xf numFmtId="43" fontId="12" fillId="0" borderId="9" xfId="0" applyNumberFormat="1" applyFont="1" applyFill="1" applyBorder="1" applyProtection="1">
      <protection locked="0"/>
    </xf>
    <xf numFmtId="43" fontId="12" fillId="0" borderId="0" xfId="0" applyNumberFormat="1" applyFont="1" applyFill="1" applyProtection="1"/>
    <xf numFmtId="43" fontId="12" fillId="0" borderId="0" xfId="0" applyNumberFormat="1" applyFont="1" applyFill="1"/>
    <xf numFmtId="37" fontId="13" fillId="0" borderId="17" xfId="0" applyNumberFormat="1" applyFont="1" applyFill="1" applyBorder="1" applyProtection="1"/>
    <xf numFmtId="169" fontId="13" fillId="0" borderId="0" xfId="0" applyNumberFormat="1" applyFont="1" applyFill="1" applyBorder="1" applyAlignment="1" applyProtection="1">
      <alignment horizontal="center"/>
      <protection locked="0"/>
    </xf>
    <xf numFmtId="174" fontId="12" fillId="0" borderId="8" xfId="0" applyNumberFormat="1" applyFont="1" applyFill="1" applyBorder="1"/>
    <xf numFmtId="37" fontId="12" fillId="9" borderId="0" xfId="0" applyNumberFormat="1" applyFont="1" applyFill="1" applyBorder="1" applyProtection="1"/>
    <xf numFmtId="43" fontId="12" fillId="4" borderId="0" xfId="0" applyNumberFormat="1" applyFont="1" applyFill="1" applyBorder="1"/>
    <xf numFmtId="44" fontId="13" fillId="13" borderId="18" xfId="0" applyNumberFormat="1" applyFont="1" applyFill="1" applyBorder="1"/>
    <xf numFmtId="49" fontId="27" fillId="0" borderId="24" xfId="137" quotePrefix="1" applyNumberFormat="1" applyFont="1" applyFill="1" applyBorder="1" applyAlignment="1">
      <alignment horizontal="right"/>
    </xf>
    <xf numFmtId="174" fontId="12" fillId="0" borderId="40" xfId="0" applyNumberFormat="1" applyFont="1" applyFill="1" applyBorder="1"/>
    <xf numFmtId="43" fontId="12" fillId="6" borderId="5" xfId="1" applyNumberFormat="1" applyFont="1" applyFill="1" applyBorder="1"/>
    <xf numFmtId="39" fontId="0" fillId="0" borderId="5" xfId="0" applyBorder="1"/>
    <xf numFmtId="44" fontId="13" fillId="0" borderId="17" xfId="2" applyNumberFormat="1" applyFont="1" applyFill="1" applyBorder="1"/>
    <xf numFmtId="174" fontId="12" fillId="0" borderId="41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35" fillId="8" borderId="27" xfId="138" applyFont="1" applyFill="1" applyBorder="1"/>
    <xf numFmtId="43" fontId="26" fillId="0" borderId="22" xfId="138" applyFont="1" applyFill="1" applyBorder="1"/>
    <xf numFmtId="43" fontId="34" fillId="0" borderId="0" xfId="137" applyNumberFormat="1" applyFont="1" applyFill="1" applyBorder="1"/>
    <xf numFmtId="0" fontId="12" fillId="0" borderId="0" xfId="0" applyNumberFormat="1" applyFont="1" applyFill="1"/>
    <xf numFmtId="170" fontId="14" fillId="0" borderId="0" xfId="0" applyNumberFormat="1" applyFont="1"/>
    <xf numFmtId="43" fontId="34" fillId="0" borderId="0" xfId="137" applyNumberFormat="1" applyFont="1"/>
    <xf numFmtId="0" fontId="42" fillId="0" borderId="0" xfId="137" applyFont="1" applyFill="1" applyBorder="1"/>
    <xf numFmtId="39" fontId="14" fillId="0" borderId="0" xfId="0" applyFont="1" applyBorder="1"/>
    <xf numFmtId="39" fontId="43" fillId="0" borderId="0" xfId="0" applyFont="1" applyBorder="1"/>
    <xf numFmtId="0" fontId="42" fillId="0" borderId="0" xfId="137" applyFont="1" applyBorder="1"/>
    <xf numFmtId="0" fontId="37" fillId="0" borderId="0" xfId="137" applyFont="1" applyBorder="1"/>
    <xf numFmtId="43" fontId="42" fillId="0" borderId="0" xfId="1" applyNumberFormat="1" applyFont="1" applyBorder="1"/>
    <xf numFmtId="39" fontId="12" fillId="0" borderId="0" xfId="0" applyFont="1" applyFill="1" applyBorder="1" applyAlignment="1">
      <alignment horizontal="left"/>
    </xf>
    <xf numFmtId="39" fontId="0" fillId="0" borderId="0" xfId="0" applyBorder="1"/>
    <xf numFmtId="39" fontId="13" fillId="0" borderId="0" xfId="0" applyFont="1" applyFill="1" applyBorder="1" applyAlignment="1">
      <alignment horizontal="right"/>
    </xf>
    <xf numFmtId="39" fontId="13" fillId="0" borderId="0" xfId="145" applyFont="1" applyBorder="1" applyAlignment="1">
      <alignment horizontal="right"/>
    </xf>
    <xf numFmtId="39" fontId="13" fillId="0" borderId="0" xfId="145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9" fontId="27" fillId="0" borderId="26" xfId="137" quotePrefix="1" applyNumberFormat="1" applyFont="1" applyFill="1" applyBorder="1" applyAlignment="1">
      <alignment horizontal="right"/>
    </xf>
    <xf numFmtId="43" fontId="26" fillId="10" borderId="26" xfId="138" applyFont="1" applyFill="1" applyBorder="1"/>
    <xf numFmtId="43" fontId="27" fillId="10" borderId="26" xfId="138" applyFont="1" applyFill="1" applyBorder="1"/>
    <xf numFmtId="43" fontId="12" fillId="0" borderId="8" xfId="2" applyNumberFormat="1" applyFont="1" applyBorder="1"/>
    <xf numFmtId="38" fontId="12" fillId="0" borderId="0" xfId="1" applyNumberFormat="1" applyFont="1" applyFill="1" applyBorder="1" applyProtection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5" fontId="45" fillId="14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12" fillId="0" borderId="0" xfId="0" applyNumberFormat="1" applyFont="1" applyBorder="1"/>
    <xf numFmtId="17" fontId="46" fillId="0" borderId="0" xfId="0" applyNumberFormat="1" applyFont="1" applyProtection="1">
      <protection locked="0"/>
    </xf>
    <xf numFmtId="0" fontId="47" fillId="14" borderId="0" xfId="145" applyNumberFormat="1" applyFont="1" applyFill="1" applyAlignment="1" applyProtection="1">
      <alignment horizontal="center"/>
      <protection locked="0"/>
    </xf>
    <xf numFmtId="43" fontId="48" fillId="15" borderId="0" xfId="1" applyNumberFormat="1" applyFont="1" applyFill="1" applyBorder="1"/>
    <xf numFmtId="39" fontId="49" fillId="15" borderId="0" xfId="145" applyFont="1" applyFill="1" applyAlignment="1" applyProtection="1">
      <alignment horizontal="left"/>
      <protection locked="0"/>
    </xf>
    <xf numFmtId="175" fontId="45" fillId="0" borderId="0" xfId="57" applyNumberFormat="1" applyFont="1" applyFill="1" applyAlignment="1" applyProtection="1">
      <alignment horizontal="left"/>
      <protection locked="0"/>
    </xf>
    <xf numFmtId="39" fontId="50" fillId="0" borderId="0" xfId="145" applyFont="1" applyProtection="1">
      <protection locked="0"/>
    </xf>
    <xf numFmtId="39" fontId="12" fillId="0" borderId="0" xfId="145" applyFont="1" applyProtection="1">
      <protection locked="0"/>
    </xf>
    <xf numFmtId="39" fontId="51" fillId="0" borderId="0" xfId="145" applyFont="1" applyProtection="1">
      <protection locked="0"/>
    </xf>
    <xf numFmtId="39" fontId="52" fillId="0" borderId="0" xfId="0" applyFont="1"/>
    <xf numFmtId="0" fontId="13" fillId="0" borderId="1" xfId="0" applyNumberFormat="1" applyFont="1" applyFill="1" applyBorder="1" applyAlignment="1">
      <alignment horizontal="center"/>
    </xf>
    <xf numFmtId="39" fontId="13" fillId="0" borderId="7" xfId="0" applyFont="1" applyFill="1" applyBorder="1"/>
    <xf numFmtId="10" fontId="12" fillId="0" borderId="8" xfId="4" applyNumberFormat="1" applyFont="1" applyFill="1" applyBorder="1" applyAlignment="1">
      <alignment horizontal="center"/>
    </xf>
    <xf numFmtId="39" fontId="13" fillId="0" borderId="7" xfId="0" applyFont="1" applyBorder="1"/>
    <xf numFmtId="39" fontId="12" fillId="0" borderId="7" xfId="0" applyFont="1" applyBorder="1"/>
    <xf numFmtId="166" fontId="12" fillId="0" borderId="0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Protection="1">
      <protection locked="0"/>
    </xf>
    <xf numFmtId="39" fontId="12" fillId="0" borderId="7" xfId="0" applyFont="1" applyBorder="1" applyAlignment="1">
      <alignment horizontal="left"/>
    </xf>
    <xf numFmtId="166" fontId="12" fillId="0" borderId="7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Alignment="1" applyProtection="1">
      <alignment horizontal="center"/>
    </xf>
    <xf numFmtId="39" fontId="13" fillId="0" borderId="4" xfId="0" applyFont="1" applyFill="1" applyBorder="1"/>
    <xf numFmtId="166" fontId="12" fillId="0" borderId="5" xfId="0" applyNumberFormat="1" applyFont="1" applyFill="1" applyBorder="1" applyAlignment="1" applyProtection="1">
      <alignment horizontal="left"/>
    </xf>
    <xf numFmtId="44" fontId="12" fillId="0" borderId="43" xfId="0" applyNumberFormat="1" applyFont="1" applyFill="1" applyBorder="1" applyProtection="1">
      <protection locked="0"/>
    </xf>
    <xf numFmtId="38" fontId="48" fillId="15" borderId="0" xfId="1" applyNumberFormat="1" applyFont="1" applyFill="1" applyBorder="1" applyProtection="1"/>
    <xf numFmtId="169" fontId="48" fillId="15" borderId="0" xfId="0" applyNumberFormat="1" applyFont="1" applyFill="1" applyBorder="1" applyAlignment="1" applyProtection="1">
      <alignment horizontal="center"/>
      <protection locked="0"/>
    </xf>
    <xf numFmtId="37" fontId="48" fillId="15" borderId="0" xfId="0" applyNumberFormat="1" applyFont="1" applyFill="1" applyBorder="1" applyProtection="1"/>
    <xf numFmtId="43" fontId="12" fillId="0" borderId="0" xfId="2" applyNumberFormat="1" applyFont="1" applyFill="1" applyBorder="1" applyProtection="1"/>
    <xf numFmtId="39" fontId="13" fillId="0" borderId="1" xfId="0" applyFont="1" applyFill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NumberFormat="1" applyFont="1" applyBorder="1"/>
    <xf numFmtId="39" fontId="12" fillId="0" borderId="5" xfId="0" applyFont="1" applyBorder="1"/>
    <xf numFmtId="39" fontId="13" fillId="0" borderId="0" xfId="0" applyFont="1" applyBorder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6" borderId="8" xfId="1" applyNumberFormat="1" applyFont="1" applyFill="1" applyBorder="1"/>
    <xf numFmtId="39" fontId="12" fillId="0" borderId="8" xfId="0" applyFont="1" applyFill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170" fontId="14" fillId="0" borderId="0" xfId="0" applyNumberFormat="1" applyFont="1" applyFill="1"/>
    <xf numFmtId="43" fontId="12" fillId="0" borderId="8" xfId="1" applyNumberFormat="1" applyFont="1" applyFill="1" applyBorder="1"/>
    <xf numFmtId="44" fontId="13" fillId="0" borderId="8" xfId="0" applyNumberFormat="1" applyFont="1" applyFill="1" applyBorder="1"/>
    <xf numFmtId="167" fontId="13" fillId="0" borderId="6" xfId="0" applyNumberFormat="1" applyFont="1" applyFill="1" applyBorder="1" applyAlignment="1" applyProtection="1">
      <alignment horizontal="center"/>
    </xf>
    <xf numFmtId="167" fontId="13" fillId="0" borderId="44" xfId="0" applyNumberFormat="1" applyFont="1" applyFill="1" applyBorder="1" applyAlignment="1" applyProtection="1">
      <alignment horizontal="center"/>
    </xf>
    <xf numFmtId="167" fontId="13" fillId="0" borderId="45" xfId="0" applyNumberFormat="1" applyFont="1" applyFill="1" applyBorder="1" applyAlignment="1" applyProtection="1">
      <alignment horizontal="center"/>
    </xf>
    <xf numFmtId="39" fontId="12" fillId="0" borderId="46" xfId="0" applyFont="1" applyFill="1" applyBorder="1"/>
    <xf numFmtId="39" fontId="12" fillId="0" borderId="47" xfId="0" applyFont="1" applyFill="1" applyBorder="1"/>
    <xf numFmtId="10" fontId="48" fillId="15" borderId="46" xfId="4" applyNumberFormat="1" applyFont="1" applyFill="1" applyBorder="1" applyAlignment="1">
      <alignment horizontal="center"/>
    </xf>
    <xf numFmtId="10" fontId="12" fillId="0" borderId="47" xfId="4" applyNumberFormat="1" applyFont="1" applyFill="1" applyBorder="1" applyAlignment="1">
      <alignment horizontal="center"/>
    </xf>
    <xf numFmtId="43" fontId="12" fillId="0" borderId="46" xfId="1" applyNumberFormat="1" applyFont="1" applyFill="1" applyBorder="1"/>
    <xf numFmtId="43" fontId="12" fillId="0" borderId="47" xfId="1" applyNumberFormat="1" applyFont="1" applyFill="1" applyBorder="1"/>
    <xf numFmtId="44" fontId="13" fillId="0" borderId="46" xfId="0" applyNumberFormat="1" applyFont="1" applyFill="1" applyBorder="1"/>
    <xf numFmtId="44" fontId="13" fillId="0" borderId="47" xfId="0" applyNumberFormat="1" applyFont="1" applyFill="1" applyBorder="1"/>
    <xf numFmtId="44" fontId="12" fillId="0" borderId="47" xfId="0" applyNumberFormat="1" applyFont="1" applyFill="1" applyBorder="1" applyProtection="1">
      <protection locked="0"/>
    </xf>
    <xf numFmtId="44" fontId="12" fillId="0" borderId="46" xfId="0" applyNumberFormat="1" applyFont="1" applyFill="1" applyBorder="1" applyAlignment="1" applyProtection="1">
      <alignment horizontal="center"/>
    </xf>
    <xf numFmtId="44" fontId="12" fillId="0" borderId="47" xfId="0" applyNumberFormat="1" applyFont="1" applyFill="1" applyBorder="1" applyAlignment="1" applyProtection="1">
      <alignment horizontal="center"/>
    </xf>
    <xf numFmtId="167" fontId="13" fillId="0" borderId="26" xfId="0" applyNumberFormat="1" applyFont="1" applyFill="1" applyBorder="1" applyAlignment="1" applyProtection="1">
      <alignment horizontal="center"/>
    </xf>
    <xf numFmtId="39" fontId="12" fillId="0" borderId="23" xfId="0" applyFont="1" applyFill="1" applyBorder="1"/>
    <xf numFmtId="43" fontId="12" fillId="14" borderId="23" xfId="1" applyNumberFormat="1" applyFont="1" applyFill="1" applyBorder="1"/>
    <xf numFmtId="44" fontId="13" fillId="3" borderId="48" xfId="0" applyNumberFormat="1" applyFont="1" applyFill="1" applyBorder="1"/>
    <xf numFmtId="43" fontId="12" fillId="0" borderId="23" xfId="1" applyNumberFormat="1" applyFont="1" applyFill="1" applyBorder="1"/>
    <xf numFmtId="44" fontId="12" fillId="0" borderId="23" xfId="0" applyNumberFormat="1" applyFont="1" applyFill="1" applyBorder="1"/>
    <xf numFmtId="43" fontId="48" fillId="15" borderId="23" xfId="1" applyNumberFormat="1" applyFont="1" applyFill="1" applyBorder="1"/>
    <xf numFmtId="44" fontId="12" fillId="0" borderId="23" xfId="0" applyNumberFormat="1" applyFont="1" applyFill="1" applyBorder="1" applyAlignment="1" applyProtection="1">
      <alignment horizontal="center"/>
    </xf>
    <xf numFmtId="167" fontId="13" fillId="0" borderId="49" xfId="0" applyNumberFormat="1" applyFont="1" applyFill="1" applyBorder="1" applyAlignment="1" applyProtection="1">
      <alignment horizontal="center"/>
    </xf>
    <xf numFmtId="44" fontId="12" fillId="0" borderId="38" xfId="0" applyNumberFormat="1" applyFont="1" applyFill="1" applyBorder="1" applyProtection="1">
      <protection locked="0"/>
    </xf>
    <xf numFmtId="44" fontId="12" fillId="0" borderId="39" xfId="0" applyNumberFormat="1" applyFont="1" applyFill="1" applyBorder="1" applyProtection="1">
      <protection locked="0"/>
    </xf>
    <xf numFmtId="40" fontId="12" fillId="0" borderId="46" xfId="1" applyFont="1" applyFill="1" applyBorder="1" applyProtection="1">
      <protection locked="0"/>
    </xf>
    <xf numFmtId="40" fontId="13" fillId="0" borderId="47" xfId="1" applyFont="1" applyFill="1" applyBorder="1"/>
    <xf numFmtId="40" fontId="13" fillId="0" borderId="8" xfId="1" applyFont="1" applyFill="1" applyBorder="1"/>
    <xf numFmtId="40" fontId="12" fillId="0" borderId="46" xfId="1" applyFont="1" applyFill="1" applyBorder="1"/>
    <xf numFmtId="40" fontId="12" fillId="0" borderId="47" xfId="1" applyFont="1" applyFill="1" applyBorder="1"/>
    <xf numFmtId="40" fontId="12" fillId="0" borderId="8" xfId="1" applyFont="1" applyFill="1" applyBorder="1"/>
    <xf numFmtId="40" fontId="50" fillId="0" borderId="46" xfId="1" applyFont="1" applyBorder="1" applyAlignment="1" applyProtection="1">
      <alignment horizontal="left"/>
      <protection locked="0"/>
    </xf>
    <xf numFmtId="40" fontId="48" fillId="0" borderId="46" xfId="1" applyFont="1" applyFill="1" applyBorder="1"/>
    <xf numFmtId="40" fontId="48" fillId="0" borderId="47" xfId="1" applyFont="1" applyFill="1" applyBorder="1"/>
    <xf numFmtId="40" fontId="48" fillId="0" borderId="8" xfId="1" applyFont="1" applyFill="1" applyBorder="1"/>
    <xf numFmtId="40" fontId="13" fillId="0" borderId="46" xfId="1" applyFont="1" applyFill="1" applyBorder="1"/>
    <xf numFmtId="9" fontId="12" fillId="0" borderId="23" xfId="4" applyFont="1" applyFill="1" applyBorder="1" applyAlignment="1">
      <alignment horizontal="center"/>
    </xf>
    <xf numFmtId="40" fontId="18" fillId="0" borderId="0" xfId="1" applyFont="1" applyFill="1"/>
    <xf numFmtId="39" fontId="51" fillId="0" borderId="42" xfId="145" applyFont="1" applyBorder="1" applyProtection="1">
      <protection locked="0"/>
    </xf>
    <xf numFmtId="39" fontId="50" fillId="0" borderId="42" xfId="145" applyFont="1" applyFill="1" applyBorder="1" applyProtection="1">
      <protection locked="0"/>
    </xf>
    <xf numFmtId="39" fontId="12" fillId="0" borderId="0" xfId="0" quotePrefix="1" applyFont="1" applyFill="1" applyAlignment="1">
      <alignment horizontal="left"/>
    </xf>
    <xf numFmtId="171" fontId="12" fillId="0" borderId="0" xfId="1" quotePrefix="1" applyNumberFormat="1" applyFont="1" applyFill="1"/>
    <xf numFmtId="0" fontId="33" fillId="0" borderId="0" xfId="137" applyFont="1"/>
    <xf numFmtId="39" fontId="12" fillId="0" borderId="0" xfId="145" applyFont="1" applyBorder="1" applyProtection="1">
      <protection locked="0"/>
    </xf>
    <xf numFmtId="43" fontId="12" fillId="0" borderId="0" xfId="2" applyNumberFormat="1" applyFont="1" applyBorder="1"/>
    <xf numFmtId="39" fontId="12" fillId="0" borderId="42" xfId="0" applyFont="1" applyBorder="1"/>
    <xf numFmtId="39" fontId="13" fillId="0" borderId="9" xfId="145" applyFont="1" applyBorder="1" applyAlignment="1" applyProtection="1">
      <alignment horizontal="left"/>
      <protection locked="0"/>
    </xf>
    <xf numFmtId="39" fontId="12" fillId="0" borderId="0" xfId="145" applyFont="1" applyAlignment="1" applyProtection="1">
      <alignment horizontal="left"/>
      <protection locked="0"/>
    </xf>
    <xf numFmtId="39" fontId="50" fillId="0" borderId="9" xfId="145" applyFont="1" applyBorder="1" applyAlignment="1" applyProtection="1">
      <alignment horizontal="left"/>
      <protection locked="0"/>
    </xf>
    <xf numFmtId="39" fontId="51" fillId="0" borderId="0" xfId="145" applyFont="1" applyAlignment="1" applyProtection="1">
      <alignment horizontal="left"/>
      <protection locked="0"/>
    </xf>
    <xf numFmtId="173" fontId="12" fillId="6" borderId="0" xfId="1" applyNumberFormat="1" applyFont="1" applyFill="1" applyBorder="1"/>
    <xf numFmtId="17" fontId="13" fillId="0" borderId="0" xfId="0" applyNumberFormat="1" applyFont="1" applyFill="1" applyBorder="1"/>
    <xf numFmtId="43" fontId="48" fillId="15" borderId="8" xfId="2" applyNumberFormat="1" applyFont="1" applyFill="1" applyBorder="1"/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5" xfId="0" applyFont="1" applyFill="1" applyBorder="1" applyAlignment="1">
      <alignment horizontal="center"/>
    </xf>
    <xf numFmtId="39" fontId="12" fillId="0" borderId="10" xfId="145" applyFont="1" applyBorder="1" applyAlignment="1" applyProtection="1">
      <alignment horizontal="center"/>
      <protection locked="0"/>
    </xf>
    <xf numFmtId="39" fontId="12" fillId="0" borderId="15" xfId="145" applyFont="1" applyBorder="1" applyAlignment="1" applyProtection="1">
      <alignment horizontal="center"/>
      <protection locked="0"/>
    </xf>
    <xf numFmtId="167" fontId="13" fillId="0" borderId="50" xfId="0" applyNumberFormat="1" applyFont="1" applyFill="1" applyBorder="1" applyAlignment="1" applyProtection="1">
      <alignment horizontal="center"/>
    </xf>
    <xf numFmtId="167" fontId="13" fillId="0" borderId="51" xfId="0" applyNumberFormat="1" applyFont="1" applyFill="1" applyBorder="1" applyAlignment="1" applyProtection="1">
      <alignment horizontal="center"/>
    </xf>
    <xf numFmtId="167" fontId="13" fillId="0" borderId="3" xfId="0" applyNumberFormat="1" applyFont="1" applyFill="1" applyBorder="1" applyAlignment="1" applyProtection="1">
      <alignment horizontal="center"/>
    </xf>
    <xf numFmtId="39" fontId="12" fillId="0" borderId="0" xfId="145" applyFont="1" applyBorder="1" applyAlignment="1" applyProtection="1">
      <alignment horizontal="center"/>
      <protection locked="0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364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C8CE8-2E6A-407A-91BB-6913658E23B2}">
  <sheetPr transitionEvaluation="1">
    <tabColor rgb="FF00CC66"/>
    <pageSetUpPr fitToPage="1"/>
  </sheetPr>
  <dimension ref="A1:U1483"/>
  <sheetViews>
    <sheetView showGridLines="0" topLeftCell="A19" zoomScale="60" zoomScaleNormal="60" workbookViewId="0">
      <selection activeCell="C60" sqref="C60"/>
    </sheetView>
  </sheetViews>
  <sheetFormatPr defaultColWidth="16" defaultRowHeight="15"/>
  <cols>
    <col min="1" max="1" width="55.28515625" style="87" bestFit="1" customWidth="1"/>
    <col min="2" max="2" width="31.4257812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.85546875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23</v>
      </c>
      <c r="B1" s="202"/>
      <c r="C1" s="201">
        <v>202101</v>
      </c>
      <c r="F1" s="92">
        <f>C1</f>
        <v>202101</v>
      </c>
      <c r="G1" s="88"/>
      <c r="H1" s="54" t="s">
        <v>28</v>
      </c>
      <c r="I1" s="41" t="s">
        <v>2</v>
      </c>
      <c r="J1" s="41" t="s">
        <v>2</v>
      </c>
      <c r="K1" s="41" t="s">
        <v>25</v>
      </c>
      <c r="L1" s="41" t="s">
        <v>25</v>
      </c>
      <c r="M1" s="88"/>
    </row>
    <row r="2" spans="1:13" ht="15.6" customHeight="1">
      <c r="C2" s="204"/>
      <c r="F2" s="88"/>
      <c r="G2" s="88"/>
      <c r="H2" s="55" t="s">
        <v>9</v>
      </c>
      <c r="I2" s="56" t="s">
        <v>24</v>
      </c>
      <c r="J2" s="56" t="s">
        <v>24</v>
      </c>
      <c r="K2" s="56" t="s">
        <v>26</v>
      </c>
      <c r="L2" s="56" t="s">
        <v>26</v>
      </c>
      <c r="M2" s="88"/>
    </row>
    <row r="3" spans="1:13" ht="15.6" customHeight="1" thickBot="1">
      <c r="A3" s="25" t="s">
        <v>145</v>
      </c>
      <c r="C3" s="16"/>
      <c r="D3" s="206"/>
      <c r="F3" s="28" t="s">
        <v>31</v>
      </c>
      <c r="G3" s="88"/>
      <c r="H3" s="57" t="s">
        <v>27</v>
      </c>
      <c r="I3" s="57" t="s">
        <v>12</v>
      </c>
      <c r="J3" s="57" t="s">
        <v>22</v>
      </c>
      <c r="K3" s="57" t="s">
        <v>12</v>
      </c>
      <c r="L3" s="57" t="s">
        <v>22</v>
      </c>
      <c r="M3" s="88"/>
    </row>
    <row r="4" spans="1:13" ht="15.6" customHeight="1">
      <c r="A4" s="88" t="s">
        <v>36</v>
      </c>
      <c r="C4" s="225">
        <v>3631690.92</v>
      </c>
      <c r="D4" s="208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25">
        <v>26798.959999999999</v>
      </c>
      <c r="D5" s="208"/>
      <c r="F5" s="88"/>
      <c r="G5" s="88"/>
      <c r="H5" s="4"/>
      <c r="I5" s="209">
        <v>0.68810000000000004</v>
      </c>
      <c r="J5" s="209">
        <v>0.31190000000000001</v>
      </c>
      <c r="K5" s="233">
        <f>ROUND(G42/(G42+K41),4)</f>
        <v>0.6764</v>
      </c>
      <c r="L5" s="233">
        <f>1-K5</f>
        <v>0.3236</v>
      </c>
      <c r="M5" s="88"/>
    </row>
    <row r="6" spans="1:13" ht="15.6" customHeight="1" thickBot="1">
      <c r="A6" s="27" t="s">
        <v>7</v>
      </c>
      <c r="C6" s="226">
        <f>-1484819.23-423508.04-121002.3-144597.75-97479.45</f>
        <v>-2271406.7700000005</v>
      </c>
      <c r="D6" s="208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63</v>
      </c>
      <c r="C7" s="224">
        <f>SUM(C4:C6)</f>
        <v>1387083.1099999994</v>
      </c>
      <c r="D7" s="17"/>
      <c r="F7" s="58" t="s">
        <v>147</v>
      </c>
      <c r="G7" s="58"/>
      <c r="H7" s="40">
        <f>C32</f>
        <v>2257262.189999999</v>
      </c>
      <c r="I7" s="59">
        <f>H7*I5</f>
        <v>1553222.1129389994</v>
      </c>
      <c r="J7" s="59">
        <f>H7*J5</f>
        <v>704040.0770609997</v>
      </c>
      <c r="K7" s="59"/>
      <c r="L7" s="59"/>
      <c r="M7" s="88"/>
    </row>
    <row r="8" spans="1:13" ht="15.6" customHeight="1">
      <c r="A8" s="87" t="s">
        <v>174</v>
      </c>
      <c r="C8" s="225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175</v>
      </c>
      <c r="C9" s="225">
        <v>8349.77</v>
      </c>
      <c r="D9" s="18"/>
      <c r="F9" s="58" t="s">
        <v>48</v>
      </c>
      <c r="G9" s="88"/>
      <c r="H9" s="234">
        <f>C52</f>
        <v>7969164.4199999999</v>
      </c>
      <c r="I9" s="59"/>
      <c r="J9" s="59"/>
      <c r="K9" s="236">
        <f>H9*K5</f>
        <v>5390342.8136879997</v>
      </c>
      <c r="L9" s="236">
        <f>H9*L5</f>
        <v>2578821.6063120002</v>
      </c>
      <c r="M9" s="88"/>
    </row>
    <row r="10" spans="1:13" ht="15.6" customHeight="1">
      <c r="A10" s="27" t="s">
        <v>176</v>
      </c>
      <c r="C10" s="226">
        <v>-2848.33</v>
      </c>
      <c r="D10" s="18"/>
      <c r="F10" s="61" t="s">
        <v>19</v>
      </c>
      <c r="G10" s="88"/>
      <c r="H10" s="234">
        <f>C54</f>
        <v>-38528.42</v>
      </c>
      <c r="I10" s="59"/>
      <c r="J10" s="59"/>
      <c r="K10" s="236">
        <f>H10</f>
        <v>-38528.42</v>
      </c>
      <c r="L10" s="236"/>
      <c r="M10" s="88"/>
    </row>
    <row r="11" spans="1:13" ht="15.6" customHeight="1">
      <c r="A11" s="30" t="s">
        <v>64</v>
      </c>
      <c r="C11" s="224">
        <f>SUM(C8:C10)</f>
        <v>216068.65</v>
      </c>
      <c r="D11" s="18"/>
      <c r="F11" s="61" t="s">
        <v>20</v>
      </c>
      <c r="G11" s="88"/>
      <c r="H11" s="235">
        <f>C55+C53</f>
        <v>-18041.7</v>
      </c>
      <c r="I11" s="59"/>
      <c r="J11" s="59"/>
      <c r="K11" s="237"/>
      <c r="L11" s="237">
        <f>H11</f>
        <v>-18041.7</v>
      </c>
      <c r="M11" s="88"/>
    </row>
    <row r="12" spans="1:13" ht="15.6" customHeight="1">
      <c r="A12" s="87" t="s">
        <v>105</v>
      </c>
      <c r="C12" s="225">
        <f>155330.53+1370.44</f>
        <v>156700.97</v>
      </c>
      <c r="D12" s="18"/>
      <c r="F12" s="61" t="s">
        <v>62</v>
      </c>
      <c r="G12" s="88"/>
      <c r="H12" s="223">
        <f>H9+H10+H11</f>
        <v>7912594.2999999998</v>
      </c>
      <c r="I12" s="59"/>
      <c r="J12" s="59"/>
      <c r="K12" s="59">
        <f>SUM(K9:K11)</f>
        <v>5351814.3936879998</v>
      </c>
      <c r="L12" s="59">
        <f>SUM(L9:L11)</f>
        <v>2560779.906312</v>
      </c>
      <c r="M12" s="88"/>
    </row>
    <row r="13" spans="1:13" ht="15.6" customHeight="1" thickBot="1">
      <c r="A13" s="27" t="s">
        <v>106</v>
      </c>
      <c r="C13" s="225"/>
      <c r="D13" s="18"/>
      <c r="F13" s="88"/>
      <c r="G13" s="30"/>
      <c r="H13" s="192"/>
      <c r="I13" s="62"/>
      <c r="J13" s="192"/>
      <c r="K13" s="60"/>
      <c r="L13" s="192"/>
      <c r="M13" s="88"/>
    </row>
    <row r="14" spans="1:13" ht="15.6" customHeight="1" thickBot="1">
      <c r="A14" s="30" t="s">
        <v>107</v>
      </c>
      <c r="C14" s="224">
        <f>SUM(C12:C13)</f>
        <v>156700.97</v>
      </c>
      <c r="D14" s="19"/>
      <c r="F14" s="88" t="s">
        <v>28</v>
      </c>
      <c r="G14" s="58"/>
      <c r="H14" s="40">
        <f>H12+H7</f>
        <v>10169856.489999998</v>
      </c>
      <c r="I14" s="210">
        <f>SUM(I7:I13)</f>
        <v>1553222.1129389994</v>
      </c>
      <c r="J14" s="210">
        <f>SUM(J7:J13)</f>
        <v>704040.0770609997</v>
      </c>
      <c r="K14" s="210">
        <f>K12</f>
        <v>5351814.3936879998</v>
      </c>
      <c r="L14" s="210">
        <f>L12</f>
        <v>2560779.906312</v>
      </c>
      <c r="M14" s="88"/>
    </row>
    <row r="15" spans="1:13" ht="15.6" customHeight="1">
      <c r="A15" s="87" t="s">
        <v>178</v>
      </c>
      <c r="C15" s="225">
        <f>421142.16+2604.57</f>
        <v>423746.73</v>
      </c>
      <c r="D15" s="18"/>
      <c r="F15" s="88"/>
      <c r="G15" s="30" t="s">
        <v>41</v>
      </c>
      <c r="H15" s="231">
        <f>H14-C58</f>
        <v>0</v>
      </c>
      <c r="I15" s="238"/>
      <c r="J15" s="231">
        <f>J7+I7-H7</f>
        <v>0</v>
      </c>
      <c r="K15" s="239"/>
      <c r="L15" s="231">
        <f>H12-K14-L14</f>
        <v>0</v>
      </c>
      <c r="M15" s="88"/>
    </row>
    <row r="16" spans="1:13" ht="15.6" customHeight="1">
      <c r="A16" s="27" t="s">
        <v>179</v>
      </c>
      <c r="C16" s="225"/>
      <c r="D16" s="18"/>
      <c r="F16" s="193"/>
      <c r="G16" s="30"/>
      <c r="H16" s="194"/>
      <c r="I16" s="63"/>
      <c r="J16" s="194"/>
      <c r="K16" s="88"/>
      <c r="L16" s="194"/>
      <c r="M16" s="88"/>
    </row>
    <row r="17" spans="1:13" ht="15.6" customHeight="1" thickBot="1">
      <c r="A17" s="30" t="s">
        <v>84</v>
      </c>
      <c r="C17" s="224">
        <f>SUM(C15:C16)</f>
        <v>423746.73</v>
      </c>
      <c r="D17" s="19"/>
      <c r="F17" s="88"/>
      <c r="G17" s="30"/>
      <c r="H17" s="194"/>
      <c r="I17" s="63"/>
      <c r="J17" s="195"/>
      <c r="K17" s="88"/>
      <c r="L17" s="194"/>
      <c r="M17" s="88"/>
    </row>
    <row r="18" spans="1:13" ht="15.6" customHeight="1" thickBot="1">
      <c r="A18" s="87" t="s">
        <v>73</v>
      </c>
      <c r="C18" s="225">
        <f>1458.79+105611.56+716.84</f>
        <v>107787.18999999999</v>
      </c>
      <c r="D18" s="18"/>
      <c r="F18" s="382" t="s">
        <v>59</v>
      </c>
      <c r="G18" s="383"/>
      <c r="H18" s="383"/>
      <c r="I18" s="384"/>
      <c r="J18" s="382" t="s">
        <v>60</v>
      </c>
      <c r="K18" s="383"/>
      <c r="L18" s="383"/>
      <c r="M18" s="384"/>
    </row>
    <row r="19" spans="1:13" ht="15.6" customHeight="1">
      <c r="A19" s="25" t="s">
        <v>74</v>
      </c>
      <c r="C19" s="226"/>
      <c r="D19" s="18"/>
      <c r="F19" s="211" t="s">
        <v>42</v>
      </c>
      <c r="G19" s="205" t="s">
        <v>10</v>
      </c>
      <c r="H19" s="205" t="s">
        <v>10</v>
      </c>
      <c r="I19" s="205" t="s">
        <v>10</v>
      </c>
      <c r="J19" s="211" t="s">
        <v>42</v>
      </c>
      <c r="K19" s="205" t="s">
        <v>10</v>
      </c>
      <c r="L19" s="205" t="s">
        <v>10</v>
      </c>
      <c r="M19" s="274" t="s">
        <v>10</v>
      </c>
    </row>
    <row r="20" spans="1:13" ht="15.6" customHeight="1" thickBot="1">
      <c r="A20" s="31" t="s">
        <v>108</v>
      </c>
      <c r="C20" s="224">
        <f>SUM(C18:C19)</f>
        <v>107787.18999999999</v>
      </c>
      <c r="D20" s="18"/>
      <c r="F20" s="212" t="s">
        <v>72</v>
      </c>
      <c r="G20" s="207" t="s">
        <v>40</v>
      </c>
      <c r="H20" s="207" t="s">
        <v>13</v>
      </c>
      <c r="I20" s="207" t="s">
        <v>11</v>
      </c>
      <c r="J20" s="212" t="s">
        <v>72</v>
      </c>
      <c r="K20" s="207" t="s">
        <v>40</v>
      </c>
      <c r="L20" s="207" t="s">
        <v>13</v>
      </c>
      <c r="M20" s="207" t="s">
        <v>11</v>
      </c>
    </row>
    <row r="21" spans="1:13" ht="15.6" customHeight="1">
      <c r="A21" s="25" t="s">
        <v>177</v>
      </c>
      <c r="C21" s="226">
        <f>1850-825.73</f>
        <v>1024.27</v>
      </c>
      <c r="D21" s="18"/>
      <c r="F21" s="51"/>
      <c r="G21" s="273"/>
      <c r="H21" s="273"/>
      <c r="I21" s="274"/>
      <c r="J21" s="213"/>
      <c r="K21" s="214"/>
      <c r="L21" s="214"/>
      <c r="M21" s="76"/>
    </row>
    <row r="22" spans="1:13" ht="15.6" customHeight="1">
      <c r="A22" s="29" t="s">
        <v>109</v>
      </c>
      <c r="B22" s="224"/>
      <c r="C22" s="224">
        <f>SUM(C21)</f>
        <v>1024.27</v>
      </c>
      <c r="D22" s="18"/>
      <c r="F22" s="73" t="s">
        <v>52</v>
      </c>
      <c r="G22" s="4"/>
      <c r="H22" s="4"/>
      <c r="I22" s="36"/>
      <c r="J22" s="73" t="s">
        <v>52</v>
      </c>
      <c r="K22" s="4"/>
      <c r="L22" s="4"/>
      <c r="M22" s="36"/>
    </row>
    <row r="23" spans="1:13" ht="15.6" customHeight="1">
      <c r="A23" s="77"/>
      <c r="C23" s="228"/>
      <c r="D23" s="18"/>
      <c r="F23" s="74" t="s">
        <v>14</v>
      </c>
      <c r="G23" s="93">
        <v>20652318</v>
      </c>
      <c r="H23" s="215">
        <v>9.8220000000000002E-2</v>
      </c>
      <c r="I23" s="278">
        <f t="shared" ref="I23:I29" si="0">G23*H23</f>
        <v>2028470.67396</v>
      </c>
      <c r="J23" s="74" t="s">
        <v>14</v>
      </c>
      <c r="K23" s="93">
        <v>10486334</v>
      </c>
      <c r="L23" s="215">
        <v>8.9520000000000002E-2</v>
      </c>
      <c r="M23" s="278">
        <f t="shared" ref="M23:M27" si="1">K23*L23</f>
        <v>938736.61968</v>
      </c>
    </row>
    <row r="24" spans="1:13" ht="15.6" customHeight="1">
      <c r="A24" s="77" t="s">
        <v>85</v>
      </c>
      <c r="C24" s="225">
        <v>0</v>
      </c>
      <c r="D24" s="18"/>
      <c r="F24" s="74" t="s">
        <v>93</v>
      </c>
      <c r="G24" s="93">
        <v>32556</v>
      </c>
      <c r="H24" s="215">
        <v>9.8220000000000002E-2</v>
      </c>
      <c r="I24" s="278">
        <f t="shared" si="0"/>
        <v>3197.6503200000002</v>
      </c>
      <c r="J24" s="74" t="s">
        <v>15</v>
      </c>
      <c r="K24" s="93">
        <v>3100340</v>
      </c>
      <c r="L24" s="215">
        <f>L23</f>
        <v>8.9520000000000002E-2</v>
      </c>
      <c r="M24" s="278">
        <f t="shared" si="1"/>
        <v>277542.43680000002</v>
      </c>
    </row>
    <row r="25" spans="1:13" ht="15.6" customHeight="1">
      <c r="A25" s="77" t="s">
        <v>86</v>
      </c>
      <c r="C25" s="225">
        <v>0</v>
      </c>
      <c r="D25" s="18"/>
      <c r="F25" s="74" t="s">
        <v>15</v>
      </c>
      <c r="G25" s="93">
        <v>7466798</v>
      </c>
      <c r="H25" s="215">
        <v>8.8349999999999998E-2</v>
      </c>
      <c r="I25" s="278">
        <f>G25*H25</f>
        <v>659691.60329999996</v>
      </c>
      <c r="J25" s="74" t="s">
        <v>16</v>
      </c>
      <c r="K25" s="93">
        <v>940</v>
      </c>
      <c r="L25" s="215">
        <f t="shared" ref="L25:L27" si="2">L24</f>
        <v>8.9520000000000002E-2</v>
      </c>
      <c r="M25" s="278">
        <f>K25*L25</f>
        <v>84.148800000000008</v>
      </c>
    </row>
    <row r="26" spans="1:13" ht="15.6" customHeight="1">
      <c r="A26" s="78" t="s">
        <v>95</v>
      </c>
      <c r="C26" s="225">
        <v>0</v>
      </c>
      <c r="D26" s="18"/>
      <c r="F26" s="74" t="s">
        <v>16</v>
      </c>
      <c r="G26" s="93">
        <v>124760</v>
      </c>
      <c r="H26" s="215">
        <v>8.8349999999999998E-2</v>
      </c>
      <c r="I26" s="278">
        <f t="shared" si="0"/>
        <v>11022.546</v>
      </c>
      <c r="J26" s="74" t="s">
        <v>17</v>
      </c>
      <c r="K26" s="93">
        <v>0</v>
      </c>
      <c r="L26" s="215">
        <f t="shared" si="2"/>
        <v>8.9520000000000002E-2</v>
      </c>
      <c r="M26" s="278">
        <f t="shared" si="1"/>
        <v>0</v>
      </c>
    </row>
    <row r="27" spans="1:13" ht="15.6" customHeight="1">
      <c r="A27" s="29" t="s">
        <v>39</v>
      </c>
      <c r="C27" s="224">
        <f>SUM(C23:C26)</f>
        <v>0</v>
      </c>
      <c r="D27" s="18"/>
      <c r="F27" s="74" t="s">
        <v>17</v>
      </c>
      <c r="G27" s="93">
        <v>0</v>
      </c>
      <c r="H27" s="215">
        <v>5.6399999999999999E-2</v>
      </c>
      <c r="I27" s="278">
        <f t="shared" si="0"/>
        <v>0</v>
      </c>
      <c r="J27" s="74" t="s">
        <v>18</v>
      </c>
      <c r="K27" s="93">
        <v>0</v>
      </c>
      <c r="L27" s="215">
        <f t="shared" si="2"/>
        <v>8.9520000000000002E-2</v>
      </c>
      <c r="M27" s="278">
        <f t="shared" si="1"/>
        <v>0</v>
      </c>
    </row>
    <row r="28" spans="1:13" ht="15.6" customHeight="1" thickBot="1">
      <c r="A28" s="79" t="s">
        <v>67</v>
      </c>
      <c r="C28" s="225">
        <v>0</v>
      </c>
      <c r="D28" s="19"/>
      <c r="F28" s="74" t="s">
        <v>18</v>
      </c>
      <c r="G28" s="93">
        <v>127342</v>
      </c>
      <c r="H28" s="215">
        <v>5.6399999999999999E-2</v>
      </c>
      <c r="I28" s="278">
        <f t="shared" si="0"/>
        <v>7182.0887999999995</v>
      </c>
      <c r="J28" s="73" t="s">
        <v>53</v>
      </c>
      <c r="K28" s="240">
        <f>SUM(K23:K27)</f>
        <v>13587614</v>
      </c>
      <c r="L28" s="241"/>
      <c r="M28" s="71">
        <f>SUM(M23:M27)</f>
        <v>1216363.2052800001</v>
      </c>
    </row>
    <row r="29" spans="1:13" ht="15.6" customHeight="1" thickTop="1" thickBot="1">
      <c r="A29" s="79" t="s">
        <v>75</v>
      </c>
      <c r="B29" s="88"/>
      <c r="C29" s="225">
        <v>0</v>
      </c>
      <c r="D29" s="18"/>
      <c r="F29" s="74" t="s">
        <v>33</v>
      </c>
      <c r="G29" s="93">
        <v>3218284</v>
      </c>
      <c r="H29" s="215">
        <v>5.4000000000000001E-4</v>
      </c>
      <c r="I29" s="278">
        <f t="shared" si="0"/>
        <v>1737.87336</v>
      </c>
      <c r="J29" s="74"/>
      <c r="K29" s="243">
        <v>13587614</v>
      </c>
      <c r="L29" s="65"/>
      <c r="M29" s="242">
        <f>M28/K28</f>
        <v>8.9520000000000002E-2</v>
      </c>
    </row>
    <row r="30" spans="1:13" ht="15.6" customHeight="1" thickBot="1">
      <c r="A30" s="1" t="s">
        <v>146</v>
      </c>
      <c r="B30" s="8" t="s">
        <v>163</v>
      </c>
      <c r="C30" s="40">
        <f>C7+C11+C14+C17+C20+C22+C27+C28+C29</f>
        <v>2292410.919999999</v>
      </c>
      <c r="D30" s="19"/>
      <c r="F30" s="73" t="s">
        <v>53</v>
      </c>
      <c r="G30" s="240">
        <f>SUM(G23:G29)</f>
        <v>31622058</v>
      </c>
      <c r="H30" s="6"/>
      <c r="I30" s="71">
        <f>SUM(I23:I29)</f>
        <v>2711302.4357400001</v>
      </c>
      <c r="J30" s="74"/>
      <c r="K30" s="231">
        <f>K28-K29</f>
        <v>0</v>
      </c>
      <c r="L30" s="65" t="s">
        <v>41</v>
      </c>
      <c r="M30" s="72"/>
    </row>
    <row r="31" spans="1:13" ht="15.6" customHeight="1" thickBot="1">
      <c r="A31" s="87" t="s">
        <v>44</v>
      </c>
      <c r="C31" s="228">
        <f>-C5-C9-C13-C16-C19</f>
        <v>-35148.729999999996</v>
      </c>
      <c r="D31" s="20"/>
      <c r="F31" s="64"/>
      <c r="G31" s="243">
        <v>31622058</v>
      </c>
      <c r="H31" s="65"/>
      <c r="I31" s="242">
        <f>I30/G30</f>
        <v>8.5740859615778334E-2</v>
      </c>
      <c r="J31" s="51"/>
      <c r="K31" s="4"/>
      <c r="L31" s="196"/>
      <c r="M31" s="72"/>
    </row>
    <row r="32" spans="1:13" ht="15.6" customHeight="1" thickBot="1">
      <c r="A32" s="1" t="s">
        <v>45</v>
      </c>
      <c r="C32" s="40">
        <f>SUM(C30:C31)</f>
        <v>2257262.189999999</v>
      </c>
      <c r="D32" s="21"/>
      <c r="F32" s="51"/>
      <c r="G32" s="231">
        <f>G30-G31</f>
        <v>0</v>
      </c>
      <c r="H32" s="65" t="s">
        <v>41</v>
      </c>
      <c r="I32" s="36"/>
      <c r="J32" s="69"/>
      <c r="K32" s="70"/>
      <c r="L32" s="4"/>
      <c r="M32" s="72"/>
    </row>
    <row r="33" spans="1:17" ht="15.6" customHeight="1">
      <c r="C33" s="229"/>
      <c r="D33" s="18"/>
      <c r="E33" s="88"/>
      <c r="F33" s="51"/>
      <c r="G33" s="4"/>
      <c r="H33" s="65"/>
      <c r="I33" s="36"/>
      <c r="J33" s="69"/>
      <c r="K33" s="70"/>
      <c r="L33" s="4"/>
      <c r="M33" s="36"/>
    </row>
    <row r="34" spans="1:17" ht="15.6" customHeight="1">
      <c r="A34" s="9" t="s">
        <v>37</v>
      </c>
      <c r="C34" s="230"/>
      <c r="D34" s="18"/>
      <c r="E34" s="88"/>
      <c r="F34" s="51"/>
      <c r="G34" s="4"/>
      <c r="H34" s="65"/>
      <c r="I34" s="36"/>
      <c r="J34" s="69"/>
      <c r="K34" s="70"/>
      <c r="L34" s="4"/>
      <c r="M34" s="36"/>
    </row>
    <row r="35" spans="1:17" ht="15.6" customHeight="1">
      <c r="A35" s="4" t="s">
        <v>55</v>
      </c>
      <c r="B35" s="29" t="s">
        <v>46</v>
      </c>
      <c r="C35" s="225">
        <v>11223022.02</v>
      </c>
      <c r="D35" s="18"/>
      <c r="F35" s="73" t="s">
        <v>54</v>
      </c>
      <c r="G35" s="4"/>
      <c r="H35" s="4"/>
      <c r="I35" s="36"/>
      <c r="J35" s="73" t="s">
        <v>54</v>
      </c>
      <c r="K35" s="68"/>
      <c r="L35" s="4"/>
      <c r="M35" s="36"/>
    </row>
    <row r="36" spans="1:17" ht="15.6" customHeight="1">
      <c r="A36" s="47" t="s">
        <v>5</v>
      </c>
      <c r="B36" s="29" t="s">
        <v>46</v>
      </c>
      <c r="C36" s="225"/>
      <c r="D36" s="18"/>
      <c r="F36" s="74" t="s">
        <v>14</v>
      </c>
      <c r="G36" s="93">
        <v>20652318</v>
      </c>
      <c r="H36" s="215">
        <v>0.16167000000000001</v>
      </c>
      <c r="I36" s="278">
        <f t="shared" ref="I36:I41" si="3">G36*H36</f>
        <v>3338860.2510600002</v>
      </c>
      <c r="J36" s="74" t="s">
        <v>14</v>
      </c>
      <c r="K36" s="93">
        <v>10486334</v>
      </c>
      <c r="L36" s="215">
        <v>0.16148000000000001</v>
      </c>
      <c r="M36" s="278">
        <f t="shared" ref="M36:M40" si="4">K36*L36</f>
        <v>1693333.21432</v>
      </c>
      <c r="P36" s="81"/>
      <c r="Q36" s="81"/>
    </row>
    <row r="37" spans="1:17" ht="15.6" customHeight="1">
      <c r="A37" s="4" t="s">
        <v>65</v>
      </c>
      <c r="B37" s="29" t="s">
        <v>66</v>
      </c>
      <c r="C37" s="225">
        <v>-3734.75</v>
      </c>
      <c r="D37" s="18"/>
      <c r="F37" s="74" t="s">
        <v>93</v>
      </c>
      <c r="G37" s="93">
        <v>32556</v>
      </c>
      <c r="H37" s="215">
        <f>H36</f>
        <v>0.16167000000000001</v>
      </c>
      <c r="I37" s="278">
        <f t="shared" si="3"/>
        <v>5263.32852</v>
      </c>
      <c r="J37" s="74" t="s">
        <v>15</v>
      </c>
      <c r="K37" s="93">
        <v>3100340</v>
      </c>
      <c r="L37" s="215">
        <f>L36</f>
        <v>0.16148000000000001</v>
      </c>
      <c r="M37" s="278">
        <f>K37*L37</f>
        <v>500642.90320000006</v>
      </c>
      <c r="P37" s="81"/>
      <c r="Q37" s="81"/>
    </row>
    <row r="38" spans="1:17" ht="15.6" customHeight="1">
      <c r="A38" s="4" t="s">
        <v>56</v>
      </c>
      <c r="B38" s="29" t="s">
        <v>57</v>
      </c>
      <c r="C38" s="225">
        <v>-822897.68</v>
      </c>
      <c r="D38" s="18"/>
      <c r="F38" s="74" t="s">
        <v>15</v>
      </c>
      <c r="G38" s="93">
        <v>7466798</v>
      </c>
      <c r="H38" s="215">
        <f t="shared" ref="H38:H41" si="5">H37</f>
        <v>0.16167000000000001</v>
      </c>
      <c r="I38" s="278">
        <f>G38*H38</f>
        <v>1207157.23266</v>
      </c>
      <c r="J38" s="74" t="s">
        <v>16</v>
      </c>
      <c r="K38" s="93">
        <v>940</v>
      </c>
      <c r="L38" s="215">
        <f t="shared" ref="L38:L40" si="6">L37</f>
        <v>0.16148000000000001</v>
      </c>
      <c r="M38" s="278">
        <f t="shared" si="4"/>
        <v>151.7912</v>
      </c>
      <c r="P38" s="81"/>
      <c r="Q38" s="81"/>
    </row>
    <row r="39" spans="1:17" ht="15.6" customHeight="1">
      <c r="A39" s="4" t="s">
        <v>69</v>
      </c>
      <c r="B39" s="8" t="s">
        <v>70</v>
      </c>
      <c r="C39" s="225">
        <v>34454.18</v>
      </c>
      <c r="D39" s="18"/>
      <c r="F39" s="74" t="s">
        <v>16</v>
      </c>
      <c r="G39" s="93">
        <v>124760</v>
      </c>
      <c r="H39" s="215">
        <f t="shared" si="5"/>
        <v>0.16167000000000001</v>
      </c>
      <c r="I39" s="278">
        <f t="shared" si="3"/>
        <v>20169.949200000003</v>
      </c>
      <c r="J39" s="74" t="s">
        <v>17</v>
      </c>
      <c r="K39" s="93">
        <v>0</v>
      </c>
      <c r="L39" s="215">
        <f t="shared" si="6"/>
        <v>0.16148000000000001</v>
      </c>
      <c r="M39" s="278">
        <f t="shared" si="4"/>
        <v>0</v>
      </c>
      <c r="P39" s="81"/>
      <c r="Q39" s="81"/>
    </row>
    <row r="40" spans="1:17" ht="15.6" customHeight="1" thickBot="1">
      <c r="A40" s="4" t="s">
        <v>168</v>
      </c>
      <c r="B40" s="29" t="s">
        <v>81</v>
      </c>
      <c r="C40" s="225">
        <v>966504.06</v>
      </c>
      <c r="D40" s="18"/>
      <c r="F40" s="74" t="s">
        <v>17</v>
      </c>
      <c r="G40" s="93">
        <f t="shared" ref="G40" si="7">G27</f>
        <v>0</v>
      </c>
      <c r="H40" s="215">
        <f t="shared" si="5"/>
        <v>0.16167000000000001</v>
      </c>
      <c r="I40" s="278">
        <f t="shared" si="3"/>
        <v>0</v>
      </c>
      <c r="J40" s="74" t="s">
        <v>18</v>
      </c>
      <c r="K40" s="93">
        <v>0</v>
      </c>
      <c r="L40" s="215">
        <f t="shared" si="6"/>
        <v>0.16148000000000001</v>
      </c>
      <c r="M40" s="278">
        <f t="shared" si="4"/>
        <v>0</v>
      </c>
      <c r="P40" s="81"/>
      <c r="Q40" s="81"/>
    </row>
    <row r="41" spans="1:17" ht="15.6" customHeight="1" thickBot="1">
      <c r="A41" s="34" t="s">
        <v>50</v>
      </c>
      <c r="B41" s="29"/>
      <c r="C41" s="40">
        <f>SUM(C35:C40)</f>
        <v>11397347.83</v>
      </c>
      <c r="D41" s="18"/>
      <c r="F41" s="74" t="s">
        <v>18</v>
      </c>
      <c r="G41" s="93">
        <v>127342</v>
      </c>
      <c r="H41" s="215">
        <f t="shared" si="5"/>
        <v>0.16167000000000001</v>
      </c>
      <c r="I41" s="278">
        <f t="shared" si="3"/>
        <v>20587.381140000001</v>
      </c>
      <c r="J41" s="73" t="s">
        <v>58</v>
      </c>
      <c r="K41" s="240">
        <f>SUM(K36:K40)</f>
        <v>13587614</v>
      </c>
      <c r="L41" s="241"/>
      <c r="M41" s="71">
        <f>SUM(M36:M40)</f>
        <v>2194127.9087199997</v>
      </c>
      <c r="P41" s="81"/>
      <c r="Q41" s="81"/>
    </row>
    <row r="42" spans="1:17" ht="15.6" customHeight="1" thickTop="1" thickBot="1">
      <c r="A42" s="33" t="s">
        <v>80</v>
      </c>
      <c r="B42" s="232" t="s">
        <v>49</v>
      </c>
      <c r="C42" s="225">
        <f>1713320.43-366220.33</f>
        <v>1347100.0999999999</v>
      </c>
      <c r="D42" s="19"/>
      <c r="F42" s="73" t="s">
        <v>58</v>
      </c>
      <c r="G42" s="240">
        <f>SUM(G36:G41)</f>
        <v>28403774</v>
      </c>
      <c r="H42" s="241"/>
      <c r="I42" s="250">
        <f>SUM(I36:I41)</f>
        <v>4592038.1425799998</v>
      </c>
      <c r="J42" s="73"/>
      <c r="K42" s="243">
        <v>13587614</v>
      </c>
      <c r="L42" s="65"/>
      <c r="M42" s="247">
        <f>M41/K41</f>
        <v>0.16147999999999998</v>
      </c>
      <c r="P42" s="81"/>
      <c r="Q42" s="81"/>
    </row>
    <row r="43" spans="1:17" ht="15.6" customHeight="1" thickTop="1">
      <c r="A43" s="87" t="s">
        <v>169</v>
      </c>
      <c r="B43" s="8" t="s">
        <v>46</v>
      </c>
      <c r="C43" s="225">
        <v>0</v>
      </c>
      <c r="D43" s="18"/>
      <c r="F43" s="64"/>
      <c r="G43" s="243">
        <v>28403774</v>
      </c>
      <c r="H43" s="65"/>
      <c r="I43" s="251">
        <f>I42/G42</f>
        <v>0.16166999999999998</v>
      </c>
      <c r="J43" s="73"/>
      <c r="K43" s="231">
        <f>K41-K42</f>
        <v>0</v>
      </c>
      <c r="L43" s="65" t="s">
        <v>41</v>
      </c>
      <c r="M43" s="72"/>
    </row>
    <row r="44" spans="1:17" ht="15.6" customHeight="1" thickBot="1">
      <c r="A44" s="259" t="s">
        <v>92</v>
      </c>
      <c r="B44" s="8" t="s">
        <v>46</v>
      </c>
      <c r="C44" s="225">
        <v>7000</v>
      </c>
      <c r="D44" s="19"/>
      <c r="F44" s="66"/>
      <c r="G44" s="248">
        <f>G42-G43</f>
        <v>0</v>
      </c>
      <c r="H44" s="67" t="s">
        <v>41</v>
      </c>
      <c r="I44" s="249"/>
      <c r="J44" s="252"/>
      <c r="K44" s="253"/>
      <c r="L44" s="254"/>
      <c r="M44" s="255"/>
    </row>
    <row r="45" spans="1:17" ht="15.6" customHeight="1">
      <c r="A45" s="4" t="s">
        <v>166</v>
      </c>
      <c r="B45" s="29" t="s">
        <v>68</v>
      </c>
      <c r="C45" s="225">
        <v>23908.91</v>
      </c>
      <c r="D45" s="20"/>
      <c r="F45" s="268"/>
      <c r="G45" s="88"/>
      <c r="H45" s="65"/>
      <c r="I45" s="269"/>
      <c r="J45" s="270"/>
      <c r="K45" s="95"/>
      <c r="L45" s="4"/>
      <c r="M45" s="68"/>
    </row>
    <row r="46" spans="1:17" ht="15.6" customHeight="1">
      <c r="A46" s="4" t="s">
        <v>170</v>
      </c>
      <c r="B46" s="29" t="s">
        <v>68</v>
      </c>
      <c r="C46" s="225">
        <v>2216.0300000000002</v>
      </c>
      <c r="D46" s="21"/>
      <c r="F46" s="268"/>
      <c r="G46" s="88"/>
      <c r="H46" s="65"/>
      <c r="I46" s="269"/>
      <c r="J46" s="270"/>
      <c r="K46" s="95"/>
      <c r="L46" s="4"/>
      <c r="M46" s="68"/>
    </row>
    <row r="47" spans="1:17" ht="15.6" customHeight="1" thickBot="1">
      <c r="A47" s="4" t="s">
        <v>171</v>
      </c>
      <c r="B47" s="29" t="s">
        <v>68</v>
      </c>
      <c r="C47" s="225">
        <v>2521.58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47</v>
      </c>
      <c r="B48" s="8"/>
      <c r="C48" s="228">
        <f>-C31</f>
        <v>35148.729999999996</v>
      </c>
      <c r="D48" s="18"/>
      <c r="F48" s="88"/>
      <c r="G48" s="38"/>
      <c r="H48" s="44" t="s">
        <v>12</v>
      </c>
      <c r="I48" s="7" t="s">
        <v>12</v>
      </c>
      <c r="J48" s="7" t="s">
        <v>22</v>
      </c>
      <c r="K48" s="42" t="s">
        <v>29</v>
      </c>
      <c r="L48" s="39"/>
      <c r="M48" s="88"/>
    </row>
    <row r="49" spans="1:20" ht="15.6" customHeight="1" thickBot="1">
      <c r="A49" s="88" t="s">
        <v>167</v>
      </c>
      <c r="B49" s="29" t="s">
        <v>96</v>
      </c>
      <c r="C49" s="225">
        <f>9332.2-828.64</f>
        <v>8503.5600000000013</v>
      </c>
      <c r="D49" s="18"/>
      <c r="F49" s="28" t="s">
        <v>32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51</v>
      </c>
      <c r="B50" s="94" t="s">
        <v>91</v>
      </c>
      <c r="C50" s="225">
        <f>266872.5-2822148.55-1924306.27</f>
        <v>-4479582.32</v>
      </c>
      <c r="D50" s="19"/>
      <c r="F50" s="88"/>
      <c r="G50" s="88"/>
      <c r="H50" s="49"/>
      <c r="I50" s="50"/>
      <c r="J50" s="50"/>
      <c r="K50" s="50"/>
      <c r="L50" s="203"/>
      <c r="M50" s="88"/>
    </row>
    <row r="51" spans="1:20" ht="15.6" customHeight="1">
      <c r="A51" s="87" t="s">
        <v>94</v>
      </c>
      <c r="B51" s="8" t="s">
        <v>87</v>
      </c>
      <c r="C51" s="225">
        <v>-375000</v>
      </c>
      <c r="D51" s="18"/>
      <c r="F51" s="88" t="s">
        <v>61</v>
      </c>
      <c r="G51" s="88"/>
      <c r="H51" s="216">
        <f>K12</f>
        <v>5351814.3936879998</v>
      </c>
      <c r="I51" s="217">
        <f>I14</f>
        <v>1553222.1129389994</v>
      </c>
      <c r="J51" s="217">
        <f>L12</f>
        <v>2560779.906312</v>
      </c>
      <c r="K51" s="217">
        <f>J14</f>
        <v>704040.0770609997</v>
      </c>
      <c r="L51" s="218">
        <f>SUM(H51:K51)</f>
        <v>10169856.489999998</v>
      </c>
      <c r="M51" s="88"/>
    </row>
    <row r="52" spans="1:20" ht="15.6" customHeight="1" thickBot="1">
      <c r="A52" s="32" t="s">
        <v>48</v>
      </c>
      <c r="B52" s="232"/>
      <c r="C52" s="53">
        <f>SUM(C41:C51)</f>
        <v>7969164.4199999999</v>
      </c>
      <c r="D52" s="206"/>
      <c r="F52" s="87" t="s">
        <v>43</v>
      </c>
      <c r="H52" s="216">
        <f>-I42</f>
        <v>-4592038.1425799998</v>
      </c>
      <c r="I52" s="217">
        <f>-I30</f>
        <v>-2711302.4357400001</v>
      </c>
      <c r="J52" s="217">
        <f>-M41</f>
        <v>-2194127.9087199997</v>
      </c>
      <c r="K52" s="217">
        <f>-M28</f>
        <v>-1216363.2052800001</v>
      </c>
      <c r="L52" s="219">
        <f>SUM(H52:K52)</f>
        <v>-10713831.69232</v>
      </c>
    </row>
    <row r="53" spans="1:20" ht="15.6" customHeight="1" thickTop="1" thickBot="1">
      <c r="A53" s="88" t="s">
        <v>172</v>
      </c>
      <c r="B53" s="30" t="s">
        <v>173</v>
      </c>
      <c r="C53" s="225"/>
      <c r="D53" s="18"/>
      <c r="F53" s="87" t="s">
        <v>35</v>
      </c>
      <c r="H53" s="220">
        <v>0</v>
      </c>
      <c r="I53" s="221">
        <v>0</v>
      </c>
      <c r="J53" s="221">
        <v>0</v>
      </c>
      <c r="K53" s="222">
        <v>0</v>
      </c>
      <c r="L53" s="80"/>
    </row>
    <row r="54" spans="1:20" ht="15.6" customHeight="1" thickBot="1">
      <c r="A54" s="87" t="s">
        <v>164</v>
      </c>
      <c r="B54" s="8" t="s">
        <v>102</v>
      </c>
      <c r="C54" s="225">
        <v>-38528.42</v>
      </c>
      <c r="D54" s="18"/>
      <c r="F54" s="1" t="s">
        <v>30</v>
      </c>
      <c r="H54" s="245">
        <f>H51+H52+H53</f>
        <v>759776.25110800005</v>
      </c>
      <c r="I54" s="245">
        <f>I51+I52+I53</f>
        <v>-1158080.3228010007</v>
      </c>
      <c r="J54" s="245">
        <f>J51+J52+J53</f>
        <v>366651.99759200029</v>
      </c>
      <c r="K54" s="245">
        <f>K51+K52+K53</f>
        <v>-512323.12821900041</v>
      </c>
      <c r="L54" s="26">
        <f>SUM(H54:K54)</f>
        <v>-543975.20232000074</v>
      </c>
    </row>
    <row r="55" spans="1:20" ht="15.6" customHeight="1">
      <c r="A55" s="87" t="s">
        <v>165</v>
      </c>
      <c r="B55" s="8" t="s">
        <v>103</v>
      </c>
      <c r="C55" s="225">
        <v>-18041.7</v>
      </c>
      <c r="D55" s="18"/>
      <c r="F55" s="87" t="s">
        <v>82</v>
      </c>
      <c r="H55" s="87" t="s">
        <v>76</v>
      </c>
      <c r="I55" s="2">
        <f>SUM(H54:I54)</f>
        <v>-398304.07169300062</v>
      </c>
      <c r="J55" s="8" t="s">
        <v>77</v>
      </c>
      <c r="K55" s="87">
        <f>SUM(J54:K54)</f>
        <v>-145671.13062700012</v>
      </c>
      <c r="L55"/>
    </row>
    <row r="56" spans="1:20" ht="15.6" customHeight="1" thickBot="1">
      <c r="A56" s="1" t="s">
        <v>149</v>
      </c>
      <c r="C56" s="53">
        <f>SUM(C52:C55)</f>
        <v>7912594.2999999998</v>
      </c>
      <c r="D56" s="18"/>
      <c r="F56" s="197" t="s">
        <v>83</v>
      </c>
      <c r="H56" s="35"/>
      <c r="T56" s="22"/>
    </row>
    <row r="57" spans="1:20" ht="15.6" customHeight="1" thickTop="1" thickBot="1">
      <c r="C57" s="229"/>
      <c r="D57" s="18"/>
      <c r="F57" s="197"/>
      <c r="H57" s="35"/>
    </row>
    <row r="58" spans="1:20" ht="15.6" customHeight="1" thickBot="1">
      <c r="A58" s="8"/>
      <c r="B58" s="8" t="s">
        <v>38</v>
      </c>
      <c r="C58" s="40">
        <f>C56+C32</f>
        <v>10169856.489999998</v>
      </c>
      <c r="D58" s="18"/>
      <c r="F58" s="197"/>
      <c r="H58" s="35"/>
    </row>
    <row r="59" spans="1:20" ht="15.6" customHeight="1" thickBot="1">
      <c r="A59" s="30"/>
      <c r="B59" s="30"/>
      <c r="C59" s="227"/>
      <c r="D59" s="18"/>
      <c r="F59" s="197"/>
      <c r="H59" s="52"/>
      <c r="I59" s="198"/>
      <c r="J59" s="198"/>
      <c r="K59" s="75"/>
      <c r="L59" s="198"/>
    </row>
    <row r="60" spans="1:20" ht="15.6" customHeight="1">
      <c r="B60" s="8" t="s">
        <v>148</v>
      </c>
      <c r="C60" s="225">
        <v>10169856.49</v>
      </c>
      <c r="D60" s="18"/>
      <c r="F60" s="199"/>
      <c r="H60" s="89" t="s">
        <v>90</v>
      </c>
      <c r="I60" s="90"/>
    </row>
    <row r="61" spans="1:20" ht="15.6" customHeight="1" thickBot="1">
      <c r="A61" s="8"/>
      <c r="B61" s="8" t="s">
        <v>71</v>
      </c>
      <c r="C61" s="231">
        <f>ROUND(C58-C60,2)</f>
        <v>0</v>
      </c>
      <c r="D61" s="19"/>
      <c r="H61" s="82" t="s">
        <v>78</v>
      </c>
      <c r="I61" s="83" t="s">
        <v>79</v>
      </c>
      <c r="J61" s="2"/>
      <c r="N61" s="2"/>
    </row>
    <row r="62" spans="1:20" ht="15.6" customHeight="1" thickBot="1">
      <c r="C62" s="85"/>
      <c r="H62" s="84" t="e">
        <f>'191010 WA DEF'!E37+'191010 WA DEF'!E38+'191010 WA DEF'!E39+'191000 WA Amort'!H37+'191000 WA Amort'!H38+'191000 WA Amort'!H39+#REF!+#REF!+#REF!+#REF!+#REF!+#REF!</f>
        <v>#REF!</v>
      </c>
      <c r="I62" s="91" t="e">
        <f>'191010 WA DEF'!F36+'191010 WA DEF'!F38+'191010 WA DEF'!F39+'191000 WA Amort'!I36+'191000 WA Amort'!I38+'191000 WA Amort'!I39+#REF!+#REF!+#REF!+#REF!+#REF!+#REF!</f>
        <v>#REF!</v>
      </c>
      <c r="O62" s="2"/>
      <c r="P62" s="200"/>
    </row>
    <row r="63" spans="1:20" ht="15.6" customHeight="1">
      <c r="C63" s="5"/>
      <c r="D63" s="18"/>
      <c r="G63" s="2"/>
      <c r="I63" s="244" t="e">
        <f>H62-I62</f>
        <v>#REF!</v>
      </c>
      <c r="N63" s="10"/>
      <c r="S63" s="3"/>
    </row>
    <row r="64" spans="1:20" ht="15.6" customHeight="1">
      <c r="C64" s="5"/>
      <c r="D64" s="23"/>
      <c r="G64" s="271"/>
      <c r="H64" s="272"/>
      <c r="I64" s="263"/>
      <c r="J64" s="2"/>
      <c r="N64" s="10"/>
    </row>
    <row r="65" spans="3:21" ht="15.6" customHeight="1">
      <c r="C65" s="37"/>
      <c r="D65" s="18"/>
      <c r="G65" s="271"/>
      <c r="H65" s="272"/>
      <c r="I65" s="264"/>
      <c r="J65" s="2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199"/>
      <c r="H67" s="260"/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F69" s="199"/>
      <c r="G69" s="199"/>
      <c r="H69" s="88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3">
    <cfRule type="cellIs" dxfId="363" priority="38" stopIfTrue="1" operator="equal">
      <formula>0</formula>
    </cfRule>
    <cfRule type="cellIs" dxfId="362" priority="39" stopIfTrue="1" operator="notEqual">
      <formula>0</formula>
    </cfRule>
  </conditionalFormatting>
  <conditionalFormatting sqref="K44:K46">
    <cfRule type="cellIs" dxfId="361" priority="37" operator="notEqual">
      <formula>0</formula>
    </cfRule>
  </conditionalFormatting>
  <conditionalFormatting sqref="C61">
    <cfRule type="cellIs" dxfId="360" priority="35" stopIfTrue="1" operator="equal">
      <formula>0</formula>
    </cfRule>
    <cfRule type="cellIs" dxfId="359" priority="36" stopIfTrue="1" operator="notEqual">
      <formula>0</formula>
    </cfRule>
  </conditionalFormatting>
  <conditionalFormatting sqref="H15">
    <cfRule type="cellIs" dxfId="358" priority="33" stopIfTrue="1" operator="equal">
      <formula>0</formula>
    </cfRule>
    <cfRule type="cellIs" dxfId="357" priority="34" stopIfTrue="1" operator="notEqual">
      <formula>0</formula>
    </cfRule>
  </conditionalFormatting>
  <conditionalFormatting sqref="H15">
    <cfRule type="cellIs" dxfId="356" priority="31" stopIfTrue="1" operator="equal">
      <formula>0</formula>
    </cfRule>
    <cfRule type="cellIs" dxfId="355" priority="32" stopIfTrue="1" operator="notEqual">
      <formula>0</formula>
    </cfRule>
  </conditionalFormatting>
  <conditionalFormatting sqref="J15">
    <cfRule type="cellIs" dxfId="354" priority="29" stopIfTrue="1" operator="equal">
      <formula>0</formula>
    </cfRule>
    <cfRule type="cellIs" dxfId="353" priority="30" stopIfTrue="1" operator="notEqual">
      <formula>0</formula>
    </cfRule>
  </conditionalFormatting>
  <conditionalFormatting sqref="J15">
    <cfRule type="cellIs" dxfId="352" priority="27" stopIfTrue="1" operator="equal">
      <formula>0</formula>
    </cfRule>
    <cfRule type="cellIs" dxfId="351" priority="28" stopIfTrue="1" operator="notEqual">
      <formula>0</formula>
    </cfRule>
  </conditionalFormatting>
  <conditionalFormatting sqref="L15">
    <cfRule type="cellIs" dxfId="350" priority="25" stopIfTrue="1" operator="equal">
      <formula>0</formula>
    </cfRule>
    <cfRule type="cellIs" dxfId="349" priority="26" stopIfTrue="1" operator="notEqual">
      <formula>0</formula>
    </cfRule>
  </conditionalFormatting>
  <conditionalFormatting sqref="L15">
    <cfRule type="cellIs" dxfId="348" priority="23" stopIfTrue="1" operator="equal">
      <formula>0</formula>
    </cfRule>
    <cfRule type="cellIs" dxfId="347" priority="24" stopIfTrue="1" operator="notEqual">
      <formula>0</formula>
    </cfRule>
  </conditionalFormatting>
  <conditionalFormatting sqref="G32">
    <cfRule type="cellIs" dxfId="346" priority="21" stopIfTrue="1" operator="equal">
      <formula>0</formula>
    </cfRule>
    <cfRule type="cellIs" dxfId="345" priority="22" stopIfTrue="1" operator="notEqual">
      <formula>0</formula>
    </cfRule>
  </conditionalFormatting>
  <conditionalFormatting sqref="G32">
    <cfRule type="cellIs" dxfId="344" priority="19" stopIfTrue="1" operator="equal">
      <formula>0</formula>
    </cfRule>
    <cfRule type="cellIs" dxfId="343" priority="20" stopIfTrue="1" operator="notEqual">
      <formula>0</formula>
    </cfRule>
  </conditionalFormatting>
  <conditionalFormatting sqref="G44">
    <cfRule type="cellIs" dxfId="342" priority="17" stopIfTrue="1" operator="equal">
      <formula>0</formula>
    </cfRule>
    <cfRule type="cellIs" dxfId="341" priority="18" stopIfTrue="1" operator="notEqual">
      <formula>0</formula>
    </cfRule>
  </conditionalFormatting>
  <conditionalFormatting sqref="G44">
    <cfRule type="cellIs" dxfId="340" priority="15" stopIfTrue="1" operator="equal">
      <formula>0</formula>
    </cfRule>
    <cfRule type="cellIs" dxfId="339" priority="16" stopIfTrue="1" operator="notEqual">
      <formula>0</formula>
    </cfRule>
  </conditionalFormatting>
  <conditionalFormatting sqref="K30">
    <cfRule type="cellIs" dxfId="338" priority="13" stopIfTrue="1" operator="equal">
      <formula>0</formula>
    </cfRule>
    <cfRule type="cellIs" dxfId="337" priority="14" stopIfTrue="1" operator="notEqual">
      <formula>0</formula>
    </cfRule>
  </conditionalFormatting>
  <conditionalFormatting sqref="K30">
    <cfRule type="cellIs" dxfId="336" priority="11" stopIfTrue="1" operator="equal">
      <formula>0</formula>
    </cfRule>
    <cfRule type="cellIs" dxfId="335" priority="12" stopIfTrue="1" operator="notEqual">
      <formula>0</formula>
    </cfRule>
  </conditionalFormatting>
  <conditionalFormatting sqref="K43">
    <cfRule type="cellIs" dxfId="334" priority="9" stopIfTrue="1" operator="equal">
      <formula>0</formula>
    </cfRule>
    <cfRule type="cellIs" dxfId="333" priority="10" stopIfTrue="1" operator="notEqual">
      <formula>0</formula>
    </cfRule>
  </conditionalFormatting>
  <conditionalFormatting sqref="K43">
    <cfRule type="cellIs" dxfId="332" priority="7" stopIfTrue="1" operator="equal">
      <formula>0</formula>
    </cfRule>
    <cfRule type="cellIs" dxfId="331" priority="8" stopIfTrue="1" operator="notEqual">
      <formula>0</formula>
    </cfRule>
  </conditionalFormatting>
  <conditionalFormatting sqref="G60">
    <cfRule type="cellIs" dxfId="330" priority="6" operator="equal">
      <formula>"ERROR"</formula>
    </cfRule>
  </conditionalFormatting>
  <conditionalFormatting sqref="G60">
    <cfRule type="cellIs" dxfId="329" priority="5" operator="equal">
      <formula>"ERROR"</formula>
    </cfRule>
  </conditionalFormatting>
  <conditionalFormatting sqref="G67">
    <cfRule type="cellIs" dxfId="328" priority="4" operator="equal">
      <formula>"ERROR"</formula>
    </cfRule>
  </conditionalFormatting>
  <conditionalFormatting sqref="G67">
    <cfRule type="cellIs" dxfId="327" priority="3" operator="equal">
      <formula>"ERROR"</formula>
    </cfRule>
  </conditionalFormatting>
  <conditionalFormatting sqref="H69">
    <cfRule type="cellIs" dxfId="326" priority="2" operator="equal">
      <formula>"ERROR"</formula>
    </cfRule>
  </conditionalFormatting>
  <conditionalFormatting sqref="H69">
    <cfRule type="cellIs" dxfId="325" priority="1" operator="equal">
      <formula>"ERROR"</formula>
    </cfRule>
  </conditionalFormatting>
  <printOptions horizontalCentered="1" gridLinesSet="0"/>
  <pageMargins left="0.2" right="0.2" top="0.7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4E73-B59D-46E1-8936-7F8D17F71942}">
  <sheetPr transitionEvaluation="1">
    <tabColor rgb="FF00CC66"/>
    <pageSetUpPr fitToPage="1"/>
  </sheetPr>
  <dimension ref="A1:U1483"/>
  <sheetViews>
    <sheetView showGridLines="0" topLeftCell="A22" zoomScale="60" zoomScaleNormal="60" workbookViewId="0"/>
  </sheetViews>
  <sheetFormatPr defaultColWidth="16" defaultRowHeight="15"/>
  <cols>
    <col min="1" max="1" width="55.28515625" style="87" bestFit="1" customWidth="1"/>
    <col min="2" max="2" width="31.4257812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.85546875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23</v>
      </c>
      <c r="B1" s="202"/>
      <c r="C1" s="201">
        <v>202102</v>
      </c>
      <c r="F1" s="92">
        <f>C1</f>
        <v>202102</v>
      </c>
      <c r="G1" s="88"/>
      <c r="H1" s="54" t="s">
        <v>28</v>
      </c>
      <c r="I1" s="41" t="s">
        <v>2</v>
      </c>
      <c r="J1" s="41" t="s">
        <v>2</v>
      </c>
      <c r="K1" s="41" t="s">
        <v>25</v>
      </c>
      <c r="L1" s="41" t="s">
        <v>25</v>
      </c>
      <c r="M1" s="88"/>
    </row>
    <row r="2" spans="1:13" ht="15.6" customHeight="1">
      <c r="C2" s="204"/>
      <c r="F2" s="88"/>
      <c r="G2" s="88"/>
      <c r="H2" s="55" t="s">
        <v>9</v>
      </c>
      <c r="I2" s="56" t="s">
        <v>24</v>
      </c>
      <c r="J2" s="56" t="s">
        <v>24</v>
      </c>
      <c r="K2" s="56" t="s">
        <v>26</v>
      </c>
      <c r="L2" s="56" t="s">
        <v>26</v>
      </c>
      <c r="M2" s="88"/>
    </row>
    <row r="3" spans="1:13" ht="15.6" customHeight="1" thickBot="1">
      <c r="A3" s="25" t="s">
        <v>145</v>
      </c>
      <c r="C3" s="16"/>
      <c r="D3" s="206"/>
      <c r="F3" s="28" t="s">
        <v>31</v>
      </c>
      <c r="G3" s="88"/>
      <c r="H3" s="57" t="s">
        <v>27</v>
      </c>
      <c r="I3" s="57" t="s">
        <v>12</v>
      </c>
      <c r="J3" s="57" t="s">
        <v>22</v>
      </c>
      <c r="K3" s="57" t="s">
        <v>12</v>
      </c>
      <c r="L3" s="57" t="s">
        <v>22</v>
      </c>
      <c r="M3" s="88"/>
    </row>
    <row r="4" spans="1:13" ht="15.6" customHeight="1">
      <c r="A4" s="88" t="s">
        <v>36</v>
      </c>
      <c r="C4" s="225">
        <v>3280236.97</v>
      </c>
      <c r="D4" s="208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25">
        <v>30032.86</v>
      </c>
      <c r="D5" s="208"/>
      <c r="F5" s="88"/>
      <c r="G5" s="88"/>
      <c r="H5" s="4"/>
      <c r="I5" s="209">
        <v>0.68810000000000004</v>
      </c>
      <c r="J5" s="209">
        <v>0.31190000000000001</v>
      </c>
      <c r="K5" s="233">
        <f>ROUND(G42/(G42+K41),4)</f>
        <v>0.67249999999999999</v>
      </c>
      <c r="L5" s="233">
        <f>1-K5</f>
        <v>0.32750000000000001</v>
      </c>
      <c r="M5" s="88"/>
    </row>
    <row r="6" spans="1:13" ht="15.6" customHeight="1" thickBot="1">
      <c r="A6" s="27" t="s">
        <v>7</v>
      </c>
      <c r="C6" s="226">
        <f>-1341127.05-5229.6-382523.4-109292.4-130604.42-88045.96</f>
        <v>-2056822.83</v>
      </c>
      <c r="D6" s="208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63</v>
      </c>
      <c r="C7" s="224">
        <f>SUM(C4:C6)</f>
        <v>1253447</v>
      </c>
      <c r="D7" s="17"/>
      <c r="F7" s="58" t="s">
        <v>147</v>
      </c>
      <c r="G7" s="58"/>
      <c r="H7" s="40">
        <f>C32</f>
        <v>2150935.7000000002</v>
      </c>
      <c r="I7" s="59">
        <f>H7*I5</f>
        <v>1480058.8551700001</v>
      </c>
      <c r="J7" s="59">
        <f>H7*J5</f>
        <v>670876.84483000007</v>
      </c>
      <c r="K7" s="59"/>
      <c r="L7" s="59"/>
      <c r="M7" s="88"/>
    </row>
    <row r="8" spans="1:13" ht="15.6" customHeight="1">
      <c r="A8" s="87" t="s">
        <v>174</v>
      </c>
      <c r="C8" s="225">
        <v>190189.72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175</v>
      </c>
      <c r="C9" s="225">
        <f>1.06+7605.61</f>
        <v>7606.67</v>
      </c>
      <c r="D9" s="18"/>
      <c r="F9" s="58" t="s">
        <v>48</v>
      </c>
      <c r="G9" s="88"/>
      <c r="H9" s="234">
        <f>C52</f>
        <v>12276121.700000003</v>
      </c>
      <c r="I9" s="59"/>
      <c r="J9" s="59"/>
      <c r="K9" s="236">
        <f>H9*K5</f>
        <v>8255691.8432500018</v>
      </c>
      <c r="L9" s="236">
        <f>H9*L5</f>
        <v>4020429.8567500012</v>
      </c>
      <c r="M9" s="88"/>
    </row>
    <row r="10" spans="1:13" ht="15.6" customHeight="1">
      <c r="A10" s="27" t="s">
        <v>176</v>
      </c>
      <c r="C10" s="226">
        <v>-2572.67</v>
      </c>
      <c r="D10" s="18"/>
      <c r="F10" s="61" t="s">
        <v>19</v>
      </c>
      <c r="G10" s="88"/>
      <c r="H10" s="234">
        <f>C54</f>
        <v>-290560.8</v>
      </c>
      <c r="I10" s="59"/>
      <c r="J10" s="59"/>
      <c r="K10" s="236">
        <f>H10</f>
        <v>-290560.8</v>
      </c>
      <c r="L10" s="236"/>
      <c r="M10" s="88"/>
    </row>
    <row r="11" spans="1:13" ht="15.6" customHeight="1">
      <c r="A11" s="30" t="s">
        <v>64</v>
      </c>
      <c r="C11" s="224">
        <f>SUM(C8:C10)</f>
        <v>195223.72</v>
      </c>
      <c r="D11" s="18"/>
      <c r="F11" s="61" t="s">
        <v>20</v>
      </c>
      <c r="G11" s="88"/>
      <c r="H11" s="235">
        <f>C55+C53</f>
        <v>-140230.92000000001</v>
      </c>
      <c r="I11" s="59"/>
      <c r="J11" s="59"/>
      <c r="K11" s="237"/>
      <c r="L11" s="237">
        <f>H11</f>
        <v>-140230.92000000001</v>
      </c>
      <c r="M11" s="88"/>
    </row>
    <row r="12" spans="1:13" ht="15.6" customHeight="1">
      <c r="A12" s="87" t="s">
        <v>105</v>
      </c>
      <c r="C12" s="225">
        <f>158609.65+156105.73+1532.53-155330.53</f>
        <v>160917.38000000003</v>
      </c>
      <c r="D12" s="18"/>
      <c r="F12" s="61" t="s">
        <v>62</v>
      </c>
      <c r="G12" s="88"/>
      <c r="H12" s="223">
        <f>H9+H10+H11</f>
        <v>11845329.980000002</v>
      </c>
      <c r="I12" s="59"/>
      <c r="J12" s="59"/>
      <c r="K12" s="59">
        <f>SUM(K9:K11)</f>
        <v>7965131.043250002</v>
      </c>
      <c r="L12" s="59">
        <f>SUM(L9:L11)</f>
        <v>3880198.9367500013</v>
      </c>
      <c r="M12" s="88"/>
    </row>
    <row r="13" spans="1:13" ht="15.6" customHeight="1" thickBot="1">
      <c r="A13" s="27" t="s">
        <v>106</v>
      </c>
      <c r="C13" s="225"/>
      <c r="D13" s="18"/>
      <c r="F13" s="88"/>
      <c r="G13" s="30"/>
      <c r="H13" s="192"/>
      <c r="I13" s="62"/>
      <c r="J13" s="192"/>
      <c r="K13" s="60"/>
      <c r="L13" s="192"/>
      <c r="M13" s="88"/>
    </row>
    <row r="14" spans="1:13" ht="15.6" customHeight="1" thickBot="1">
      <c r="A14" s="30" t="s">
        <v>107</v>
      </c>
      <c r="C14" s="224">
        <f>SUM(C12:C13)</f>
        <v>160917.38000000003</v>
      </c>
      <c r="D14" s="19"/>
      <c r="F14" s="88" t="s">
        <v>28</v>
      </c>
      <c r="G14" s="58"/>
      <c r="H14" s="40">
        <f>H12+H7</f>
        <v>13996265.680000003</v>
      </c>
      <c r="I14" s="210">
        <f>SUM(I7:I13)</f>
        <v>1480058.8551700001</v>
      </c>
      <c r="J14" s="210">
        <f>SUM(J7:J13)</f>
        <v>670876.84483000007</v>
      </c>
      <c r="K14" s="210">
        <f>K12</f>
        <v>7965131.043250002</v>
      </c>
      <c r="L14" s="210">
        <f>L12</f>
        <v>3880198.9367500013</v>
      </c>
      <c r="M14" s="88"/>
    </row>
    <row r="15" spans="1:13" ht="15.6" customHeight="1">
      <c r="A15" s="87" t="s">
        <v>178</v>
      </c>
      <c r="C15" s="225">
        <f>430032.69+423243.89+4155.09-421142.15</f>
        <v>436289.52</v>
      </c>
      <c r="D15" s="18"/>
      <c r="F15" s="88"/>
      <c r="G15" s="30" t="s">
        <v>41</v>
      </c>
      <c r="H15" s="231">
        <f>H14-C58</f>
        <v>0</v>
      </c>
      <c r="I15" s="238"/>
      <c r="J15" s="231">
        <f>J7+I7-H7</f>
        <v>0</v>
      </c>
      <c r="K15" s="239"/>
      <c r="L15" s="231">
        <f>H12-K14-L14</f>
        <v>0</v>
      </c>
      <c r="M15" s="88"/>
    </row>
    <row r="16" spans="1:13" ht="15.6" customHeight="1">
      <c r="A16" s="27" t="s">
        <v>179</v>
      </c>
      <c r="C16" s="225"/>
      <c r="D16" s="18"/>
      <c r="F16" s="193"/>
      <c r="G16" s="30"/>
      <c r="H16" s="194"/>
      <c r="I16" s="63"/>
      <c r="J16" s="194"/>
      <c r="K16" s="88"/>
      <c r="L16" s="194"/>
      <c r="M16" s="88"/>
    </row>
    <row r="17" spans="1:13" ht="15.6" customHeight="1" thickBot="1">
      <c r="A17" s="30" t="s">
        <v>84</v>
      </c>
      <c r="C17" s="224">
        <f>SUM(C15:C16)</f>
        <v>436289.52</v>
      </c>
      <c r="D17" s="19"/>
      <c r="F17" s="88"/>
      <c r="G17" s="30"/>
      <c r="H17" s="194"/>
      <c r="I17" s="63"/>
      <c r="J17" s="195"/>
      <c r="K17" s="88"/>
      <c r="L17" s="194"/>
      <c r="M17" s="88"/>
    </row>
    <row r="18" spans="1:13" ht="15.6" customHeight="1" thickBot="1">
      <c r="A18" s="87" t="s">
        <v>73</v>
      </c>
      <c r="C18" s="225">
        <f>15962+107841.08+122281.35+1200.47-105611.56</f>
        <v>141673.34</v>
      </c>
      <c r="D18" s="18"/>
      <c r="F18" s="382" t="s">
        <v>59</v>
      </c>
      <c r="G18" s="383"/>
      <c r="H18" s="383"/>
      <c r="I18" s="384"/>
      <c r="J18" s="382" t="s">
        <v>60</v>
      </c>
      <c r="K18" s="383"/>
      <c r="L18" s="383"/>
      <c r="M18" s="384"/>
    </row>
    <row r="19" spans="1:13" ht="15.6" customHeight="1">
      <c r="A19" s="25" t="s">
        <v>74</v>
      </c>
      <c r="C19" s="226"/>
      <c r="D19" s="18"/>
      <c r="F19" s="211" t="s">
        <v>42</v>
      </c>
      <c r="G19" s="205" t="s">
        <v>10</v>
      </c>
      <c r="H19" s="205" t="s">
        <v>10</v>
      </c>
      <c r="I19" s="205" t="s">
        <v>10</v>
      </c>
      <c r="J19" s="211" t="s">
        <v>42</v>
      </c>
      <c r="K19" s="205" t="s">
        <v>10</v>
      </c>
      <c r="L19" s="205" t="s">
        <v>10</v>
      </c>
      <c r="M19" s="274" t="s">
        <v>10</v>
      </c>
    </row>
    <row r="20" spans="1:13" ht="15.6" customHeight="1" thickBot="1">
      <c r="A20" s="31" t="s">
        <v>108</v>
      </c>
      <c r="C20" s="224">
        <f>SUM(C18:C19)</f>
        <v>141673.34</v>
      </c>
      <c r="D20" s="18"/>
      <c r="F20" s="212" t="s">
        <v>72</v>
      </c>
      <c r="G20" s="207" t="s">
        <v>40</v>
      </c>
      <c r="H20" s="207" t="s">
        <v>13</v>
      </c>
      <c r="I20" s="207" t="s">
        <v>11</v>
      </c>
      <c r="J20" s="212" t="s">
        <v>72</v>
      </c>
      <c r="K20" s="207" t="s">
        <v>40</v>
      </c>
      <c r="L20" s="207" t="s">
        <v>13</v>
      </c>
      <c r="M20" s="207" t="s">
        <v>11</v>
      </c>
    </row>
    <row r="21" spans="1:13" ht="15.6" customHeight="1">
      <c r="A21" s="25" t="s">
        <v>177</v>
      </c>
      <c r="C21" s="226">
        <f>-825.73+1850</f>
        <v>1024.27</v>
      </c>
      <c r="D21" s="18"/>
      <c r="F21" s="51"/>
      <c r="G21" s="273"/>
      <c r="H21" s="273"/>
      <c r="I21" s="274"/>
      <c r="J21" s="213"/>
      <c r="K21" s="214"/>
      <c r="L21" s="214"/>
      <c r="M21" s="76"/>
    </row>
    <row r="22" spans="1:13" ht="15.6" customHeight="1">
      <c r="A22" s="29" t="s">
        <v>109</v>
      </c>
      <c r="B22" s="224"/>
      <c r="C22" s="224">
        <f>SUM(C21)</f>
        <v>1024.27</v>
      </c>
      <c r="D22" s="18"/>
      <c r="F22" s="73" t="s">
        <v>52</v>
      </c>
      <c r="G22" s="4"/>
      <c r="H22" s="4"/>
      <c r="I22" s="36"/>
      <c r="J22" s="73" t="s">
        <v>52</v>
      </c>
      <c r="K22" s="4"/>
      <c r="L22" s="4"/>
      <c r="M22" s="36"/>
    </row>
    <row r="23" spans="1:13" ht="15.6" customHeight="1">
      <c r="A23" s="77"/>
      <c r="C23" s="228"/>
      <c r="D23" s="18"/>
      <c r="F23" s="74" t="s">
        <v>14</v>
      </c>
      <c r="G23" s="93">
        <v>21465565</v>
      </c>
      <c r="H23" s="215">
        <v>9.8220000000000002E-2</v>
      </c>
      <c r="I23" s="278">
        <f t="shared" ref="I23:I29" si="0">G23*H23</f>
        <v>2108347.7943000002</v>
      </c>
      <c r="J23" s="74" t="s">
        <v>14</v>
      </c>
      <c r="K23" s="93">
        <v>10870325</v>
      </c>
      <c r="L23" s="215">
        <v>8.9520000000000002E-2</v>
      </c>
      <c r="M23" s="278">
        <f t="shared" ref="M23:M27" si="1">K23*L23</f>
        <v>973111.49400000006</v>
      </c>
    </row>
    <row r="24" spans="1:13" ht="15.6" customHeight="1">
      <c r="A24" s="77" t="s">
        <v>85</v>
      </c>
      <c r="C24" s="225">
        <v>0</v>
      </c>
      <c r="D24" s="18"/>
      <c r="F24" s="74" t="s">
        <v>93</v>
      </c>
      <c r="G24" s="93">
        <v>35195</v>
      </c>
      <c r="H24" s="215">
        <v>9.8220000000000002E-2</v>
      </c>
      <c r="I24" s="278">
        <f t="shared" si="0"/>
        <v>3456.8528999999999</v>
      </c>
      <c r="J24" s="74" t="s">
        <v>15</v>
      </c>
      <c r="K24" s="93">
        <v>3329528</v>
      </c>
      <c r="L24" s="215">
        <f>L23</f>
        <v>8.9520000000000002E-2</v>
      </c>
      <c r="M24" s="278">
        <f t="shared" si="1"/>
        <v>298059.34656000003</v>
      </c>
    </row>
    <row r="25" spans="1:13" ht="15.6" customHeight="1">
      <c r="A25" s="77" t="s">
        <v>86</v>
      </c>
      <c r="C25" s="225">
        <v>0</v>
      </c>
      <c r="D25" s="18"/>
      <c r="F25" s="74" t="s">
        <v>15</v>
      </c>
      <c r="G25" s="93">
        <v>7487490</v>
      </c>
      <c r="H25" s="215">
        <v>8.8349999999999998E-2</v>
      </c>
      <c r="I25" s="278">
        <f>G25*H25</f>
        <v>661519.7415</v>
      </c>
      <c r="J25" s="74" t="s">
        <v>16</v>
      </c>
      <c r="K25" s="93">
        <v>1188</v>
      </c>
      <c r="L25" s="215">
        <f t="shared" ref="L25:L27" si="2">L24</f>
        <v>8.9520000000000002E-2</v>
      </c>
      <c r="M25" s="278">
        <f>K25*L25</f>
        <v>106.34976</v>
      </c>
    </row>
    <row r="26" spans="1:13" ht="15.6" customHeight="1">
      <c r="A26" s="78" t="s">
        <v>95</v>
      </c>
      <c r="C26" s="225">
        <v>0</v>
      </c>
      <c r="D26" s="18"/>
      <c r="F26" s="74" t="s">
        <v>16</v>
      </c>
      <c r="G26" s="93">
        <v>111067</v>
      </c>
      <c r="H26" s="215">
        <v>8.8349999999999998E-2</v>
      </c>
      <c r="I26" s="278">
        <f t="shared" si="0"/>
        <v>9812.7694499999998</v>
      </c>
      <c r="J26" s="74" t="s">
        <v>17</v>
      </c>
      <c r="K26" s="93">
        <v>0</v>
      </c>
      <c r="L26" s="215">
        <f t="shared" si="2"/>
        <v>8.9520000000000002E-2</v>
      </c>
      <c r="M26" s="278">
        <f t="shared" si="1"/>
        <v>0</v>
      </c>
    </row>
    <row r="27" spans="1:13" ht="15.6" customHeight="1">
      <c r="A27" s="29" t="s">
        <v>39</v>
      </c>
      <c r="C27" s="224">
        <f>SUM(C23:C26)</f>
        <v>0</v>
      </c>
      <c r="D27" s="18"/>
      <c r="F27" s="74" t="s">
        <v>17</v>
      </c>
      <c r="G27" s="93">
        <v>0</v>
      </c>
      <c r="H27" s="215">
        <v>5.6399999999999999E-2</v>
      </c>
      <c r="I27" s="278">
        <f t="shared" si="0"/>
        <v>0</v>
      </c>
      <c r="J27" s="74" t="s">
        <v>18</v>
      </c>
      <c r="K27" s="93">
        <v>0</v>
      </c>
      <c r="L27" s="215">
        <f t="shared" si="2"/>
        <v>8.9520000000000002E-2</v>
      </c>
      <c r="M27" s="278">
        <f t="shared" si="1"/>
        <v>0</v>
      </c>
    </row>
    <row r="28" spans="1:13" ht="15.6" customHeight="1" thickBot="1">
      <c r="A28" s="79" t="s">
        <v>67</v>
      </c>
      <c r="C28" s="225">
        <v>0</v>
      </c>
      <c r="D28" s="19"/>
      <c r="F28" s="74" t="s">
        <v>18</v>
      </c>
      <c r="G28" s="93">
        <v>65536</v>
      </c>
      <c r="H28" s="215">
        <v>5.6399999999999999E-2</v>
      </c>
      <c r="I28" s="278">
        <f t="shared" si="0"/>
        <v>3696.2303999999999</v>
      </c>
      <c r="J28" s="73" t="s">
        <v>53</v>
      </c>
      <c r="K28" s="240">
        <f>SUM(K23:K27)</f>
        <v>14201041</v>
      </c>
      <c r="L28" s="241"/>
      <c r="M28" s="71">
        <f>SUM(M23:M27)</f>
        <v>1271277.1903200001</v>
      </c>
    </row>
    <row r="29" spans="1:13" ht="15.6" customHeight="1" thickTop="1" thickBot="1">
      <c r="A29" s="79" t="s">
        <v>75</v>
      </c>
      <c r="B29" s="88"/>
      <c r="C29" s="225">
        <v>0</v>
      </c>
      <c r="D29" s="18"/>
      <c r="F29" s="74" t="s">
        <v>33</v>
      </c>
      <c r="G29" s="93">
        <v>3541847</v>
      </c>
      <c r="H29" s="215">
        <v>5.4000000000000001E-4</v>
      </c>
      <c r="I29" s="278">
        <f t="shared" si="0"/>
        <v>1912.5973799999999</v>
      </c>
      <c r="J29" s="74"/>
      <c r="K29" s="243">
        <v>14201041</v>
      </c>
      <c r="L29" s="65"/>
      <c r="M29" s="242">
        <f>M28/K28</f>
        <v>8.9520000000000002E-2</v>
      </c>
    </row>
    <row r="30" spans="1:13" ht="15.6" customHeight="1" thickBot="1">
      <c r="A30" s="1" t="s">
        <v>146</v>
      </c>
      <c r="B30" s="8" t="s">
        <v>163</v>
      </c>
      <c r="C30" s="40">
        <f>C7+C11+C14+C17+C20+C22+C27+C28+C29</f>
        <v>2188575.23</v>
      </c>
      <c r="D30" s="19"/>
      <c r="F30" s="73" t="s">
        <v>53</v>
      </c>
      <c r="G30" s="240">
        <f>SUM(G23:G29)</f>
        <v>32706700</v>
      </c>
      <c r="H30" s="6"/>
      <c r="I30" s="71">
        <f>SUM(I23:I29)</f>
        <v>2788745.98593</v>
      </c>
      <c r="J30" s="74"/>
      <c r="K30" s="231">
        <f>K28-K29</f>
        <v>0</v>
      </c>
      <c r="L30" s="65" t="s">
        <v>41</v>
      </c>
      <c r="M30" s="72"/>
    </row>
    <row r="31" spans="1:13" ht="15.6" customHeight="1" thickBot="1">
      <c r="A31" s="87" t="s">
        <v>44</v>
      </c>
      <c r="C31" s="228">
        <f>-C5-C9-C13-C16-C19</f>
        <v>-37639.53</v>
      </c>
      <c r="D31" s="20"/>
      <c r="F31" s="64"/>
      <c r="G31" s="243">
        <v>32706700</v>
      </c>
      <c r="H31" s="65"/>
      <c r="I31" s="242">
        <f>I30/G30</f>
        <v>8.526528160682674E-2</v>
      </c>
      <c r="J31" s="51"/>
      <c r="K31" s="4"/>
      <c r="L31" s="196"/>
      <c r="M31" s="72"/>
    </row>
    <row r="32" spans="1:13" ht="15.6" customHeight="1" thickBot="1">
      <c r="A32" s="1" t="s">
        <v>45</v>
      </c>
      <c r="C32" s="40">
        <f>SUM(C30:C31)</f>
        <v>2150935.7000000002</v>
      </c>
      <c r="D32" s="21"/>
      <c r="F32" s="51"/>
      <c r="G32" s="231">
        <f>G30-G31</f>
        <v>0</v>
      </c>
      <c r="H32" s="65" t="s">
        <v>41</v>
      </c>
      <c r="I32" s="36"/>
      <c r="J32" s="69"/>
      <c r="K32" s="70"/>
      <c r="L32" s="4"/>
      <c r="M32" s="72"/>
    </row>
    <row r="33" spans="1:17" ht="15.6" customHeight="1">
      <c r="C33" s="229"/>
      <c r="D33" s="18"/>
      <c r="E33" s="88"/>
      <c r="F33" s="51"/>
      <c r="G33" s="4"/>
      <c r="H33" s="65"/>
      <c r="I33" s="36"/>
      <c r="J33" s="69"/>
      <c r="K33" s="70"/>
      <c r="L33" s="4"/>
      <c r="M33" s="36"/>
    </row>
    <row r="34" spans="1:17" ht="15.6" customHeight="1">
      <c r="A34" s="9" t="s">
        <v>37</v>
      </c>
      <c r="C34" s="230"/>
      <c r="D34" s="18"/>
      <c r="E34" s="88"/>
      <c r="F34" s="51"/>
      <c r="G34" s="4"/>
      <c r="H34" s="65"/>
      <c r="I34" s="36"/>
      <c r="J34" s="69"/>
      <c r="K34" s="70"/>
      <c r="L34" s="4"/>
      <c r="M34" s="36"/>
    </row>
    <row r="35" spans="1:17" ht="15.6" customHeight="1">
      <c r="A35" s="4" t="s">
        <v>55</v>
      </c>
      <c r="B35" s="29" t="s">
        <v>46</v>
      </c>
      <c r="C35" s="225">
        <f>13963801.89+335.1+1509.39+31119.91</f>
        <v>13996766.290000001</v>
      </c>
      <c r="D35" s="18"/>
      <c r="F35" s="73" t="s">
        <v>54</v>
      </c>
      <c r="G35" s="4"/>
      <c r="H35" s="4"/>
      <c r="I35" s="36"/>
      <c r="J35" s="73" t="s">
        <v>54</v>
      </c>
      <c r="K35" s="68"/>
      <c r="L35" s="4"/>
      <c r="M35" s="36"/>
    </row>
    <row r="36" spans="1:17" ht="15.6" customHeight="1">
      <c r="A36" s="47" t="s">
        <v>5</v>
      </c>
      <c r="B36" s="29" t="s">
        <v>46</v>
      </c>
      <c r="C36" s="225"/>
      <c r="D36" s="18"/>
      <c r="F36" s="74" t="s">
        <v>14</v>
      </c>
      <c r="G36" s="93">
        <v>21465565</v>
      </c>
      <c r="H36" s="215">
        <v>0.16167000000000001</v>
      </c>
      <c r="I36" s="278">
        <f t="shared" ref="I36:I41" si="3">G36*H36</f>
        <v>3470337.8935500002</v>
      </c>
      <c r="J36" s="74" t="s">
        <v>14</v>
      </c>
      <c r="K36" s="93">
        <v>10870325</v>
      </c>
      <c r="L36" s="215">
        <v>0.16148000000000001</v>
      </c>
      <c r="M36" s="278">
        <f t="shared" ref="M36:M40" si="4">K36*L36</f>
        <v>1755340.0810000002</v>
      </c>
      <c r="P36" s="81"/>
      <c r="Q36" s="81"/>
    </row>
    <row r="37" spans="1:17" ht="15.6" customHeight="1">
      <c r="A37" s="4" t="s">
        <v>65</v>
      </c>
      <c r="B37" s="29" t="s">
        <v>66</v>
      </c>
      <c r="C37" s="225">
        <v>-84540.02</v>
      </c>
      <c r="D37" s="18"/>
      <c r="F37" s="74" t="s">
        <v>93</v>
      </c>
      <c r="G37" s="93">
        <v>35195</v>
      </c>
      <c r="H37" s="215">
        <f>H36</f>
        <v>0.16167000000000001</v>
      </c>
      <c r="I37" s="278">
        <f t="shared" si="3"/>
        <v>5689.9756500000003</v>
      </c>
      <c r="J37" s="74" t="s">
        <v>15</v>
      </c>
      <c r="K37" s="93">
        <v>3329528</v>
      </c>
      <c r="L37" s="215">
        <f>L36</f>
        <v>0.16148000000000001</v>
      </c>
      <c r="M37" s="278">
        <f>K37*L37</f>
        <v>537652.18144000007</v>
      </c>
      <c r="P37" s="81"/>
      <c r="Q37" s="81"/>
    </row>
    <row r="38" spans="1:17" ht="15.6" customHeight="1">
      <c r="A38" s="4" t="s">
        <v>56</v>
      </c>
      <c r="B38" s="29" t="s">
        <v>57</v>
      </c>
      <c r="C38" s="225">
        <v>-910355.25</v>
      </c>
      <c r="D38" s="18"/>
      <c r="F38" s="74" t="s">
        <v>15</v>
      </c>
      <c r="G38" s="93">
        <v>7487490</v>
      </c>
      <c r="H38" s="215">
        <f t="shared" ref="H38:H41" si="5">H37</f>
        <v>0.16167000000000001</v>
      </c>
      <c r="I38" s="278">
        <f>G38*H38</f>
        <v>1210502.5083000001</v>
      </c>
      <c r="J38" s="74" t="s">
        <v>16</v>
      </c>
      <c r="K38" s="93">
        <v>1188</v>
      </c>
      <c r="L38" s="215">
        <f t="shared" ref="L38:L40" si="6">L37</f>
        <v>0.16148000000000001</v>
      </c>
      <c r="M38" s="278">
        <f t="shared" si="4"/>
        <v>191.83824000000001</v>
      </c>
      <c r="P38" s="81"/>
      <c r="Q38" s="81"/>
    </row>
    <row r="39" spans="1:17" ht="15.6" customHeight="1">
      <c r="A39" s="4" t="s">
        <v>69</v>
      </c>
      <c r="B39" s="8" t="s">
        <v>70</v>
      </c>
      <c r="C39" s="225">
        <v>38370.33</v>
      </c>
      <c r="D39" s="18"/>
      <c r="F39" s="74" t="s">
        <v>16</v>
      </c>
      <c r="G39" s="93">
        <v>111067</v>
      </c>
      <c r="H39" s="215">
        <f t="shared" si="5"/>
        <v>0.16167000000000001</v>
      </c>
      <c r="I39" s="278">
        <f t="shared" si="3"/>
        <v>17956.20189</v>
      </c>
      <c r="J39" s="74" t="s">
        <v>17</v>
      </c>
      <c r="K39" s="93">
        <v>0</v>
      </c>
      <c r="L39" s="215">
        <f t="shared" si="6"/>
        <v>0.16148000000000001</v>
      </c>
      <c r="M39" s="278">
        <f t="shared" si="4"/>
        <v>0</v>
      </c>
      <c r="P39" s="81"/>
      <c r="Q39" s="81"/>
    </row>
    <row r="40" spans="1:17" ht="15.6" customHeight="1" thickBot="1">
      <c r="A40" s="4" t="s">
        <v>168</v>
      </c>
      <c r="B40" s="29" t="s">
        <v>81</v>
      </c>
      <c r="C40" s="225">
        <v>3764952.68</v>
      </c>
      <c r="D40" s="18"/>
      <c r="F40" s="74" t="s">
        <v>17</v>
      </c>
      <c r="G40" s="93">
        <f t="shared" ref="G40" si="7">G27</f>
        <v>0</v>
      </c>
      <c r="H40" s="215">
        <f t="shared" si="5"/>
        <v>0.16167000000000001</v>
      </c>
      <c r="I40" s="278">
        <f t="shared" si="3"/>
        <v>0</v>
      </c>
      <c r="J40" s="74" t="s">
        <v>18</v>
      </c>
      <c r="K40" s="93">
        <v>0</v>
      </c>
      <c r="L40" s="215">
        <f t="shared" si="6"/>
        <v>0.16148000000000001</v>
      </c>
      <c r="M40" s="278">
        <f t="shared" si="4"/>
        <v>0</v>
      </c>
      <c r="P40" s="81"/>
      <c r="Q40" s="81"/>
    </row>
    <row r="41" spans="1:17" ht="15.6" customHeight="1" thickBot="1">
      <c r="A41" s="34" t="s">
        <v>50</v>
      </c>
      <c r="B41" s="29"/>
      <c r="C41" s="40">
        <f>SUM(C35:C40)</f>
        <v>16805194.030000001</v>
      </c>
      <c r="D41" s="18"/>
      <c r="F41" s="74" t="s">
        <v>18</v>
      </c>
      <c r="G41" s="93">
        <v>65536</v>
      </c>
      <c r="H41" s="215">
        <f t="shared" si="5"/>
        <v>0.16167000000000001</v>
      </c>
      <c r="I41" s="278">
        <f t="shared" si="3"/>
        <v>10595.205120000001</v>
      </c>
      <c r="J41" s="73" t="s">
        <v>58</v>
      </c>
      <c r="K41" s="240">
        <f>SUM(K36:K40)</f>
        <v>14201041</v>
      </c>
      <c r="L41" s="241"/>
      <c r="M41" s="71">
        <f>SUM(M36:M40)</f>
        <v>2293184.1006800001</v>
      </c>
      <c r="P41" s="81"/>
      <c r="Q41" s="81"/>
    </row>
    <row r="42" spans="1:17" ht="15.6" customHeight="1" thickTop="1" thickBot="1">
      <c r="A42" s="33" t="s">
        <v>80</v>
      </c>
      <c r="B42" s="232" t="s">
        <v>49</v>
      </c>
      <c r="C42" s="225">
        <f>3115249.75-23387.44</f>
        <v>3091862.31</v>
      </c>
      <c r="D42" s="19"/>
      <c r="F42" s="73" t="s">
        <v>58</v>
      </c>
      <c r="G42" s="240">
        <f>SUM(G36:G41)</f>
        <v>29164853</v>
      </c>
      <c r="H42" s="241"/>
      <c r="I42" s="250">
        <f>SUM(I36:I41)</f>
        <v>4715081.7845100006</v>
      </c>
      <c r="J42" s="73"/>
      <c r="K42" s="243">
        <v>14201041</v>
      </c>
      <c r="L42" s="65"/>
      <c r="M42" s="247">
        <f>M41/K41</f>
        <v>0.16148000000000001</v>
      </c>
      <c r="P42" s="81"/>
      <c r="Q42" s="81"/>
    </row>
    <row r="43" spans="1:17" ht="15.6" customHeight="1" thickTop="1">
      <c r="A43" s="87" t="s">
        <v>169</v>
      </c>
      <c r="B43" s="8" t="s">
        <v>46</v>
      </c>
      <c r="C43" s="225">
        <v>0</v>
      </c>
      <c r="D43" s="18"/>
      <c r="F43" s="64"/>
      <c r="G43" s="243">
        <v>29164853</v>
      </c>
      <c r="H43" s="65"/>
      <c r="I43" s="251">
        <f>I42/G42</f>
        <v>0.16167000000000001</v>
      </c>
      <c r="J43" s="73"/>
      <c r="K43" s="231">
        <f>K41-K42</f>
        <v>0</v>
      </c>
      <c r="L43" s="65" t="s">
        <v>41</v>
      </c>
      <c r="M43" s="72"/>
    </row>
    <row r="44" spans="1:17" ht="15.6" customHeight="1" thickBot="1">
      <c r="A44" s="259" t="s">
        <v>92</v>
      </c>
      <c r="B44" s="8" t="s">
        <v>46</v>
      </c>
      <c r="C44" s="225">
        <v>7000</v>
      </c>
      <c r="D44" s="19"/>
      <c r="F44" s="66"/>
      <c r="G44" s="248">
        <f>G42-G43</f>
        <v>0</v>
      </c>
      <c r="H44" s="67" t="s">
        <v>41</v>
      </c>
      <c r="I44" s="249"/>
      <c r="J44" s="252"/>
      <c r="K44" s="253"/>
      <c r="L44" s="254"/>
      <c r="M44" s="255"/>
    </row>
    <row r="45" spans="1:17" ht="15.6" customHeight="1">
      <c r="A45" s="4" t="s">
        <v>166</v>
      </c>
      <c r="B45" s="29" t="s">
        <v>68</v>
      </c>
      <c r="C45" s="225">
        <v>27532.3</v>
      </c>
      <c r="D45" s="20"/>
      <c r="F45" s="268"/>
      <c r="G45" s="88"/>
      <c r="H45" s="65"/>
      <c r="I45" s="269"/>
      <c r="J45" s="270"/>
      <c r="K45" s="95"/>
      <c r="L45" s="4"/>
      <c r="M45" s="68"/>
    </row>
    <row r="46" spans="1:17" ht="15.6" customHeight="1">
      <c r="A46" s="4" t="s">
        <v>170</v>
      </c>
      <c r="B46" s="29" t="s">
        <v>68</v>
      </c>
      <c r="C46" s="225">
        <v>4929.37</v>
      </c>
      <c r="D46" s="21"/>
      <c r="F46" s="268"/>
      <c r="G46" s="88"/>
      <c r="H46" s="65"/>
      <c r="I46" s="269"/>
      <c r="J46" s="270"/>
      <c r="K46" s="95"/>
      <c r="L46" s="4"/>
      <c r="M46" s="68"/>
    </row>
    <row r="47" spans="1:17" ht="15.6" customHeight="1" thickBot="1">
      <c r="A47" s="4" t="s">
        <v>171</v>
      </c>
      <c r="B47" s="29" t="s">
        <v>68</v>
      </c>
      <c r="C47" s="225">
        <v>1145.3900000000001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47</v>
      </c>
      <c r="B48" s="8"/>
      <c r="C48" s="228">
        <f>-C31</f>
        <v>37639.53</v>
      </c>
      <c r="D48" s="18"/>
      <c r="F48" s="88"/>
      <c r="G48" s="38"/>
      <c r="H48" s="44" t="s">
        <v>12</v>
      </c>
      <c r="I48" s="7" t="s">
        <v>12</v>
      </c>
      <c r="J48" s="7" t="s">
        <v>22</v>
      </c>
      <c r="K48" s="42" t="s">
        <v>29</v>
      </c>
      <c r="L48" s="39"/>
      <c r="M48" s="88"/>
    </row>
    <row r="49" spans="1:20" ht="15.6" customHeight="1" thickBot="1">
      <c r="A49" s="88" t="s">
        <v>167</v>
      </c>
      <c r="B49" s="29" t="s">
        <v>96</v>
      </c>
      <c r="C49" s="225">
        <f>9949.25-588.26</f>
        <v>9360.99</v>
      </c>
      <c r="D49" s="18"/>
      <c r="F49" s="28" t="s">
        <v>32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51</v>
      </c>
      <c r="B50" s="94" t="s">
        <v>91</v>
      </c>
      <c r="C50" s="225">
        <f>2337208.43-6069355.17-3601460.94+65.46</f>
        <v>-7333542.2199999997</v>
      </c>
      <c r="D50" s="19"/>
      <c r="F50" s="88"/>
      <c r="G50" s="88"/>
      <c r="H50" s="49"/>
      <c r="I50" s="50"/>
      <c r="J50" s="50"/>
      <c r="K50" s="50"/>
      <c r="L50" s="203"/>
      <c r="M50" s="88"/>
    </row>
    <row r="51" spans="1:20" ht="15.6" customHeight="1">
      <c r="A51" s="87" t="s">
        <v>94</v>
      </c>
      <c r="B51" s="8" t="s">
        <v>87</v>
      </c>
      <c r="C51" s="225">
        <v>-375000</v>
      </c>
      <c r="D51" s="18"/>
      <c r="F51" s="88" t="s">
        <v>61</v>
      </c>
      <c r="G51" s="88"/>
      <c r="H51" s="216">
        <f>K12</f>
        <v>7965131.043250002</v>
      </c>
      <c r="I51" s="217">
        <f>I14</f>
        <v>1480058.8551700001</v>
      </c>
      <c r="J51" s="217">
        <f>L12</f>
        <v>3880198.9367500013</v>
      </c>
      <c r="K51" s="217">
        <f>J14</f>
        <v>670876.84483000007</v>
      </c>
      <c r="L51" s="218">
        <f>SUM(H51:K51)</f>
        <v>13996265.680000005</v>
      </c>
      <c r="M51" s="88"/>
    </row>
    <row r="52" spans="1:20" ht="15.6" customHeight="1" thickBot="1">
      <c r="A52" s="32" t="s">
        <v>48</v>
      </c>
      <c r="B52" s="232"/>
      <c r="C52" s="53">
        <f>SUM(C41:C51)</f>
        <v>12276121.700000003</v>
      </c>
      <c r="D52" s="206"/>
      <c r="F52" s="87" t="s">
        <v>43</v>
      </c>
      <c r="H52" s="216">
        <f>-I42</f>
        <v>-4715081.7845100006</v>
      </c>
      <c r="I52" s="217">
        <f>-I30</f>
        <v>-2788745.98593</v>
      </c>
      <c r="J52" s="217">
        <f>-M41</f>
        <v>-2293184.1006800001</v>
      </c>
      <c r="K52" s="217">
        <f>-M28</f>
        <v>-1271277.1903200001</v>
      </c>
      <c r="L52" s="219">
        <f>SUM(H52:K52)</f>
        <v>-11068289.061440002</v>
      </c>
    </row>
    <row r="53" spans="1:20" ht="15.6" customHeight="1" thickTop="1" thickBot="1">
      <c r="A53" s="88" t="s">
        <v>172</v>
      </c>
      <c r="B53" s="30" t="s">
        <v>173</v>
      </c>
      <c r="C53" s="225"/>
      <c r="D53" s="18"/>
      <c r="F53" s="87" t="s">
        <v>35</v>
      </c>
      <c r="H53" s="220">
        <v>0</v>
      </c>
      <c r="I53" s="221">
        <v>0</v>
      </c>
      <c r="J53" s="221">
        <v>0</v>
      </c>
      <c r="K53" s="222">
        <v>0</v>
      </c>
      <c r="L53" s="80"/>
    </row>
    <row r="54" spans="1:20" ht="15.6" customHeight="1" thickBot="1">
      <c r="A54" s="87" t="s">
        <v>164</v>
      </c>
      <c r="B54" s="8" t="s">
        <v>102</v>
      </c>
      <c r="C54" s="225">
        <v>-290560.8</v>
      </c>
      <c r="D54" s="18"/>
      <c r="F54" s="1" t="s">
        <v>30</v>
      </c>
      <c r="H54" s="245">
        <f>H51+H52+H53</f>
        <v>3250049.2587400014</v>
      </c>
      <c r="I54" s="245">
        <f>I51+I52+I53</f>
        <v>-1308687.1307599999</v>
      </c>
      <c r="J54" s="245">
        <f>J51+J52+J53</f>
        <v>1587014.8360700011</v>
      </c>
      <c r="K54" s="245">
        <f>K51+K52+K53</f>
        <v>-600400.34548999998</v>
      </c>
      <c r="L54" s="26">
        <f>SUM(H54:K54)</f>
        <v>2927976.6185600022</v>
      </c>
    </row>
    <row r="55" spans="1:20" ht="15.6" customHeight="1">
      <c r="A55" s="87" t="s">
        <v>165</v>
      </c>
      <c r="B55" s="8" t="s">
        <v>103</v>
      </c>
      <c r="C55" s="225">
        <v>-140230.92000000001</v>
      </c>
      <c r="D55" s="18"/>
      <c r="F55" s="87" t="s">
        <v>82</v>
      </c>
      <c r="H55" s="87" t="s">
        <v>76</v>
      </c>
      <c r="I55" s="2">
        <f>SUM(H54:I54)</f>
        <v>1941362.1279800015</v>
      </c>
      <c r="J55" s="8" t="s">
        <v>77</v>
      </c>
      <c r="K55" s="87">
        <f>SUM(J54:K54)</f>
        <v>986614.49058000115</v>
      </c>
      <c r="L55"/>
    </row>
    <row r="56" spans="1:20" ht="15.6" customHeight="1" thickBot="1">
      <c r="A56" s="1" t="s">
        <v>149</v>
      </c>
      <c r="C56" s="53">
        <f>SUM(C52:C55)</f>
        <v>11845329.980000002</v>
      </c>
      <c r="D56" s="18"/>
      <c r="F56" s="197" t="s">
        <v>83</v>
      </c>
      <c r="H56" s="35"/>
      <c r="T56" s="22"/>
    </row>
    <row r="57" spans="1:20" ht="15.6" customHeight="1" thickTop="1" thickBot="1">
      <c r="C57" s="229"/>
      <c r="D57" s="18"/>
      <c r="F57" s="197"/>
      <c r="H57" s="35"/>
    </row>
    <row r="58" spans="1:20" ht="15.6" customHeight="1" thickBot="1">
      <c r="A58" s="8"/>
      <c r="B58" s="8" t="s">
        <v>38</v>
      </c>
      <c r="C58" s="40">
        <f>C56+C32</f>
        <v>13996265.680000003</v>
      </c>
      <c r="D58" s="18"/>
      <c r="F58" s="197"/>
      <c r="H58" s="35"/>
    </row>
    <row r="59" spans="1:20" ht="15.6" customHeight="1" thickBot="1">
      <c r="A59" s="30"/>
      <c r="B59" s="30"/>
      <c r="C59" s="227"/>
      <c r="D59" s="18"/>
      <c r="F59" s="197"/>
      <c r="H59" s="52"/>
      <c r="I59" s="198"/>
      <c r="J59" s="198"/>
      <c r="K59" s="75"/>
      <c r="L59" s="198"/>
    </row>
    <row r="60" spans="1:20" ht="15.6" customHeight="1">
      <c r="B60" s="8" t="s">
        <v>148</v>
      </c>
      <c r="C60" s="225">
        <v>13996265.68</v>
      </c>
      <c r="D60" s="18"/>
      <c r="F60" s="199"/>
      <c r="H60" s="89" t="s">
        <v>90</v>
      </c>
      <c r="I60" s="90"/>
    </row>
    <row r="61" spans="1:20" ht="15.6" customHeight="1" thickBot="1">
      <c r="A61" s="8"/>
      <c r="B61" s="8" t="s">
        <v>71</v>
      </c>
      <c r="C61" s="231">
        <f>ROUND(C58-C60,2)</f>
        <v>0</v>
      </c>
      <c r="D61" s="19"/>
      <c r="H61" s="82" t="s">
        <v>78</v>
      </c>
      <c r="I61" s="83" t="s">
        <v>79</v>
      </c>
      <c r="J61" s="2"/>
      <c r="N61" s="2"/>
    </row>
    <row r="62" spans="1:20" ht="15.6" customHeight="1" thickBot="1">
      <c r="C62" s="85"/>
      <c r="H62" s="84" t="e">
        <f>'191010 WA DEF'!E37+'191010 WA DEF'!E38+'191010 WA DEF'!E39+'191000 WA Amort'!H37+'191000 WA Amort'!H38+'191000 WA Amort'!H39+#REF!+#REF!+#REF!+#REF!+#REF!+#REF!</f>
        <v>#REF!</v>
      </c>
      <c r="I62" s="91" t="e">
        <f>'191010 WA DEF'!F36+'191010 WA DEF'!F38+'191010 WA DEF'!F39+'191000 WA Amort'!I36+'191000 WA Amort'!I38+'191000 WA Amort'!I39+#REF!+#REF!+#REF!+#REF!+#REF!+#REF!</f>
        <v>#REF!</v>
      </c>
      <c r="O62" s="2"/>
      <c r="P62" s="200"/>
    </row>
    <row r="63" spans="1:20" ht="15.6" customHeight="1">
      <c r="C63" s="5"/>
      <c r="D63" s="18"/>
      <c r="G63" s="2"/>
      <c r="I63" s="244" t="e">
        <f>H62-I62</f>
        <v>#REF!</v>
      </c>
      <c r="N63" s="10"/>
      <c r="S63" s="3"/>
    </row>
    <row r="64" spans="1:20" ht="15.6" customHeight="1">
      <c r="C64" s="5"/>
      <c r="D64" s="23"/>
      <c r="G64" s="271"/>
      <c r="H64" s="272"/>
      <c r="I64" s="263"/>
      <c r="J64" s="2"/>
      <c r="N64" s="10"/>
    </row>
    <row r="65" spans="3:21" ht="15.6" customHeight="1">
      <c r="C65" s="37"/>
      <c r="D65" s="18"/>
      <c r="G65" s="271"/>
      <c r="H65" s="272"/>
      <c r="I65" s="264"/>
      <c r="J65" s="2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199"/>
      <c r="H67" s="260"/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F69" s="199"/>
      <c r="G69" s="199"/>
      <c r="H69" s="88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3">
    <cfRule type="cellIs" dxfId="324" priority="38" stopIfTrue="1" operator="equal">
      <formula>0</formula>
    </cfRule>
    <cfRule type="cellIs" dxfId="323" priority="39" stopIfTrue="1" operator="notEqual">
      <formula>0</formula>
    </cfRule>
  </conditionalFormatting>
  <conditionalFormatting sqref="K44:K46">
    <cfRule type="cellIs" dxfId="322" priority="37" operator="notEqual">
      <formula>0</formula>
    </cfRule>
  </conditionalFormatting>
  <conditionalFormatting sqref="C61">
    <cfRule type="cellIs" dxfId="321" priority="35" stopIfTrue="1" operator="equal">
      <formula>0</formula>
    </cfRule>
    <cfRule type="cellIs" dxfId="320" priority="36" stopIfTrue="1" operator="notEqual">
      <formula>0</formula>
    </cfRule>
  </conditionalFormatting>
  <conditionalFormatting sqref="H15">
    <cfRule type="cellIs" dxfId="319" priority="33" stopIfTrue="1" operator="equal">
      <formula>0</formula>
    </cfRule>
    <cfRule type="cellIs" dxfId="318" priority="34" stopIfTrue="1" operator="notEqual">
      <formula>0</formula>
    </cfRule>
  </conditionalFormatting>
  <conditionalFormatting sqref="H15">
    <cfRule type="cellIs" dxfId="317" priority="31" stopIfTrue="1" operator="equal">
      <formula>0</formula>
    </cfRule>
    <cfRule type="cellIs" dxfId="316" priority="32" stopIfTrue="1" operator="notEqual">
      <formula>0</formula>
    </cfRule>
  </conditionalFormatting>
  <conditionalFormatting sqref="J15">
    <cfRule type="cellIs" dxfId="315" priority="29" stopIfTrue="1" operator="equal">
      <formula>0</formula>
    </cfRule>
    <cfRule type="cellIs" dxfId="314" priority="30" stopIfTrue="1" operator="notEqual">
      <formula>0</formula>
    </cfRule>
  </conditionalFormatting>
  <conditionalFormatting sqref="J15">
    <cfRule type="cellIs" dxfId="313" priority="27" stopIfTrue="1" operator="equal">
      <formula>0</formula>
    </cfRule>
    <cfRule type="cellIs" dxfId="312" priority="28" stopIfTrue="1" operator="notEqual">
      <formula>0</formula>
    </cfRule>
  </conditionalFormatting>
  <conditionalFormatting sqref="L15">
    <cfRule type="cellIs" dxfId="311" priority="25" stopIfTrue="1" operator="equal">
      <formula>0</formula>
    </cfRule>
    <cfRule type="cellIs" dxfId="310" priority="26" stopIfTrue="1" operator="notEqual">
      <formula>0</formula>
    </cfRule>
  </conditionalFormatting>
  <conditionalFormatting sqref="L15">
    <cfRule type="cellIs" dxfId="309" priority="23" stopIfTrue="1" operator="equal">
      <formula>0</formula>
    </cfRule>
    <cfRule type="cellIs" dxfId="308" priority="24" stopIfTrue="1" operator="notEqual">
      <formula>0</formula>
    </cfRule>
  </conditionalFormatting>
  <conditionalFormatting sqref="G32">
    <cfRule type="cellIs" dxfId="307" priority="21" stopIfTrue="1" operator="equal">
      <formula>0</formula>
    </cfRule>
    <cfRule type="cellIs" dxfId="306" priority="22" stopIfTrue="1" operator="notEqual">
      <formula>0</formula>
    </cfRule>
  </conditionalFormatting>
  <conditionalFormatting sqref="G32">
    <cfRule type="cellIs" dxfId="305" priority="19" stopIfTrue="1" operator="equal">
      <formula>0</formula>
    </cfRule>
    <cfRule type="cellIs" dxfId="304" priority="20" stopIfTrue="1" operator="notEqual">
      <formula>0</formula>
    </cfRule>
  </conditionalFormatting>
  <conditionalFormatting sqref="G44">
    <cfRule type="cellIs" dxfId="303" priority="17" stopIfTrue="1" operator="equal">
      <formula>0</formula>
    </cfRule>
    <cfRule type="cellIs" dxfId="302" priority="18" stopIfTrue="1" operator="notEqual">
      <formula>0</formula>
    </cfRule>
  </conditionalFormatting>
  <conditionalFormatting sqref="G44">
    <cfRule type="cellIs" dxfId="301" priority="15" stopIfTrue="1" operator="equal">
      <formula>0</formula>
    </cfRule>
    <cfRule type="cellIs" dxfId="300" priority="16" stopIfTrue="1" operator="notEqual">
      <formula>0</formula>
    </cfRule>
  </conditionalFormatting>
  <conditionalFormatting sqref="K30">
    <cfRule type="cellIs" dxfId="299" priority="13" stopIfTrue="1" operator="equal">
      <formula>0</formula>
    </cfRule>
    <cfRule type="cellIs" dxfId="298" priority="14" stopIfTrue="1" operator="notEqual">
      <formula>0</formula>
    </cfRule>
  </conditionalFormatting>
  <conditionalFormatting sqref="K30">
    <cfRule type="cellIs" dxfId="297" priority="11" stopIfTrue="1" operator="equal">
      <formula>0</formula>
    </cfRule>
    <cfRule type="cellIs" dxfId="296" priority="12" stopIfTrue="1" operator="notEqual">
      <formula>0</formula>
    </cfRule>
  </conditionalFormatting>
  <conditionalFormatting sqref="K43">
    <cfRule type="cellIs" dxfId="295" priority="9" stopIfTrue="1" operator="equal">
      <formula>0</formula>
    </cfRule>
    <cfRule type="cellIs" dxfId="294" priority="10" stopIfTrue="1" operator="notEqual">
      <formula>0</formula>
    </cfRule>
  </conditionalFormatting>
  <conditionalFormatting sqref="K43">
    <cfRule type="cellIs" dxfId="293" priority="7" stopIfTrue="1" operator="equal">
      <formula>0</formula>
    </cfRule>
    <cfRule type="cellIs" dxfId="292" priority="8" stopIfTrue="1" operator="notEqual">
      <formula>0</formula>
    </cfRule>
  </conditionalFormatting>
  <conditionalFormatting sqref="G60">
    <cfRule type="cellIs" dxfId="291" priority="6" operator="equal">
      <formula>"ERROR"</formula>
    </cfRule>
  </conditionalFormatting>
  <conditionalFormatting sqref="G60">
    <cfRule type="cellIs" dxfId="290" priority="5" operator="equal">
      <formula>"ERROR"</formula>
    </cfRule>
  </conditionalFormatting>
  <conditionalFormatting sqref="G67">
    <cfRule type="cellIs" dxfId="289" priority="4" operator="equal">
      <formula>"ERROR"</formula>
    </cfRule>
  </conditionalFormatting>
  <conditionalFormatting sqref="G67">
    <cfRule type="cellIs" dxfId="288" priority="3" operator="equal">
      <formula>"ERROR"</formula>
    </cfRule>
  </conditionalFormatting>
  <conditionalFormatting sqref="H69">
    <cfRule type="cellIs" dxfId="287" priority="2" operator="equal">
      <formula>"ERROR"</formula>
    </cfRule>
  </conditionalFormatting>
  <conditionalFormatting sqref="H69">
    <cfRule type="cellIs" dxfId="286" priority="1" operator="equal">
      <formula>"ERROR"</formula>
    </cfRule>
  </conditionalFormatting>
  <printOptions horizontalCentered="1" gridLinesSet="0"/>
  <pageMargins left="0.2" right="0.2" top="0.7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3CC91-117C-4803-AD25-7F0BDDCFCF89}">
  <sheetPr transitionEvaluation="1">
    <tabColor rgb="FF00CC66"/>
    <pageSetUpPr fitToPage="1"/>
  </sheetPr>
  <dimension ref="A1:U1487"/>
  <sheetViews>
    <sheetView showGridLines="0" topLeftCell="A31" zoomScale="60" zoomScaleNormal="60" workbookViewId="0">
      <selection activeCell="F64" sqref="F64"/>
    </sheetView>
  </sheetViews>
  <sheetFormatPr defaultColWidth="16" defaultRowHeight="15"/>
  <cols>
    <col min="1" max="1" width="55.28515625" style="87" bestFit="1" customWidth="1"/>
    <col min="2" max="2" width="31.4257812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.85546875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23</v>
      </c>
      <c r="B1" s="202"/>
      <c r="C1" s="201">
        <v>202103</v>
      </c>
      <c r="F1" s="92">
        <f>C1</f>
        <v>202103</v>
      </c>
      <c r="G1" s="88"/>
      <c r="H1" s="54" t="s">
        <v>28</v>
      </c>
      <c r="I1" s="41" t="s">
        <v>2</v>
      </c>
      <c r="J1" s="41" t="s">
        <v>2</v>
      </c>
      <c r="K1" s="41" t="s">
        <v>25</v>
      </c>
      <c r="L1" s="41" t="s">
        <v>25</v>
      </c>
      <c r="M1" s="88"/>
    </row>
    <row r="2" spans="1:13" ht="15.6" customHeight="1">
      <c r="C2" s="204"/>
      <c r="F2" s="88"/>
      <c r="G2" s="88"/>
      <c r="H2" s="55" t="s">
        <v>9</v>
      </c>
      <c r="I2" s="56" t="s">
        <v>24</v>
      </c>
      <c r="J2" s="56" t="s">
        <v>24</v>
      </c>
      <c r="K2" s="56" t="s">
        <v>26</v>
      </c>
      <c r="L2" s="56" t="s">
        <v>26</v>
      </c>
      <c r="M2" s="88"/>
    </row>
    <row r="3" spans="1:13" ht="15.6" customHeight="1" thickBot="1">
      <c r="A3" s="25" t="s">
        <v>145</v>
      </c>
      <c r="C3" s="16"/>
      <c r="D3" s="206"/>
      <c r="F3" s="28" t="s">
        <v>31</v>
      </c>
      <c r="G3" s="88"/>
      <c r="H3" s="57" t="s">
        <v>27</v>
      </c>
      <c r="I3" s="57" t="s">
        <v>12</v>
      </c>
      <c r="J3" s="57" t="s">
        <v>22</v>
      </c>
      <c r="K3" s="57" t="s">
        <v>12</v>
      </c>
      <c r="L3" s="57" t="s">
        <v>22</v>
      </c>
      <c r="M3" s="88"/>
    </row>
    <row r="4" spans="1:13" ht="15.6" customHeight="1">
      <c r="A4" s="88" t="s">
        <v>36</v>
      </c>
      <c r="C4" s="225">
        <v>3631690.92</v>
      </c>
      <c r="D4" s="208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25">
        <v>22787.14</v>
      </c>
      <c r="D5" s="208"/>
      <c r="F5" s="88"/>
      <c r="G5" s="88"/>
      <c r="H5" s="4"/>
      <c r="I5" s="209">
        <v>0.68810000000000004</v>
      </c>
      <c r="J5" s="209">
        <v>0.31190000000000001</v>
      </c>
      <c r="K5" s="233">
        <f>ROUND(G42/(G42+K41),4)</f>
        <v>0.68710000000000004</v>
      </c>
      <c r="L5" s="233">
        <f>1-K5</f>
        <v>0.31289999999999996</v>
      </c>
      <c r="M5" s="88"/>
    </row>
    <row r="6" spans="1:13" ht="15.6" customHeight="1" thickBot="1">
      <c r="A6" s="27" t="s">
        <v>7</v>
      </c>
      <c r="C6" s="226">
        <f>-1484819.23-423508.04-121002.3-144597.75-97479.45</f>
        <v>-2271406.7700000005</v>
      </c>
      <c r="D6" s="208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63</v>
      </c>
      <c r="C7" s="224">
        <f>SUM(C4:C6)</f>
        <v>1383071.2899999996</v>
      </c>
      <c r="D7" s="17"/>
      <c r="F7" s="58" t="s">
        <v>147</v>
      </c>
      <c r="G7" s="58"/>
      <c r="H7" s="40">
        <f>C32</f>
        <v>2255714.9299999997</v>
      </c>
      <c r="I7" s="59">
        <f>H7*I5</f>
        <v>1552157.4433329999</v>
      </c>
      <c r="J7" s="59">
        <f>H7*J5</f>
        <v>703557.48666699987</v>
      </c>
      <c r="K7" s="59"/>
      <c r="L7" s="59"/>
      <c r="M7" s="88"/>
    </row>
    <row r="8" spans="1:13" ht="15.6" customHeight="1">
      <c r="A8" s="87" t="s">
        <v>174</v>
      </c>
      <c r="C8" s="225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175</v>
      </c>
      <c r="C9" s="225">
        <v>8157.27</v>
      </c>
      <c r="D9" s="18"/>
      <c r="F9" s="58" t="s">
        <v>48</v>
      </c>
      <c r="G9" s="88"/>
      <c r="H9" s="234">
        <f>C55</f>
        <v>4020076.4399999995</v>
      </c>
      <c r="I9" s="59"/>
      <c r="J9" s="59"/>
      <c r="K9" s="236">
        <f>H9*K5</f>
        <v>2762194.5219239998</v>
      </c>
      <c r="L9" s="236">
        <f>H9*L5</f>
        <v>1257881.9180759997</v>
      </c>
      <c r="M9" s="88"/>
    </row>
    <row r="10" spans="1:13" ht="15.6" customHeight="1">
      <c r="A10" s="27" t="s">
        <v>176</v>
      </c>
      <c r="C10" s="226">
        <v>-2848.33</v>
      </c>
      <c r="D10" s="18"/>
      <c r="F10" s="61" t="s">
        <v>19</v>
      </c>
      <c r="G10" s="88"/>
      <c r="H10" s="234">
        <f>C58+C57</f>
        <v>308537.56</v>
      </c>
      <c r="I10" s="59"/>
      <c r="J10" s="59"/>
      <c r="K10" s="236">
        <f>H10</f>
        <v>308537.56</v>
      </c>
      <c r="L10" s="236"/>
      <c r="M10" s="88"/>
    </row>
    <row r="11" spans="1:13" ht="15.6" customHeight="1">
      <c r="A11" s="30" t="s">
        <v>64</v>
      </c>
      <c r="C11" s="224">
        <f>SUM(C8:C10)</f>
        <v>215876.15</v>
      </c>
      <c r="D11" s="18"/>
      <c r="F11" s="61" t="s">
        <v>20</v>
      </c>
      <c r="G11" s="88"/>
      <c r="H11" s="235">
        <f>C59+C56</f>
        <v>162136.15</v>
      </c>
      <c r="I11" s="59"/>
      <c r="J11" s="59"/>
      <c r="K11" s="237"/>
      <c r="L11" s="237">
        <f>H11</f>
        <v>162136.15</v>
      </c>
      <c r="M11" s="88"/>
    </row>
    <row r="12" spans="1:13" ht="15.6" customHeight="1">
      <c r="A12" s="87" t="s">
        <v>105</v>
      </c>
      <c r="C12" s="225">
        <v>157397.35</v>
      </c>
      <c r="D12" s="18"/>
      <c r="F12" s="61" t="s">
        <v>62</v>
      </c>
      <c r="G12" s="88"/>
      <c r="H12" s="223">
        <f>H9+H10+H11</f>
        <v>4490750.1499999994</v>
      </c>
      <c r="I12" s="59"/>
      <c r="J12" s="59"/>
      <c r="K12" s="59">
        <f>SUM(K9:K11)</f>
        <v>3070732.0819239998</v>
      </c>
      <c r="L12" s="59">
        <f>SUM(L9:L11)</f>
        <v>1420018.0680759996</v>
      </c>
      <c r="M12" s="88"/>
    </row>
    <row r="13" spans="1:13" ht="15.6" customHeight="1" thickBot="1">
      <c r="A13" s="27" t="s">
        <v>106</v>
      </c>
      <c r="C13" s="225"/>
      <c r="D13" s="18"/>
      <c r="F13" s="88"/>
      <c r="G13" s="30"/>
      <c r="H13" s="192"/>
      <c r="I13" s="62"/>
      <c r="J13" s="192"/>
      <c r="K13" s="60"/>
      <c r="L13" s="192"/>
      <c r="M13" s="88"/>
    </row>
    <row r="14" spans="1:13" ht="15.6" customHeight="1" thickBot="1">
      <c r="A14" s="30" t="s">
        <v>107</v>
      </c>
      <c r="C14" s="224">
        <f>SUM(C12:C13)</f>
        <v>157397.35</v>
      </c>
      <c r="D14" s="19"/>
      <c r="F14" s="88" t="s">
        <v>28</v>
      </c>
      <c r="G14" s="58"/>
      <c r="H14" s="40">
        <f>H12+H7</f>
        <v>6746465.0799999991</v>
      </c>
      <c r="I14" s="210">
        <f>SUM(I7:I13)</f>
        <v>1552157.4433329999</v>
      </c>
      <c r="J14" s="210">
        <f>SUM(J7:J13)</f>
        <v>703557.48666699987</v>
      </c>
      <c r="K14" s="210">
        <f>K12</f>
        <v>3070732.0819239998</v>
      </c>
      <c r="L14" s="210">
        <f>L12</f>
        <v>1420018.0680759996</v>
      </c>
      <c r="M14" s="88"/>
    </row>
    <row r="15" spans="1:13" ht="15.6" customHeight="1">
      <c r="A15" s="87" t="s">
        <v>178</v>
      </c>
      <c r="C15" s="225">
        <v>426745.89</v>
      </c>
      <c r="D15" s="18"/>
      <c r="F15" s="88"/>
      <c r="G15" s="30" t="s">
        <v>41</v>
      </c>
      <c r="H15" s="231">
        <f>H14-C62</f>
        <v>0</v>
      </c>
      <c r="I15" s="238"/>
      <c r="J15" s="231">
        <f>J7+I7-H7</f>
        <v>0</v>
      </c>
      <c r="K15" s="239"/>
      <c r="L15" s="231">
        <f>H12-K14-L14</f>
        <v>0</v>
      </c>
      <c r="M15" s="88"/>
    </row>
    <row r="16" spans="1:13" ht="15.6" customHeight="1">
      <c r="A16" s="27" t="s">
        <v>179</v>
      </c>
      <c r="C16" s="225"/>
      <c r="D16" s="18"/>
      <c r="F16" s="193"/>
      <c r="G16" s="30"/>
      <c r="H16" s="194"/>
      <c r="I16" s="63"/>
      <c r="J16" s="194"/>
      <c r="K16" s="88"/>
      <c r="L16" s="194"/>
      <c r="M16" s="88"/>
    </row>
    <row r="17" spans="1:13" ht="15.6" customHeight="1" thickBot="1">
      <c r="A17" s="30" t="s">
        <v>84</v>
      </c>
      <c r="C17" s="224">
        <f>SUM(C15:C16)</f>
        <v>426745.89</v>
      </c>
      <c r="D17" s="19"/>
      <c r="F17" s="88"/>
      <c r="G17" s="30"/>
      <c r="H17" s="194"/>
      <c r="I17" s="63"/>
      <c r="J17" s="195"/>
      <c r="K17" s="88"/>
      <c r="L17" s="194"/>
      <c r="M17" s="88"/>
    </row>
    <row r="18" spans="1:13" ht="15.6" customHeight="1" thickBot="1">
      <c r="A18" s="87" t="s">
        <v>73</v>
      </c>
      <c r="C18" s="225">
        <v>107016.83</v>
      </c>
      <c r="D18" s="18"/>
      <c r="F18" s="382" t="s">
        <v>59</v>
      </c>
      <c r="G18" s="383"/>
      <c r="H18" s="383"/>
      <c r="I18" s="384"/>
      <c r="J18" s="382" t="s">
        <v>60</v>
      </c>
      <c r="K18" s="383"/>
      <c r="L18" s="383"/>
      <c r="M18" s="384"/>
    </row>
    <row r="19" spans="1:13" ht="15.6" customHeight="1">
      <c r="A19" s="25" t="s">
        <v>74</v>
      </c>
      <c r="C19" s="226"/>
      <c r="D19" s="18"/>
      <c r="F19" s="211" t="s">
        <v>42</v>
      </c>
      <c r="G19" s="205" t="s">
        <v>10</v>
      </c>
      <c r="H19" s="205" t="s">
        <v>10</v>
      </c>
      <c r="I19" s="205" t="s">
        <v>10</v>
      </c>
      <c r="J19" s="211" t="s">
        <v>42</v>
      </c>
      <c r="K19" s="205" t="s">
        <v>10</v>
      </c>
      <c r="L19" s="205" t="s">
        <v>10</v>
      </c>
      <c r="M19" s="274" t="s">
        <v>10</v>
      </c>
    </row>
    <row r="20" spans="1:13" ht="15.6" customHeight="1" thickBot="1">
      <c r="A20" s="31" t="s">
        <v>108</v>
      </c>
      <c r="C20" s="224">
        <f>SUM(C18:C19)</f>
        <v>107016.83</v>
      </c>
      <c r="D20" s="18"/>
      <c r="F20" s="212" t="s">
        <v>72</v>
      </c>
      <c r="G20" s="207" t="s">
        <v>40</v>
      </c>
      <c r="H20" s="207" t="s">
        <v>13</v>
      </c>
      <c r="I20" s="207" t="s">
        <v>11</v>
      </c>
      <c r="J20" s="212" t="s">
        <v>72</v>
      </c>
      <c r="K20" s="207" t="s">
        <v>40</v>
      </c>
      <c r="L20" s="207" t="s">
        <v>13</v>
      </c>
      <c r="M20" s="207" t="s">
        <v>11</v>
      </c>
    </row>
    <row r="21" spans="1:13" ht="15.6" customHeight="1">
      <c r="A21" s="25" t="s">
        <v>177</v>
      </c>
      <c r="C21" s="226">
        <v>1850</v>
      </c>
      <c r="D21" s="18"/>
      <c r="F21" s="51"/>
      <c r="G21" s="273"/>
      <c r="H21" s="273"/>
      <c r="I21" s="274"/>
      <c r="J21" s="213"/>
      <c r="K21" s="214"/>
      <c r="L21" s="214"/>
      <c r="M21" s="76"/>
    </row>
    <row r="22" spans="1:13" ht="15.6" customHeight="1">
      <c r="A22" s="29" t="s">
        <v>109</v>
      </c>
      <c r="B22" s="224"/>
      <c r="C22" s="224">
        <f>SUM(C21)</f>
        <v>1850</v>
      </c>
      <c r="D22" s="18"/>
      <c r="F22" s="73" t="s">
        <v>52</v>
      </c>
      <c r="G22" s="4"/>
      <c r="H22" s="4"/>
      <c r="I22" s="36"/>
      <c r="J22" s="73" t="s">
        <v>52</v>
      </c>
      <c r="K22" s="4"/>
      <c r="L22" s="4"/>
      <c r="M22" s="36"/>
    </row>
    <row r="23" spans="1:13" ht="15.6" customHeight="1">
      <c r="A23" s="77"/>
      <c r="C23" s="228"/>
      <c r="D23" s="18"/>
      <c r="F23" s="74" t="s">
        <v>14</v>
      </c>
      <c r="G23" s="93">
        <v>14741098</v>
      </c>
      <c r="H23" s="215">
        <v>9.8220000000000002E-2</v>
      </c>
      <c r="I23" s="278">
        <f t="shared" ref="I23:I29" si="0">G23*H23</f>
        <v>1447870.6455600001</v>
      </c>
      <c r="J23" s="74" t="s">
        <v>14</v>
      </c>
      <c r="K23" s="93">
        <v>7153037</v>
      </c>
      <c r="L23" s="215">
        <v>8.9520000000000002E-2</v>
      </c>
      <c r="M23" s="278">
        <f t="shared" ref="M23:M27" si="1">K23*L23</f>
        <v>640339.87224000006</v>
      </c>
    </row>
    <row r="24" spans="1:13" ht="15.6" customHeight="1">
      <c r="A24" s="77" t="s">
        <v>192</v>
      </c>
      <c r="C24" s="225">
        <v>-12148.65</v>
      </c>
      <c r="D24" s="18"/>
      <c r="F24" s="74" t="s">
        <v>93</v>
      </c>
      <c r="G24" s="93">
        <v>24419</v>
      </c>
      <c r="H24" s="215">
        <v>9.8220000000000002E-2</v>
      </c>
      <c r="I24" s="278">
        <f t="shared" si="0"/>
        <v>2398.4341800000002</v>
      </c>
      <c r="J24" s="74" t="s">
        <v>15</v>
      </c>
      <c r="K24" s="93">
        <v>2841316</v>
      </c>
      <c r="L24" s="215">
        <v>8.9520000000000002E-2</v>
      </c>
      <c r="M24" s="278">
        <f t="shared" si="1"/>
        <v>254354.60832</v>
      </c>
    </row>
    <row r="25" spans="1:13" ht="15.6" customHeight="1">
      <c r="A25" s="77" t="s">
        <v>193</v>
      </c>
      <c r="C25" s="225">
        <v>6850.48</v>
      </c>
      <c r="D25" s="18"/>
      <c r="F25" s="74" t="s">
        <v>15</v>
      </c>
      <c r="G25" s="93">
        <v>6893495</v>
      </c>
      <c r="H25" s="215">
        <v>8.8349999999999998E-2</v>
      </c>
      <c r="I25" s="278">
        <f>G25*H25</f>
        <v>609040.28324999998</v>
      </c>
      <c r="J25" s="74" t="s">
        <v>16</v>
      </c>
      <c r="K25" s="93">
        <v>826</v>
      </c>
      <c r="L25" s="215">
        <v>8.9520000000000002E-2</v>
      </c>
      <c r="M25" s="278">
        <f>K25*L25</f>
        <v>73.943520000000007</v>
      </c>
    </row>
    <row r="26" spans="1:13" ht="15.6" customHeight="1">
      <c r="A26" s="78" t="s">
        <v>95</v>
      </c>
      <c r="C26" s="225">
        <v>0</v>
      </c>
      <c r="D26" s="18"/>
      <c r="F26" s="74" t="s">
        <v>16</v>
      </c>
      <c r="G26" s="93">
        <v>101451</v>
      </c>
      <c r="H26" s="215">
        <v>8.8349999999999998E-2</v>
      </c>
      <c r="I26" s="278">
        <f t="shared" si="0"/>
        <v>8963.1958500000001</v>
      </c>
      <c r="J26" s="74" t="s">
        <v>17</v>
      </c>
      <c r="K26" s="93">
        <v>0</v>
      </c>
      <c r="L26" s="215">
        <v>8.9520000000000002E-2</v>
      </c>
      <c r="M26" s="278">
        <f t="shared" si="1"/>
        <v>0</v>
      </c>
    </row>
    <row r="27" spans="1:13" ht="15.6" customHeight="1">
      <c r="A27" s="29" t="s">
        <v>39</v>
      </c>
      <c r="C27" s="224">
        <f>SUM(C23:C26)</f>
        <v>-5298.17</v>
      </c>
      <c r="D27" s="18"/>
      <c r="F27" s="74" t="s">
        <v>17</v>
      </c>
      <c r="G27" s="93">
        <v>0</v>
      </c>
      <c r="H27" s="215">
        <v>5.6399999999999999E-2</v>
      </c>
      <c r="I27" s="278">
        <f t="shared" si="0"/>
        <v>0</v>
      </c>
      <c r="J27" s="74" t="s">
        <v>18</v>
      </c>
      <c r="K27" s="93">
        <v>0</v>
      </c>
      <c r="L27" s="215">
        <v>8.9520000000000002E-2</v>
      </c>
      <c r="M27" s="278">
        <f t="shared" si="1"/>
        <v>0</v>
      </c>
    </row>
    <row r="28" spans="1:13" ht="15.6" customHeight="1" thickBot="1">
      <c r="A28" s="79" t="s">
        <v>67</v>
      </c>
      <c r="C28" s="225">
        <v>0</v>
      </c>
      <c r="D28" s="19"/>
      <c r="F28" s="74" t="s">
        <v>18</v>
      </c>
      <c r="G28" s="93">
        <v>183531</v>
      </c>
      <c r="H28" s="215">
        <v>5.6399999999999999E-2</v>
      </c>
      <c r="I28" s="278">
        <f t="shared" si="0"/>
        <v>10351.1484</v>
      </c>
      <c r="J28" s="73" t="s">
        <v>53</v>
      </c>
      <c r="K28" s="240">
        <f>SUM(K23:K27)</f>
        <v>9995179</v>
      </c>
      <c r="L28" s="241"/>
      <c r="M28" s="71">
        <f>SUM(M23:M27)</f>
        <v>894768.42408000003</v>
      </c>
    </row>
    <row r="29" spans="1:13" ht="15.6" customHeight="1" thickTop="1" thickBot="1">
      <c r="A29" s="79" t="s">
        <v>75</v>
      </c>
      <c r="B29" s="88"/>
      <c r="C29" s="225">
        <v>0</v>
      </c>
      <c r="D29" s="18"/>
      <c r="F29" s="74" t="s">
        <v>33</v>
      </c>
      <c r="G29" s="93">
        <v>2950398</v>
      </c>
      <c r="H29" s="215">
        <v>5.4000000000000001E-4</v>
      </c>
      <c r="I29" s="278">
        <f t="shared" si="0"/>
        <v>1593.2149200000001</v>
      </c>
      <c r="J29" s="74"/>
      <c r="K29" s="243">
        <v>9995179</v>
      </c>
      <c r="L29" s="65"/>
      <c r="M29" s="242">
        <f>M28/K28</f>
        <v>8.9520000000000002E-2</v>
      </c>
    </row>
    <row r="30" spans="1:13" ht="15.6" customHeight="1" thickBot="1">
      <c r="A30" s="1" t="s">
        <v>146</v>
      </c>
      <c r="B30" s="8" t="s">
        <v>163</v>
      </c>
      <c r="C30" s="40">
        <f>C7+C11+C14+C17+C20+C22+C27+C28+C29</f>
        <v>2286659.34</v>
      </c>
      <c r="D30" s="19"/>
      <c r="F30" s="73" t="s">
        <v>53</v>
      </c>
      <c r="G30" s="240">
        <f>SUM(G23:G29)</f>
        <v>24894392</v>
      </c>
      <c r="H30" s="6"/>
      <c r="I30" s="71">
        <f>SUM(I23:I29)</f>
        <v>2080216.9221600003</v>
      </c>
      <c r="J30" s="74"/>
      <c r="K30" s="231">
        <f>K28-K29</f>
        <v>0</v>
      </c>
      <c r="L30" s="65" t="s">
        <v>41</v>
      </c>
      <c r="M30" s="72"/>
    </row>
    <row r="31" spans="1:13" ht="15.6" customHeight="1" thickBot="1">
      <c r="A31" s="87" t="s">
        <v>44</v>
      </c>
      <c r="C31" s="228">
        <f>-C5-C9-C13-C16-C19</f>
        <v>-30944.41</v>
      </c>
      <c r="D31" s="20"/>
      <c r="F31" s="64"/>
      <c r="G31" s="243">
        <v>24894392</v>
      </c>
      <c r="H31" s="65"/>
      <c r="I31" s="242">
        <f>I30/G30</f>
        <v>8.3561668112239904E-2</v>
      </c>
      <c r="J31" s="51"/>
      <c r="K31" s="4"/>
      <c r="L31" s="196"/>
      <c r="M31" s="72"/>
    </row>
    <row r="32" spans="1:13" ht="15.6" customHeight="1" thickBot="1">
      <c r="A32" s="1" t="s">
        <v>45</v>
      </c>
      <c r="C32" s="40">
        <f>SUM(C30:C31)</f>
        <v>2255714.9299999997</v>
      </c>
      <c r="D32" s="21"/>
      <c r="F32" s="51"/>
      <c r="G32" s="231">
        <f>G30-G31</f>
        <v>0</v>
      </c>
      <c r="H32" s="65" t="s">
        <v>41</v>
      </c>
      <c r="I32" s="36"/>
      <c r="J32" s="69"/>
      <c r="K32" s="70"/>
      <c r="L32" s="4"/>
      <c r="M32" s="72"/>
    </row>
    <row r="33" spans="1:17" ht="15.6" customHeight="1">
      <c r="C33" s="229"/>
      <c r="D33" s="18"/>
      <c r="E33" s="88"/>
      <c r="F33" s="51"/>
      <c r="G33" s="4"/>
      <c r="H33" s="65"/>
      <c r="I33" s="36"/>
      <c r="J33" s="69"/>
      <c r="K33" s="70"/>
      <c r="L33" s="4"/>
      <c r="M33" s="36"/>
    </row>
    <row r="34" spans="1:17" ht="15.6" customHeight="1">
      <c r="A34" s="9" t="s">
        <v>37</v>
      </c>
      <c r="C34" s="230"/>
      <c r="D34" s="18"/>
      <c r="E34" s="88"/>
      <c r="F34" s="51"/>
      <c r="G34" s="4"/>
      <c r="H34" s="65"/>
      <c r="I34" s="36"/>
      <c r="J34" s="69"/>
      <c r="K34" s="70"/>
      <c r="L34" s="4"/>
      <c r="M34" s="36"/>
    </row>
    <row r="35" spans="1:17" ht="15.6" customHeight="1">
      <c r="A35" s="4" t="s">
        <v>55</v>
      </c>
      <c r="B35" s="29" t="s">
        <v>46</v>
      </c>
      <c r="C35" s="225">
        <f>8825093.26-65273.47</f>
        <v>8759819.7899999991</v>
      </c>
      <c r="D35" s="18"/>
      <c r="F35" s="73" t="s">
        <v>54</v>
      </c>
      <c r="G35" s="4"/>
      <c r="H35" s="4"/>
      <c r="I35" s="36"/>
      <c r="J35" s="73" t="s">
        <v>54</v>
      </c>
      <c r="K35" s="68"/>
      <c r="L35" s="4"/>
      <c r="M35" s="36"/>
    </row>
    <row r="36" spans="1:17" ht="15.6" customHeight="1">
      <c r="A36" s="47" t="s">
        <v>5</v>
      </c>
      <c r="B36" s="29" t="s">
        <v>46</v>
      </c>
      <c r="C36" s="225"/>
      <c r="D36" s="18"/>
      <c r="F36" s="74" t="s">
        <v>14</v>
      </c>
      <c r="G36" s="279">
        <f>+G23</f>
        <v>14741098</v>
      </c>
      <c r="H36" s="215">
        <v>0.16167000000000001</v>
      </c>
      <c r="I36" s="278">
        <f t="shared" ref="I36:I41" si="2">G36*H36</f>
        <v>2383193.31366</v>
      </c>
      <c r="J36" s="74" t="s">
        <v>14</v>
      </c>
      <c r="K36" s="279">
        <f>+K23</f>
        <v>7153037</v>
      </c>
      <c r="L36" s="215">
        <v>0.16148000000000001</v>
      </c>
      <c r="M36" s="278">
        <f t="shared" ref="M36:M40" si="3">K36*L36</f>
        <v>1155072.4147600001</v>
      </c>
      <c r="P36" s="81"/>
      <c r="Q36" s="81"/>
    </row>
    <row r="37" spans="1:17" ht="15.6" customHeight="1">
      <c r="A37" s="4" t="s">
        <v>65</v>
      </c>
      <c r="B37" s="29" t="s">
        <v>66</v>
      </c>
      <c r="C37" s="225">
        <v>-41461.96</v>
      </c>
      <c r="D37" s="18"/>
      <c r="F37" s="74" t="s">
        <v>93</v>
      </c>
      <c r="G37" s="279">
        <f t="shared" ref="G37:G41" si="4">+G24</f>
        <v>24419</v>
      </c>
      <c r="H37" s="215">
        <v>0.16167000000000001</v>
      </c>
      <c r="I37" s="278">
        <f t="shared" si="2"/>
        <v>3947.8197300000002</v>
      </c>
      <c r="J37" s="74" t="s">
        <v>15</v>
      </c>
      <c r="K37" s="279">
        <f t="shared" ref="K37:K40" si="5">+K24</f>
        <v>2841316</v>
      </c>
      <c r="L37" s="215">
        <v>0.16148000000000001</v>
      </c>
      <c r="M37" s="278">
        <f>K37*L37</f>
        <v>458815.70768000005</v>
      </c>
      <c r="P37" s="81"/>
      <c r="Q37" s="81"/>
    </row>
    <row r="38" spans="1:17" ht="15.6" customHeight="1">
      <c r="A38" s="4" t="s">
        <v>56</v>
      </c>
      <c r="B38" s="29" t="s">
        <v>57</v>
      </c>
      <c r="C38" s="225">
        <v>-1628312.65</v>
      </c>
      <c r="D38" s="18"/>
      <c r="F38" s="74" t="s">
        <v>15</v>
      </c>
      <c r="G38" s="279">
        <f t="shared" si="4"/>
        <v>6893495</v>
      </c>
      <c r="H38" s="215">
        <v>0.16167000000000001</v>
      </c>
      <c r="I38" s="278">
        <f>G38*H38</f>
        <v>1114471.33665</v>
      </c>
      <c r="J38" s="74" t="s">
        <v>16</v>
      </c>
      <c r="K38" s="279">
        <f t="shared" si="5"/>
        <v>826</v>
      </c>
      <c r="L38" s="215">
        <v>0.16148000000000001</v>
      </c>
      <c r="M38" s="278">
        <f t="shared" si="3"/>
        <v>133.38248000000002</v>
      </c>
      <c r="P38" s="81"/>
      <c r="Q38" s="81"/>
    </row>
    <row r="39" spans="1:17" ht="15.6" customHeight="1">
      <c r="A39" s="4" t="s">
        <v>69</v>
      </c>
      <c r="B39" s="8" t="s">
        <v>70</v>
      </c>
      <c r="C39" s="225">
        <v>-65395.49</v>
      </c>
      <c r="D39" s="18"/>
      <c r="F39" s="74" t="s">
        <v>16</v>
      </c>
      <c r="G39" s="279">
        <f t="shared" si="4"/>
        <v>101451</v>
      </c>
      <c r="H39" s="215">
        <v>0.16167000000000001</v>
      </c>
      <c r="I39" s="278">
        <f t="shared" si="2"/>
        <v>16401.583170000002</v>
      </c>
      <c r="J39" s="74" t="s">
        <v>17</v>
      </c>
      <c r="K39" s="279">
        <f t="shared" si="5"/>
        <v>0</v>
      </c>
      <c r="L39" s="215">
        <v>0.16148000000000001</v>
      </c>
      <c r="M39" s="278">
        <f t="shared" si="3"/>
        <v>0</v>
      </c>
      <c r="P39" s="81"/>
      <c r="Q39" s="81"/>
    </row>
    <row r="40" spans="1:17" ht="15.6" customHeight="1" thickBot="1">
      <c r="A40" s="4" t="s">
        <v>168</v>
      </c>
      <c r="B40" s="29" t="s">
        <v>81</v>
      </c>
      <c r="C40" s="225">
        <v>541664.44999999995</v>
      </c>
      <c r="D40" s="18"/>
      <c r="F40" s="74" t="s">
        <v>17</v>
      </c>
      <c r="G40" s="279">
        <f t="shared" si="4"/>
        <v>0</v>
      </c>
      <c r="H40" s="215">
        <v>0.16167000000000001</v>
      </c>
      <c r="I40" s="278">
        <f t="shared" si="2"/>
        <v>0</v>
      </c>
      <c r="J40" s="74" t="s">
        <v>18</v>
      </c>
      <c r="K40" s="279">
        <f t="shared" si="5"/>
        <v>0</v>
      </c>
      <c r="L40" s="215">
        <v>0.16148000000000001</v>
      </c>
      <c r="M40" s="278">
        <f t="shared" si="3"/>
        <v>0</v>
      </c>
      <c r="P40" s="81"/>
      <c r="Q40" s="81"/>
    </row>
    <row r="41" spans="1:17" ht="15.6" customHeight="1" thickBot="1">
      <c r="A41" s="34" t="s">
        <v>50</v>
      </c>
      <c r="B41" s="29"/>
      <c r="C41" s="40">
        <f>SUM(C35:C40)</f>
        <v>7566314.1399999978</v>
      </c>
      <c r="D41" s="18"/>
      <c r="F41" s="74" t="s">
        <v>18</v>
      </c>
      <c r="G41" s="279">
        <f t="shared" si="4"/>
        <v>183531</v>
      </c>
      <c r="H41" s="215">
        <v>0.16167000000000001</v>
      </c>
      <c r="I41" s="278">
        <f t="shared" si="2"/>
        <v>29671.456770000001</v>
      </c>
      <c r="J41" s="73" t="s">
        <v>58</v>
      </c>
      <c r="K41" s="240">
        <f>SUM(K36:K40)</f>
        <v>9995179</v>
      </c>
      <c r="L41" s="241"/>
      <c r="M41" s="71">
        <f>SUM(M36:M40)</f>
        <v>1614021.50492</v>
      </c>
      <c r="P41" s="81"/>
      <c r="Q41" s="81"/>
    </row>
    <row r="42" spans="1:17" ht="15.6" customHeight="1" thickTop="1" thickBot="1">
      <c r="A42" s="33" t="s">
        <v>80</v>
      </c>
      <c r="B42" s="232" t="s">
        <v>49</v>
      </c>
      <c r="C42" s="225">
        <f>2442071.88-43528.85</f>
        <v>2398543.0299999998</v>
      </c>
      <c r="D42" s="19"/>
      <c r="F42" s="73" t="s">
        <v>58</v>
      </c>
      <c r="G42" s="240">
        <f>SUM(G36:G41)</f>
        <v>21943994</v>
      </c>
      <c r="H42" s="241"/>
      <c r="I42" s="250">
        <f>SUM(I36:I41)</f>
        <v>3547685.5099800001</v>
      </c>
      <c r="J42" s="73"/>
      <c r="K42" s="243">
        <v>9995179</v>
      </c>
      <c r="L42" s="65"/>
      <c r="M42" s="247">
        <f>M41/K41</f>
        <v>0.16147999999999998</v>
      </c>
      <c r="P42" s="81"/>
      <c r="Q42" s="81"/>
    </row>
    <row r="43" spans="1:17" ht="15.6" customHeight="1" thickTop="1">
      <c r="A43" s="87" t="s">
        <v>169</v>
      </c>
      <c r="B43" s="8" t="s">
        <v>46</v>
      </c>
      <c r="C43" s="225">
        <v>-8146.65</v>
      </c>
      <c r="D43" s="18"/>
      <c r="F43" s="64"/>
      <c r="G43" s="243">
        <v>21943994</v>
      </c>
      <c r="H43" s="65"/>
      <c r="I43" s="251">
        <f>I42/G42</f>
        <v>0.16167000000000001</v>
      </c>
      <c r="J43" s="73"/>
      <c r="K43" s="231">
        <f>K41-K42</f>
        <v>0</v>
      </c>
      <c r="L43" s="65" t="s">
        <v>41</v>
      </c>
      <c r="M43" s="72"/>
    </row>
    <row r="44" spans="1:17" ht="15.6" customHeight="1" thickBot="1">
      <c r="A44" s="259" t="s">
        <v>92</v>
      </c>
      <c r="B44" s="8" t="s">
        <v>46</v>
      </c>
      <c r="C44" s="225">
        <v>7000</v>
      </c>
      <c r="D44" s="19"/>
      <c r="F44" s="66"/>
      <c r="G44" s="248">
        <f>G42-G43</f>
        <v>0</v>
      </c>
      <c r="H44" s="67" t="s">
        <v>41</v>
      </c>
      <c r="I44" s="249"/>
      <c r="J44" s="252"/>
      <c r="K44" s="253"/>
      <c r="L44" s="254"/>
      <c r="M44" s="255"/>
    </row>
    <row r="45" spans="1:17" ht="15.6" customHeight="1">
      <c r="A45" s="259" t="s">
        <v>196</v>
      </c>
      <c r="B45" s="8" t="s">
        <v>46</v>
      </c>
      <c r="C45" s="225">
        <v>2508.81</v>
      </c>
      <c r="D45" s="19"/>
      <c r="F45" s="268"/>
      <c r="G45" s="88"/>
      <c r="H45" s="65"/>
      <c r="I45" s="269"/>
      <c r="J45" s="270"/>
      <c r="K45" s="95"/>
      <c r="L45" s="4"/>
      <c r="M45" s="68"/>
    </row>
    <row r="46" spans="1:17" ht="15.6" customHeight="1">
      <c r="A46" s="259" t="s">
        <v>196</v>
      </c>
      <c r="B46" s="29" t="s">
        <v>68</v>
      </c>
      <c r="C46" s="225">
        <v>1.06</v>
      </c>
      <c r="D46" s="19"/>
      <c r="F46" s="268"/>
      <c r="G46" s="88"/>
      <c r="H46" s="65"/>
      <c r="I46" s="269"/>
      <c r="J46" s="270"/>
      <c r="K46" s="95"/>
      <c r="L46" s="4"/>
      <c r="M46" s="68"/>
    </row>
    <row r="47" spans="1:17" ht="15.6" customHeight="1" thickBot="1">
      <c r="A47" s="4" t="s">
        <v>166</v>
      </c>
      <c r="B47" s="29" t="s">
        <v>68</v>
      </c>
      <c r="C47" s="225">
        <v>23799.56</v>
      </c>
      <c r="D47" s="20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4" t="s">
        <v>170</v>
      </c>
      <c r="B48" s="29" t="s">
        <v>68</v>
      </c>
      <c r="C48" s="225">
        <v>3364.29</v>
      </c>
      <c r="D48" s="21"/>
      <c r="F48" s="88"/>
      <c r="G48" s="38"/>
      <c r="H48" s="44" t="s">
        <v>12</v>
      </c>
      <c r="I48" s="7" t="s">
        <v>12</v>
      </c>
      <c r="J48" s="7" t="s">
        <v>22</v>
      </c>
      <c r="K48" s="42" t="s">
        <v>29</v>
      </c>
      <c r="L48" s="39"/>
      <c r="M48" s="88"/>
    </row>
    <row r="49" spans="1:20" ht="15.6" customHeight="1" thickBot="1">
      <c r="A49" s="4" t="s">
        <v>171</v>
      </c>
      <c r="B49" s="29" t="s">
        <v>68</v>
      </c>
      <c r="C49" s="225">
        <v>2229.27</v>
      </c>
      <c r="D49" s="18"/>
      <c r="F49" s="28" t="s">
        <v>32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10" t="s">
        <v>47</v>
      </c>
      <c r="B50" s="8"/>
      <c r="C50" s="228">
        <f>-C31</f>
        <v>30944.41</v>
      </c>
      <c r="D50" s="18"/>
      <c r="F50" s="88"/>
      <c r="G50" s="88"/>
      <c r="H50" s="49"/>
      <c r="I50" s="50"/>
      <c r="J50" s="50"/>
      <c r="K50" s="50"/>
      <c r="L50" s="203"/>
      <c r="M50" s="88"/>
    </row>
    <row r="51" spans="1:20" ht="15.6" customHeight="1">
      <c r="A51" s="88" t="s">
        <v>167</v>
      </c>
      <c r="B51" s="29" t="s">
        <v>96</v>
      </c>
      <c r="C51" s="225">
        <f>9673.65-3207.69</f>
        <v>6465.9599999999991</v>
      </c>
      <c r="D51" s="18"/>
      <c r="F51" s="88" t="s">
        <v>61</v>
      </c>
      <c r="G51" s="88"/>
      <c r="H51" s="216">
        <f>K12</f>
        <v>3070732.0819239998</v>
      </c>
      <c r="I51" s="217">
        <f>I14</f>
        <v>1552157.4433329999</v>
      </c>
      <c r="J51" s="217">
        <f>L12</f>
        <v>1420018.0680759996</v>
      </c>
      <c r="K51" s="217">
        <f>J14</f>
        <v>703557.48666699987</v>
      </c>
      <c r="L51" s="218">
        <f>SUM(H51:K51)</f>
        <v>6746465.0799999991</v>
      </c>
      <c r="M51" s="88"/>
    </row>
    <row r="52" spans="1:20" ht="15.6" customHeight="1" thickBot="1">
      <c r="A52" s="86" t="s">
        <v>51</v>
      </c>
      <c r="B52" s="94" t="s">
        <v>91</v>
      </c>
      <c r="C52" s="225">
        <f>-166871.25-3599910.23-1877941.99+8988.03</f>
        <v>-5635735.4399999995</v>
      </c>
      <c r="D52" s="19"/>
      <c r="F52" s="87" t="s">
        <v>43</v>
      </c>
      <c r="H52" s="216">
        <f>-I42</f>
        <v>-3547685.5099800001</v>
      </c>
      <c r="I52" s="217">
        <f>-I30</f>
        <v>-2080216.9221600003</v>
      </c>
      <c r="J52" s="217">
        <f>-M41</f>
        <v>-1614021.50492</v>
      </c>
      <c r="K52" s="217">
        <f>-M28</f>
        <v>-894768.42408000003</v>
      </c>
      <c r="L52" s="219">
        <f>SUM(H52:K52)</f>
        <v>-8136692.3611400006</v>
      </c>
    </row>
    <row r="53" spans="1:20" ht="15.6" customHeight="1" thickBot="1">
      <c r="A53" s="86" t="s">
        <v>197</v>
      </c>
      <c r="B53" s="94" t="s">
        <v>198</v>
      </c>
      <c r="C53" s="225">
        <v>-2212</v>
      </c>
      <c r="D53" s="19"/>
      <c r="F53" s="87" t="s">
        <v>35</v>
      </c>
      <c r="H53" s="220">
        <v>0</v>
      </c>
      <c r="I53" s="221">
        <v>0</v>
      </c>
      <c r="J53" s="221">
        <v>0</v>
      </c>
      <c r="K53" s="222">
        <v>0</v>
      </c>
      <c r="L53" s="80"/>
    </row>
    <row r="54" spans="1:20" ht="15.6" customHeight="1" thickBot="1">
      <c r="A54" s="87" t="s">
        <v>94</v>
      </c>
      <c r="B54" s="8" t="s">
        <v>87</v>
      </c>
      <c r="C54" s="225">
        <v>-375000</v>
      </c>
      <c r="D54" s="18"/>
      <c r="F54" s="1" t="s">
        <v>30</v>
      </c>
      <c r="H54" s="245">
        <f>H51+H52+H53</f>
        <v>-476953.42805600027</v>
      </c>
      <c r="I54" s="245">
        <f>I51+I52+I53</f>
        <v>-528059.47882700036</v>
      </c>
      <c r="J54" s="245">
        <f>J51+J52+J53</f>
        <v>-194003.43684400036</v>
      </c>
      <c r="K54" s="245">
        <f>K51+K52+K53</f>
        <v>-191210.93741300015</v>
      </c>
      <c r="L54" s="26">
        <f>SUM(H54:K54)</f>
        <v>-1390227.281140001</v>
      </c>
    </row>
    <row r="55" spans="1:20" ht="15.6" customHeight="1" thickBot="1">
      <c r="A55" s="32" t="s">
        <v>48</v>
      </c>
      <c r="B55" s="232"/>
      <c r="C55" s="53">
        <f>SUM(C41:C54)</f>
        <v>4020076.4399999995</v>
      </c>
      <c r="D55" s="206"/>
      <c r="F55" s="87" t="s">
        <v>82</v>
      </c>
      <c r="H55" s="87" t="s">
        <v>76</v>
      </c>
      <c r="I55" s="2">
        <f>SUM(H54:I54)</f>
        <v>-1005012.9068830006</v>
      </c>
      <c r="J55" s="8" t="s">
        <v>77</v>
      </c>
      <c r="K55" s="87">
        <f>SUM(J54:K54)</f>
        <v>-385214.37425700051</v>
      </c>
      <c r="L55"/>
    </row>
    <row r="56" spans="1:20" ht="15.6" customHeight="1" thickTop="1">
      <c r="A56" s="88" t="s">
        <v>172</v>
      </c>
      <c r="B56" s="30" t="s">
        <v>173</v>
      </c>
      <c r="C56" s="225">
        <v>0</v>
      </c>
      <c r="D56" s="18"/>
      <c r="F56" s="197" t="s">
        <v>83</v>
      </c>
      <c r="H56" s="35"/>
      <c r="T56" s="22"/>
    </row>
    <row r="57" spans="1:20" ht="15.6" customHeight="1">
      <c r="A57" s="88" t="s">
        <v>194</v>
      </c>
      <c r="B57" s="30" t="s">
        <v>195</v>
      </c>
      <c r="C57" s="225">
        <v>-28878</v>
      </c>
      <c r="D57" s="18"/>
      <c r="F57" s="197"/>
      <c r="H57" s="35"/>
    </row>
    <row r="58" spans="1:20" ht="15.6" customHeight="1">
      <c r="A58" s="87" t="s">
        <v>164</v>
      </c>
      <c r="B58" s="8" t="s">
        <v>102</v>
      </c>
      <c r="C58" s="225">
        <v>337415.56</v>
      </c>
      <c r="D58" s="18"/>
      <c r="F58" s="197"/>
      <c r="H58" s="35"/>
    </row>
    <row r="59" spans="1:20" ht="15.6" customHeight="1" thickBot="1">
      <c r="A59" s="87" t="s">
        <v>165</v>
      </c>
      <c r="B59" s="8" t="s">
        <v>103</v>
      </c>
      <c r="C59" s="225">
        <v>162136.15</v>
      </c>
      <c r="D59" s="18"/>
      <c r="F59" s="197"/>
      <c r="H59" s="52"/>
      <c r="I59" s="198"/>
      <c r="J59" s="198"/>
      <c r="K59" s="75"/>
      <c r="L59" s="198"/>
    </row>
    <row r="60" spans="1:20" ht="15.6" customHeight="1" thickBot="1">
      <c r="A60" s="1" t="s">
        <v>149</v>
      </c>
      <c r="C60" s="53">
        <f>SUM(C55:C59)</f>
        <v>4490750.1499999994</v>
      </c>
      <c r="D60" s="18"/>
      <c r="F60" s="199"/>
      <c r="H60" s="89" t="s">
        <v>90</v>
      </c>
      <c r="I60" s="90"/>
    </row>
    <row r="61" spans="1:20" ht="15.6" customHeight="1" thickTop="1" thickBot="1">
      <c r="C61" s="229"/>
      <c r="D61" s="18"/>
      <c r="H61" s="82" t="s">
        <v>78</v>
      </c>
      <c r="I61" s="83" t="s">
        <v>79</v>
      </c>
      <c r="J61" s="2"/>
      <c r="N61" s="2"/>
    </row>
    <row r="62" spans="1:20" ht="15.6" customHeight="1" thickBot="1">
      <c r="A62" s="8"/>
      <c r="B62" s="8" t="s">
        <v>38</v>
      </c>
      <c r="C62" s="40">
        <f>C60+C32</f>
        <v>6746465.0799999991</v>
      </c>
      <c r="D62" s="18"/>
      <c r="H62" s="84">
        <v>1874571.3832800011</v>
      </c>
      <c r="I62" s="91">
        <v>1874571.3832800011</v>
      </c>
      <c r="O62" s="2"/>
      <c r="P62" s="200"/>
    </row>
    <row r="63" spans="1:20" ht="15.6" customHeight="1">
      <c r="A63" s="30"/>
      <c r="B63" s="30"/>
      <c r="C63" s="227"/>
      <c r="D63" s="18"/>
      <c r="G63" s="2"/>
      <c r="I63" s="244">
        <f>H62-I62</f>
        <v>0</v>
      </c>
      <c r="N63" s="10"/>
      <c r="S63" s="3"/>
    </row>
    <row r="64" spans="1:20" ht="15.6" customHeight="1">
      <c r="B64" s="8" t="s">
        <v>148</v>
      </c>
      <c r="C64" s="225">
        <v>6746465.0800000001</v>
      </c>
      <c r="D64" s="18"/>
      <c r="G64" s="271"/>
      <c r="H64" s="272"/>
      <c r="I64" s="263"/>
      <c r="J64" s="2"/>
      <c r="N64" s="10"/>
    </row>
    <row r="65" spans="1:21" ht="15.6" customHeight="1">
      <c r="A65" s="8"/>
      <c r="B65" s="8" t="s">
        <v>71</v>
      </c>
      <c r="C65" s="231">
        <f>ROUND(C62-C64,2)</f>
        <v>0</v>
      </c>
      <c r="D65" s="19"/>
      <c r="G65" s="271"/>
      <c r="H65" s="272"/>
      <c r="I65" s="264"/>
      <c r="J65" s="2"/>
      <c r="N65" s="10"/>
      <c r="S65" s="12"/>
    </row>
    <row r="66" spans="1:21" ht="15.6" customHeight="1">
      <c r="C66" s="85"/>
      <c r="N66" s="10"/>
      <c r="S66" s="12"/>
    </row>
    <row r="67" spans="1:21" ht="15.6" customHeight="1">
      <c r="C67" s="5"/>
      <c r="D67" s="18"/>
      <c r="F67" s="199"/>
      <c r="H67" s="260"/>
      <c r="N67" s="10"/>
      <c r="S67" s="11"/>
    </row>
    <row r="68" spans="1:21" ht="15.6" customHeight="1">
      <c r="C68" s="5"/>
      <c r="D68" s="23"/>
      <c r="N68" s="10"/>
      <c r="S68" s="12"/>
    </row>
    <row r="69" spans="1:21" ht="15.6" customHeight="1">
      <c r="C69" s="37"/>
      <c r="D69" s="18"/>
      <c r="F69" s="199"/>
      <c r="G69" s="199"/>
      <c r="H69" s="88"/>
      <c r="N69" s="10"/>
    </row>
    <row r="70" spans="1:21" ht="15.6" customHeight="1">
      <c r="D70" s="18"/>
      <c r="S70" s="12"/>
    </row>
    <row r="71" spans="1:21" ht="15.6" customHeight="1">
      <c r="D71" s="18"/>
    </row>
    <row r="72" spans="1:21" ht="15.6" customHeight="1">
      <c r="D72" s="18"/>
    </row>
    <row r="73" spans="1:21" ht="15.6" customHeight="1">
      <c r="D73" s="19"/>
      <c r="S73" s="13"/>
    </row>
    <row r="74" spans="1:21">
      <c r="D74" s="18"/>
      <c r="R74" s="3"/>
      <c r="S74" s="3"/>
      <c r="T74" s="3"/>
    </row>
    <row r="75" spans="1:21">
      <c r="D75" s="18"/>
    </row>
    <row r="76" spans="1:21">
      <c r="D76" s="18"/>
      <c r="U76" s="14"/>
    </row>
    <row r="77" spans="1:21">
      <c r="D77" s="24"/>
    </row>
    <row r="1479" spans="3:3">
      <c r="C1479" s="87">
        <v>-2130</v>
      </c>
    </row>
    <row r="1487" spans="3:3">
      <c r="C1487" s="87">
        <f>7004298-2130</f>
        <v>7002168</v>
      </c>
    </row>
  </sheetData>
  <mergeCells count="2">
    <mergeCell ref="F18:I18"/>
    <mergeCell ref="J18:M18"/>
  </mergeCells>
  <conditionalFormatting sqref="C65 I63">
    <cfRule type="cellIs" dxfId="285" priority="38" stopIfTrue="1" operator="equal">
      <formula>0</formula>
    </cfRule>
    <cfRule type="cellIs" dxfId="284" priority="39" stopIfTrue="1" operator="notEqual">
      <formula>0</formula>
    </cfRule>
  </conditionalFormatting>
  <conditionalFormatting sqref="K44:K46">
    <cfRule type="cellIs" dxfId="283" priority="37" operator="notEqual">
      <formula>0</formula>
    </cfRule>
  </conditionalFormatting>
  <conditionalFormatting sqref="C65">
    <cfRule type="cellIs" dxfId="282" priority="35" stopIfTrue="1" operator="equal">
      <formula>0</formula>
    </cfRule>
    <cfRule type="cellIs" dxfId="281" priority="36" stopIfTrue="1" operator="notEqual">
      <formula>0</formula>
    </cfRule>
  </conditionalFormatting>
  <conditionalFormatting sqref="H15">
    <cfRule type="cellIs" dxfId="280" priority="33" stopIfTrue="1" operator="equal">
      <formula>0</formula>
    </cfRule>
    <cfRule type="cellIs" dxfId="279" priority="34" stopIfTrue="1" operator="notEqual">
      <formula>0</formula>
    </cfRule>
  </conditionalFormatting>
  <conditionalFormatting sqref="H15">
    <cfRule type="cellIs" dxfId="278" priority="31" stopIfTrue="1" operator="equal">
      <formula>0</formula>
    </cfRule>
    <cfRule type="cellIs" dxfId="277" priority="32" stopIfTrue="1" operator="notEqual">
      <formula>0</formula>
    </cfRule>
  </conditionalFormatting>
  <conditionalFormatting sqref="J15">
    <cfRule type="cellIs" dxfId="276" priority="29" stopIfTrue="1" operator="equal">
      <formula>0</formula>
    </cfRule>
    <cfRule type="cellIs" dxfId="275" priority="30" stopIfTrue="1" operator="notEqual">
      <formula>0</formula>
    </cfRule>
  </conditionalFormatting>
  <conditionalFormatting sqref="J15">
    <cfRule type="cellIs" dxfId="274" priority="27" stopIfTrue="1" operator="equal">
      <formula>0</formula>
    </cfRule>
    <cfRule type="cellIs" dxfId="273" priority="28" stopIfTrue="1" operator="notEqual">
      <formula>0</formula>
    </cfRule>
  </conditionalFormatting>
  <conditionalFormatting sqref="L15">
    <cfRule type="cellIs" dxfId="272" priority="25" stopIfTrue="1" operator="equal">
      <formula>0</formula>
    </cfRule>
    <cfRule type="cellIs" dxfId="271" priority="26" stopIfTrue="1" operator="notEqual">
      <formula>0</formula>
    </cfRule>
  </conditionalFormatting>
  <conditionalFormatting sqref="L15">
    <cfRule type="cellIs" dxfId="270" priority="23" stopIfTrue="1" operator="equal">
      <formula>0</formula>
    </cfRule>
    <cfRule type="cellIs" dxfId="269" priority="24" stopIfTrue="1" operator="notEqual">
      <formula>0</formula>
    </cfRule>
  </conditionalFormatting>
  <conditionalFormatting sqref="G32">
    <cfRule type="cellIs" dxfId="268" priority="21" stopIfTrue="1" operator="equal">
      <formula>0</formula>
    </cfRule>
    <cfRule type="cellIs" dxfId="267" priority="22" stopIfTrue="1" operator="notEqual">
      <formula>0</formula>
    </cfRule>
  </conditionalFormatting>
  <conditionalFormatting sqref="G32">
    <cfRule type="cellIs" dxfId="266" priority="19" stopIfTrue="1" operator="equal">
      <formula>0</formula>
    </cfRule>
    <cfRule type="cellIs" dxfId="265" priority="20" stopIfTrue="1" operator="notEqual">
      <formula>0</formula>
    </cfRule>
  </conditionalFormatting>
  <conditionalFormatting sqref="G44">
    <cfRule type="cellIs" dxfId="264" priority="17" stopIfTrue="1" operator="equal">
      <formula>0</formula>
    </cfRule>
    <cfRule type="cellIs" dxfId="263" priority="18" stopIfTrue="1" operator="notEqual">
      <formula>0</formula>
    </cfRule>
  </conditionalFormatting>
  <conditionalFormatting sqref="G44">
    <cfRule type="cellIs" dxfId="262" priority="15" stopIfTrue="1" operator="equal">
      <formula>0</formula>
    </cfRule>
    <cfRule type="cellIs" dxfId="261" priority="16" stopIfTrue="1" operator="notEqual">
      <formula>0</formula>
    </cfRule>
  </conditionalFormatting>
  <conditionalFormatting sqref="K30">
    <cfRule type="cellIs" dxfId="260" priority="13" stopIfTrue="1" operator="equal">
      <formula>0</formula>
    </cfRule>
    <cfRule type="cellIs" dxfId="259" priority="14" stopIfTrue="1" operator="notEqual">
      <formula>0</formula>
    </cfRule>
  </conditionalFormatting>
  <conditionalFormatting sqref="K30">
    <cfRule type="cellIs" dxfId="258" priority="11" stopIfTrue="1" operator="equal">
      <formula>0</formula>
    </cfRule>
    <cfRule type="cellIs" dxfId="257" priority="12" stopIfTrue="1" operator="notEqual">
      <formula>0</formula>
    </cfRule>
  </conditionalFormatting>
  <conditionalFormatting sqref="K43">
    <cfRule type="cellIs" dxfId="256" priority="9" stopIfTrue="1" operator="equal">
      <formula>0</formula>
    </cfRule>
    <cfRule type="cellIs" dxfId="255" priority="10" stopIfTrue="1" operator="notEqual">
      <formula>0</formula>
    </cfRule>
  </conditionalFormatting>
  <conditionalFormatting sqref="K43">
    <cfRule type="cellIs" dxfId="254" priority="7" stopIfTrue="1" operator="equal">
      <formula>0</formula>
    </cfRule>
    <cfRule type="cellIs" dxfId="253" priority="8" stopIfTrue="1" operator="notEqual">
      <formula>0</formula>
    </cfRule>
  </conditionalFormatting>
  <conditionalFormatting sqref="G60">
    <cfRule type="cellIs" dxfId="252" priority="6" operator="equal">
      <formula>"ERROR"</formula>
    </cfRule>
  </conditionalFormatting>
  <conditionalFormatting sqref="G60">
    <cfRule type="cellIs" dxfId="251" priority="5" operator="equal">
      <formula>"ERROR"</formula>
    </cfRule>
  </conditionalFormatting>
  <conditionalFormatting sqref="G67">
    <cfRule type="cellIs" dxfId="250" priority="4" operator="equal">
      <formula>"ERROR"</formula>
    </cfRule>
  </conditionalFormatting>
  <conditionalFormatting sqref="G67">
    <cfRule type="cellIs" dxfId="249" priority="3" operator="equal">
      <formula>"ERROR"</formula>
    </cfRule>
  </conditionalFormatting>
  <conditionalFormatting sqref="H69">
    <cfRule type="cellIs" dxfId="248" priority="2" operator="equal">
      <formula>"ERROR"</formula>
    </cfRule>
  </conditionalFormatting>
  <conditionalFormatting sqref="H69">
    <cfRule type="cellIs" dxfId="247" priority="1" operator="equal">
      <formula>"ERROR"</formula>
    </cfRule>
  </conditionalFormatting>
  <printOptions horizontalCentered="1" gridLinesSet="0"/>
  <pageMargins left="0.2" right="0.2" top="0.7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D6A5B-A772-426F-834D-AAD79C0B134F}">
  <sheetPr>
    <pageSetUpPr fitToPage="1"/>
  </sheetPr>
  <dimension ref="A1:R1395"/>
  <sheetViews>
    <sheetView zoomScale="60" zoomScaleNormal="60" workbookViewId="0">
      <selection activeCell="E58" sqref="E58"/>
    </sheetView>
  </sheetViews>
  <sheetFormatPr defaultColWidth="16" defaultRowHeight="15"/>
  <cols>
    <col min="1" max="1" width="2.85546875" style="87" customWidth="1"/>
    <col min="2" max="2" width="48.7109375" style="87" bestFit="1" customWidth="1"/>
    <col min="3" max="3" width="11.5703125" style="87" customWidth="1"/>
    <col min="4" max="4" width="10.7109375" style="87" customWidth="1"/>
    <col min="5" max="5" width="18.7109375" style="15" bestFit="1" customWidth="1"/>
    <col min="6" max="9" width="17.5703125" style="88" customWidth="1"/>
    <col min="10" max="10" width="4.85546875" style="87" bestFit="1" customWidth="1"/>
    <col min="11" max="11" width="22.28515625" style="87" bestFit="1" customWidth="1"/>
    <col min="12" max="18" width="18.140625" style="87" customWidth="1"/>
    <col min="19" max="16384" width="16" style="87"/>
  </cols>
  <sheetData>
    <row r="1" spans="2:18" ht="15.6" customHeight="1" thickBot="1">
      <c r="B1" s="285" t="s">
        <v>218</v>
      </c>
      <c r="C1" s="286">
        <v>202101</v>
      </c>
      <c r="D1" s="284"/>
      <c r="E1" s="204"/>
      <c r="F1" s="204"/>
      <c r="G1" s="204"/>
      <c r="H1" s="204"/>
      <c r="I1" s="204"/>
      <c r="K1" s="280" t="s">
        <v>200</v>
      </c>
      <c r="L1" s="288" t="s">
        <v>201</v>
      </c>
      <c r="N1" s="385" t="s">
        <v>213</v>
      </c>
      <c r="O1" s="386"/>
    </row>
    <row r="2" spans="2:18" ht="15.6" customHeight="1">
      <c r="D2" s="204"/>
      <c r="E2" s="204"/>
      <c r="F2" s="204"/>
      <c r="G2" s="204"/>
      <c r="H2" s="204"/>
      <c r="I2" s="204"/>
      <c r="K2" s="281"/>
      <c r="L2" s="282" t="s">
        <v>202</v>
      </c>
      <c r="N2" s="283" t="s">
        <v>78</v>
      </c>
      <c r="O2" s="324" t="s">
        <v>79</v>
      </c>
    </row>
    <row r="3" spans="2:18" ht="15.6" customHeight="1" thickBot="1">
      <c r="D3" s="204"/>
      <c r="E3" s="204"/>
      <c r="F3" s="204"/>
      <c r="G3" s="204"/>
      <c r="H3" s="204"/>
      <c r="I3" s="204"/>
      <c r="K3" s="281"/>
      <c r="L3" s="289"/>
      <c r="N3" s="325" t="e">
        <f>SUM('191010 WA DEF'!E36:E45)+SUM('191000 WA Amort'!H36:H45)+SUM(#REF!)+SUM(#REF!)</f>
        <v>#REF!</v>
      </c>
      <c r="O3" s="323" t="e">
        <f>-(SUM('191010 WA DEF'!F36:F39)+SUM('191010 WA DEF'!F44:F45)+SUM('191000 WA Amort'!I36:I39)+SUM('191000 WA Amort'!I44:I45)+SUM(#REF!)+SUM(#REF!)+SUM(#REF!)+SUM(#REF!))</f>
        <v>#REF!</v>
      </c>
    </row>
    <row r="4" spans="2:18" ht="15.6" customHeight="1" thickBot="1">
      <c r="D4" s="204"/>
      <c r="E4" s="204"/>
      <c r="F4" s="204"/>
      <c r="G4" s="204"/>
      <c r="H4" s="204"/>
      <c r="I4" s="204"/>
      <c r="K4" s="281"/>
      <c r="L4" s="289"/>
    </row>
    <row r="5" spans="2:18" ht="15.6" customHeight="1" thickBot="1">
      <c r="B5" s="294"/>
      <c r="C5" s="50"/>
      <c r="D5" s="50"/>
      <c r="E5" s="351" t="s">
        <v>28</v>
      </c>
      <c r="F5" s="387" t="s">
        <v>59</v>
      </c>
      <c r="G5" s="388"/>
      <c r="H5" s="387" t="s">
        <v>60</v>
      </c>
      <c r="I5" s="389"/>
      <c r="J5" s="88"/>
      <c r="K5" s="382" t="s">
        <v>59</v>
      </c>
      <c r="L5" s="383"/>
      <c r="M5" s="383"/>
      <c r="N5" s="384"/>
      <c r="O5" s="382" t="s">
        <v>60</v>
      </c>
      <c r="P5" s="383"/>
      <c r="Q5" s="383"/>
      <c r="R5" s="384"/>
    </row>
    <row r="6" spans="2:18" ht="15.6" customHeight="1" thickBot="1">
      <c r="B6" s="295" t="s">
        <v>31</v>
      </c>
      <c r="C6" s="4"/>
      <c r="D6" s="4"/>
      <c r="E6" s="343" t="s">
        <v>216</v>
      </c>
      <c r="F6" s="330" t="s">
        <v>2</v>
      </c>
      <c r="G6" s="331" t="s">
        <v>1</v>
      </c>
      <c r="H6" s="330" t="s">
        <v>2</v>
      </c>
      <c r="I6" s="329" t="s">
        <v>1</v>
      </c>
      <c r="J6" s="88"/>
      <c r="K6" s="211" t="s">
        <v>42</v>
      </c>
      <c r="L6" s="205" t="s">
        <v>10</v>
      </c>
      <c r="M6" s="205" t="s">
        <v>10</v>
      </c>
      <c r="N6" s="205" t="s">
        <v>10</v>
      </c>
      <c r="O6" s="211" t="s">
        <v>42</v>
      </c>
      <c r="P6" s="205" t="s">
        <v>10</v>
      </c>
      <c r="Q6" s="205" t="s">
        <v>10</v>
      </c>
      <c r="R6" s="274" t="s">
        <v>10</v>
      </c>
    </row>
    <row r="7" spans="2:18" ht="15.6" customHeight="1" thickBot="1">
      <c r="B7" s="51"/>
      <c r="C7" s="4"/>
      <c r="D7" s="4"/>
      <c r="E7" s="344"/>
      <c r="F7" s="332"/>
      <c r="G7" s="333"/>
      <c r="H7" s="332"/>
      <c r="I7" s="36"/>
      <c r="J7" s="88"/>
      <c r="K7" s="212" t="s">
        <v>72</v>
      </c>
      <c r="L7" s="207" t="s">
        <v>40</v>
      </c>
      <c r="M7" s="207" t="s">
        <v>13</v>
      </c>
      <c r="N7" s="207" t="s">
        <v>11</v>
      </c>
      <c r="O7" s="212" t="s">
        <v>72</v>
      </c>
      <c r="P7" s="207" t="s">
        <v>40</v>
      </c>
      <c r="Q7" s="207" t="s">
        <v>13</v>
      </c>
      <c r="R7" s="207" t="s">
        <v>11</v>
      </c>
    </row>
    <row r="8" spans="2:18" ht="15.6" customHeight="1">
      <c r="B8" s="51"/>
      <c r="C8" s="4"/>
      <c r="D8" s="4"/>
      <c r="E8" s="365">
        <f>F8+H8</f>
        <v>1</v>
      </c>
      <c r="F8" s="334">
        <v>0.68810000000000004</v>
      </c>
      <c r="G8" s="335">
        <f>ROUND($L$29/($L$29+$P$28),4)</f>
        <v>0.6764</v>
      </c>
      <c r="H8" s="334">
        <v>0.31190000000000001</v>
      </c>
      <c r="I8" s="296">
        <f>1-G8</f>
        <v>0.3236</v>
      </c>
      <c r="J8" s="366"/>
      <c r="K8" s="51"/>
      <c r="L8" s="273"/>
      <c r="M8" s="273"/>
      <c r="N8" s="274"/>
      <c r="O8" s="213"/>
      <c r="P8" s="214"/>
      <c r="Q8" s="214"/>
      <c r="R8" s="76"/>
    </row>
    <row r="9" spans="2:18" ht="15.6" customHeight="1">
      <c r="B9" s="51"/>
      <c r="C9" s="4"/>
      <c r="D9" s="4"/>
      <c r="E9" s="344"/>
      <c r="F9" s="332"/>
      <c r="G9" s="333"/>
      <c r="H9" s="332"/>
      <c r="I9" s="36"/>
      <c r="J9" s="88"/>
      <c r="K9" s="73" t="s">
        <v>52</v>
      </c>
      <c r="L9" s="4"/>
      <c r="M9" s="4"/>
      <c r="N9" s="36"/>
      <c r="O9" s="73" t="s">
        <v>52</v>
      </c>
      <c r="P9" s="4"/>
      <c r="Q9" s="4"/>
      <c r="R9" s="36"/>
    </row>
    <row r="10" spans="2:18" ht="15.6" customHeight="1">
      <c r="B10" s="283" t="s">
        <v>248</v>
      </c>
      <c r="C10" s="79">
        <v>804001</v>
      </c>
      <c r="D10" s="79" t="s">
        <v>199</v>
      </c>
      <c r="E10" s="345">
        <v>2257262.19</v>
      </c>
      <c r="F10" s="336"/>
      <c r="G10" s="337"/>
      <c r="H10" s="336"/>
      <c r="I10" s="327"/>
      <c r="J10" s="88"/>
      <c r="K10" s="74" t="s">
        <v>14</v>
      </c>
      <c r="L10" s="307">
        <v>20652318</v>
      </c>
      <c r="M10" s="308">
        <v>9.8220000000000002E-2</v>
      </c>
      <c r="N10" s="278">
        <f t="shared" ref="N10:N16" si="0">L10*M10</f>
        <v>2028470.67396</v>
      </c>
      <c r="O10" s="74" t="s">
        <v>14</v>
      </c>
      <c r="P10" s="307">
        <v>10486334</v>
      </c>
      <c r="Q10" s="308">
        <v>8.9520000000000002E-2</v>
      </c>
      <c r="R10" s="278">
        <f t="shared" ref="R10:R11" si="1">P10*Q10</f>
        <v>938736.61968</v>
      </c>
    </row>
    <row r="11" spans="2:18" ht="15.6" customHeight="1" thickBot="1">
      <c r="B11" s="283" t="s">
        <v>249</v>
      </c>
      <c r="C11" s="79">
        <v>804002</v>
      </c>
      <c r="D11" s="79" t="s">
        <v>199</v>
      </c>
      <c r="E11" s="345">
        <v>35148.730000000003</v>
      </c>
      <c r="F11" s="336"/>
      <c r="G11" s="337"/>
      <c r="H11" s="336"/>
      <c r="I11" s="327"/>
      <c r="J11" s="88"/>
      <c r="K11" s="74" t="s">
        <v>93</v>
      </c>
      <c r="L11" s="307">
        <v>32556</v>
      </c>
      <c r="M11" s="308">
        <v>9.8220000000000002E-2</v>
      </c>
      <c r="N11" s="278">
        <f t="shared" si="0"/>
        <v>3197.6503200000002</v>
      </c>
      <c r="O11" s="74" t="s">
        <v>15</v>
      </c>
      <c r="P11" s="307">
        <v>3100340</v>
      </c>
      <c r="Q11" s="308">
        <v>8.9520000000000002E-2</v>
      </c>
      <c r="R11" s="278">
        <f t="shared" si="1"/>
        <v>277542.43680000002</v>
      </c>
    </row>
    <row r="12" spans="2:18" ht="15.6" customHeight="1" thickBot="1">
      <c r="B12" s="297" t="s">
        <v>203</v>
      </c>
      <c r="C12" s="9"/>
      <c r="D12" s="9"/>
      <c r="E12" s="346">
        <f>SUM(E10:E11)</f>
        <v>2292410.92</v>
      </c>
      <c r="F12" s="338"/>
      <c r="G12" s="339"/>
      <c r="H12" s="338"/>
      <c r="I12" s="328"/>
      <c r="J12" s="88"/>
      <c r="K12" s="74" t="s">
        <v>15</v>
      </c>
      <c r="L12" s="307">
        <v>7466798</v>
      </c>
      <c r="M12" s="308">
        <v>8.8349999999999998E-2</v>
      </c>
      <c r="N12" s="278">
        <f t="shared" si="0"/>
        <v>659691.60329999996</v>
      </c>
      <c r="O12" s="74" t="s">
        <v>16</v>
      </c>
      <c r="P12" s="307">
        <v>940</v>
      </c>
      <c r="Q12" s="308">
        <v>8.9520000000000002E-2</v>
      </c>
      <c r="R12" s="278">
        <f>P12*Q12</f>
        <v>84.148800000000008</v>
      </c>
    </row>
    <row r="13" spans="2:18" ht="15.6" customHeight="1" thickBot="1">
      <c r="B13" s="298" t="s">
        <v>44</v>
      </c>
      <c r="C13" s="2"/>
      <c r="D13" s="2"/>
      <c r="E13" s="347">
        <f>-E11</f>
        <v>-35148.730000000003</v>
      </c>
      <c r="F13" s="336"/>
      <c r="G13" s="337"/>
      <c r="H13" s="336"/>
      <c r="I13" s="327"/>
      <c r="J13" s="88"/>
      <c r="K13" s="74" t="s">
        <v>16</v>
      </c>
      <c r="L13" s="307">
        <v>124760</v>
      </c>
      <c r="M13" s="308">
        <v>8.8349999999999998E-2</v>
      </c>
      <c r="N13" s="278">
        <f t="shared" si="0"/>
        <v>11022.546</v>
      </c>
      <c r="O13" s="74" t="s">
        <v>17</v>
      </c>
      <c r="P13" s="307">
        <v>0</v>
      </c>
      <c r="Q13" s="308">
        <v>8.9520000000000002E-2</v>
      </c>
      <c r="R13" s="278">
        <f t="shared" ref="R13:R14" si="2">P13*Q13</f>
        <v>0</v>
      </c>
    </row>
    <row r="14" spans="2:18" ht="15.6" customHeight="1" thickBot="1">
      <c r="B14" s="297" t="s">
        <v>219</v>
      </c>
      <c r="C14" s="299"/>
      <c r="D14" s="299"/>
      <c r="E14" s="346">
        <f>SUM(E12:E13)</f>
        <v>2257262.19</v>
      </c>
      <c r="F14" s="354">
        <f>E14*F8</f>
        <v>1553222.1129390001</v>
      </c>
      <c r="G14" s="355"/>
      <c r="H14" s="354">
        <f>E14*H8</f>
        <v>704040.07706100005</v>
      </c>
      <c r="I14" s="356"/>
      <c r="J14" s="88"/>
      <c r="K14" s="74" t="s">
        <v>17</v>
      </c>
      <c r="L14" s="307">
        <v>0</v>
      </c>
      <c r="M14" s="308">
        <v>5.6399999999999999E-2</v>
      </c>
      <c r="N14" s="278">
        <f t="shared" si="0"/>
        <v>0</v>
      </c>
      <c r="O14" s="74" t="s">
        <v>18</v>
      </c>
      <c r="P14" s="307">
        <v>0</v>
      </c>
      <c r="Q14" s="308">
        <v>8.9520000000000002E-2</v>
      </c>
      <c r="R14" s="278">
        <f t="shared" si="2"/>
        <v>0</v>
      </c>
    </row>
    <row r="15" spans="2:18" ht="15.6" customHeight="1" thickBot="1">
      <c r="B15" s="51"/>
      <c r="C15" s="4"/>
      <c r="D15" s="4"/>
      <c r="E15" s="348"/>
      <c r="F15" s="357"/>
      <c r="G15" s="358"/>
      <c r="H15" s="357"/>
      <c r="I15" s="359"/>
      <c r="J15" s="88"/>
      <c r="K15" s="74" t="s">
        <v>18</v>
      </c>
      <c r="L15" s="307">
        <v>127342</v>
      </c>
      <c r="M15" s="308">
        <v>5.6399999999999999E-2</v>
      </c>
      <c r="N15" s="278">
        <f t="shared" si="0"/>
        <v>7182.0887999999995</v>
      </c>
      <c r="O15" s="73" t="s">
        <v>53</v>
      </c>
      <c r="P15" s="240">
        <f>SUM(P10:P14)</f>
        <v>13587614</v>
      </c>
      <c r="Q15" s="241"/>
      <c r="R15" s="71">
        <f>SUM(R10:R14)</f>
        <v>1216363.2052800001</v>
      </c>
    </row>
    <row r="16" spans="2:18" ht="15.6" customHeight="1" thickTop="1">
      <c r="B16" s="51"/>
      <c r="C16" s="4"/>
      <c r="D16" s="4"/>
      <c r="E16" s="348"/>
      <c r="F16" s="357"/>
      <c r="G16" s="358"/>
      <c r="H16" s="357"/>
      <c r="I16" s="359"/>
      <c r="J16" s="88"/>
      <c r="K16" s="74" t="s">
        <v>33</v>
      </c>
      <c r="L16" s="307">
        <v>3218284</v>
      </c>
      <c r="M16" s="308">
        <v>5.4000000000000001E-4</v>
      </c>
      <c r="N16" s="278">
        <f t="shared" si="0"/>
        <v>1737.87336</v>
      </c>
      <c r="O16" s="74"/>
      <c r="P16" s="309">
        <v>13587614</v>
      </c>
      <c r="Q16" s="65"/>
      <c r="R16" s="242"/>
    </row>
    <row r="17" spans="2:18" ht="15.6" customHeight="1" thickBot="1">
      <c r="B17" s="283" t="s">
        <v>235</v>
      </c>
      <c r="C17" s="79">
        <v>804000</v>
      </c>
      <c r="D17" s="79" t="s">
        <v>199</v>
      </c>
      <c r="E17" s="345">
        <v>11230022.02</v>
      </c>
      <c r="F17" s="360"/>
      <c r="G17" s="358"/>
      <c r="H17" s="357"/>
      <c r="I17" s="359"/>
      <c r="J17" s="88"/>
      <c r="K17" s="73" t="s">
        <v>53</v>
      </c>
      <c r="L17" s="240">
        <f>SUM(L10:L16)</f>
        <v>31622058</v>
      </c>
      <c r="M17" s="6"/>
      <c r="N17" s="71">
        <f>SUM(N10:N16)</f>
        <v>2711302.4357400001</v>
      </c>
      <c r="O17" s="74"/>
      <c r="P17" s="231">
        <f>P15-P16</f>
        <v>0</v>
      </c>
      <c r="Q17" s="65" t="s">
        <v>41</v>
      </c>
      <c r="R17" s="72"/>
    </row>
    <row r="18" spans="2:18" ht="15.6" customHeight="1" thickTop="1">
      <c r="B18" s="283" t="s">
        <v>236</v>
      </c>
      <c r="C18" s="79">
        <v>804010</v>
      </c>
      <c r="D18" s="79" t="s">
        <v>199</v>
      </c>
      <c r="E18" s="345">
        <v>34454.18</v>
      </c>
      <c r="F18" s="357"/>
      <c r="G18" s="358"/>
      <c r="H18" s="357"/>
      <c r="I18" s="359"/>
      <c r="J18" s="88"/>
      <c r="K18" s="64"/>
      <c r="L18" s="309">
        <v>31622058</v>
      </c>
      <c r="M18" s="65"/>
      <c r="N18" s="242"/>
      <c r="O18" s="51"/>
      <c r="P18" s="4"/>
      <c r="Q18" s="196"/>
      <c r="R18" s="72"/>
    </row>
    <row r="19" spans="2:18" ht="15.6" customHeight="1">
      <c r="B19" s="283" t="s">
        <v>237</v>
      </c>
      <c r="C19" s="79">
        <v>804017</v>
      </c>
      <c r="D19" s="79" t="s">
        <v>199</v>
      </c>
      <c r="E19" s="345">
        <v>28646.52</v>
      </c>
      <c r="F19" s="357"/>
      <c r="G19" s="358"/>
      <c r="H19" s="357"/>
      <c r="I19" s="359"/>
      <c r="J19" s="88"/>
      <c r="K19" s="51"/>
      <c r="L19" s="231">
        <f>L17-L18</f>
        <v>0</v>
      </c>
      <c r="M19" s="65" t="s">
        <v>41</v>
      </c>
      <c r="N19" s="36"/>
      <c r="O19" s="69"/>
      <c r="P19" s="70"/>
      <c r="Q19" s="4"/>
      <c r="R19" s="72"/>
    </row>
    <row r="20" spans="2:18" ht="15.6" customHeight="1">
      <c r="B20" s="283" t="s">
        <v>238</v>
      </c>
      <c r="C20" s="79">
        <v>804018</v>
      </c>
      <c r="D20" s="79" t="s">
        <v>199</v>
      </c>
      <c r="E20" s="345">
        <v>8503.56</v>
      </c>
      <c r="F20" s="357"/>
      <c r="G20" s="358"/>
      <c r="H20" s="357"/>
      <c r="I20" s="359"/>
      <c r="J20" s="88"/>
      <c r="K20" s="51"/>
      <c r="L20" s="4"/>
      <c r="M20" s="65"/>
      <c r="N20" s="36"/>
      <c r="O20" s="69"/>
      <c r="P20" s="70"/>
      <c r="Q20" s="4"/>
      <c r="R20" s="36"/>
    </row>
    <row r="21" spans="2:18" ht="15.6" customHeight="1">
      <c r="B21" s="283" t="s">
        <v>239</v>
      </c>
      <c r="C21" s="79">
        <v>804600</v>
      </c>
      <c r="D21" s="79" t="s">
        <v>199</v>
      </c>
      <c r="E21" s="345">
        <v>-822897.68</v>
      </c>
      <c r="F21" s="357"/>
      <c r="G21" s="358"/>
      <c r="H21" s="357"/>
      <c r="I21" s="359"/>
      <c r="J21" s="88"/>
      <c r="K21" s="51"/>
      <c r="L21" s="4"/>
      <c r="M21" s="65"/>
      <c r="N21" s="36"/>
      <c r="O21" s="69"/>
      <c r="P21" s="70"/>
      <c r="Q21" s="4"/>
      <c r="R21" s="36"/>
    </row>
    <row r="22" spans="2:18" ht="15.6" customHeight="1">
      <c r="B22" s="283" t="s">
        <v>240</v>
      </c>
      <c r="C22" s="79">
        <v>804730</v>
      </c>
      <c r="D22" s="79" t="s">
        <v>199</v>
      </c>
      <c r="E22" s="345">
        <v>966504.06</v>
      </c>
      <c r="F22" s="357"/>
      <c r="G22" s="358"/>
      <c r="H22" s="357"/>
      <c r="I22" s="359"/>
      <c r="J22" s="88"/>
      <c r="K22" s="73" t="s">
        <v>54</v>
      </c>
      <c r="L22" s="4"/>
      <c r="M22" s="4"/>
      <c r="N22" s="36"/>
      <c r="O22" s="73" t="s">
        <v>54</v>
      </c>
      <c r="P22" s="68"/>
      <c r="Q22" s="4"/>
      <c r="R22" s="36"/>
    </row>
    <row r="23" spans="2:18" ht="15.6" customHeight="1">
      <c r="B23" s="283" t="s">
        <v>241</v>
      </c>
      <c r="C23" s="79">
        <v>808100</v>
      </c>
      <c r="D23" s="79" t="s">
        <v>199</v>
      </c>
      <c r="E23" s="345">
        <v>1713320.43</v>
      </c>
      <c r="F23" s="357"/>
      <c r="G23" s="358"/>
      <c r="H23" s="357"/>
      <c r="I23" s="359"/>
      <c r="J23" s="88"/>
      <c r="K23" s="74" t="s">
        <v>14</v>
      </c>
      <c r="L23" s="279">
        <f>+L10</f>
        <v>20652318</v>
      </c>
      <c r="M23" s="308">
        <v>0.16167000000000001</v>
      </c>
      <c r="N23" s="278">
        <f t="shared" ref="N23:N28" si="3">L23*M23</f>
        <v>3338860.2510600002</v>
      </c>
      <c r="O23" s="74" t="s">
        <v>14</v>
      </c>
      <c r="P23" s="279">
        <f>+P10</f>
        <v>10486334</v>
      </c>
      <c r="Q23" s="308">
        <v>0.16148000000000001</v>
      </c>
      <c r="R23" s="278">
        <f t="shared" ref="R23" si="4">P23*Q23</f>
        <v>1693333.21432</v>
      </c>
    </row>
    <row r="24" spans="2:18" ht="15.6" customHeight="1">
      <c r="B24" s="283" t="s">
        <v>242</v>
      </c>
      <c r="C24" s="79">
        <v>808200</v>
      </c>
      <c r="D24" s="79" t="s">
        <v>199</v>
      </c>
      <c r="E24" s="345">
        <v>-366220.33</v>
      </c>
      <c r="F24" s="357"/>
      <c r="G24" s="358"/>
      <c r="H24" s="357"/>
      <c r="I24" s="359"/>
      <c r="J24" s="88"/>
      <c r="K24" s="74" t="s">
        <v>93</v>
      </c>
      <c r="L24" s="279">
        <f t="shared" ref="L24:L28" si="5">+L11</f>
        <v>32556</v>
      </c>
      <c r="M24" s="308">
        <v>0.16167000000000001</v>
      </c>
      <c r="N24" s="278">
        <f t="shared" si="3"/>
        <v>5263.32852</v>
      </c>
      <c r="O24" s="74" t="s">
        <v>15</v>
      </c>
      <c r="P24" s="279">
        <f t="shared" ref="P24:P27" si="6">+P11</f>
        <v>3100340</v>
      </c>
      <c r="Q24" s="308">
        <v>0.16148000000000001</v>
      </c>
      <c r="R24" s="278">
        <f>P24*Q24</f>
        <v>500642.90320000006</v>
      </c>
    </row>
    <row r="25" spans="2:18" ht="15.6" customHeight="1">
      <c r="B25" s="283" t="s">
        <v>243</v>
      </c>
      <c r="C25" s="79">
        <v>811000</v>
      </c>
      <c r="D25" s="79" t="s">
        <v>199</v>
      </c>
      <c r="E25" s="345">
        <v>-3734.75</v>
      </c>
      <c r="F25" s="357"/>
      <c r="G25" s="358"/>
      <c r="H25" s="357"/>
      <c r="I25" s="359"/>
      <c r="J25" s="88"/>
      <c r="K25" s="74" t="s">
        <v>15</v>
      </c>
      <c r="L25" s="279">
        <f t="shared" si="5"/>
        <v>7466798</v>
      </c>
      <c r="M25" s="308">
        <v>0.16167000000000001</v>
      </c>
      <c r="N25" s="278">
        <f t="shared" si="3"/>
        <v>1207157.23266</v>
      </c>
      <c r="O25" s="74" t="s">
        <v>16</v>
      </c>
      <c r="P25" s="279">
        <f t="shared" si="6"/>
        <v>940</v>
      </c>
      <c r="Q25" s="308">
        <v>0.16148000000000001</v>
      </c>
      <c r="R25" s="278">
        <f t="shared" ref="R25:R27" si="7">P25*Q25</f>
        <v>151.7912</v>
      </c>
    </row>
    <row r="26" spans="2:18" ht="15.6" customHeight="1">
      <c r="B26" s="283" t="s">
        <v>244</v>
      </c>
      <c r="C26" s="79">
        <v>483000</v>
      </c>
      <c r="D26" s="79" t="s">
        <v>199</v>
      </c>
      <c r="E26" s="345">
        <v>-2822148.55</v>
      </c>
      <c r="F26" s="360"/>
      <c r="G26" s="358"/>
      <c r="H26" s="357"/>
      <c r="I26" s="359"/>
      <c r="J26" s="88"/>
      <c r="K26" s="74" t="s">
        <v>16</v>
      </c>
      <c r="L26" s="279">
        <f t="shared" si="5"/>
        <v>124760</v>
      </c>
      <c r="M26" s="308">
        <v>0.16167000000000001</v>
      </c>
      <c r="N26" s="278">
        <f t="shared" si="3"/>
        <v>20169.949200000003</v>
      </c>
      <c r="O26" s="74" t="s">
        <v>17</v>
      </c>
      <c r="P26" s="279">
        <f t="shared" si="6"/>
        <v>0</v>
      </c>
      <c r="Q26" s="308">
        <v>0.16148000000000001</v>
      </c>
      <c r="R26" s="278">
        <f t="shared" si="7"/>
        <v>0</v>
      </c>
    </row>
    <row r="27" spans="2:18" ht="15.6" customHeight="1">
      <c r="B27" s="283" t="s">
        <v>245</v>
      </c>
      <c r="C27" s="79">
        <v>483600</v>
      </c>
      <c r="D27" s="79" t="s">
        <v>199</v>
      </c>
      <c r="E27" s="345">
        <v>266872.5</v>
      </c>
      <c r="F27" s="357"/>
      <c r="G27" s="358"/>
      <c r="H27" s="357"/>
      <c r="I27" s="359"/>
      <c r="J27" s="88"/>
      <c r="K27" s="74" t="s">
        <v>17</v>
      </c>
      <c r="L27" s="279">
        <f t="shared" si="5"/>
        <v>0</v>
      </c>
      <c r="M27" s="308">
        <v>0.16167000000000001</v>
      </c>
      <c r="N27" s="278">
        <f t="shared" si="3"/>
        <v>0</v>
      </c>
      <c r="O27" s="74" t="s">
        <v>18</v>
      </c>
      <c r="P27" s="279">
        <f t="shared" si="6"/>
        <v>0</v>
      </c>
      <c r="Q27" s="308">
        <v>0.16148000000000001</v>
      </c>
      <c r="R27" s="278">
        <f t="shared" si="7"/>
        <v>0</v>
      </c>
    </row>
    <row r="28" spans="2:18" ht="15.6" customHeight="1" thickBot="1">
      <c r="B28" s="283" t="s">
        <v>246</v>
      </c>
      <c r="C28" s="79">
        <v>483730</v>
      </c>
      <c r="D28" s="79" t="s">
        <v>199</v>
      </c>
      <c r="E28" s="345">
        <v>-1924306.27</v>
      </c>
      <c r="F28" s="357"/>
      <c r="G28" s="358"/>
      <c r="H28" s="357"/>
      <c r="I28" s="359"/>
      <c r="J28" s="88"/>
      <c r="K28" s="74" t="s">
        <v>18</v>
      </c>
      <c r="L28" s="279">
        <f t="shared" si="5"/>
        <v>127342</v>
      </c>
      <c r="M28" s="308">
        <v>0.16167000000000001</v>
      </c>
      <c r="N28" s="278">
        <f t="shared" si="3"/>
        <v>20587.381140000001</v>
      </c>
      <c r="O28" s="73" t="s">
        <v>58</v>
      </c>
      <c r="P28" s="240">
        <f>SUM(P23:P27)</f>
        <v>13587614</v>
      </c>
      <c r="Q28" s="241"/>
      <c r="R28" s="71">
        <f>SUM(R23:R27)</f>
        <v>2194127.9087199997</v>
      </c>
    </row>
    <row r="29" spans="2:18" ht="15.6" customHeight="1" thickTop="1" thickBot="1">
      <c r="B29" s="283" t="s">
        <v>247</v>
      </c>
      <c r="C29" s="79">
        <v>495028</v>
      </c>
      <c r="D29" s="79" t="s">
        <v>199</v>
      </c>
      <c r="E29" s="345">
        <v>-375000</v>
      </c>
      <c r="F29" s="357"/>
      <c r="G29" s="358"/>
      <c r="H29" s="357"/>
      <c r="I29" s="359"/>
      <c r="J29" s="88"/>
      <c r="K29" s="73" t="s">
        <v>58</v>
      </c>
      <c r="L29" s="240">
        <f>SUM(L23:L28)</f>
        <v>28403774</v>
      </c>
      <c r="M29" s="241"/>
      <c r="N29" s="250">
        <f>SUM(N23:N28)</f>
        <v>4592038.1425799998</v>
      </c>
      <c r="O29" s="73"/>
      <c r="P29" s="309">
        <v>13587614</v>
      </c>
      <c r="Q29" s="65"/>
      <c r="R29" s="247"/>
    </row>
    <row r="30" spans="2:18" ht="15.6" customHeight="1" thickTop="1">
      <c r="B30" s="283" t="s">
        <v>197</v>
      </c>
      <c r="C30" s="79">
        <v>495000</v>
      </c>
      <c r="D30" s="79" t="s">
        <v>199</v>
      </c>
      <c r="E30" s="349">
        <v>0</v>
      </c>
      <c r="F30" s="361"/>
      <c r="G30" s="362"/>
      <c r="H30" s="361"/>
      <c r="I30" s="363"/>
      <c r="J30" s="88"/>
      <c r="K30" s="64"/>
      <c r="L30" s="309">
        <v>28403774</v>
      </c>
      <c r="M30" s="65"/>
      <c r="N30" s="251"/>
      <c r="O30" s="73"/>
      <c r="P30" s="231">
        <f>P28-P29</f>
        <v>0</v>
      </c>
      <c r="Q30" s="65" t="s">
        <v>41</v>
      </c>
      <c r="R30" s="72"/>
    </row>
    <row r="31" spans="2:18" ht="15.6" customHeight="1" thickBot="1">
      <c r="B31" s="301" t="s">
        <v>47</v>
      </c>
      <c r="C31" s="79"/>
      <c r="D31" s="79"/>
      <c r="E31" s="347">
        <f>-E13</f>
        <v>35148.730000000003</v>
      </c>
      <c r="F31" s="357"/>
      <c r="G31" s="358"/>
      <c r="H31" s="357"/>
      <c r="I31" s="359"/>
      <c r="J31" s="88"/>
      <c r="K31" s="66"/>
      <c r="L31" s="248">
        <f>L29-L30</f>
        <v>0</v>
      </c>
      <c r="M31" s="67" t="s">
        <v>41</v>
      </c>
      <c r="N31" s="249"/>
      <c r="O31" s="252"/>
      <c r="P31" s="253"/>
      <c r="Q31" s="254"/>
      <c r="R31" s="255"/>
    </row>
    <row r="32" spans="2:18" ht="15.6" customHeight="1" thickBot="1">
      <c r="B32" s="297" t="s">
        <v>48</v>
      </c>
      <c r="C32" s="4"/>
      <c r="D32" s="4"/>
      <c r="E32" s="346">
        <f>SUM(E17:E31)</f>
        <v>7969164.4200000018</v>
      </c>
      <c r="F32" s="364"/>
      <c r="G32" s="337">
        <f>E32*G8</f>
        <v>5390342.8136880016</v>
      </c>
      <c r="H32" s="228"/>
      <c r="I32" s="327">
        <f>E32*I8</f>
        <v>2578821.6063120007</v>
      </c>
      <c r="J32" s="88"/>
    </row>
    <row r="33" spans="1:18" ht="15.6" customHeight="1">
      <c r="B33" s="283" t="s">
        <v>194</v>
      </c>
      <c r="C33" s="79">
        <v>495000</v>
      </c>
      <c r="D33" s="4" t="s">
        <v>204</v>
      </c>
      <c r="E33" s="349">
        <v>0</v>
      </c>
      <c r="F33" s="361"/>
      <c r="G33" s="337">
        <f>E33</f>
        <v>0</v>
      </c>
      <c r="H33" s="228"/>
      <c r="I33" s="327"/>
      <c r="J33" s="88"/>
      <c r="K33" s="311" t="s">
        <v>32</v>
      </c>
      <c r="L33" s="7" t="s">
        <v>12</v>
      </c>
      <c r="M33" s="7" t="s">
        <v>12</v>
      </c>
      <c r="N33" s="7" t="s">
        <v>22</v>
      </c>
      <c r="O33" s="7" t="s">
        <v>22</v>
      </c>
      <c r="P33" s="312"/>
      <c r="Q33" s="2"/>
    </row>
    <row r="34" spans="1:18" ht="15.6" customHeight="1" thickBot="1">
      <c r="B34" s="302" t="s">
        <v>172</v>
      </c>
      <c r="C34" s="79">
        <v>495000</v>
      </c>
      <c r="D34" s="4" t="s">
        <v>205</v>
      </c>
      <c r="E34" s="349">
        <v>0</v>
      </c>
      <c r="F34" s="361"/>
      <c r="G34" s="337"/>
      <c r="H34" s="228"/>
      <c r="I34" s="327">
        <f>E34</f>
        <v>0</v>
      </c>
      <c r="J34" s="88"/>
      <c r="K34" s="295"/>
      <c r="L34" s="46" t="s">
        <v>2</v>
      </c>
      <c r="M34" s="46" t="s">
        <v>1</v>
      </c>
      <c r="N34" s="46" t="s">
        <v>2</v>
      </c>
      <c r="O34" s="46" t="s">
        <v>1</v>
      </c>
      <c r="P34" s="322" t="s">
        <v>212</v>
      </c>
      <c r="Q34" s="2"/>
    </row>
    <row r="35" spans="1:18" ht="15.6" customHeight="1">
      <c r="B35" s="64" t="s">
        <v>206</v>
      </c>
      <c r="C35" s="79">
        <v>804000</v>
      </c>
      <c r="D35" s="4" t="s">
        <v>204</v>
      </c>
      <c r="E35" s="345">
        <v>-38528.42</v>
      </c>
      <c r="F35" s="357"/>
      <c r="G35" s="337">
        <f>E35</f>
        <v>-38528.42</v>
      </c>
      <c r="H35" s="228"/>
      <c r="I35" s="327"/>
      <c r="J35" s="88"/>
      <c r="K35" s="51" t="s">
        <v>214</v>
      </c>
      <c r="L35" s="230">
        <f>$F$39</f>
        <v>1553222.1129390001</v>
      </c>
      <c r="M35" s="230">
        <f>G39</f>
        <v>5351814.3936880017</v>
      </c>
      <c r="N35" s="230">
        <f>$H$39</f>
        <v>704040.07706100005</v>
      </c>
      <c r="O35" s="230">
        <f>I39</f>
        <v>2560779.9063120005</v>
      </c>
      <c r="P35" s="321">
        <f>SUM(L35:O35)-E39</f>
        <v>0</v>
      </c>
      <c r="Q35" s="2"/>
    </row>
    <row r="36" spans="1:18" ht="15.6" customHeight="1" thickBot="1">
      <c r="B36" s="64" t="s">
        <v>207</v>
      </c>
      <c r="C36" s="79">
        <v>804000</v>
      </c>
      <c r="D36" s="4" t="s">
        <v>205</v>
      </c>
      <c r="E36" s="345">
        <v>-18041.7</v>
      </c>
      <c r="F36" s="357"/>
      <c r="G36" s="337"/>
      <c r="H36" s="228"/>
      <c r="I36" s="327">
        <f>E36</f>
        <v>-18041.7</v>
      </c>
      <c r="J36" s="88"/>
      <c r="K36" s="51" t="s">
        <v>217</v>
      </c>
      <c r="L36" s="310">
        <f>-$N$17</f>
        <v>-2711302.4357400001</v>
      </c>
      <c r="M36" s="310">
        <f>-N29</f>
        <v>-4592038.1425799998</v>
      </c>
      <c r="N36" s="310">
        <f>-$R$15</f>
        <v>-1216363.2052800001</v>
      </c>
      <c r="O36" s="310">
        <f>-R28</f>
        <v>-2194127.9087199997</v>
      </c>
      <c r="P36" s="321">
        <f>SUM(L36:O36)+N17+N29+R15+R28</f>
        <v>0</v>
      </c>
      <c r="Q36" s="2"/>
    </row>
    <row r="37" spans="1:18" ht="15.6" customHeight="1" thickBot="1">
      <c r="B37" s="297" t="s">
        <v>220</v>
      </c>
      <c r="C37" s="79"/>
      <c r="D37" s="4"/>
      <c r="E37" s="346">
        <f>SUM(E32:E36)</f>
        <v>7912594.3000000017</v>
      </c>
      <c r="F37" s="338"/>
      <c r="G37" s="340"/>
      <c r="H37" s="338"/>
      <c r="I37" s="300"/>
      <c r="J37" s="88"/>
      <c r="K37" s="297" t="s">
        <v>215</v>
      </c>
      <c r="L37" s="245">
        <f t="shared" ref="L37:O37" si="8">SUM(L35:L36)</f>
        <v>-1158080.322801</v>
      </c>
      <c r="M37" s="245">
        <f>SUM(M35:M36)</f>
        <v>759776.25110800192</v>
      </c>
      <c r="N37" s="245">
        <f t="shared" si="8"/>
        <v>-512323.12821900006</v>
      </c>
      <c r="O37" s="245">
        <f t="shared" si="8"/>
        <v>366651.99759200076</v>
      </c>
      <c r="P37" s="313"/>
      <c r="Q37" s="2"/>
    </row>
    <row r="38" spans="1:18" ht="15.6" customHeight="1" thickBot="1">
      <c r="B38" s="51"/>
      <c r="C38" s="29"/>
      <c r="D38" s="29"/>
      <c r="E38" s="350"/>
      <c r="F38" s="341"/>
      <c r="G38" s="342"/>
      <c r="H38" s="341"/>
      <c r="I38" s="303"/>
      <c r="J38" s="88"/>
      <c r="K38" s="314"/>
      <c r="L38" s="263"/>
      <c r="M38" s="9"/>
      <c r="N38" s="2"/>
      <c r="O38" s="318"/>
      <c r="P38" s="315"/>
      <c r="Q38" s="2"/>
    </row>
    <row r="39" spans="1:18" ht="15.6" customHeight="1" thickBot="1">
      <c r="B39" s="304" t="s">
        <v>211</v>
      </c>
      <c r="C39" s="305"/>
      <c r="D39" s="305"/>
      <c r="E39" s="346">
        <f>E37+E14</f>
        <v>10169856.490000002</v>
      </c>
      <c r="F39" s="352">
        <f>SUM(F14:F37)</f>
        <v>1553222.1129390001</v>
      </c>
      <c r="G39" s="353">
        <f t="shared" ref="G39:I39" si="9">SUM(G14:G37)</f>
        <v>5351814.3936880017</v>
      </c>
      <c r="H39" s="352">
        <f t="shared" si="9"/>
        <v>704040.07706100005</v>
      </c>
      <c r="I39" s="306">
        <f t="shared" si="9"/>
        <v>2560779.9063120005</v>
      </c>
      <c r="J39" s="88"/>
      <c r="K39" s="316"/>
      <c r="L39" s="319" t="s">
        <v>76</v>
      </c>
      <c r="M39" s="317">
        <f>SUM(L37:M37)</f>
        <v>-398304.07169299806</v>
      </c>
      <c r="N39" s="320" t="s">
        <v>77</v>
      </c>
      <c r="O39" s="317">
        <f>SUM(N37:O37)</f>
        <v>-145671.13062699931</v>
      </c>
      <c r="P39" s="83"/>
      <c r="Q39" s="2"/>
    </row>
    <row r="40" spans="1:18" ht="15.6" customHeight="1">
      <c r="B40" s="88"/>
      <c r="C40" s="30"/>
      <c r="D40" s="30"/>
      <c r="E40" s="194"/>
      <c r="F40" s="194"/>
      <c r="G40" s="194"/>
      <c r="H40" s="194"/>
      <c r="I40" s="194"/>
      <c r="J40" s="88"/>
      <c r="M40" s="81"/>
      <c r="Q40" s="2"/>
    </row>
    <row r="41" spans="1:18" ht="15.6" customHeight="1">
      <c r="A41" s="88"/>
      <c r="B41" s="193"/>
      <c r="C41" s="30"/>
      <c r="D41" s="31" t="s">
        <v>148</v>
      </c>
      <c r="E41" s="287">
        <v>10169856.49</v>
      </c>
      <c r="F41" s="194"/>
      <c r="G41" s="194"/>
      <c r="H41" s="194"/>
      <c r="I41" s="194"/>
      <c r="J41" s="88"/>
      <c r="P41" s="3"/>
    </row>
    <row r="42" spans="1:18" ht="15.6" customHeight="1">
      <c r="B42" s="291"/>
      <c r="C42" s="291"/>
      <c r="D42" s="31" t="s">
        <v>71</v>
      </c>
      <c r="E42" s="228">
        <f>ROUND(E39-E41,2)</f>
        <v>0</v>
      </c>
      <c r="F42" s="326"/>
      <c r="G42" s="326"/>
      <c r="H42" s="326"/>
      <c r="I42" s="326"/>
    </row>
    <row r="43" spans="1:18" ht="15.6" customHeight="1">
      <c r="B43" s="291"/>
      <c r="C43" s="291"/>
      <c r="E43" s="260"/>
      <c r="F43" s="326"/>
      <c r="G43" s="326"/>
      <c r="H43" s="326"/>
      <c r="I43" s="326"/>
    </row>
    <row r="44" spans="1:18" ht="15.6" customHeight="1">
      <c r="B44" s="291"/>
      <c r="C44" s="291"/>
      <c r="E44" s="260"/>
      <c r="F44" s="326"/>
      <c r="G44" s="326"/>
      <c r="H44" s="326"/>
      <c r="I44" s="326"/>
    </row>
    <row r="45" spans="1:18" s="88" customFormat="1">
      <c r="A45" s="87"/>
      <c r="B45" s="87"/>
      <c r="C45" s="87"/>
      <c r="D45" s="87"/>
      <c r="E45" s="87"/>
      <c r="J45" s="87"/>
      <c r="K45" s="87"/>
      <c r="L45" s="87"/>
      <c r="M45" s="87"/>
      <c r="N45" s="87"/>
      <c r="O45" s="87"/>
      <c r="P45" s="87"/>
      <c r="Q45" s="87"/>
      <c r="R45" s="87"/>
    </row>
    <row r="46" spans="1:18" s="88" customFormat="1">
      <c r="A46" s="87"/>
      <c r="B46" s="87"/>
      <c r="C46" s="87"/>
      <c r="D46" s="87"/>
      <c r="E46" s="87"/>
      <c r="J46" s="87"/>
      <c r="K46" s="87"/>
      <c r="L46" s="87"/>
      <c r="M46" s="87"/>
      <c r="N46" s="87"/>
      <c r="O46" s="87"/>
      <c r="P46" s="87"/>
      <c r="Q46" s="87"/>
      <c r="R46" s="87"/>
    </row>
    <row r="47" spans="1:18" s="88" customFormat="1">
      <c r="A47" s="87"/>
      <c r="B47" s="87"/>
      <c r="C47" s="87"/>
      <c r="D47" s="87"/>
      <c r="E47" s="87"/>
      <c r="J47" s="87"/>
      <c r="K47" s="87"/>
      <c r="L47" s="87"/>
      <c r="M47" s="87"/>
      <c r="N47" s="87"/>
      <c r="O47" s="87"/>
      <c r="P47" s="87"/>
      <c r="Q47" s="87"/>
      <c r="R47" s="87"/>
    </row>
    <row r="48" spans="1:18" s="88" customFormat="1">
      <c r="A48" s="87"/>
      <c r="B48" s="87"/>
      <c r="C48" s="87"/>
      <c r="D48" s="87"/>
      <c r="E48" s="87"/>
      <c r="J48" s="87"/>
      <c r="K48" s="87"/>
      <c r="L48" s="87"/>
      <c r="M48" s="87"/>
      <c r="N48" s="87"/>
      <c r="O48" s="87"/>
      <c r="P48" s="87"/>
      <c r="Q48" s="87"/>
      <c r="R48" s="87"/>
    </row>
    <row r="49" spans="1:18" s="88" customFormat="1">
      <c r="A49" s="87"/>
      <c r="B49" s="87"/>
      <c r="C49" s="87"/>
      <c r="D49" s="87"/>
      <c r="E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1:18" s="88" customFormat="1">
      <c r="A50" s="87"/>
      <c r="B50" s="87"/>
      <c r="C50" s="87"/>
      <c r="D50" s="87"/>
      <c r="E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1:18" s="88" customFormat="1">
      <c r="A51" s="87"/>
      <c r="B51" s="87"/>
      <c r="C51" s="87"/>
      <c r="D51" s="87"/>
      <c r="E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1:18" s="88" customFormat="1">
      <c r="A52" s="87"/>
      <c r="B52" s="87"/>
      <c r="C52" s="87"/>
      <c r="D52" s="87"/>
      <c r="E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1:18" s="88" customFormat="1">
      <c r="A53" s="87"/>
      <c r="B53" s="87"/>
      <c r="C53" s="87"/>
      <c r="D53" s="87"/>
      <c r="E53" s="87"/>
      <c r="J53" s="87"/>
      <c r="K53" s="87"/>
      <c r="L53" s="87"/>
      <c r="M53" s="87"/>
      <c r="N53" s="87"/>
      <c r="O53" s="87"/>
      <c r="P53" s="87"/>
      <c r="Q53" s="87"/>
      <c r="R53" s="87"/>
    </row>
    <row r="54" spans="1:18" s="88" customFormat="1">
      <c r="A54" s="87"/>
      <c r="B54" s="87"/>
      <c r="C54" s="87"/>
      <c r="D54" s="87"/>
      <c r="E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1:18" s="88" customFormat="1">
      <c r="A55" s="87"/>
      <c r="B55" s="87"/>
      <c r="C55" s="87"/>
      <c r="D55" s="87"/>
      <c r="E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1:18" s="88" customFormat="1">
      <c r="A56" s="87"/>
      <c r="B56" s="87"/>
      <c r="C56" s="87"/>
      <c r="D56" s="87"/>
      <c r="E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1:18" s="88" customFormat="1">
      <c r="A57" s="87"/>
      <c r="B57" s="87"/>
      <c r="C57" s="87"/>
      <c r="D57" s="87"/>
      <c r="E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1:18" s="88" customFormat="1">
      <c r="A58" s="87"/>
      <c r="B58" s="87"/>
      <c r="C58" s="87"/>
      <c r="D58" s="87"/>
      <c r="E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1:18" s="88" customFormat="1">
      <c r="A59" s="87"/>
      <c r="B59" s="87"/>
      <c r="C59" s="87"/>
      <c r="D59" s="87"/>
      <c r="E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1:18" s="88" customFormat="1">
      <c r="A60" s="87"/>
      <c r="B60" s="87"/>
      <c r="C60" s="87"/>
      <c r="D60" s="87"/>
      <c r="E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1:18" s="88" customFormat="1">
      <c r="A61" s="87"/>
      <c r="B61" s="87"/>
      <c r="C61" s="87"/>
      <c r="D61" s="87"/>
      <c r="E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1:18" s="88" customFormat="1">
      <c r="A62" s="87"/>
      <c r="B62" s="87"/>
      <c r="C62" s="87"/>
      <c r="D62" s="87"/>
      <c r="E62" s="87"/>
      <c r="J62" s="87"/>
      <c r="K62" s="87"/>
      <c r="L62" s="87"/>
      <c r="M62" s="87"/>
      <c r="N62" s="87"/>
      <c r="O62" s="87"/>
      <c r="P62" s="87"/>
      <c r="Q62" s="87"/>
      <c r="R62" s="87"/>
    </row>
    <row r="1387" spans="1:18" s="15" customFormat="1">
      <c r="A1387" s="87"/>
      <c r="B1387" s="87"/>
      <c r="C1387" s="87"/>
      <c r="D1387" s="87">
        <v>-2130</v>
      </c>
      <c r="F1387" s="88"/>
      <c r="G1387" s="88"/>
      <c r="H1387" s="88"/>
      <c r="I1387" s="88"/>
      <c r="J1387" s="87"/>
      <c r="K1387" s="87"/>
      <c r="L1387" s="87"/>
      <c r="M1387" s="87"/>
      <c r="N1387" s="87"/>
      <c r="O1387" s="87"/>
      <c r="P1387" s="87"/>
      <c r="Q1387" s="87"/>
      <c r="R1387" s="87"/>
    </row>
    <row r="1395" spans="1:18" s="15" customFormat="1">
      <c r="A1395" s="87"/>
      <c r="B1395" s="87"/>
      <c r="C1395" s="87"/>
      <c r="D1395" s="87">
        <f>7004298-2130</f>
        <v>7002168</v>
      </c>
      <c r="F1395" s="88"/>
      <c r="G1395" s="88"/>
      <c r="H1395" s="88"/>
      <c r="I1395" s="88"/>
      <c r="J1395" s="87"/>
      <c r="K1395" s="87"/>
      <c r="L1395" s="87"/>
      <c r="M1395" s="87"/>
      <c r="N1395" s="87"/>
      <c r="O1395" s="87"/>
      <c r="P1395" s="87"/>
      <c r="Q1395" s="87"/>
      <c r="R1395" s="87"/>
    </row>
  </sheetData>
  <mergeCells count="5">
    <mergeCell ref="N1:O1"/>
    <mergeCell ref="F5:G5"/>
    <mergeCell ref="H5:I5"/>
    <mergeCell ref="K5:N5"/>
    <mergeCell ref="O5:R5"/>
  </mergeCells>
  <conditionalFormatting sqref="D43:D44">
    <cfRule type="cellIs" dxfId="246" priority="29" operator="equal">
      <formula>"ERROR"</formula>
    </cfRule>
  </conditionalFormatting>
  <conditionalFormatting sqref="D43:D44">
    <cfRule type="cellIs" dxfId="245" priority="28" operator="equal">
      <formula>"ERROR"</formula>
    </cfRule>
  </conditionalFormatting>
  <conditionalFormatting sqref="P31">
    <cfRule type="cellIs" dxfId="244" priority="25" operator="notEqual">
      <formula>0</formula>
    </cfRule>
  </conditionalFormatting>
  <conditionalFormatting sqref="L19">
    <cfRule type="cellIs" dxfId="243" priority="23" stopIfTrue="1" operator="equal">
      <formula>0</formula>
    </cfRule>
    <cfRule type="cellIs" dxfId="242" priority="24" stopIfTrue="1" operator="notEqual">
      <formula>0</formula>
    </cfRule>
  </conditionalFormatting>
  <conditionalFormatting sqref="L19">
    <cfRule type="cellIs" dxfId="241" priority="21" stopIfTrue="1" operator="equal">
      <formula>0</formula>
    </cfRule>
    <cfRule type="cellIs" dxfId="240" priority="22" stopIfTrue="1" operator="notEqual">
      <formula>0</formula>
    </cfRule>
  </conditionalFormatting>
  <conditionalFormatting sqref="L31">
    <cfRule type="cellIs" dxfId="239" priority="19" stopIfTrue="1" operator="equal">
      <formula>0</formula>
    </cfRule>
    <cfRule type="cellIs" dxfId="238" priority="20" stopIfTrue="1" operator="notEqual">
      <formula>0</formula>
    </cfRule>
  </conditionalFormatting>
  <conditionalFormatting sqref="L31">
    <cfRule type="cellIs" dxfId="237" priority="17" stopIfTrue="1" operator="equal">
      <formula>0</formula>
    </cfRule>
    <cfRule type="cellIs" dxfId="236" priority="18" stopIfTrue="1" operator="notEqual">
      <formula>0</formula>
    </cfRule>
  </conditionalFormatting>
  <conditionalFormatting sqref="P17">
    <cfRule type="cellIs" dxfId="235" priority="15" stopIfTrue="1" operator="equal">
      <formula>0</formula>
    </cfRule>
    <cfRule type="cellIs" dxfId="234" priority="16" stopIfTrue="1" operator="notEqual">
      <formula>0</formula>
    </cfRule>
  </conditionalFormatting>
  <conditionalFormatting sqref="P17">
    <cfRule type="cellIs" dxfId="233" priority="13" stopIfTrue="1" operator="equal">
      <formula>0</formula>
    </cfRule>
    <cfRule type="cellIs" dxfId="232" priority="14" stopIfTrue="1" operator="notEqual">
      <formula>0</formula>
    </cfRule>
  </conditionalFormatting>
  <conditionalFormatting sqref="P30">
    <cfRule type="cellIs" dxfId="231" priority="11" stopIfTrue="1" operator="equal">
      <formula>0</formula>
    </cfRule>
    <cfRule type="cellIs" dxfId="230" priority="12" stopIfTrue="1" operator="notEqual">
      <formula>0</formula>
    </cfRule>
  </conditionalFormatting>
  <conditionalFormatting sqref="P30">
    <cfRule type="cellIs" dxfId="229" priority="9" stopIfTrue="1" operator="equal">
      <formula>0</formula>
    </cfRule>
    <cfRule type="cellIs" dxfId="228" priority="10" stopIfTrue="1" operator="notEqual">
      <formula>0</formula>
    </cfRule>
  </conditionalFormatting>
  <conditionalFormatting sqref="P35:P36">
    <cfRule type="cellIs" dxfId="227" priority="7" stopIfTrue="1" operator="equal">
      <formula>0</formula>
    </cfRule>
    <cfRule type="cellIs" dxfId="226" priority="8" stopIfTrue="1" operator="notEqual">
      <formula>0</formula>
    </cfRule>
  </conditionalFormatting>
  <conditionalFormatting sqref="P35:P36">
    <cfRule type="cellIs" dxfId="225" priority="5" stopIfTrue="1" operator="equal">
      <formula>0</formula>
    </cfRule>
    <cfRule type="cellIs" dxfId="224" priority="6" stopIfTrue="1" operator="notEqual">
      <formula>0</formula>
    </cfRule>
  </conditionalFormatting>
  <conditionalFormatting sqref="E42">
    <cfRule type="cellIs" dxfId="223" priority="3" stopIfTrue="1" operator="equal">
      <formula>0</formula>
    </cfRule>
    <cfRule type="cellIs" dxfId="222" priority="4" stopIfTrue="1" operator="notEqual">
      <formula>0</formula>
    </cfRule>
  </conditionalFormatting>
  <conditionalFormatting sqref="E42">
    <cfRule type="cellIs" dxfId="221" priority="1" stopIfTrue="1" operator="equal">
      <formula>0</formula>
    </cfRule>
    <cfRule type="cellIs" dxfId="220" priority="2" stopIfTrue="1" operator="notEqual">
      <formula>0</formula>
    </cfRule>
  </conditionalFormatting>
  <printOptions horizontalCentered="1"/>
  <pageMargins left="0.2" right="0.2" top="0.5" bottom="0.5" header="0.3" footer="0.3"/>
  <pageSetup scale="44" orientation="landscape" r:id="rId1"/>
  <headerFooter>
    <oddFooter>&amp;R&amp;Z&amp;F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2C35-A3DC-49E6-9253-F782621549D7}">
  <sheetPr>
    <pageSetUpPr fitToPage="1"/>
  </sheetPr>
  <dimension ref="A1:R1406"/>
  <sheetViews>
    <sheetView topLeftCell="A2" zoomScale="60" zoomScaleNormal="60" workbookViewId="0">
      <selection activeCell="G59" sqref="G59"/>
    </sheetView>
  </sheetViews>
  <sheetFormatPr defaultColWidth="16" defaultRowHeight="15"/>
  <cols>
    <col min="1" max="1" width="2.85546875" style="87" customWidth="1"/>
    <col min="2" max="2" width="48.7109375" style="87" bestFit="1" customWidth="1"/>
    <col min="3" max="3" width="11.5703125" style="87" customWidth="1"/>
    <col min="4" max="4" width="10.7109375" style="87" customWidth="1"/>
    <col min="5" max="5" width="18.7109375" style="15" bestFit="1" customWidth="1"/>
    <col min="6" max="9" width="17.5703125" style="88" customWidth="1"/>
    <col min="10" max="10" width="4.85546875" style="87" bestFit="1" customWidth="1"/>
    <col min="11" max="11" width="22.28515625" style="87" bestFit="1" customWidth="1"/>
    <col min="12" max="18" width="18.140625" style="87" customWidth="1"/>
    <col min="19" max="16384" width="16" style="87"/>
  </cols>
  <sheetData>
    <row r="1" spans="2:18" ht="15.6" customHeight="1" thickBot="1">
      <c r="B1" s="285" t="s">
        <v>218</v>
      </c>
      <c r="C1" s="286">
        <v>202102</v>
      </c>
      <c r="D1" s="284"/>
      <c r="E1" s="204"/>
      <c r="F1" s="204"/>
      <c r="G1" s="204"/>
      <c r="H1" s="204"/>
      <c r="I1" s="204"/>
      <c r="K1" s="280" t="s">
        <v>200</v>
      </c>
      <c r="L1" s="288" t="s">
        <v>201</v>
      </c>
      <c r="N1" s="385" t="s">
        <v>213</v>
      </c>
      <c r="O1" s="386"/>
    </row>
    <row r="2" spans="2:18" ht="15.6" customHeight="1">
      <c r="D2" s="204"/>
      <c r="E2" s="204"/>
      <c r="F2" s="204"/>
      <c r="G2" s="204"/>
      <c r="H2" s="204"/>
      <c r="I2" s="204"/>
      <c r="K2" s="281"/>
      <c r="L2" s="282" t="s">
        <v>202</v>
      </c>
      <c r="N2" s="283" t="s">
        <v>78</v>
      </c>
      <c r="O2" s="324" t="s">
        <v>79</v>
      </c>
    </row>
    <row r="3" spans="2:18" ht="15.6" customHeight="1" thickBot="1">
      <c r="D3" s="204"/>
      <c r="E3" s="204"/>
      <c r="F3" s="204"/>
      <c r="G3" s="204"/>
      <c r="H3" s="204"/>
      <c r="I3" s="204"/>
      <c r="K3" s="281"/>
      <c r="L3" s="289"/>
      <c r="N3" s="325" t="e">
        <f>SUM('191010 WA DEF'!E36:E45)+SUM('191000 WA Amort'!H36:H45)+SUM(#REF!)+SUM(#REF!)</f>
        <v>#REF!</v>
      </c>
      <c r="O3" s="323" t="e">
        <f>-(SUM('191010 WA DEF'!F36:F39)+SUM('191010 WA DEF'!F44:F45)+SUM('191000 WA Amort'!I36:I39)+SUM('191000 WA Amort'!I44:I45)+SUM(#REF!)+SUM(#REF!)+SUM(#REF!)+SUM(#REF!))</f>
        <v>#REF!</v>
      </c>
    </row>
    <row r="4" spans="2:18" ht="15.6" customHeight="1" thickBot="1">
      <c r="D4" s="204"/>
      <c r="E4" s="204"/>
      <c r="F4" s="204"/>
      <c r="G4" s="204"/>
      <c r="H4" s="204"/>
      <c r="I4" s="204"/>
      <c r="K4" s="281"/>
      <c r="L4" s="289"/>
    </row>
    <row r="5" spans="2:18" ht="15.6" customHeight="1" thickBot="1">
      <c r="B5" s="294"/>
      <c r="C5" s="50"/>
      <c r="D5" s="50"/>
      <c r="E5" s="351" t="s">
        <v>28</v>
      </c>
      <c r="F5" s="387" t="s">
        <v>59</v>
      </c>
      <c r="G5" s="388"/>
      <c r="H5" s="387" t="s">
        <v>60</v>
      </c>
      <c r="I5" s="389"/>
      <c r="J5" s="88"/>
      <c r="K5" s="382" t="s">
        <v>59</v>
      </c>
      <c r="L5" s="383"/>
      <c r="M5" s="383"/>
      <c r="N5" s="384"/>
      <c r="O5" s="382" t="s">
        <v>60</v>
      </c>
      <c r="P5" s="383"/>
      <c r="Q5" s="383"/>
      <c r="R5" s="384"/>
    </row>
    <row r="6" spans="2:18" ht="15.6" customHeight="1" thickBot="1">
      <c r="B6" s="295" t="s">
        <v>31</v>
      </c>
      <c r="C6" s="4"/>
      <c r="D6" s="4"/>
      <c r="E6" s="343" t="s">
        <v>216</v>
      </c>
      <c r="F6" s="330" t="s">
        <v>2</v>
      </c>
      <c r="G6" s="331" t="s">
        <v>1</v>
      </c>
      <c r="H6" s="330" t="s">
        <v>2</v>
      </c>
      <c r="I6" s="329" t="s">
        <v>1</v>
      </c>
      <c r="J6" s="88"/>
      <c r="K6" s="211" t="s">
        <v>42</v>
      </c>
      <c r="L6" s="205" t="s">
        <v>10</v>
      </c>
      <c r="M6" s="205" t="s">
        <v>10</v>
      </c>
      <c r="N6" s="205" t="s">
        <v>10</v>
      </c>
      <c r="O6" s="211" t="s">
        <v>42</v>
      </c>
      <c r="P6" s="205" t="s">
        <v>10</v>
      </c>
      <c r="Q6" s="205" t="s">
        <v>10</v>
      </c>
      <c r="R6" s="274" t="s">
        <v>10</v>
      </c>
    </row>
    <row r="7" spans="2:18" ht="15.6" customHeight="1" thickBot="1">
      <c r="B7" s="51"/>
      <c r="C7" s="4"/>
      <c r="D7" s="4"/>
      <c r="E7" s="344"/>
      <c r="F7" s="332"/>
      <c r="G7" s="333"/>
      <c r="H7" s="332"/>
      <c r="I7" s="36"/>
      <c r="J7" s="88"/>
      <c r="K7" s="212" t="s">
        <v>72</v>
      </c>
      <c r="L7" s="207" t="s">
        <v>40</v>
      </c>
      <c r="M7" s="207" t="s">
        <v>13</v>
      </c>
      <c r="N7" s="207" t="s">
        <v>11</v>
      </c>
      <c r="O7" s="212" t="s">
        <v>72</v>
      </c>
      <c r="P7" s="207" t="s">
        <v>40</v>
      </c>
      <c r="Q7" s="207" t="s">
        <v>13</v>
      </c>
      <c r="R7" s="207" t="s">
        <v>11</v>
      </c>
    </row>
    <row r="8" spans="2:18" ht="15.6" customHeight="1">
      <c r="B8" s="51"/>
      <c r="C8" s="4"/>
      <c r="D8" s="4"/>
      <c r="E8" s="365">
        <f>F8+H8</f>
        <v>1</v>
      </c>
      <c r="F8" s="334">
        <v>0.68810000000000004</v>
      </c>
      <c r="G8" s="335">
        <f>ROUND($L$29/($L$29+$P$28),4)</f>
        <v>0.67249999999999999</v>
      </c>
      <c r="H8" s="334">
        <v>0.31190000000000001</v>
      </c>
      <c r="I8" s="296">
        <f>1-G8</f>
        <v>0.32750000000000001</v>
      </c>
      <c r="J8" s="366"/>
      <c r="K8" s="51"/>
      <c r="L8" s="273"/>
      <c r="M8" s="273"/>
      <c r="N8" s="274"/>
      <c r="O8" s="213"/>
      <c r="P8" s="214"/>
      <c r="Q8" s="214"/>
      <c r="R8" s="76"/>
    </row>
    <row r="9" spans="2:18" ht="15.6" customHeight="1">
      <c r="B9" s="51"/>
      <c r="C9" s="4"/>
      <c r="D9" s="4"/>
      <c r="E9" s="344"/>
      <c r="F9" s="332"/>
      <c r="G9" s="333"/>
      <c r="H9" s="332"/>
      <c r="I9" s="36"/>
      <c r="J9" s="88"/>
      <c r="K9" s="73" t="s">
        <v>52</v>
      </c>
      <c r="L9" s="4"/>
      <c r="M9" s="4"/>
      <c r="N9" s="36"/>
      <c r="O9" s="73" t="s">
        <v>52</v>
      </c>
      <c r="P9" s="4"/>
      <c r="Q9" s="4"/>
      <c r="R9" s="36"/>
    </row>
    <row r="10" spans="2:18" ht="15.6" customHeight="1">
      <c r="B10" s="283" t="s">
        <v>248</v>
      </c>
      <c r="C10" s="79">
        <v>804001</v>
      </c>
      <c r="D10" s="79" t="s">
        <v>199</v>
      </c>
      <c r="E10" s="345">
        <v>2150935.69</v>
      </c>
      <c r="F10" s="336"/>
      <c r="G10" s="337"/>
      <c r="H10" s="336"/>
      <c r="I10" s="327"/>
      <c r="J10" s="88"/>
      <c r="K10" s="74" t="s">
        <v>14</v>
      </c>
      <c r="L10" s="307">
        <v>21465565</v>
      </c>
      <c r="M10" s="308">
        <v>9.8220000000000002E-2</v>
      </c>
      <c r="N10" s="278">
        <f t="shared" ref="N10:N16" si="0">L10*M10</f>
        <v>2108347.7943000002</v>
      </c>
      <c r="O10" s="74" t="s">
        <v>14</v>
      </c>
      <c r="P10" s="307">
        <v>10870325</v>
      </c>
      <c r="Q10" s="308">
        <v>8.9520000000000002E-2</v>
      </c>
      <c r="R10" s="278">
        <f t="shared" ref="R10:R11" si="1">P10*Q10</f>
        <v>973111.49400000006</v>
      </c>
    </row>
    <row r="11" spans="2:18" ht="15.6" customHeight="1" thickBot="1">
      <c r="B11" s="283" t="s">
        <v>249</v>
      </c>
      <c r="C11" s="79">
        <v>804002</v>
      </c>
      <c r="D11" s="79" t="s">
        <v>199</v>
      </c>
      <c r="E11" s="345">
        <v>37639.53</v>
      </c>
      <c r="F11" s="336"/>
      <c r="G11" s="337"/>
      <c r="H11" s="336"/>
      <c r="I11" s="327"/>
      <c r="J11" s="88"/>
      <c r="K11" s="74" t="s">
        <v>93</v>
      </c>
      <c r="L11" s="307">
        <v>35195</v>
      </c>
      <c r="M11" s="308">
        <v>9.8220000000000002E-2</v>
      </c>
      <c r="N11" s="278">
        <f t="shared" si="0"/>
        <v>3456.8528999999999</v>
      </c>
      <c r="O11" s="74" t="s">
        <v>15</v>
      </c>
      <c r="P11" s="307">
        <v>3329528</v>
      </c>
      <c r="Q11" s="308">
        <v>8.9520000000000002E-2</v>
      </c>
      <c r="R11" s="278">
        <f t="shared" si="1"/>
        <v>298059.34656000003</v>
      </c>
    </row>
    <row r="12" spans="2:18" ht="15.6" customHeight="1" thickBot="1">
      <c r="B12" s="297" t="s">
        <v>203</v>
      </c>
      <c r="C12" s="9"/>
      <c r="D12" s="9"/>
      <c r="E12" s="346">
        <f>SUM(E10:E11)</f>
        <v>2188575.2199999997</v>
      </c>
      <c r="F12" s="338"/>
      <c r="G12" s="339"/>
      <c r="H12" s="338"/>
      <c r="I12" s="328"/>
      <c r="J12" s="88"/>
      <c r="K12" s="74" t="s">
        <v>15</v>
      </c>
      <c r="L12" s="307">
        <v>7487490</v>
      </c>
      <c r="M12" s="308">
        <v>8.8349999999999998E-2</v>
      </c>
      <c r="N12" s="278">
        <f t="shared" si="0"/>
        <v>661519.7415</v>
      </c>
      <c r="O12" s="74" t="s">
        <v>16</v>
      </c>
      <c r="P12" s="307">
        <v>1188</v>
      </c>
      <c r="Q12" s="308">
        <v>8.9520000000000002E-2</v>
      </c>
      <c r="R12" s="278">
        <f>P12*Q12</f>
        <v>106.34976</v>
      </c>
    </row>
    <row r="13" spans="2:18" ht="15.6" customHeight="1" thickBot="1">
      <c r="B13" s="298" t="s">
        <v>44</v>
      </c>
      <c r="C13" s="2"/>
      <c r="D13" s="2"/>
      <c r="E13" s="347">
        <f>-E11</f>
        <v>-37639.53</v>
      </c>
      <c r="F13" s="336"/>
      <c r="G13" s="337"/>
      <c r="H13" s="336"/>
      <c r="I13" s="327"/>
      <c r="J13" s="88"/>
      <c r="K13" s="74" t="s">
        <v>16</v>
      </c>
      <c r="L13" s="307">
        <v>111067</v>
      </c>
      <c r="M13" s="308">
        <v>8.8349999999999998E-2</v>
      </c>
      <c r="N13" s="278">
        <f t="shared" si="0"/>
        <v>9812.7694499999998</v>
      </c>
      <c r="O13" s="74" t="s">
        <v>17</v>
      </c>
      <c r="P13" s="307">
        <v>0</v>
      </c>
      <c r="Q13" s="308">
        <v>8.9520000000000002E-2</v>
      </c>
      <c r="R13" s="278">
        <f t="shared" ref="R13:R14" si="2">P13*Q13</f>
        <v>0</v>
      </c>
    </row>
    <row r="14" spans="2:18" ht="15.6" customHeight="1" thickBot="1">
      <c r="B14" s="297" t="s">
        <v>219</v>
      </c>
      <c r="C14" s="299"/>
      <c r="D14" s="299"/>
      <c r="E14" s="346">
        <f>SUM(E12:E13)</f>
        <v>2150935.69</v>
      </c>
      <c r="F14" s="354">
        <f>E14*F8</f>
        <v>1480058.8482890001</v>
      </c>
      <c r="G14" s="355"/>
      <c r="H14" s="354">
        <f>E14*H8</f>
        <v>670876.84171099996</v>
      </c>
      <c r="I14" s="356"/>
      <c r="J14" s="88"/>
      <c r="K14" s="74" t="s">
        <v>17</v>
      </c>
      <c r="L14" s="307">
        <v>0</v>
      </c>
      <c r="M14" s="308">
        <v>5.6399999999999999E-2</v>
      </c>
      <c r="N14" s="278">
        <f t="shared" si="0"/>
        <v>0</v>
      </c>
      <c r="O14" s="74" t="s">
        <v>18</v>
      </c>
      <c r="P14" s="307">
        <v>0</v>
      </c>
      <c r="Q14" s="308">
        <v>8.9520000000000002E-2</v>
      </c>
      <c r="R14" s="278">
        <f t="shared" si="2"/>
        <v>0</v>
      </c>
    </row>
    <row r="15" spans="2:18" ht="15.6" customHeight="1" thickBot="1">
      <c r="B15" s="51"/>
      <c r="C15" s="4"/>
      <c r="D15" s="4"/>
      <c r="E15" s="348"/>
      <c r="F15" s="357"/>
      <c r="G15" s="358"/>
      <c r="H15" s="357"/>
      <c r="I15" s="359"/>
      <c r="J15" s="88"/>
      <c r="K15" s="74" t="s">
        <v>18</v>
      </c>
      <c r="L15" s="307">
        <v>65536</v>
      </c>
      <c r="M15" s="308">
        <v>5.6399999999999999E-2</v>
      </c>
      <c r="N15" s="278">
        <f t="shared" si="0"/>
        <v>3696.2303999999999</v>
      </c>
      <c r="O15" s="73" t="s">
        <v>53</v>
      </c>
      <c r="P15" s="240">
        <f>SUM(P10:P14)</f>
        <v>14201041</v>
      </c>
      <c r="Q15" s="241"/>
      <c r="R15" s="71">
        <f>SUM(R10:R14)</f>
        <v>1271277.1903200001</v>
      </c>
    </row>
    <row r="16" spans="2:18" ht="15.6" customHeight="1" thickTop="1">
      <c r="B16" s="51"/>
      <c r="C16" s="4"/>
      <c r="D16" s="4"/>
      <c r="E16" s="348"/>
      <c r="F16" s="357"/>
      <c r="G16" s="358"/>
      <c r="H16" s="357"/>
      <c r="I16" s="359"/>
      <c r="J16" s="88"/>
      <c r="K16" s="74" t="s">
        <v>33</v>
      </c>
      <c r="L16" s="307">
        <v>3541847</v>
      </c>
      <c r="M16" s="308">
        <v>5.4000000000000001E-4</v>
      </c>
      <c r="N16" s="278">
        <f t="shared" si="0"/>
        <v>1912.5973799999999</v>
      </c>
      <c r="O16" s="74"/>
      <c r="P16" s="309">
        <v>14201041</v>
      </c>
      <c r="Q16" s="65"/>
      <c r="R16" s="242"/>
    </row>
    <row r="17" spans="2:18" ht="15.6" customHeight="1" thickBot="1">
      <c r="B17" s="283" t="s">
        <v>235</v>
      </c>
      <c r="C17" s="79">
        <v>804000</v>
      </c>
      <c r="D17" s="79" t="s">
        <v>199</v>
      </c>
      <c r="E17" s="345">
        <v>14003679.560000001</v>
      </c>
      <c r="F17" s="360" t="s">
        <v>121</v>
      </c>
      <c r="G17" s="358"/>
      <c r="H17" s="357"/>
      <c r="I17" s="359"/>
      <c r="J17" s="88"/>
      <c r="K17" s="73" t="s">
        <v>53</v>
      </c>
      <c r="L17" s="240">
        <f>SUM(L10:L16)</f>
        <v>32706700</v>
      </c>
      <c r="M17" s="6"/>
      <c r="N17" s="71">
        <f>SUM(N10:N16)</f>
        <v>2788745.98593</v>
      </c>
      <c r="O17" s="74"/>
      <c r="P17" s="231">
        <f>P15-P16</f>
        <v>0</v>
      </c>
      <c r="Q17" s="65" t="s">
        <v>41</v>
      </c>
      <c r="R17" s="72"/>
    </row>
    <row r="18" spans="2:18" ht="15.6" customHeight="1" thickTop="1">
      <c r="B18" s="283" t="s">
        <v>236</v>
      </c>
      <c r="C18" s="79">
        <v>804010</v>
      </c>
      <c r="D18" s="79" t="s">
        <v>199</v>
      </c>
      <c r="E18" s="345">
        <v>38370.33</v>
      </c>
      <c r="F18" s="357"/>
      <c r="G18" s="358"/>
      <c r="H18" s="357"/>
      <c r="I18" s="359"/>
      <c r="J18" s="88"/>
      <c r="K18" s="64"/>
      <c r="L18" s="309">
        <v>32706700</v>
      </c>
      <c r="M18" s="65"/>
      <c r="N18" s="242"/>
      <c r="O18" s="51"/>
      <c r="P18" s="4"/>
      <c r="Q18" s="196"/>
      <c r="R18" s="72"/>
    </row>
    <row r="19" spans="2:18" ht="15.6" customHeight="1">
      <c r="B19" s="283" t="s">
        <v>237</v>
      </c>
      <c r="C19" s="79">
        <v>804017</v>
      </c>
      <c r="D19" s="79" t="s">
        <v>199</v>
      </c>
      <c r="E19" s="345">
        <v>33607.06</v>
      </c>
      <c r="F19" s="357"/>
      <c r="G19" s="358"/>
      <c r="H19" s="357"/>
      <c r="I19" s="359"/>
      <c r="J19" s="88"/>
      <c r="K19" s="51"/>
      <c r="L19" s="231">
        <f>L17-L18</f>
        <v>0</v>
      </c>
      <c r="M19" s="65" t="s">
        <v>41</v>
      </c>
      <c r="N19" s="36"/>
      <c r="O19" s="69"/>
      <c r="P19" s="70"/>
      <c r="Q19" s="4"/>
      <c r="R19" s="72"/>
    </row>
    <row r="20" spans="2:18" ht="15.6" customHeight="1">
      <c r="B20" s="283" t="s">
        <v>238</v>
      </c>
      <c r="C20" s="79">
        <v>804018</v>
      </c>
      <c r="D20" s="79" t="s">
        <v>199</v>
      </c>
      <c r="E20" s="345">
        <v>9360.99</v>
      </c>
      <c r="F20" s="357"/>
      <c r="G20" s="358"/>
      <c r="H20" s="357"/>
      <c r="I20" s="359"/>
      <c r="J20" s="88"/>
      <c r="K20" s="51"/>
      <c r="L20" s="4"/>
      <c r="M20" s="65"/>
      <c r="N20" s="36"/>
      <c r="O20" s="69"/>
      <c r="P20" s="70"/>
      <c r="Q20" s="4"/>
      <c r="R20" s="36"/>
    </row>
    <row r="21" spans="2:18" ht="15.6" customHeight="1">
      <c r="B21" s="283" t="s">
        <v>239</v>
      </c>
      <c r="C21" s="79">
        <v>804600</v>
      </c>
      <c r="D21" s="79" t="s">
        <v>199</v>
      </c>
      <c r="E21" s="345">
        <v>-910355.25</v>
      </c>
      <c r="F21" s="357"/>
      <c r="G21" s="358"/>
      <c r="H21" s="357"/>
      <c r="I21" s="359"/>
      <c r="J21" s="88"/>
      <c r="K21" s="51"/>
      <c r="L21" s="4"/>
      <c r="M21" s="65"/>
      <c r="N21" s="36"/>
      <c r="O21" s="69"/>
      <c r="P21" s="70"/>
      <c r="Q21" s="4"/>
      <c r="R21" s="36"/>
    </row>
    <row r="22" spans="2:18" ht="15.6" customHeight="1">
      <c r="B22" s="283" t="s">
        <v>240</v>
      </c>
      <c r="C22" s="79">
        <v>804730</v>
      </c>
      <c r="D22" s="79" t="s">
        <v>199</v>
      </c>
      <c r="E22" s="345">
        <v>3764952.68</v>
      </c>
      <c r="F22" s="357"/>
      <c r="G22" s="358"/>
      <c r="H22" s="357"/>
      <c r="I22" s="359"/>
      <c r="J22" s="88"/>
      <c r="K22" s="73" t="s">
        <v>54</v>
      </c>
      <c r="L22" s="4"/>
      <c r="M22" s="4"/>
      <c r="N22" s="36"/>
      <c r="O22" s="73" t="s">
        <v>54</v>
      </c>
      <c r="P22" s="68"/>
      <c r="Q22" s="4"/>
      <c r="R22" s="36"/>
    </row>
    <row r="23" spans="2:18" ht="15.6" customHeight="1">
      <c r="B23" s="283" t="s">
        <v>241</v>
      </c>
      <c r="C23" s="79">
        <v>808100</v>
      </c>
      <c r="D23" s="79" t="s">
        <v>199</v>
      </c>
      <c r="E23" s="345">
        <v>3115249.75</v>
      </c>
      <c r="F23" s="357"/>
      <c r="G23" s="358"/>
      <c r="H23" s="357"/>
      <c r="I23" s="359"/>
      <c r="J23" s="88"/>
      <c r="K23" s="74" t="s">
        <v>14</v>
      </c>
      <c r="L23" s="279">
        <f>+L10</f>
        <v>21465565</v>
      </c>
      <c r="M23" s="308">
        <v>0.16167000000000001</v>
      </c>
      <c r="N23" s="278">
        <f t="shared" ref="N23:N28" si="3">L23*M23</f>
        <v>3470337.8935500002</v>
      </c>
      <c r="O23" s="74" t="s">
        <v>14</v>
      </c>
      <c r="P23" s="279">
        <f>+P10</f>
        <v>10870325</v>
      </c>
      <c r="Q23" s="308">
        <v>0.16148000000000001</v>
      </c>
      <c r="R23" s="278">
        <f t="shared" ref="R23" si="4">P23*Q23</f>
        <v>1755340.0810000002</v>
      </c>
    </row>
    <row r="24" spans="2:18" ht="15.6" customHeight="1">
      <c r="B24" s="283" t="s">
        <v>242</v>
      </c>
      <c r="C24" s="79">
        <v>808200</v>
      </c>
      <c r="D24" s="79" t="s">
        <v>199</v>
      </c>
      <c r="E24" s="345">
        <v>-23387.439999999999</v>
      </c>
      <c r="F24" s="357"/>
      <c r="G24" s="358"/>
      <c r="H24" s="357"/>
      <c r="I24" s="359"/>
      <c r="J24" s="88"/>
      <c r="K24" s="74" t="s">
        <v>93</v>
      </c>
      <c r="L24" s="279">
        <f t="shared" ref="L24:L28" si="5">+L11</f>
        <v>35195</v>
      </c>
      <c r="M24" s="308">
        <v>0.16167000000000001</v>
      </c>
      <c r="N24" s="278">
        <f t="shared" si="3"/>
        <v>5689.9756500000003</v>
      </c>
      <c r="O24" s="74" t="s">
        <v>15</v>
      </c>
      <c r="P24" s="279">
        <f t="shared" ref="P24:P27" si="6">+P11</f>
        <v>3329528</v>
      </c>
      <c r="Q24" s="308">
        <v>0.16148000000000001</v>
      </c>
      <c r="R24" s="278">
        <f>P24*Q24</f>
        <v>537652.18144000007</v>
      </c>
    </row>
    <row r="25" spans="2:18" ht="15.6" customHeight="1">
      <c r="B25" s="283" t="s">
        <v>243</v>
      </c>
      <c r="C25" s="79">
        <v>811000</v>
      </c>
      <c r="D25" s="79" t="s">
        <v>199</v>
      </c>
      <c r="E25" s="345">
        <v>-84540.02</v>
      </c>
      <c r="F25" s="357"/>
      <c r="G25" s="358"/>
      <c r="H25" s="357"/>
      <c r="I25" s="359"/>
      <c r="J25" s="88"/>
      <c r="K25" s="74" t="s">
        <v>15</v>
      </c>
      <c r="L25" s="279">
        <f t="shared" si="5"/>
        <v>7487490</v>
      </c>
      <c r="M25" s="308">
        <v>0.16167000000000001</v>
      </c>
      <c r="N25" s="278">
        <f t="shared" si="3"/>
        <v>1210502.5083000001</v>
      </c>
      <c r="O25" s="74" t="s">
        <v>16</v>
      </c>
      <c r="P25" s="279">
        <f t="shared" si="6"/>
        <v>1188</v>
      </c>
      <c r="Q25" s="308">
        <v>0.16148000000000001</v>
      </c>
      <c r="R25" s="278">
        <f t="shared" ref="R25:R27" si="7">P25*Q25</f>
        <v>191.83824000000001</v>
      </c>
    </row>
    <row r="26" spans="2:18" ht="15.6" customHeight="1">
      <c r="B26" s="283" t="s">
        <v>244</v>
      </c>
      <c r="C26" s="79">
        <v>483000</v>
      </c>
      <c r="D26" s="79" t="s">
        <v>199</v>
      </c>
      <c r="E26" s="345">
        <v>-6069267.5800000001</v>
      </c>
      <c r="F26" s="360" t="s">
        <v>122</v>
      </c>
      <c r="G26" s="358"/>
      <c r="H26" s="357"/>
      <c r="I26" s="359"/>
      <c r="J26" s="88"/>
      <c r="K26" s="74" t="s">
        <v>16</v>
      </c>
      <c r="L26" s="279">
        <f t="shared" si="5"/>
        <v>111067</v>
      </c>
      <c r="M26" s="308">
        <v>0.16167000000000001</v>
      </c>
      <c r="N26" s="278">
        <f t="shared" si="3"/>
        <v>17956.20189</v>
      </c>
      <c r="O26" s="74" t="s">
        <v>17</v>
      </c>
      <c r="P26" s="279">
        <f t="shared" si="6"/>
        <v>0</v>
      </c>
      <c r="Q26" s="308">
        <v>0.16148000000000001</v>
      </c>
      <c r="R26" s="278">
        <f t="shared" si="7"/>
        <v>0</v>
      </c>
    </row>
    <row r="27" spans="2:18" ht="15.6" customHeight="1">
      <c r="B27" s="283" t="s">
        <v>245</v>
      </c>
      <c r="C27" s="79">
        <v>483600</v>
      </c>
      <c r="D27" s="79" t="s">
        <v>199</v>
      </c>
      <c r="E27" s="345">
        <v>2337208.4300000002</v>
      </c>
      <c r="F27" s="357"/>
      <c r="G27" s="358"/>
      <c r="H27" s="357"/>
      <c r="I27" s="359"/>
      <c r="J27" s="88"/>
      <c r="K27" s="74" t="s">
        <v>17</v>
      </c>
      <c r="L27" s="279">
        <f t="shared" si="5"/>
        <v>0</v>
      </c>
      <c r="M27" s="308">
        <v>0.16167000000000001</v>
      </c>
      <c r="N27" s="278">
        <f t="shared" si="3"/>
        <v>0</v>
      </c>
      <c r="O27" s="74" t="s">
        <v>18</v>
      </c>
      <c r="P27" s="279">
        <f t="shared" si="6"/>
        <v>0</v>
      </c>
      <c r="Q27" s="308">
        <v>0.16148000000000001</v>
      </c>
      <c r="R27" s="278">
        <f t="shared" si="7"/>
        <v>0</v>
      </c>
    </row>
    <row r="28" spans="2:18" ht="15.6" customHeight="1" thickBot="1">
      <c r="B28" s="283" t="s">
        <v>246</v>
      </c>
      <c r="C28" s="79">
        <v>483730</v>
      </c>
      <c r="D28" s="79" t="s">
        <v>199</v>
      </c>
      <c r="E28" s="345">
        <v>-3601460.94</v>
      </c>
      <c r="F28" s="357"/>
      <c r="G28" s="358"/>
      <c r="H28" s="357"/>
      <c r="I28" s="359"/>
      <c r="J28" s="88"/>
      <c r="K28" s="74" t="s">
        <v>18</v>
      </c>
      <c r="L28" s="279">
        <f t="shared" si="5"/>
        <v>65536</v>
      </c>
      <c r="M28" s="308">
        <v>0.16167000000000001</v>
      </c>
      <c r="N28" s="278">
        <f t="shared" si="3"/>
        <v>10595.205120000001</v>
      </c>
      <c r="O28" s="73" t="s">
        <v>58</v>
      </c>
      <c r="P28" s="240">
        <f>SUM(P23:P27)</f>
        <v>14201041</v>
      </c>
      <c r="Q28" s="241"/>
      <c r="R28" s="71">
        <f>SUM(R23:R27)</f>
        <v>2293184.1006800001</v>
      </c>
    </row>
    <row r="29" spans="2:18" ht="15.6" customHeight="1" thickTop="1" thickBot="1">
      <c r="B29" s="283" t="s">
        <v>247</v>
      </c>
      <c r="C29" s="79">
        <v>495028</v>
      </c>
      <c r="D29" s="79" t="s">
        <v>199</v>
      </c>
      <c r="E29" s="345">
        <v>-375000</v>
      </c>
      <c r="F29" s="357"/>
      <c r="G29" s="358"/>
      <c r="H29" s="357"/>
      <c r="I29" s="359"/>
      <c r="J29" s="88"/>
      <c r="K29" s="73" t="s">
        <v>58</v>
      </c>
      <c r="L29" s="240">
        <f>SUM(L23:L28)</f>
        <v>29164853</v>
      </c>
      <c r="M29" s="241"/>
      <c r="N29" s="250">
        <f>SUM(N23:N28)</f>
        <v>4715081.7845100006</v>
      </c>
      <c r="O29" s="73"/>
      <c r="P29" s="309">
        <v>14201041</v>
      </c>
      <c r="Q29" s="65"/>
      <c r="R29" s="247"/>
    </row>
    <row r="30" spans="2:18" ht="15.6" customHeight="1" thickTop="1">
      <c r="B30" s="283" t="s">
        <v>197</v>
      </c>
      <c r="C30" s="79">
        <v>495000</v>
      </c>
      <c r="D30" s="79" t="s">
        <v>199</v>
      </c>
      <c r="E30" s="349">
        <v>0</v>
      </c>
      <c r="F30" s="361"/>
      <c r="G30" s="362"/>
      <c r="H30" s="361"/>
      <c r="I30" s="363"/>
      <c r="J30" s="88"/>
      <c r="K30" s="64"/>
      <c r="L30" s="309">
        <v>29164853</v>
      </c>
      <c r="M30" s="65"/>
      <c r="N30" s="251"/>
      <c r="O30" s="73"/>
      <c r="P30" s="231">
        <f>P28-P29</f>
        <v>0</v>
      </c>
      <c r="Q30" s="65" t="s">
        <v>41</v>
      </c>
      <c r="R30" s="72"/>
    </row>
    <row r="31" spans="2:18" ht="15.6" customHeight="1" thickBot="1">
      <c r="B31" s="301" t="s">
        <v>47</v>
      </c>
      <c r="C31" s="79"/>
      <c r="D31" s="79"/>
      <c r="E31" s="347">
        <f>-E13</f>
        <v>37639.53</v>
      </c>
      <c r="F31" s="357"/>
      <c r="G31" s="358"/>
      <c r="H31" s="357"/>
      <c r="I31" s="359"/>
      <c r="J31" s="88"/>
      <c r="K31" s="66"/>
      <c r="L31" s="248">
        <f>L29-L30</f>
        <v>0</v>
      </c>
      <c r="M31" s="67" t="s">
        <v>41</v>
      </c>
      <c r="N31" s="249"/>
      <c r="O31" s="252"/>
      <c r="P31" s="253"/>
      <c r="Q31" s="254"/>
      <c r="R31" s="255"/>
    </row>
    <row r="32" spans="2:18" ht="15.6" customHeight="1" thickBot="1">
      <c r="B32" s="297" t="s">
        <v>48</v>
      </c>
      <c r="C32" s="4"/>
      <c r="D32" s="4"/>
      <c r="E32" s="346">
        <f>SUM(E17:E31)</f>
        <v>12276057.1</v>
      </c>
      <c r="F32" s="364"/>
      <c r="G32" s="337">
        <f>E32*G8</f>
        <v>8255648.3997499999</v>
      </c>
      <c r="H32" s="228"/>
      <c r="I32" s="327">
        <f>E32*I8</f>
        <v>4020408.7002500002</v>
      </c>
      <c r="J32" s="88"/>
    </row>
    <row r="33" spans="1:17" ht="15.6" customHeight="1">
      <c r="B33" s="283" t="s">
        <v>194</v>
      </c>
      <c r="C33" s="79">
        <v>495000</v>
      </c>
      <c r="D33" s="4" t="s">
        <v>204</v>
      </c>
      <c r="E33" s="349">
        <v>0</v>
      </c>
      <c r="F33" s="361"/>
      <c r="G33" s="337">
        <f>E33</f>
        <v>0</v>
      </c>
      <c r="H33" s="228"/>
      <c r="I33" s="327"/>
      <c r="J33" s="88"/>
      <c r="K33" s="311" t="s">
        <v>32</v>
      </c>
      <c r="L33" s="7" t="s">
        <v>12</v>
      </c>
      <c r="M33" s="7" t="s">
        <v>12</v>
      </c>
      <c r="N33" s="7" t="s">
        <v>22</v>
      </c>
      <c r="O33" s="7" t="s">
        <v>22</v>
      </c>
      <c r="P33" s="312"/>
      <c r="Q33" s="2"/>
    </row>
    <row r="34" spans="1:17" ht="15.6" customHeight="1" thickBot="1">
      <c r="B34" s="302" t="s">
        <v>172</v>
      </c>
      <c r="C34" s="79">
        <v>495000</v>
      </c>
      <c r="D34" s="4" t="s">
        <v>205</v>
      </c>
      <c r="E34" s="349">
        <v>0</v>
      </c>
      <c r="F34" s="361"/>
      <c r="G34" s="337"/>
      <c r="H34" s="228"/>
      <c r="I34" s="327">
        <f>E34</f>
        <v>0</v>
      </c>
      <c r="J34" s="88"/>
      <c r="K34" s="295"/>
      <c r="L34" s="46" t="s">
        <v>2</v>
      </c>
      <c r="M34" s="46" t="s">
        <v>1</v>
      </c>
      <c r="N34" s="46" t="s">
        <v>2</v>
      </c>
      <c r="O34" s="46" t="s">
        <v>1</v>
      </c>
      <c r="P34" s="322" t="s">
        <v>212</v>
      </c>
      <c r="Q34" s="2"/>
    </row>
    <row r="35" spans="1:17" ht="15.6" customHeight="1">
      <c r="B35" s="64" t="s">
        <v>206</v>
      </c>
      <c r="C35" s="79">
        <v>804000</v>
      </c>
      <c r="D35" s="4" t="s">
        <v>204</v>
      </c>
      <c r="E35" s="345">
        <v>-290560.8</v>
      </c>
      <c r="F35" s="357"/>
      <c r="G35" s="337">
        <f>E35</f>
        <v>-290560.8</v>
      </c>
      <c r="H35" s="228"/>
      <c r="I35" s="327"/>
      <c r="J35" s="88"/>
      <c r="K35" s="51" t="s">
        <v>214</v>
      </c>
      <c r="L35" s="230">
        <f>$F$39</f>
        <v>1480058.8482890001</v>
      </c>
      <c r="M35" s="230">
        <f>G39</f>
        <v>7965087.5997500001</v>
      </c>
      <c r="N35" s="230">
        <f>$H$39</f>
        <v>670876.84171099996</v>
      </c>
      <c r="O35" s="230">
        <f>I39</f>
        <v>3880177.7802500003</v>
      </c>
      <c r="P35" s="321">
        <f>SUM(L35:O35)-E39</f>
        <v>0</v>
      </c>
      <c r="Q35" s="2"/>
    </row>
    <row r="36" spans="1:17" ht="15.6" customHeight="1" thickBot="1">
      <c r="B36" s="64" t="s">
        <v>207</v>
      </c>
      <c r="C36" s="79">
        <v>804000</v>
      </c>
      <c r="D36" s="4" t="s">
        <v>205</v>
      </c>
      <c r="E36" s="345">
        <v>-140230.92000000001</v>
      </c>
      <c r="F36" s="357"/>
      <c r="G36" s="337"/>
      <c r="H36" s="228"/>
      <c r="I36" s="327">
        <f>E36</f>
        <v>-140230.92000000001</v>
      </c>
      <c r="J36" s="88"/>
      <c r="K36" s="51" t="s">
        <v>217</v>
      </c>
      <c r="L36" s="310">
        <f>-$N$17</f>
        <v>-2788745.98593</v>
      </c>
      <c r="M36" s="310">
        <f>-N29</f>
        <v>-4715081.7845100006</v>
      </c>
      <c r="N36" s="310">
        <f>-$R$15</f>
        <v>-1271277.1903200001</v>
      </c>
      <c r="O36" s="310">
        <f>-R28</f>
        <v>-2293184.1006800001</v>
      </c>
      <c r="P36" s="321">
        <f>SUM(L36:O36)+N17+N29+R15+R28</f>
        <v>0</v>
      </c>
      <c r="Q36" s="2"/>
    </row>
    <row r="37" spans="1:17" ht="15.6" customHeight="1" thickBot="1">
      <c r="B37" s="297" t="s">
        <v>220</v>
      </c>
      <c r="C37" s="79"/>
      <c r="D37" s="4"/>
      <c r="E37" s="346">
        <f>SUM(E32:E36)</f>
        <v>11845265.379999999</v>
      </c>
      <c r="F37" s="338"/>
      <c r="G37" s="340"/>
      <c r="H37" s="338"/>
      <c r="I37" s="300"/>
      <c r="J37" s="88"/>
      <c r="K37" s="297" t="s">
        <v>215</v>
      </c>
      <c r="L37" s="245">
        <f t="shared" ref="L37:O37" si="8">SUM(L35:L36)</f>
        <v>-1308687.1376409999</v>
      </c>
      <c r="M37" s="245">
        <f>SUM(M35:M36)</f>
        <v>3250005.8152399994</v>
      </c>
      <c r="N37" s="245">
        <f t="shared" si="8"/>
        <v>-600400.3486090001</v>
      </c>
      <c r="O37" s="245">
        <f t="shared" si="8"/>
        <v>1586993.6795700002</v>
      </c>
      <c r="P37" s="313"/>
      <c r="Q37" s="2"/>
    </row>
    <row r="38" spans="1:17" ht="15.6" customHeight="1" thickBot="1">
      <c r="B38" s="51"/>
      <c r="C38" s="29"/>
      <c r="D38" s="29"/>
      <c r="E38" s="350"/>
      <c r="F38" s="341"/>
      <c r="G38" s="342"/>
      <c r="H38" s="341"/>
      <c r="I38" s="303"/>
      <c r="J38" s="88"/>
      <c r="K38" s="314"/>
      <c r="L38" s="263"/>
      <c r="M38" s="9"/>
      <c r="N38" s="2"/>
      <c r="O38" s="318"/>
      <c r="P38" s="315"/>
      <c r="Q38" s="2"/>
    </row>
    <row r="39" spans="1:17" ht="15.6" customHeight="1" thickBot="1">
      <c r="B39" s="304" t="s">
        <v>211</v>
      </c>
      <c r="C39" s="305"/>
      <c r="D39" s="305"/>
      <c r="E39" s="346">
        <f>E37+E14</f>
        <v>13996201.069999998</v>
      </c>
      <c r="F39" s="352">
        <f>SUM(F14:F37)</f>
        <v>1480058.8482890001</v>
      </c>
      <c r="G39" s="353">
        <f t="shared" ref="G39:I39" si="9">SUM(G14:G37)</f>
        <v>7965087.5997500001</v>
      </c>
      <c r="H39" s="352">
        <f t="shared" si="9"/>
        <v>670876.84171099996</v>
      </c>
      <c r="I39" s="306">
        <f t="shared" si="9"/>
        <v>3880177.7802500003</v>
      </c>
      <c r="J39" s="88"/>
      <c r="K39" s="316"/>
      <c r="L39" s="319" t="s">
        <v>76</v>
      </c>
      <c r="M39" s="317">
        <f>SUM(L37:M37)</f>
        <v>1941318.6775989996</v>
      </c>
      <c r="N39" s="320" t="s">
        <v>77</v>
      </c>
      <c r="O39" s="317">
        <f>SUM(N37:O37)</f>
        <v>986593.33096100006</v>
      </c>
      <c r="P39" s="83"/>
      <c r="Q39" s="2"/>
    </row>
    <row r="40" spans="1:17" ht="15.6" customHeight="1">
      <c r="B40" s="88"/>
      <c r="C40" s="30"/>
      <c r="D40" s="30"/>
      <c r="E40" s="194"/>
      <c r="F40" s="194"/>
      <c r="G40" s="194"/>
      <c r="H40" s="194"/>
      <c r="I40" s="194"/>
      <c r="J40" s="88"/>
      <c r="M40" s="81"/>
      <c r="Q40" s="2"/>
    </row>
    <row r="41" spans="1:17" ht="15.6" customHeight="1">
      <c r="A41" s="88"/>
      <c r="B41" s="193"/>
      <c r="C41" s="30"/>
      <c r="D41" s="31" t="s">
        <v>148</v>
      </c>
      <c r="E41" s="287">
        <v>13996265.68</v>
      </c>
      <c r="F41" s="194"/>
      <c r="G41" s="194"/>
      <c r="H41" s="194"/>
      <c r="I41" s="194"/>
      <c r="J41" s="88"/>
      <c r="P41" s="3"/>
    </row>
    <row r="42" spans="1:17" ht="15.6" customHeight="1">
      <c r="B42" s="291"/>
      <c r="C42" s="291"/>
      <c r="D42" s="31" t="s">
        <v>71</v>
      </c>
      <c r="E42" s="228">
        <f>ROUND(E39-E41,2)</f>
        <v>-64.61</v>
      </c>
      <c r="F42" s="326"/>
      <c r="G42" s="326"/>
      <c r="H42" s="326"/>
      <c r="I42" s="326"/>
    </row>
    <row r="43" spans="1:17" ht="15.6" customHeight="1">
      <c r="B43" s="291"/>
      <c r="C43" s="291"/>
      <c r="E43" s="260"/>
      <c r="F43" s="326"/>
      <c r="G43" s="326"/>
      <c r="H43" s="326"/>
      <c r="I43" s="326"/>
    </row>
    <row r="44" spans="1:17" ht="15.6" customHeight="1">
      <c r="B44" s="291"/>
      <c r="C44" s="291"/>
      <c r="E44" s="260"/>
      <c r="F44" s="326"/>
      <c r="G44" s="326"/>
      <c r="H44" s="326"/>
      <c r="I44" s="326"/>
    </row>
    <row r="45" spans="1:17" ht="15.6" customHeight="1">
      <c r="B45" s="291"/>
      <c r="C45" s="291"/>
      <c r="E45" s="260"/>
      <c r="F45" s="326"/>
      <c r="G45" s="326"/>
      <c r="H45" s="326"/>
      <c r="I45" s="326"/>
    </row>
    <row r="46" spans="1:17" ht="15.75">
      <c r="A46" s="290" t="s">
        <v>121</v>
      </c>
      <c r="B46" s="292">
        <f>E17</f>
        <v>14003679.560000001</v>
      </c>
      <c r="C46" s="292" t="s">
        <v>208</v>
      </c>
      <c r="E46" s="87"/>
    </row>
    <row r="47" spans="1:17" ht="15.75">
      <c r="A47" s="290"/>
      <c r="B47" s="292">
        <v>14003766.289999999</v>
      </c>
      <c r="C47" s="292" t="s">
        <v>209</v>
      </c>
      <c r="D47" s="199"/>
      <c r="E47" s="88"/>
    </row>
    <row r="48" spans="1:17" ht="15.75">
      <c r="A48" s="290"/>
      <c r="B48" s="368">
        <f>B46-B47</f>
        <v>-86.72999999858439</v>
      </c>
      <c r="C48" s="293" t="s">
        <v>210</v>
      </c>
      <c r="E48" s="87"/>
    </row>
    <row r="49" spans="1:18" ht="15.75">
      <c r="A49" s="290"/>
      <c r="E49" s="87"/>
    </row>
    <row r="50" spans="1:18">
      <c r="B50" s="292"/>
      <c r="C50" s="292"/>
      <c r="E50" s="87"/>
    </row>
    <row r="51" spans="1:18" ht="15.75">
      <c r="A51" s="290" t="s">
        <v>122</v>
      </c>
      <c r="B51" s="292">
        <f>E26</f>
        <v>-6069267.5800000001</v>
      </c>
      <c r="C51" s="292" t="s">
        <v>208</v>
      </c>
      <c r="E51" s="87"/>
    </row>
    <row r="52" spans="1:18">
      <c r="A52" s="291"/>
      <c r="B52" s="292">
        <f>-6069355.17+65.46</f>
        <v>-6069289.71</v>
      </c>
      <c r="C52" s="292" t="s">
        <v>209</v>
      </c>
      <c r="E52" s="87"/>
    </row>
    <row r="53" spans="1:18" ht="15.75">
      <c r="A53" s="291"/>
      <c r="B53" s="368">
        <f>B51-B52</f>
        <v>22.129999999888241</v>
      </c>
      <c r="C53" s="293" t="s">
        <v>210</v>
      </c>
      <c r="E53" s="87"/>
    </row>
    <row r="54" spans="1:18" s="88" customFormat="1">
      <c r="A54" s="87"/>
      <c r="B54" s="87"/>
      <c r="C54" s="87"/>
      <c r="D54" s="87"/>
      <c r="E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1:18" s="88" customFormat="1">
      <c r="A55" s="87"/>
      <c r="B55" s="87"/>
      <c r="C55" s="87"/>
      <c r="D55" s="87"/>
      <c r="E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1:18" s="88" customFormat="1">
      <c r="A56" s="87"/>
      <c r="B56" s="87"/>
      <c r="C56" s="87"/>
      <c r="D56" s="87"/>
      <c r="E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1:18" s="88" customFormat="1">
      <c r="A57" s="87"/>
      <c r="B57" s="87"/>
      <c r="C57" s="87"/>
      <c r="D57" s="87"/>
      <c r="E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1:18" s="88" customFormat="1">
      <c r="A58" s="87"/>
      <c r="B58" s="87"/>
      <c r="C58" s="87"/>
      <c r="D58" s="87"/>
      <c r="E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1:18" s="88" customFormat="1">
      <c r="A59" s="87"/>
      <c r="B59" s="87"/>
      <c r="C59" s="87"/>
      <c r="D59" s="87"/>
      <c r="E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1:18" s="88" customFormat="1">
      <c r="A60" s="87"/>
      <c r="B60" s="87"/>
      <c r="C60" s="87"/>
      <c r="D60" s="87"/>
      <c r="E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1:18" s="88" customFormat="1">
      <c r="A61" s="87"/>
      <c r="B61" s="87"/>
      <c r="C61" s="87"/>
      <c r="D61" s="87"/>
      <c r="E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1:18" s="88" customFormat="1">
      <c r="A62" s="87"/>
      <c r="B62" s="87"/>
      <c r="C62" s="87"/>
      <c r="D62" s="87"/>
      <c r="E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1:18" s="88" customFormat="1">
      <c r="A63" s="87"/>
      <c r="B63" s="87"/>
      <c r="C63" s="87"/>
      <c r="D63" s="87"/>
      <c r="E63" s="87"/>
      <c r="J63" s="87"/>
      <c r="K63" s="87"/>
      <c r="L63" s="87"/>
      <c r="M63" s="87"/>
      <c r="N63" s="87"/>
      <c r="O63" s="87"/>
      <c r="P63" s="87"/>
      <c r="Q63" s="87"/>
      <c r="R63" s="87"/>
    </row>
    <row r="64" spans="1:18" s="88" customFormat="1">
      <c r="A64" s="87"/>
      <c r="B64" s="87"/>
      <c r="C64" s="87"/>
      <c r="D64" s="87"/>
      <c r="E64" s="87"/>
      <c r="J64" s="87"/>
      <c r="K64" s="87"/>
      <c r="L64" s="87"/>
      <c r="M64" s="87"/>
      <c r="N64" s="87"/>
      <c r="O64" s="87"/>
      <c r="P64" s="87"/>
      <c r="Q64" s="87"/>
      <c r="R64" s="87"/>
    </row>
    <row r="65" spans="1:18" s="88" customFormat="1">
      <c r="A65" s="87"/>
      <c r="B65" s="87"/>
      <c r="C65" s="87"/>
      <c r="D65" s="87"/>
      <c r="E65" s="87"/>
      <c r="J65" s="87"/>
      <c r="K65" s="87"/>
      <c r="L65" s="87"/>
      <c r="M65" s="87"/>
      <c r="N65" s="87"/>
      <c r="O65" s="87"/>
      <c r="P65" s="87"/>
      <c r="Q65" s="87"/>
      <c r="R65" s="87"/>
    </row>
    <row r="66" spans="1:18" s="88" customFormat="1">
      <c r="A66" s="87"/>
      <c r="B66" s="87"/>
      <c r="C66" s="87"/>
      <c r="D66" s="87"/>
      <c r="E66" s="87"/>
      <c r="J66" s="87"/>
      <c r="K66" s="87"/>
      <c r="L66" s="87"/>
      <c r="M66" s="87"/>
      <c r="N66" s="87"/>
      <c r="O66" s="87"/>
      <c r="P66" s="87"/>
      <c r="Q66" s="87"/>
      <c r="R66" s="87"/>
    </row>
    <row r="67" spans="1:18" s="88" customFormat="1">
      <c r="A67" s="87"/>
      <c r="B67" s="87"/>
      <c r="C67" s="87"/>
      <c r="D67" s="87"/>
      <c r="E67" s="87"/>
      <c r="J67" s="87"/>
      <c r="K67" s="87"/>
      <c r="L67" s="87"/>
      <c r="M67" s="87"/>
      <c r="N67" s="87"/>
      <c r="O67" s="87"/>
      <c r="P67" s="87"/>
      <c r="Q67" s="87"/>
      <c r="R67" s="87"/>
    </row>
    <row r="68" spans="1:18" s="88" customFormat="1">
      <c r="A68" s="87"/>
      <c r="B68" s="87"/>
      <c r="C68" s="87"/>
      <c r="D68" s="87"/>
      <c r="E68" s="87"/>
      <c r="J68" s="87"/>
      <c r="K68" s="87"/>
      <c r="L68" s="87"/>
      <c r="M68" s="87"/>
      <c r="N68" s="87"/>
      <c r="O68" s="87"/>
      <c r="P68" s="87"/>
      <c r="Q68" s="87"/>
      <c r="R68" s="87"/>
    </row>
    <row r="69" spans="1:18" s="88" customFormat="1">
      <c r="A69" s="87"/>
      <c r="B69" s="87"/>
      <c r="C69" s="87"/>
      <c r="D69" s="87"/>
      <c r="E69" s="87"/>
      <c r="J69" s="87"/>
      <c r="K69" s="87"/>
      <c r="L69" s="87"/>
      <c r="M69" s="87"/>
      <c r="N69" s="87"/>
      <c r="O69" s="87"/>
      <c r="P69" s="87"/>
      <c r="Q69" s="87"/>
      <c r="R69" s="87"/>
    </row>
    <row r="70" spans="1:18" s="88" customFormat="1">
      <c r="A70" s="87"/>
      <c r="B70" s="87"/>
      <c r="C70" s="87"/>
      <c r="D70" s="87"/>
      <c r="E70" s="87"/>
      <c r="J70" s="87"/>
      <c r="K70" s="87"/>
      <c r="L70" s="87"/>
      <c r="M70" s="87"/>
      <c r="N70" s="87"/>
      <c r="O70" s="87"/>
      <c r="P70" s="87"/>
      <c r="Q70" s="87"/>
      <c r="R70" s="87"/>
    </row>
    <row r="71" spans="1:18" s="88" customFormat="1">
      <c r="A71" s="87"/>
      <c r="B71" s="87"/>
      <c r="C71" s="87"/>
      <c r="D71" s="87"/>
      <c r="E71" s="87"/>
      <c r="J71" s="87"/>
      <c r="K71" s="87"/>
      <c r="L71" s="87"/>
      <c r="M71" s="87"/>
      <c r="N71" s="87"/>
      <c r="O71" s="87"/>
      <c r="P71" s="87"/>
      <c r="Q71" s="87"/>
      <c r="R71" s="87"/>
    </row>
    <row r="72" spans="1:18" s="88" customFormat="1">
      <c r="A72" s="87"/>
      <c r="B72" s="87"/>
      <c r="C72" s="87"/>
      <c r="D72" s="87"/>
      <c r="E72" s="87"/>
      <c r="J72" s="87"/>
      <c r="K72" s="87"/>
      <c r="L72" s="87"/>
      <c r="M72" s="87"/>
      <c r="N72" s="87"/>
      <c r="O72" s="87"/>
      <c r="P72" s="87"/>
      <c r="Q72" s="87"/>
      <c r="R72" s="87"/>
    </row>
    <row r="73" spans="1:18" s="88" customFormat="1">
      <c r="A73" s="87"/>
      <c r="B73" s="87"/>
      <c r="C73" s="87"/>
      <c r="D73" s="87"/>
      <c r="E73" s="87"/>
      <c r="J73" s="87"/>
      <c r="K73" s="87"/>
      <c r="L73" s="87"/>
      <c r="M73" s="87"/>
      <c r="N73" s="87"/>
      <c r="O73" s="87"/>
      <c r="P73" s="87"/>
      <c r="Q73" s="87"/>
      <c r="R73" s="87"/>
    </row>
    <row r="1398" spans="1:18" s="15" customFormat="1">
      <c r="A1398" s="87"/>
      <c r="B1398" s="87"/>
      <c r="C1398" s="87"/>
      <c r="D1398" s="87">
        <v>-2130</v>
      </c>
      <c r="F1398" s="88"/>
      <c r="G1398" s="88"/>
      <c r="H1398" s="88"/>
      <c r="I1398" s="88"/>
      <c r="J1398" s="87"/>
      <c r="K1398" s="87"/>
      <c r="L1398" s="87"/>
      <c r="M1398" s="87"/>
      <c r="N1398" s="87"/>
      <c r="O1398" s="87"/>
      <c r="P1398" s="87"/>
      <c r="Q1398" s="87"/>
      <c r="R1398" s="87"/>
    </row>
    <row r="1406" spans="1:18" s="15" customFormat="1">
      <c r="A1406" s="87"/>
      <c r="B1406" s="87"/>
      <c r="C1406" s="87"/>
      <c r="D1406" s="87">
        <f>7004298-2130</f>
        <v>7002168</v>
      </c>
      <c r="F1406" s="88"/>
      <c r="G1406" s="88"/>
      <c r="H1406" s="88"/>
      <c r="I1406" s="88"/>
      <c r="J1406" s="87"/>
      <c r="K1406" s="87"/>
      <c r="L1406" s="87"/>
      <c r="M1406" s="87"/>
      <c r="N1406" s="87"/>
      <c r="O1406" s="87"/>
      <c r="P1406" s="87"/>
      <c r="Q1406" s="87"/>
      <c r="R1406" s="87"/>
    </row>
  </sheetData>
  <mergeCells count="5">
    <mergeCell ref="N1:O1"/>
    <mergeCell ref="F5:G5"/>
    <mergeCell ref="H5:I5"/>
    <mergeCell ref="K5:N5"/>
    <mergeCell ref="O5:R5"/>
  </mergeCells>
  <conditionalFormatting sqref="D43:D45">
    <cfRule type="cellIs" dxfId="219" priority="29" operator="equal">
      <formula>"ERROR"</formula>
    </cfRule>
  </conditionalFormatting>
  <conditionalFormatting sqref="D43:D45">
    <cfRule type="cellIs" dxfId="218" priority="28" operator="equal">
      <formula>"ERROR"</formula>
    </cfRule>
  </conditionalFormatting>
  <conditionalFormatting sqref="E47:I47">
    <cfRule type="cellIs" dxfId="217" priority="27" operator="equal">
      <formula>"ERROR"</formula>
    </cfRule>
  </conditionalFormatting>
  <conditionalFormatting sqref="E47:I47">
    <cfRule type="cellIs" dxfId="216" priority="26" operator="equal">
      <formula>"ERROR"</formula>
    </cfRule>
  </conditionalFormatting>
  <conditionalFormatting sqref="P31">
    <cfRule type="cellIs" dxfId="215" priority="25" operator="notEqual">
      <formula>0</formula>
    </cfRule>
  </conditionalFormatting>
  <conditionalFormatting sqref="L19">
    <cfRule type="cellIs" dxfId="214" priority="23" stopIfTrue="1" operator="equal">
      <formula>0</formula>
    </cfRule>
    <cfRule type="cellIs" dxfId="213" priority="24" stopIfTrue="1" operator="notEqual">
      <formula>0</formula>
    </cfRule>
  </conditionalFormatting>
  <conditionalFormatting sqref="L19">
    <cfRule type="cellIs" dxfId="212" priority="21" stopIfTrue="1" operator="equal">
      <formula>0</formula>
    </cfRule>
    <cfRule type="cellIs" dxfId="211" priority="22" stopIfTrue="1" operator="notEqual">
      <formula>0</formula>
    </cfRule>
  </conditionalFormatting>
  <conditionalFormatting sqref="L31">
    <cfRule type="cellIs" dxfId="210" priority="19" stopIfTrue="1" operator="equal">
      <formula>0</formula>
    </cfRule>
    <cfRule type="cellIs" dxfId="209" priority="20" stopIfTrue="1" operator="notEqual">
      <formula>0</formula>
    </cfRule>
  </conditionalFormatting>
  <conditionalFormatting sqref="L31">
    <cfRule type="cellIs" dxfId="208" priority="17" stopIfTrue="1" operator="equal">
      <formula>0</formula>
    </cfRule>
    <cfRule type="cellIs" dxfId="207" priority="18" stopIfTrue="1" operator="notEqual">
      <formula>0</formula>
    </cfRule>
  </conditionalFormatting>
  <conditionalFormatting sqref="P17">
    <cfRule type="cellIs" dxfId="206" priority="15" stopIfTrue="1" operator="equal">
      <formula>0</formula>
    </cfRule>
    <cfRule type="cellIs" dxfId="205" priority="16" stopIfTrue="1" operator="notEqual">
      <formula>0</formula>
    </cfRule>
  </conditionalFormatting>
  <conditionalFormatting sqref="P17">
    <cfRule type="cellIs" dxfId="204" priority="13" stopIfTrue="1" operator="equal">
      <formula>0</formula>
    </cfRule>
    <cfRule type="cellIs" dxfId="203" priority="14" stopIfTrue="1" operator="notEqual">
      <formula>0</formula>
    </cfRule>
  </conditionalFormatting>
  <conditionalFormatting sqref="P30">
    <cfRule type="cellIs" dxfId="202" priority="11" stopIfTrue="1" operator="equal">
      <formula>0</formula>
    </cfRule>
    <cfRule type="cellIs" dxfId="201" priority="12" stopIfTrue="1" operator="notEqual">
      <formula>0</formula>
    </cfRule>
  </conditionalFormatting>
  <conditionalFormatting sqref="P30">
    <cfRule type="cellIs" dxfId="200" priority="9" stopIfTrue="1" operator="equal">
      <formula>0</formula>
    </cfRule>
    <cfRule type="cellIs" dxfId="199" priority="10" stopIfTrue="1" operator="notEqual">
      <formula>0</formula>
    </cfRule>
  </conditionalFormatting>
  <conditionalFormatting sqref="P35:P36">
    <cfRule type="cellIs" dxfId="198" priority="7" stopIfTrue="1" operator="equal">
      <formula>0</formula>
    </cfRule>
    <cfRule type="cellIs" dxfId="197" priority="8" stopIfTrue="1" operator="notEqual">
      <formula>0</formula>
    </cfRule>
  </conditionalFormatting>
  <conditionalFormatting sqref="P35:P36">
    <cfRule type="cellIs" dxfId="196" priority="5" stopIfTrue="1" operator="equal">
      <formula>0</formula>
    </cfRule>
    <cfRule type="cellIs" dxfId="195" priority="6" stopIfTrue="1" operator="notEqual">
      <formula>0</formula>
    </cfRule>
  </conditionalFormatting>
  <conditionalFormatting sqref="E42">
    <cfRule type="cellIs" dxfId="194" priority="3" stopIfTrue="1" operator="equal">
      <formula>0</formula>
    </cfRule>
    <cfRule type="cellIs" dxfId="193" priority="4" stopIfTrue="1" operator="notEqual">
      <formula>0</formula>
    </cfRule>
  </conditionalFormatting>
  <conditionalFormatting sqref="E42">
    <cfRule type="cellIs" dxfId="192" priority="1" stopIfTrue="1" operator="equal">
      <formula>0</formula>
    </cfRule>
    <cfRule type="cellIs" dxfId="191" priority="2" stopIfTrue="1" operator="notEqual">
      <formula>0</formula>
    </cfRule>
  </conditionalFormatting>
  <printOptions horizontalCentered="1"/>
  <pageMargins left="0.2" right="0.2" top="0.5" bottom="0.5" header="0.3" footer="0.3"/>
  <pageSetup scale="44" orientation="landscape" r:id="rId1"/>
  <headerFooter>
    <oddFooter>&amp;R&amp;Z&amp;F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D4786-D2FE-48FC-84EF-BDB2F8E0E88C}">
  <sheetPr>
    <pageSetUpPr fitToPage="1"/>
  </sheetPr>
  <dimension ref="A1:R1409"/>
  <sheetViews>
    <sheetView topLeftCell="A16" zoomScale="60" zoomScaleNormal="60" workbookViewId="0">
      <selection activeCell="E41" sqref="E41"/>
    </sheetView>
  </sheetViews>
  <sheetFormatPr defaultColWidth="16" defaultRowHeight="15"/>
  <cols>
    <col min="1" max="1" width="2.85546875" style="87" customWidth="1"/>
    <col min="2" max="2" width="48.7109375" style="87" bestFit="1" customWidth="1"/>
    <col min="3" max="3" width="11.5703125" style="87" customWidth="1"/>
    <col min="4" max="4" width="10.7109375" style="87" customWidth="1"/>
    <col min="5" max="5" width="17.5703125" style="15" bestFit="1" customWidth="1"/>
    <col min="6" max="9" width="17.5703125" style="88" customWidth="1"/>
    <col min="10" max="10" width="4.85546875" style="87" bestFit="1" customWidth="1"/>
    <col min="11" max="11" width="22.28515625" style="87" bestFit="1" customWidth="1"/>
    <col min="12" max="18" width="18.140625" style="87" customWidth="1"/>
    <col min="19" max="16384" width="16" style="87"/>
  </cols>
  <sheetData>
    <row r="1" spans="2:18" ht="15.6" customHeight="1" thickBot="1">
      <c r="B1" s="285" t="s">
        <v>218</v>
      </c>
      <c r="C1" s="286">
        <v>202103</v>
      </c>
      <c r="D1" s="284"/>
      <c r="E1" s="204"/>
      <c r="F1" s="204"/>
      <c r="G1" s="204"/>
      <c r="H1" s="204"/>
      <c r="I1" s="204"/>
      <c r="K1" s="280" t="s">
        <v>200</v>
      </c>
      <c r="L1" s="288" t="s">
        <v>201</v>
      </c>
      <c r="N1" s="385" t="s">
        <v>213</v>
      </c>
      <c r="O1" s="386"/>
    </row>
    <row r="2" spans="2:18" ht="15.6" customHeight="1">
      <c r="D2" s="204"/>
      <c r="E2" s="204"/>
      <c r="F2" s="204"/>
      <c r="G2" s="204"/>
      <c r="H2" s="204"/>
      <c r="I2" s="204"/>
      <c r="K2" s="281"/>
      <c r="L2" s="282" t="s">
        <v>202</v>
      </c>
      <c r="N2" s="283" t="s">
        <v>78</v>
      </c>
      <c r="O2" s="324" t="s">
        <v>79</v>
      </c>
    </row>
    <row r="3" spans="2:18" ht="15.6" customHeight="1" thickBot="1">
      <c r="D3" s="204"/>
      <c r="E3" s="204"/>
      <c r="F3" s="204"/>
      <c r="G3" s="204"/>
      <c r="H3" s="204"/>
      <c r="I3" s="204"/>
      <c r="K3" s="281"/>
      <c r="L3" s="289"/>
      <c r="N3" s="325" t="e">
        <f>SUM('191010 WA DEF'!E36:E45)+SUM('191000 WA Amort'!H36:H45)+SUM(#REF!)+SUM(#REF!)</f>
        <v>#REF!</v>
      </c>
      <c r="O3" s="323" t="e">
        <f>-(SUM('191010 WA DEF'!F36:F39)+SUM('191010 WA DEF'!F44:F45)+SUM('191000 WA Amort'!I36:I39)+SUM('191000 WA Amort'!I44:I45)+SUM(#REF!)+SUM(#REF!)+SUM(#REF!)+SUM(#REF!))</f>
        <v>#REF!</v>
      </c>
    </row>
    <row r="4" spans="2:18" ht="15.6" customHeight="1" thickBot="1">
      <c r="D4" s="204"/>
      <c r="E4" s="204"/>
      <c r="F4" s="204"/>
      <c r="G4" s="204"/>
      <c r="H4" s="204"/>
      <c r="I4" s="204"/>
      <c r="K4" s="281"/>
      <c r="L4" s="289"/>
    </row>
    <row r="5" spans="2:18" ht="15.6" customHeight="1" thickBot="1">
      <c r="B5" s="294"/>
      <c r="C5" s="50"/>
      <c r="D5" s="50"/>
      <c r="E5" s="351" t="s">
        <v>28</v>
      </c>
      <c r="F5" s="387" t="s">
        <v>59</v>
      </c>
      <c r="G5" s="388"/>
      <c r="H5" s="387" t="s">
        <v>60</v>
      </c>
      <c r="I5" s="389"/>
      <c r="J5" s="88"/>
      <c r="K5" s="382" t="s">
        <v>59</v>
      </c>
      <c r="L5" s="383"/>
      <c r="M5" s="383"/>
      <c r="N5" s="384"/>
      <c r="O5" s="382" t="s">
        <v>60</v>
      </c>
      <c r="P5" s="383"/>
      <c r="Q5" s="383"/>
      <c r="R5" s="384"/>
    </row>
    <row r="6" spans="2:18" ht="15.6" customHeight="1" thickBot="1">
      <c r="B6" s="295" t="s">
        <v>31</v>
      </c>
      <c r="C6" s="4"/>
      <c r="D6" s="4"/>
      <c r="E6" s="343" t="s">
        <v>216</v>
      </c>
      <c r="F6" s="330" t="s">
        <v>2</v>
      </c>
      <c r="G6" s="331" t="s">
        <v>1</v>
      </c>
      <c r="H6" s="330" t="s">
        <v>2</v>
      </c>
      <c r="I6" s="329" t="s">
        <v>1</v>
      </c>
      <c r="J6" s="88"/>
      <c r="K6" s="211" t="s">
        <v>42</v>
      </c>
      <c r="L6" s="205" t="s">
        <v>10</v>
      </c>
      <c r="M6" s="205" t="s">
        <v>10</v>
      </c>
      <c r="N6" s="205" t="s">
        <v>10</v>
      </c>
      <c r="O6" s="211" t="s">
        <v>42</v>
      </c>
      <c r="P6" s="205" t="s">
        <v>10</v>
      </c>
      <c r="Q6" s="205" t="s">
        <v>10</v>
      </c>
      <c r="R6" s="274" t="s">
        <v>10</v>
      </c>
    </row>
    <row r="7" spans="2:18" ht="15.6" customHeight="1" thickBot="1">
      <c r="B7" s="51"/>
      <c r="C7" s="4"/>
      <c r="D7" s="4"/>
      <c r="E7" s="344"/>
      <c r="F7" s="332"/>
      <c r="G7" s="333"/>
      <c r="H7" s="332"/>
      <c r="I7" s="36"/>
      <c r="J7" s="88"/>
      <c r="K7" s="212" t="s">
        <v>72</v>
      </c>
      <c r="L7" s="207" t="s">
        <v>40</v>
      </c>
      <c r="M7" s="207" t="s">
        <v>13</v>
      </c>
      <c r="N7" s="207" t="s">
        <v>11</v>
      </c>
      <c r="O7" s="212" t="s">
        <v>72</v>
      </c>
      <c r="P7" s="207" t="s">
        <v>40</v>
      </c>
      <c r="Q7" s="207" t="s">
        <v>13</v>
      </c>
      <c r="R7" s="207" t="s">
        <v>11</v>
      </c>
    </row>
    <row r="8" spans="2:18" ht="15.6" customHeight="1">
      <c r="B8" s="51"/>
      <c r="C8" s="4"/>
      <c r="D8" s="4"/>
      <c r="E8" s="365">
        <f>F8+H8</f>
        <v>1</v>
      </c>
      <c r="F8" s="334">
        <v>0.68810000000000004</v>
      </c>
      <c r="G8" s="335">
        <f>ROUND($L$29/($L$29+$P$28),4)</f>
        <v>0.68710000000000004</v>
      </c>
      <c r="H8" s="334">
        <v>0.31190000000000001</v>
      </c>
      <c r="I8" s="296">
        <f>1-G8</f>
        <v>0.31289999999999996</v>
      </c>
      <c r="J8" s="366"/>
      <c r="K8" s="51"/>
      <c r="L8" s="273"/>
      <c r="M8" s="273"/>
      <c r="N8" s="274"/>
      <c r="O8" s="213"/>
      <c r="P8" s="214"/>
      <c r="Q8" s="214"/>
      <c r="R8" s="76"/>
    </row>
    <row r="9" spans="2:18" ht="15.6" customHeight="1">
      <c r="B9" s="51"/>
      <c r="C9" s="4"/>
      <c r="D9" s="4"/>
      <c r="E9" s="344"/>
      <c r="F9" s="332"/>
      <c r="G9" s="333"/>
      <c r="H9" s="332"/>
      <c r="I9" s="36"/>
      <c r="J9" s="88"/>
      <c r="K9" s="73" t="s">
        <v>52</v>
      </c>
      <c r="L9" s="4"/>
      <c r="M9" s="4"/>
      <c r="N9" s="36"/>
      <c r="O9" s="73" t="s">
        <v>52</v>
      </c>
      <c r="P9" s="4"/>
      <c r="Q9" s="4"/>
      <c r="R9" s="36"/>
    </row>
    <row r="10" spans="2:18" ht="15.6" customHeight="1">
      <c r="B10" s="283" t="s">
        <v>248</v>
      </c>
      <c r="C10" s="79">
        <v>804001</v>
      </c>
      <c r="D10" s="79" t="s">
        <v>199</v>
      </c>
      <c r="E10" s="345">
        <v>2255714.94</v>
      </c>
      <c r="F10" s="336"/>
      <c r="G10" s="337"/>
      <c r="H10" s="336"/>
      <c r="I10" s="327"/>
      <c r="J10" s="88"/>
      <c r="K10" s="74" t="s">
        <v>14</v>
      </c>
      <c r="L10" s="307">
        <v>14741098</v>
      </c>
      <c r="M10" s="308">
        <v>9.8220000000000002E-2</v>
      </c>
      <c r="N10" s="278">
        <f t="shared" ref="N10:N16" si="0">L10*M10</f>
        <v>1447870.6455600001</v>
      </c>
      <c r="O10" s="74" t="s">
        <v>14</v>
      </c>
      <c r="P10" s="307">
        <v>7153037</v>
      </c>
      <c r="Q10" s="308">
        <v>8.9520000000000002E-2</v>
      </c>
      <c r="R10" s="278">
        <f t="shared" ref="R10:R11" si="1">P10*Q10</f>
        <v>640339.87224000006</v>
      </c>
    </row>
    <row r="11" spans="2:18" ht="15.6" customHeight="1" thickBot="1">
      <c r="B11" s="283" t="s">
        <v>249</v>
      </c>
      <c r="C11" s="79">
        <v>804002</v>
      </c>
      <c r="D11" s="79" t="s">
        <v>199</v>
      </c>
      <c r="E11" s="345">
        <v>30944.41</v>
      </c>
      <c r="F11" s="336"/>
      <c r="G11" s="337"/>
      <c r="H11" s="336"/>
      <c r="I11" s="327"/>
      <c r="J11" s="88"/>
      <c r="K11" s="74" t="s">
        <v>93</v>
      </c>
      <c r="L11" s="307">
        <v>24419</v>
      </c>
      <c r="M11" s="308">
        <v>9.8220000000000002E-2</v>
      </c>
      <c r="N11" s="278">
        <f t="shared" si="0"/>
        <v>2398.4341800000002</v>
      </c>
      <c r="O11" s="74" t="s">
        <v>15</v>
      </c>
      <c r="P11" s="307">
        <v>2841316</v>
      </c>
      <c r="Q11" s="308">
        <v>8.9520000000000002E-2</v>
      </c>
      <c r="R11" s="278">
        <f t="shared" si="1"/>
        <v>254354.60832</v>
      </c>
    </row>
    <row r="12" spans="2:18" ht="15.6" customHeight="1" thickBot="1">
      <c r="B12" s="297" t="s">
        <v>203</v>
      </c>
      <c r="C12" s="9"/>
      <c r="D12" s="9"/>
      <c r="E12" s="346">
        <f>SUM(E10:E11)</f>
        <v>2286659.35</v>
      </c>
      <c r="F12" s="338"/>
      <c r="G12" s="339"/>
      <c r="H12" s="338"/>
      <c r="I12" s="328"/>
      <c r="J12" s="88"/>
      <c r="K12" s="74" t="s">
        <v>15</v>
      </c>
      <c r="L12" s="307">
        <v>6893495</v>
      </c>
      <c r="M12" s="308">
        <v>8.8349999999999998E-2</v>
      </c>
      <c r="N12" s="278">
        <f t="shared" si="0"/>
        <v>609040.28324999998</v>
      </c>
      <c r="O12" s="74" t="s">
        <v>16</v>
      </c>
      <c r="P12" s="307">
        <v>826</v>
      </c>
      <c r="Q12" s="308">
        <v>8.9520000000000002E-2</v>
      </c>
      <c r="R12" s="278">
        <f>P12*Q12</f>
        <v>73.943520000000007</v>
      </c>
    </row>
    <row r="13" spans="2:18" ht="15.6" customHeight="1" thickBot="1">
      <c r="B13" s="298" t="s">
        <v>44</v>
      </c>
      <c r="C13" s="2"/>
      <c r="D13" s="2"/>
      <c r="E13" s="347">
        <f>-E11</f>
        <v>-30944.41</v>
      </c>
      <c r="F13" s="336"/>
      <c r="G13" s="337"/>
      <c r="H13" s="336"/>
      <c r="I13" s="327"/>
      <c r="J13" s="88"/>
      <c r="K13" s="74" t="s">
        <v>16</v>
      </c>
      <c r="L13" s="307">
        <v>101451</v>
      </c>
      <c r="M13" s="308">
        <v>8.8349999999999998E-2</v>
      </c>
      <c r="N13" s="278">
        <f t="shared" si="0"/>
        <v>8963.1958500000001</v>
      </c>
      <c r="O13" s="74" t="s">
        <v>17</v>
      </c>
      <c r="P13" s="307">
        <v>0</v>
      </c>
      <c r="Q13" s="308">
        <v>8.9520000000000002E-2</v>
      </c>
      <c r="R13" s="278">
        <f t="shared" ref="R13:R14" si="2">P13*Q13</f>
        <v>0</v>
      </c>
    </row>
    <row r="14" spans="2:18" ht="15.6" customHeight="1" thickBot="1">
      <c r="B14" s="297" t="s">
        <v>219</v>
      </c>
      <c r="C14" s="299"/>
      <c r="D14" s="299"/>
      <c r="E14" s="346">
        <f>SUM(E12:E13)</f>
        <v>2255714.94</v>
      </c>
      <c r="F14" s="354">
        <f>E14*F8</f>
        <v>1552157.450214</v>
      </c>
      <c r="G14" s="355"/>
      <c r="H14" s="354">
        <f>E14*H8</f>
        <v>703557.48978599999</v>
      </c>
      <c r="I14" s="356"/>
      <c r="J14" s="88"/>
      <c r="K14" s="74" t="s">
        <v>17</v>
      </c>
      <c r="L14" s="307">
        <v>0</v>
      </c>
      <c r="M14" s="308">
        <v>5.6399999999999999E-2</v>
      </c>
      <c r="N14" s="278">
        <f t="shared" si="0"/>
        <v>0</v>
      </c>
      <c r="O14" s="74" t="s">
        <v>18</v>
      </c>
      <c r="P14" s="307">
        <v>0</v>
      </c>
      <c r="Q14" s="308">
        <v>8.9520000000000002E-2</v>
      </c>
      <c r="R14" s="278">
        <f t="shared" si="2"/>
        <v>0</v>
      </c>
    </row>
    <row r="15" spans="2:18" ht="15.6" customHeight="1" thickBot="1">
      <c r="B15" s="51"/>
      <c r="C15" s="4"/>
      <c r="D15" s="4"/>
      <c r="E15" s="348"/>
      <c r="F15" s="357"/>
      <c r="G15" s="358"/>
      <c r="H15" s="357"/>
      <c r="I15" s="359"/>
      <c r="J15" s="88"/>
      <c r="K15" s="74" t="s">
        <v>18</v>
      </c>
      <c r="L15" s="307">
        <v>183531</v>
      </c>
      <c r="M15" s="308">
        <v>5.6399999999999999E-2</v>
      </c>
      <c r="N15" s="278">
        <f t="shared" si="0"/>
        <v>10351.1484</v>
      </c>
      <c r="O15" s="73" t="s">
        <v>53</v>
      </c>
      <c r="P15" s="240">
        <f>SUM(P10:P14)</f>
        <v>9995179</v>
      </c>
      <c r="Q15" s="241"/>
      <c r="R15" s="71">
        <f>SUM(R10:R14)</f>
        <v>894768.42408000003</v>
      </c>
    </row>
    <row r="16" spans="2:18" ht="15.6" customHeight="1" thickTop="1">
      <c r="B16" s="51"/>
      <c r="C16" s="4"/>
      <c r="D16" s="4"/>
      <c r="E16" s="348"/>
      <c r="F16" s="357"/>
      <c r="G16" s="358"/>
      <c r="H16" s="357"/>
      <c r="I16" s="359"/>
      <c r="J16" s="88"/>
      <c r="K16" s="74" t="s">
        <v>33</v>
      </c>
      <c r="L16" s="307">
        <v>2950398</v>
      </c>
      <c r="M16" s="308">
        <v>5.4000000000000001E-4</v>
      </c>
      <c r="N16" s="278">
        <f t="shared" si="0"/>
        <v>1593.2149200000001</v>
      </c>
      <c r="O16" s="74"/>
      <c r="P16" s="309">
        <v>9995179</v>
      </c>
      <c r="Q16" s="65"/>
      <c r="R16" s="242"/>
    </row>
    <row r="17" spans="2:18" ht="15.6" customHeight="1" thickBot="1">
      <c r="B17" s="283" t="s">
        <v>235</v>
      </c>
      <c r="C17" s="79">
        <v>804000</v>
      </c>
      <c r="D17" s="79" t="s">
        <v>199</v>
      </c>
      <c r="E17" s="345">
        <v>8761189.7200000007</v>
      </c>
      <c r="F17" s="360" t="s">
        <v>121</v>
      </c>
      <c r="G17" s="358"/>
      <c r="H17" s="357"/>
      <c r="I17" s="359"/>
      <c r="J17" s="88"/>
      <c r="K17" s="73" t="s">
        <v>53</v>
      </c>
      <c r="L17" s="240">
        <f>SUM(L10:L16)</f>
        <v>24894392</v>
      </c>
      <c r="M17" s="6"/>
      <c r="N17" s="71">
        <f>SUM(N10:N16)</f>
        <v>2080216.9221600003</v>
      </c>
      <c r="O17" s="74"/>
      <c r="P17" s="231">
        <f>P15-P16</f>
        <v>0</v>
      </c>
      <c r="Q17" s="65" t="s">
        <v>41</v>
      </c>
      <c r="R17" s="72"/>
    </row>
    <row r="18" spans="2:18" ht="15.6" customHeight="1" thickTop="1">
      <c r="B18" s="283" t="s">
        <v>236</v>
      </c>
      <c r="C18" s="79">
        <v>804010</v>
      </c>
      <c r="D18" s="79" t="s">
        <v>199</v>
      </c>
      <c r="E18" s="345">
        <v>-65395.49</v>
      </c>
      <c r="F18" s="357"/>
      <c r="G18" s="358"/>
      <c r="H18" s="357"/>
      <c r="I18" s="359"/>
      <c r="J18" s="88"/>
      <c r="K18" s="64"/>
      <c r="L18" s="309">
        <v>24894392</v>
      </c>
      <c r="M18" s="65"/>
      <c r="N18" s="242"/>
      <c r="O18" s="51"/>
      <c r="P18" s="4"/>
      <c r="Q18" s="196"/>
      <c r="R18" s="72"/>
    </row>
    <row r="19" spans="2:18" ht="15.6" customHeight="1">
      <c r="B19" s="283" t="s">
        <v>237</v>
      </c>
      <c r="C19" s="79">
        <v>804017</v>
      </c>
      <c r="D19" s="79" t="s">
        <v>199</v>
      </c>
      <c r="E19" s="345">
        <v>29394.18</v>
      </c>
      <c r="F19" s="357"/>
      <c r="G19" s="358"/>
      <c r="H19" s="357"/>
      <c r="I19" s="359"/>
      <c r="J19" s="88"/>
      <c r="K19" s="51"/>
      <c r="L19" s="231">
        <f>L17-L18</f>
        <v>0</v>
      </c>
      <c r="M19" s="65" t="s">
        <v>41</v>
      </c>
      <c r="N19" s="36"/>
      <c r="O19" s="69"/>
      <c r="P19" s="70"/>
      <c r="Q19" s="4"/>
      <c r="R19" s="72"/>
    </row>
    <row r="20" spans="2:18" ht="15.6" customHeight="1">
      <c r="B20" s="283" t="s">
        <v>238</v>
      </c>
      <c r="C20" s="79">
        <v>804018</v>
      </c>
      <c r="D20" s="79" t="s">
        <v>199</v>
      </c>
      <c r="E20" s="345">
        <v>6465.96</v>
      </c>
      <c r="F20" s="357"/>
      <c r="G20" s="358"/>
      <c r="H20" s="357"/>
      <c r="I20" s="359"/>
      <c r="J20" s="88"/>
      <c r="K20" s="51"/>
      <c r="L20" s="4"/>
      <c r="M20" s="65"/>
      <c r="N20" s="36"/>
      <c r="O20" s="69"/>
      <c r="P20" s="70"/>
      <c r="Q20" s="4"/>
      <c r="R20" s="36"/>
    </row>
    <row r="21" spans="2:18" ht="15.6" customHeight="1">
      <c r="B21" s="283" t="s">
        <v>239</v>
      </c>
      <c r="C21" s="79">
        <v>804600</v>
      </c>
      <c r="D21" s="79" t="s">
        <v>199</v>
      </c>
      <c r="E21" s="345">
        <v>-1628312.65</v>
      </c>
      <c r="F21" s="357"/>
      <c r="G21" s="358"/>
      <c r="H21" s="357"/>
      <c r="I21" s="359"/>
      <c r="J21" s="88"/>
      <c r="K21" s="51"/>
      <c r="L21" s="4"/>
      <c r="M21" s="65"/>
      <c r="N21" s="36"/>
      <c r="O21" s="69"/>
      <c r="P21" s="70"/>
      <c r="Q21" s="4"/>
      <c r="R21" s="36"/>
    </row>
    <row r="22" spans="2:18" ht="15.6" customHeight="1">
      <c r="B22" s="283" t="s">
        <v>240</v>
      </c>
      <c r="C22" s="79">
        <v>804730</v>
      </c>
      <c r="D22" s="79" t="s">
        <v>199</v>
      </c>
      <c r="E22" s="345">
        <v>541664.44999999995</v>
      </c>
      <c r="F22" s="357"/>
      <c r="G22" s="358"/>
      <c r="H22" s="357"/>
      <c r="I22" s="359"/>
      <c r="J22" s="88"/>
      <c r="K22" s="73" t="s">
        <v>54</v>
      </c>
      <c r="L22" s="4"/>
      <c r="M22" s="4"/>
      <c r="N22" s="36"/>
      <c r="O22" s="73" t="s">
        <v>54</v>
      </c>
      <c r="P22" s="68"/>
      <c r="Q22" s="4"/>
      <c r="R22" s="36"/>
    </row>
    <row r="23" spans="2:18" ht="15.6" customHeight="1">
      <c r="B23" s="283" t="s">
        <v>241</v>
      </c>
      <c r="C23" s="79">
        <v>808100</v>
      </c>
      <c r="D23" s="79" t="s">
        <v>199</v>
      </c>
      <c r="E23" s="345">
        <v>2442071.88</v>
      </c>
      <c r="F23" s="357"/>
      <c r="G23" s="358"/>
      <c r="H23" s="357"/>
      <c r="I23" s="359"/>
      <c r="J23" s="88"/>
      <c r="K23" s="74" t="s">
        <v>14</v>
      </c>
      <c r="L23" s="279">
        <f>+L10</f>
        <v>14741098</v>
      </c>
      <c r="M23" s="308">
        <v>0.16167000000000001</v>
      </c>
      <c r="N23" s="278">
        <f t="shared" ref="N23:N28" si="3">L23*M23</f>
        <v>2383193.31366</v>
      </c>
      <c r="O23" s="74" t="s">
        <v>14</v>
      </c>
      <c r="P23" s="279">
        <f>+P10</f>
        <v>7153037</v>
      </c>
      <c r="Q23" s="308">
        <v>0.16148000000000001</v>
      </c>
      <c r="R23" s="278">
        <f t="shared" ref="R23" si="4">P23*Q23</f>
        <v>1155072.4147600001</v>
      </c>
    </row>
    <row r="24" spans="2:18" ht="15.6" customHeight="1">
      <c r="B24" s="283" t="s">
        <v>242</v>
      </c>
      <c r="C24" s="79">
        <v>808200</v>
      </c>
      <c r="D24" s="79" t="s">
        <v>199</v>
      </c>
      <c r="E24" s="345">
        <v>-43528.85</v>
      </c>
      <c r="F24" s="357"/>
      <c r="G24" s="358"/>
      <c r="H24" s="357"/>
      <c r="I24" s="359"/>
      <c r="J24" s="88"/>
      <c r="K24" s="74" t="s">
        <v>93</v>
      </c>
      <c r="L24" s="279">
        <f t="shared" ref="L24:L28" si="5">+L11</f>
        <v>24419</v>
      </c>
      <c r="M24" s="308">
        <v>0.16167000000000001</v>
      </c>
      <c r="N24" s="278">
        <f t="shared" si="3"/>
        <v>3947.8197300000002</v>
      </c>
      <c r="O24" s="74" t="s">
        <v>15</v>
      </c>
      <c r="P24" s="279">
        <f t="shared" ref="P24:P27" si="6">+P11</f>
        <v>2841316</v>
      </c>
      <c r="Q24" s="308">
        <v>0.16148000000000001</v>
      </c>
      <c r="R24" s="278">
        <f>P24*Q24</f>
        <v>458815.70768000005</v>
      </c>
    </row>
    <row r="25" spans="2:18" ht="15.6" customHeight="1">
      <c r="B25" s="283" t="s">
        <v>243</v>
      </c>
      <c r="C25" s="79">
        <v>811000</v>
      </c>
      <c r="D25" s="79" t="s">
        <v>199</v>
      </c>
      <c r="E25" s="345">
        <v>-41461.96</v>
      </c>
      <c r="F25" s="357"/>
      <c r="G25" s="358"/>
      <c r="H25" s="357"/>
      <c r="I25" s="359"/>
      <c r="J25" s="88"/>
      <c r="K25" s="74" t="s">
        <v>15</v>
      </c>
      <c r="L25" s="279">
        <f t="shared" si="5"/>
        <v>6893495</v>
      </c>
      <c r="M25" s="308">
        <v>0.16167000000000001</v>
      </c>
      <c r="N25" s="278">
        <f t="shared" si="3"/>
        <v>1114471.33665</v>
      </c>
      <c r="O25" s="74" t="s">
        <v>16</v>
      </c>
      <c r="P25" s="279">
        <f t="shared" si="6"/>
        <v>826</v>
      </c>
      <c r="Q25" s="308">
        <v>0.16148000000000001</v>
      </c>
      <c r="R25" s="278">
        <f t="shared" ref="R25:R27" si="7">P25*Q25</f>
        <v>133.38248000000002</v>
      </c>
    </row>
    <row r="26" spans="2:18" ht="15.6" customHeight="1">
      <c r="B26" s="283" t="s">
        <v>244</v>
      </c>
      <c r="C26" s="79">
        <v>483000</v>
      </c>
      <c r="D26" s="79" t="s">
        <v>199</v>
      </c>
      <c r="E26" s="345">
        <v>-3591215.15</v>
      </c>
      <c r="F26" s="360" t="s">
        <v>122</v>
      </c>
      <c r="G26" s="358"/>
      <c r="H26" s="357"/>
      <c r="I26" s="359"/>
      <c r="J26" s="88"/>
      <c r="K26" s="74" t="s">
        <v>16</v>
      </c>
      <c r="L26" s="279">
        <f t="shared" si="5"/>
        <v>101451</v>
      </c>
      <c r="M26" s="308">
        <v>0.16167000000000001</v>
      </c>
      <c r="N26" s="278">
        <f t="shared" si="3"/>
        <v>16401.583170000002</v>
      </c>
      <c r="O26" s="74" t="s">
        <v>17</v>
      </c>
      <c r="P26" s="279">
        <f t="shared" si="6"/>
        <v>0</v>
      </c>
      <c r="Q26" s="308">
        <v>0.16148000000000001</v>
      </c>
      <c r="R26" s="278">
        <f t="shared" si="7"/>
        <v>0</v>
      </c>
    </row>
    <row r="27" spans="2:18" ht="15.6" customHeight="1">
      <c r="B27" s="283" t="s">
        <v>245</v>
      </c>
      <c r="C27" s="79">
        <v>483600</v>
      </c>
      <c r="D27" s="79" t="s">
        <v>199</v>
      </c>
      <c r="E27" s="345">
        <v>-166871.25</v>
      </c>
      <c r="F27" s="357"/>
      <c r="G27" s="358"/>
      <c r="H27" s="357"/>
      <c r="I27" s="359"/>
      <c r="J27" s="88"/>
      <c r="K27" s="74" t="s">
        <v>17</v>
      </c>
      <c r="L27" s="279">
        <f t="shared" si="5"/>
        <v>0</v>
      </c>
      <c r="M27" s="308">
        <v>0.16167000000000001</v>
      </c>
      <c r="N27" s="278">
        <f t="shared" si="3"/>
        <v>0</v>
      </c>
      <c r="O27" s="74" t="s">
        <v>18</v>
      </c>
      <c r="P27" s="279">
        <f t="shared" si="6"/>
        <v>0</v>
      </c>
      <c r="Q27" s="308">
        <v>0.16148000000000001</v>
      </c>
      <c r="R27" s="278">
        <f t="shared" si="7"/>
        <v>0</v>
      </c>
    </row>
    <row r="28" spans="2:18" ht="15.6" customHeight="1" thickBot="1">
      <c r="B28" s="283" t="s">
        <v>246</v>
      </c>
      <c r="C28" s="79">
        <v>483730</v>
      </c>
      <c r="D28" s="79" t="s">
        <v>199</v>
      </c>
      <c r="E28" s="345">
        <v>-1877941.99</v>
      </c>
      <c r="F28" s="357"/>
      <c r="G28" s="358"/>
      <c r="H28" s="357"/>
      <c r="I28" s="359"/>
      <c r="J28" s="88"/>
      <c r="K28" s="74" t="s">
        <v>18</v>
      </c>
      <c r="L28" s="279">
        <f t="shared" si="5"/>
        <v>183531</v>
      </c>
      <c r="M28" s="308">
        <v>0.16167000000000001</v>
      </c>
      <c r="N28" s="278">
        <f t="shared" si="3"/>
        <v>29671.456770000001</v>
      </c>
      <c r="O28" s="73" t="s">
        <v>58</v>
      </c>
      <c r="P28" s="240">
        <f>SUM(P23:P27)</f>
        <v>9995179</v>
      </c>
      <c r="Q28" s="241"/>
      <c r="R28" s="71">
        <f>SUM(R23:R27)</f>
        <v>1614021.50492</v>
      </c>
    </row>
    <row r="29" spans="2:18" ht="15.6" customHeight="1" thickTop="1" thickBot="1">
      <c r="B29" s="283" t="s">
        <v>247</v>
      </c>
      <c r="C29" s="79">
        <v>495028</v>
      </c>
      <c r="D29" s="79" t="s">
        <v>199</v>
      </c>
      <c r="E29" s="345">
        <v>-375000</v>
      </c>
      <c r="F29" s="357"/>
      <c r="G29" s="358"/>
      <c r="H29" s="357"/>
      <c r="I29" s="359"/>
      <c r="J29" s="88"/>
      <c r="K29" s="73" t="s">
        <v>58</v>
      </c>
      <c r="L29" s="240">
        <f>SUM(L23:L28)</f>
        <v>21943994</v>
      </c>
      <c r="M29" s="241"/>
      <c r="N29" s="250">
        <f>SUM(N23:N28)</f>
        <v>3547685.5099800001</v>
      </c>
      <c r="O29" s="73"/>
      <c r="P29" s="309">
        <v>9995179</v>
      </c>
      <c r="Q29" s="65"/>
      <c r="R29" s="247"/>
    </row>
    <row r="30" spans="2:18" ht="15.6" customHeight="1" thickTop="1">
      <c r="B30" s="283" t="s">
        <v>197</v>
      </c>
      <c r="C30" s="79">
        <v>495000</v>
      </c>
      <c r="D30" s="79" t="s">
        <v>199</v>
      </c>
      <c r="E30" s="349">
        <v>-2212</v>
      </c>
      <c r="F30" s="361"/>
      <c r="G30" s="362"/>
      <c r="H30" s="361"/>
      <c r="I30" s="363"/>
      <c r="J30" s="88"/>
      <c r="K30" s="64"/>
      <c r="L30" s="309">
        <v>21943994</v>
      </c>
      <c r="M30" s="65"/>
      <c r="N30" s="251"/>
      <c r="O30" s="73"/>
      <c r="P30" s="231">
        <f>P28-P29</f>
        <v>0</v>
      </c>
      <c r="Q30" s="65" t="s">
        <v>41</v>
      </c>
      <c r="R30" s="72"/>
    </row>
    <row r="31" spans="2:18" ht="15.6" customHeight="1" thickBot="1">
      <c r="B31" s="301" t="s">
        <v>47</v>
      </c>
      <c r="C31" s="79"/>
      <c r="D31" s="79"/>
      <c r="E31" s="347">
        <f>-E13</f>
        <v>30944.41</v>
      </c>
      <c r="F31" s="357"/>
      <c r="G31" s="358"/>
      <c r="H31" s="357"/>
      <c r="I31" s="359"/>
      <c r="J31" s="88"/>
      <c r="K31" s="66"/>
      <c r="L31" s="248">
        <f>L29-L30</f>
        <v>0</v>
      </c>
      <c r="M31" s="67" t="s">
        <v>41</v>
      </c>
      <c r="N31" s="249"/>
      <c r="O31" s="252"/>
      <c r="P31" s="253"/>
      <c r="Q31" s="254"/>
      <c r="R31" s="255"/>
    </row>
    <row r="32" spans="2:18" ht="15.6" customHeight="1" thickBot="1">
      <c r="B32" s="297" t="s">
        <v>48</v>
      </c>
      <c r="C32" s="4"/>
      <c r="D32" s="4"/>
      <c r="E32" s="346">
        <f>SUM(E17:E31)</f>
        <v>4019791.26</v>
      </c>
      <c r="F32" s="364"/>
      <c r="G32" s="337">
        <f>E32*G8</f>
        <v>2761998.5747460001</v>
      </c>
      <c r="H32" s="228"/>
      <c r="I32" s="327">
        <f>E32*I8</f>
        <v>1257792.6852539997</v>
      </c>
      <c r="J32" s="88"/>
    </row>
    <row r="33" spans="1:17" ht="15.6" customHeight="1">
      <c r="B33" s="283" t="s">
        <v>194</v>
      </c>
      <c r="C33" s="79">
        <v>495000</v>
      </c>
      <c r="D33" s="4" t="s">
        <v>204</v>
      </c>
      <c r="E33" s="349">
        <v>-28878</v>
      </c>
      <c r="F33" s="361"/>
      <c r="G33" s="337">
        <f>E33</f>
        <v>-28878</v>
      </c>
      <c r="H33" s="228"/>
      <c r="I33" s="327"/>
      <c r="J33" s="88"/>
      <c r="K33" s="311" t="s">
        <v>32</v>
      </c>
      <c r="L33" s="7" t="s">
        <v>12</v>
      </c>
      <c r="M33" s="7" t="s">
        <v>12</v>
      </c>
      <c r="N33" s="7" t="s">
        <v>22</v>
      </c>
      <c r="O33" s="7" t="s">
        <v>22</v>
      </c>
      <c r="P33" s="312"/>
      <c r="Q33" s="2"/>
    </row>
    <row r="34" spans="1:17" ht="15.6" customHeight="1" thickBot="1">
      <c r="B34" s="302" t="s">
        <v>172</v>
      </c>
      <c r="C34" s="79">
        <v>495000</v>
      </c>
      <c r="D34" s="4" t="s">
        <v>205</v>
      </c>
      <c r="E34" s="349">
        <v>0</v>
      </c>
      <c r="F34" s="361"/>
      <c r="G34" s="337"/>
      <c r="H34" s="228"/>
      <c r="I34" s="327">
        <f>E34</f>
        <v>0</v>
      </c>
      <c r="J34" s="88"/>
      <c r="K34" s="295"/>
      <c r="L34" s="46" t="s">
        <v>2</v>
      </c>
      <c r="M34" s="46" t="s">
        <v>1</v>
      </c>
      <c r="N34" s="46" t="s">
        <v>2</v>
      </c>
      <c r="O34" s="46" t="s">
        <v>1</v>
      </c>
      <c r="P34" s="322" t="s">
        <v>212</v>
      </c>
      <c r="Q34" s="2"/>
    </row>
    <row r="35" spans="1:17" ht="15.6" customHeight="1">
      <c r="B35" s="64" t="s">
        <v>206</v>
      </c>
      <c r="C35" s="79">
        <v>804000</v>
      </c>
      <c r="D35" s="4" t="s">
        <v>204</v>
      </c>
      <c r="E35" s="345">
        <v>337415.56</v>
      </c>
      <c r="F35" s="357"/>
      <c r="G35" s="337">
        <f>E35</f>
        <v>337415.56</v>
      </c>
      <c r="H35" s="228"/>
      <c r="I35" s="327"/>
      <c r="J35" s="88"/>
      <c r="K35" s="51" t="s">
        <v>214</v>
      </c>
      <c r="L35" s="230">
        <f>$F$39</f>
        <v>1552157.450214</v>
      </c>
      <c r="M35" s="230">
        <f>G39</f>
        <v>3070536.1347460002</v>
      </c>
      <c r="N35" s="230">
        <f>$H$39</f>
        <v>703557.48978599999</v>
      </c>
      <c r="O35" s="230">
        <f>I39</f>
        <v>1419928.8352539996</v>
      </c>
      <c r="P35" s="321">
        <f>SUM(L35:O35)-E39</f>
        <v>0</v>
      </c>
      <c r="Q35" s="2"/>
    </row>
    <row r="36" spans="1:17" ht="15.6" customHeight="1" thickBot="1">
      <c r="B36" s="64" t="s">
        <v>207</v>
      </c>
      <c r="C36" s="79">
        <v>804000</v>
      </c>
      <c r="D36" s="4" t="s">
        <v>205</v>
      </c>
      <c r="E36" s="345">
        <v>162136.15</v>
      </c>
      <c r="F36" s="357"/>
      <c r="G36" s="337"/>
      <c r="H36" s="228"/>
      <c r="I36" s="327">
        <f>E36</f>
        <v>162136.15</v>
      </c>
      <c r="J36" s="88"/>
      <c r="K36" s="51" t="s">
        <v>217</v>
      </c>
      <c r="L36" s="310">
        <f>-$N$17</f>
        <v>-2080216.9221600003</v>
      </c>
      <c r="M36" s="310">
        <f>-N29</f>
        <v>-3547685.5099800001</v>
      </c>
      <c r="N36" s="310">
        <f>-$R$15</f>
        <v>-894768.42408000003</v>
      </c>
      <c r="O36" s="310">
        <f>-R28</f>
        <v>-1614021.50492</v>
      </c>
      <c r="P36" s="321">
        <f>SUM(L36:O36)+N17+N29+R15+R28</f>
        <v>0</v>
      </c>
      <c r="Q36" s="2"/>
    </row>
    <row r="37" spans="1:17" ht="15.6" customHeight="1" thickBot="1">
      <c r="B37" s="297" t="s">
        <v>220</v>
      </c>
      <c r="C37" s="79"/>
      <c r="D37" s="4"/>
      <c r="E37" s="346">
        <f>SUM(E32:E36)</f>
        <v>4490464.97</v>
      </c>
      <c r="F37" s="338"/>
      <c r="G37" s="340"/>
      <c r="H37" s="338"/>
      <c r="I37" s="300"/>
      <c r="J37" s="88"/>
      <c r="K37" s="297" t="s">
        <v>215</v>
      </c>
      <c r="L37" s="245">
        <f t="shared" ref="L37:O37" si="8">SUM(L35:L36)</f>
        <v>-528059.47194600035</v>
      </c>
      <c r="M37" s="245">
        <f>SUM(M35:M36)</f>
        <v>-477149.37523399992</v>
      </c>
      <c r="N37" s="245">
        <f t="shared" si="8"/>
        <v>-191210.93429400004</v>
      </c>
      <c r="O37" s="245">
        <f t="shared" si="8"/>
        <v>-194092.66966600041</v>
      </c>
      <c r="P37" s="313"/>
      <c r="Q37" s="2"/>
    </row>
    <row r="38" spans="1:17" ht="15.6" customHeight="1" thickBot="1">
      <c r="B38" s="51"/>
      <c r="C38" s="29"/>
      <c r="D38" s="29"/>
      <c r="E38" s="350"/>
      <c r="F38" s="341"/>
      <c r="G38" s="342"/>
      <c r="H38" s="341"/>
      <c r="I38" s="303"/>
      <c r="J38" s="88"/>
      <c r="K38" s="314"/>
      <c r="L38" s="263"/>
      <c r="M38" s="9"/>
      <c r="N38" s="2"/>
      <c r="O38" s="318"/>
      <c r="P38" s="315"/>
      <c r="Q38" s="2"/>
    </row>
    <row r="39" spans="1:17" ht="15.6" customHeight="1" thickBot="1">
      <c r="B39" s="304" t="s">
        <v>211</v>
      </c>
      <c r="C39" s="305"/>
      <c r="D39" s="305"/>
      <c r="E39" s="346">
        <f>E37+E14</f>
        <v>6746179.9100000001</v>
      </c>
      <c r="F39" s="352">
        <f>SUM(F14:F37)</f>
        <v>1552157.450214</v>
      </c>
      <c r="G39" s="353">
        <f t="shared" ref="G39:I39" si="9">SUM(G14:G37)</f>
        <v>3070536.1347460002</v>
      </c>
      <c r="H39" s="352">
        <f t="shared" si="9"/>
        <v>703557.48978599999</v>
      </c>
      <c r="I39" s="306">
        <f t="shared" si="9"/>
        <v>1419928.8352539996</v>
      </c>
      <c r="J39" s="88"/>
      <c r="K39" s="316"/>
      <c r="L39" s="319" t="s">
        <v>76</v>
      </c>
      <c r="M39" s="317">
        <f>SUM(L37:M37)</f>
        <v>-1005208.8471800003</v>
      </c>
      <c r="N39" s="320" t="s">
        <v>77</v>
      </c>
      <c r="O39" s="317">
        <f>SUM(N37:O37)</f>
        <v>-385303.60396000044</v>
      </c>
      <c r="P39" s="83"/>
      <c r="Q39" s="2"/>
    </row>
    <row r="40" spans="1:17" ht="15.6" customHeight="1">
      <c r="B40" s="88"/>
      <c r="C40" s="30"/>
      <c r="D40" s="30"/>
      <c r="E40" s="194"/>
      <c r="F40" s="194"/>
      <c r="G40" s="194"/>
      <c r="H40" s="194"/>
      <c r="I40" s="194"/>
      <c r="J40" s="88"/>
      <c r="M40" s="81"/>
      <c r="Q40" s="2"/>
    </row>
    <row r="41" spans="1:17" ht="15.6" customHeight="1">
      <c r="A41" s="88"/>
      <c r="B41" s="193"/>
      <c r="C41" s="30"/>
      <c r="D41" s="31" t="s">
        <v>148</v>
      </c>
      <c r="E41" s="287">
        <v>6746465.0800000001</v>
      </c>
      <c r="F41" s="194"/>
      <c r="G41" s="194"/>
      <c r="H41" s="194"/>
      <c r="I41" s="194"/>
      <c r="J41" s="88"/>
      <c r="P41" s="3"/>
    </row>
    <row r="42" spans="1:17" ht="15.6" customHeight="1">
      <c r="B42" s="291"/>
      <c r="C42" s="291"/>
      <c r="D42" s="31" t="s">
        <v>71</v>
      </c>
      <c r="E42" s="228">
        <f>ROUND(E39-E41,2)</f>
        <v>-285.17</v>
      </c>
      <c r="F42" s="326"/>
      <c r="G42" s="326"/>
      <c r="H42" s="326"/>
      <c r="I42" s="326"/>
    </row>
    <row r="43" spans="1:17" ht="15.6" customHeight="1">
      <c r="B43" s="291"/>
      <c r="C43" s="291"/>
      <c r="E43" s="260"/>
      <c r="F43" s="326"/>
      <c r="G43" s="326"/>
      <c r="H43" s="326"/>
      <c r="I43" s="326"/>
    </row>
    <row r="44" spans="1:17" ht="15.6" customHeight="1">
      <c r="B44" s="291"/>
      <c r="C44" s="291"/>
      <c r="E44" s="260"/>
      <c r="F44" s="326"/>
      <c r="G44" s="326"/>
      <c r="H44" s="326"/>
      <c r="I44" s="326"/>
    </row>
    <row r="45" spans="1:17" ht="15.6" customHeight="1">
      <c r="B45" s="291"/>
      <c r="C45" s="291"/>
      <c r="E45" s="260"/>
      <c r="F45" s="326"/>
      <c r="G45" s="326"/>
      <c r="H45" s="326"/>
      <c r="I45" s="326"/>
    </row>
    <row r="46" spans="1:17" ht="15.75">
      <c r="A46" s="290" t="s">
        <v>121</v>
      </c>
      <c r="B46" s="292">
        <f>E17</f>
        <v>8761189.7200000007</v>
      </c>
      <c r="C46" s="292" t="s">
        <v>208</v>
      </c>
      <c r="E46" s="87"/>
    </row>
    <row r="47" spans="1:17" ht="15.75">
      <c r="A47" s="290"/>
      <c r="B47" s="292">
        <v>8761181.9499999993</v>
      </c>
      <c r="C47" s="292" t="s">
        <v>209</v>
      </c>
      <c r="D47" s="199"/>
      <c r="E47" s="88"/>
    </row>
    <row r="48" spans="1:17" ht="15.75">
      <c r="A48" s="290"/>
      <c r="B48" s="368">
        <f>B46-B47</f>
        <v>7.7700000014156103</v>
      </c>
      <c r="C48" s="293" t="s">
        <v>210</v>
      </c>
      <c r="E48" s="87"/>
    </row>
    <row r="49" spans="1:5" ht="15.75">
      <c r="A49" s="290"/>
      <c r="E49" s="87"/>
    </row>
    <row r="50" spans="1:5">
      <c r="B50" s="292"/>
      <c r="C50" s="292"/>
      <c r="E50" s="87"/>
    </row>
    <row r="51" spans="1:5" ht="15.75">
      <c r="A51" s="290" t="s">
        <v>122</v>
      </c>
      <c r="B51" s="292">
        <f>E26</f>
        <v>-3591215.15</v>
      </c>
      <c r="C51" s="292" t="s">
        <v>208</v>
      </c>
      <c r="E51" s="87"/>
    </row>
    <row r="52" spans="1:5">
      <c r="A52" s="291"/>
      <c r="B52" s="292">
        <f>-3599910.23+8988.03</f>
        <v>-3590922.2</v>
      </c>
      <c r="C52" s="292" t="s">
        <v>209</v>
      </c>
      <c r="E52" s="87"/>
    </row>
    <row r="53" spans="1:5" ht="15.75">
      <c r="A53" s="291"/>
      <c r="B53" s="368">
        <f>B51-B52</f>
        <v>-292.9499999997206</v>
      </c>
      <c r="C53" s="293"/>
      <c r="E53" s="87"/>
    </row>
    <row r="54" spans="1:5" ht="15.75">
      <c r="A54" s="291"/>
      <c r="B54" s="367">
        <v>-2.36</v>
      </c>
      <c r="C54" s="293" t="s">
        <v>210</v>
      </c>
      <c r="E54" s="87"/>
    </row>
    <row r="55" spans="1:5" ht="15.75">
      <c r="B55" s="292">
        <v>295.31</v>
      </c>
      <c r="C55" s="293" t="s">
        <v>221</v>
      </c>
      <c r="E55" s="87"/>
    </row>
    <row r="56" spans="1:5">
      <c r="B56" s="367">
        <f>SUM(B53:B55)</f>
        <v>2.7938540370087139E-10</v>
      </c>
      <c r="C56" s="292"/>
      <c r="E56" s="87"/>
    </row>
    <row r="57" spans="1:5">
      <c r="E57" s="87"/>
    </row>
    <row r="58" spans="1:5">
      <c r="E58" s="87"/>
    </row>
    <row r="59" spans="1:5">
      <c r="E59" s="87"/>
    </row>
    <row r="60" spans="1:5">
      <c r="E60" s="87"/>
    </row>
    <row r="61" spans="1:5">
      <c r="E61" s="87"/>
    </row>
    <row r="62" spans="1:5">
      <c r="E62" s="87"/>
    </row>
    <row r="63" spans="1:5">
      <c r="E63" s="87"/>
    </row>
    <row r="64" spans="1:5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1401" spans="4:4">
      <c r="D1401" s="87">
        <v>-2130</v>
      </c>
    </row>
    <row r="1409" spans="4:4">
      <c r="D1409" s="87">
        <f>7004298-2130</f>
        <v>7002168</v>
      </c>
    </row>
  </sheetData>
  <sortState xmlns:xlrd2="http://schemas.microsoft.com/office/spreadsheetml/2017/richdata2" ref="D12:D26">
    <sortCondition ref="D12:D26"/>
  </sortState>
  <mergeCells count="5">
    <mergeCell ref="K5:N5"/>
    <mergeCell ref="O5:R5"/>
    <mergeCell ref="N1:O1"/>
    <mergeCell ref="F5:G5"/>
    <mergeCell ref="H5:I5"/>
  </mergeCells>
  <conditionalFormatting sqref="D43:D45">
    <cfRule type="cellIs" dxfId="190" priority="33" operator="equal">
      <formula>"ERROR"</formula>
    </cfRule>
  </conditionalFormatting>
  <conditionalFormatting sqref="D43:D45">
    <cfRule type="cellIs" dxfId="189" priority="32" operator="equal">
      <formula>"ERROR"</formula>
    </cfRule>
  </conditionalFormatting>
  <conditionalFormatting sqref="E47:I47">
    <cfRule type="cellIs" dxfId="188" priority="31" operator="equal">
      <formula>"ERROR"</formula>
    </cfRule>
  </conditionalFormatting>
  <conditionalFormatting sqref="E47:I47">
    <cfRule type="cellIs" dxfId="187" priority="30" operator="equal">
      <formula>"ERROR"</formula>
    </cfRule>
  </conditionalFormatting>
  <conditionalFormatting sqref="P31">
    <cfRule type="cellIs" dxfId="186" priority="29" operator="notEqual">
      <formula>0</formula>
    </cfRule>
  </conditionalFormatting>
  <conditionalFormatting sqref="L19">
    <cfRule type="cellIs" dxfId="185" priority="27" stopIfTrue="1" operator="equal">
      <formula>0</formula>
    </cfRule>
    <cfRule type="cellIs" dxfId="184" priority="28" stopIfTrue="1" operator="notEqual">
      <formula>0</formula>
    </cfRule>
  </conditionalFormatting>
  <conditionalFormatting sqref="L19">
    <cfRule type="cellIs" dxfId="183" priority="25" stopIfTrue="1" operator="equal">
      <formula>0</formula>
    </cfRule>
    <cfRule type="cellIs" dxfId="182" priority="26" stopIfTrue="1" operator="notEqual">
      <formula>0</formula>
    </cfRule>
  </conditionalFormatting>
  <conditionalFormatting sqref="L31">
    <cfRule type="cellIs" dxfId="181" priority="23" stopIfTrue="1" operator="equal">
      <formula>0</formula>
    </cfRule>
    <cfRule type="cellIs" dxfId="180" priority="24" stopIfTrue="1" operator="notEqual">
      <formula>0</formula>
    </cfRule>
  </conditionalFormatting>
  <conditionalFormatting sqref="L31">
    <cfRule type="cellIs" dxfId="179" priority="21" stopIfTrue="1" operator="equal">
      <formula>0</formula>
    </cfRule>
    <cfRule type="cellIs" dxfId="178" priority="22" stopIfTrue="1" operator="notEqual">
      <formula>0</formula>
    </cfRule>
  </conditionalFormatting>
  <conditionalFormatting sqref="P17">
    <cfRule type="cellIs" dxfId="177" priority="19" stopIfTrue="1" operator="equal">
      <formula>0</formula>
    </cfRule>
    <cfRule type="cellIs" dxfId="176" priority="20" stopIfTrue="1" operator="notEqual">
      <formula>0</formula>
    </cfRule>
  </conditionalFormatting>
  <conditionalFormatting sqref="P17">
    <cfRule type="cellIs" dxfId="175" priority="17" stopIfTrue="1" operator="equal">
      <formula>0</formula>
    </cfRule>
    <cfRule type="cellIs" dxfId="174" priority="18" stopIfTrue="1" operator="notEqual">
      <formula>0</formula>
    </cfRule>
  </conditionalFormatting>
  <conditionalFormatting sqref="P30">
    <cfRule type="cellIs" dxfId="173" priority="15" stopIfTrue="1" operator="equal">
      <formula>0</formula>
    </cfRule>
    <cfRule type="cellIs" dxfId="172" priority="16" stopIfTrue="1" operator="notEqual">
      <formula>0</formula>
    </cfRule>
  </conditionalFormatting>
  <conditionalFormatting sqref="P30">
    <cfRule type="cellIs" dxfId="171" priority="13" stopIfTrue="1" operator="equal">
      <formula>0</formula>
    </cfRule>
    <cfRule type="cellIs" dxfId="170" priority="14" stopIfTrue="1" operator="notEqual">
      <formula>0</formula>
    </cfRule>
  </conditionalFormatting>
  <conditionalFormatting sqref="P35:P36">
    <cfRule type="cellIs" dxfId="169" priority="11" stopIfTrue="1" operator="equal">
      <formula>0</formula>
    </cfRule>
    <cfRule type="cellIs" dxfId="168" priority="12" stopIfTrue="1" operator="notEqual">
      <formula>0</formula>
    </cfRule>
  </conditionalFormatting>
  <conditionalFormatting sqref="P35:P36">
    <cfRule type="cellIs" dxfId="167" priority="9" stopIfTrue="1" operator="equal">
      <formula>0</formula>
    </cfRule>
    <cfRule type="cellIs" dxfId="166" priority="10" stopIfTrue="1" operator="notEqual">
      <formula>0</formula>
    </cfRule>
  </conditionalFormatting>
  <conditionalFormatting sqref="E42">
    <cfRule type="cellIs" dxfId="165" priority="3" stopIfTrue="1" operator="equal">
      <formula>0</formula>
    </cfRule>
    <cfRule type="cellIs" dxfId="164" priority="4" stopIfTrue="1" operator="notEqual">
      <formula>0</formula>
    </cfRule>
  </conditionalFormatting>
  <conditionalFormatting sqref="E42">
    <cfRule type="cellIs" dxfId="163" priority="1" stopIfTrue="1" operator="equal">
      <formula>0</formula>
    </cfRule>
    <cfRule type="cellIs" dxfId="162" priority="2" stopIfTrue="1" operator="notEqual">
      <formula>0</formula>
    </cfRule>
  </conditionalFormatting>
  <printOptions horizontalCentered="1"/>
  <pageMargins left="0.2" right="0.2" top="0.5" bottom="0.5" header="0.3" footer="0.3"/>
  <pageSetup scale="44" orientation="landscape" r:id="rId1"/>
  <headerFooter>
    <oddFooter>&amp;R&amp;Z&amp;F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491DC-509A-4A1E-BEAB-C8D0EE721186}">
  <sheetPr>
    <pageSetUpPr fitToPage="1"/>
  </sheetPr>
  <dimension ref="A1:R1398"/>
  <sheetViews>
    <sheetView topLeftCell="A13" zoomScale="60" zoomScaleNormal="60" workbookViewId="0">
      <selection activeCell="E42" sqref="E42"/>
    </sheetView>
  </sheetViews>
  <sheetFormatPr defaultColWidth="16" defaultRowHeight="15"/>
  <cols>
    <col min="1" max="1" width="2.85546875" style="87" customWidth="1"/>
    <col min="2" max="2" width="48.7109375" style="87" bestFit="1" customWidth="1"/>
    <col min="3" max="3" width="11.5703125" style="87" customWidth="1"/>
    <col min="4" max="4" width="10.7109375" style="87" customWidth="1"/>
    <col min="5" max="5" width="18.7109375" style="15" bestFit="1" customWidth="1"/>
    <col min="6" max="6" width="17.5703125" style="88" customWidth="1"/>
    <col min="7" max="7" width="18.5703125" style="88" bestFit="1" customWidth="1"/>
    <col min="8" max="9" width="17.5703125" style="88" customWidth="1"/>
    <col min="10" max="10" width="4.85546875" style="87" bestFit="1" customWidth="1"/>
    <col min="11" max="11" width="22.28515625" style="87" bestFit="1" customWidth="1"/>
    <col min="12" max="18" width="18.140625" style="87" customWidth="1"/>
    <col min="19" max="16384" width="16" style="87"/>
  </cols>
  <sheetData>
    <row r="1" spans="2:18" ht="15.6" customHeight="1">
      <c r="B1" s="285" t="s">
        <v>218</v>
      </c>
      <c r="C1" s="286">
        <v>202104</v>
      </c>
      <c r="D1" s="284"/>
      <c r="E1" s="204"/>
      <c r="F1" s="204"/>
      <c r="G1" s="204"/>
      <c r="H1" s="204"/>
      <c r="I1" s="204"/>
      <c r="K1" s="280" t="s">
        <v>200</v>
      </c>
      <c r="L1" s="288" t="s">
        <v>201</v>
      </c>
      <c r="N1" s="390"/>
      <c r="O1" s="390"/>
    </row>
    <row r="2" spans="2:18" ht="15.6" customHeight="1">
      <c r="D2" s="204"/>
      <c r="E2" s="204"/>
      <c r="F2" s="204"/>
      <c r="G2" s="204"/>
      <c r="H2" s="204"/>
      <c r="I2" s="204"/>
      <c r="K2" s="281"/>
      <c r="L2" s="282" t="s">
        <v>202</v>
      </c>
      <c r="N2" s="372"/>
      <c r="O2" s="372"/>
    </row>
    <row r="3" spans="2:18" ht="15.6" customHeight="1">
      <c r="D3" s="204"/>
      <c r="E3" s="204"/>
      <c r="F3" s="204"/>
      <c r="G3" s="204"/>
      <c r="H3" s="204"/>
      <c r="I3" s="204"/>
      <c r="K3" s="281"/>
      <c r="L3" s="289"/>
      <c r="N3" s="373"/>
      <c r="O3" s="373"/>
    </row>
    <row r="4" spans="2:18" ht="15.6" customHeight="1" thickBot="1">
      <c r="D4" s="204"/>
      <c r="E4" s="204"/>
      <c r="F4" s="204"/>
      <c r="G4" s="204"/>
      <c r="H4" s="204"/>
      <c r="I4" s="204"/>
      <c r="K4" s="281"/>
      <c r="L4" s="289"/>
    </row>
    <row r="5" spans="2:18" ht="15.6" customHeight="1" thickBot="1">
      <c r="B5" s="294"/>
      <c r="C5" s="50"/>
      <c r="D5" s="50"/>
      <c r="E5" s="351" t="s">
        <v>28</v>
      </c>
      <c r="F5" s="387" t="s">
        <v>59</v>
      </c>
      <c r="G5" s="388"/>
      <c r="H5" s="387" t="s">
        <v>60</v>
      </c>
      <c r="I5" s="389"/>
      <c r="J5" s="88"/>
      <c r="K5" s="382" t="s">
        <v>59</v>
      </c>
      <c r="L5" s="383"/>
      <c r="M5" s="383"/>
      <c r="N5" s="384"/>
      <c r="O5" s="382" t="s">
        <v>60</v>
      </c>
      <c r="P5" s="383"/>
      <c r="Q5" s="383"/>
      <c r="R5" s="384"/>
    </row>
    <row r="6" spans="2:18" ht="15.6" customHeight="1" thickBot="1">
      <c r="B6" s="295" t="s">
        <v>31</v>
      </c>
      <c r="C6" s="4"/>
      <c r="D6" s="4"/>
      <c r="E6" s="343" t="s">
        <v>216</v>
      </c>
      <c r="F6" s="330" t="s">
        <v>2</v>
      </c>
      <c r="G6" s="331" t="s">
        <v>1</v>
      </c>
      <c r="H6" s="330" t="s">
        <v>2</v>
      </c>
      <c r="I6" s="329" t="s">
        <v>1</v>
      </c>
      <c r="J6" s="88"/>
      <c r="K6" s="211" t="s">
        <v>42</v>
      </c>
      <c r="L6" s="205" t="s">
        <v>10</v>
      </c>
      <c r="M6" s="205" t="s">
        <v>10</v>
      </c>
      <c r="N6" s="205" t="s">
        <v>10</v>
      </c>
      <c r="O6" s="211" t="s">
        <v>42</v>
      </c>
      <c r="P6" s="205" t="s">
        <v>10</v>
      </c>
      <c r="Q6" s="205" t="s">
        <v>10</v>
      </c>
      <c r="R6" s="274" t="s">
        <v>10</v>
      </c>
    </row>
    <row r="7" spans="2:18" ht="15.6" customHeight="1" thickBot="1">
      <c r="B7" s="51"/>
      <c r="C7" s="4"/>
      <c r="D7" s="4"/>
      <c r="E7" s="344"/>
      <c r="F7" s="332"/>
      <c r="G7" s="333"/>
      <c r="H7" s="332"/>
      <c r="I7" s="36"/>
      <c r="J7" s="88"/>
      <c r="K7" s="212" t="s">
        <v>72</v>
      </c>
      <c r="L7" s="207" t="s">
        <v>40</v>
      </c>
      <c r="M7" s="207" t="s">
        <v>13</v>
      </c>
      <c r="N7" s="207" t="s">
        <v>11</v>
      </c>
      <c r="O7" s="212" t="s">
        <v>72</v>
      </c>
      <c r="P7" s="207" t="s">
        <v>40</v>
      </c>
      <c r="Q7" s="207" t="s">
        <v>13</v>
      </c>
      <c r="R7" s="207" t="s">
        <v>11</v>
      </c>
    </row>
    <row r="8" spans="2:18" ht="15.6" customHeight="1">
      <c r="B8" s="51"/>
      <c r="C8" s="4"/>
      <c r="D8" s="4"/>
      <c r="E8" s="365">
        <f>F8+H8</f>
        <v>1</v>
      </c>
      <c r="F8" s="334">
        <v>0.68810000000000004</v>
      </c>
      <c r="G8" s="335">
        <f>ROUND($L$29/($L$29+$P$28),4)</f>
        <v>0.66559999999999997</v>
      </c>
      <c r="H8" s="334">
        <v>0.31190000000000001</v>
      </c>
      <c r="I8" s="296">
        <f>1-G8</f>
        <v>0.33440000000000003</v>
      </c>
      <c r="J8" s="366"/>
      <c r="K8" s="51"/>
      <c r="L8" s="273"/>
      <c r="M8" s="273"/>
      <c r="N8" s="274"/>
      <c r="O8" s="213"/>
      <c r="P8" s="214"/>
      <c r="Q8" s="214"/>
      <c r="R8" s="76"/>
    </row>
    <row r="9" spans="2:18" ht="15.6" customHeight="1">
      <c r="B9" s="51"/>
      <c r="C9" s="4"/>
      <c r="D9" s="4"/>
      <c r="E9" s="344"/>
      <c r="F9" s="332"/>
      <c r="G9" s="333"/>
      <c r="H9" s="332"/>
      <c r="I9" s="36"/>
      <c r="J9" s="88"/>
      <c r="K9" s="73" t="s">
        <v>52</v>
      </c>
      <c r="L9" s="4"/>
      <c r="M9" s="4"/>
      <c r="N9" s="36"/>
      <c r="O9" s="73" t="s">
        <v>52</v>
      </c>
      <c r="P9" s="4"/>
      <c r="Q9" s="4"/>
      <c r="R9" s="36"/>
    </row>
    <row r="10" spans="2:18" ht="15.6" customHeight="1">
      <c r="B10" s="283" t="s">
        <v>248</v>
      </c>
      <c r="C10" s="79">
        <v>804001</v>
      </c>
      <c r="D10" s="79" t="s">
        <v>199</v>
      </c>
      <c r="E10" s="345">
        <v>2217053.54</v>
      </c>
      <c r="F10" s="336"/>
      <c r="G10" s="337"/>
      <c r="H10" s="336"/>
      <c r="I10" s="327"/>
      <c r="J10" s="88"/>
      <c r="K10" s="74" t="s">
        <v>14</v>
      </c>
      <c r="L10" s="307">
        <v>8945038</v>
      </c>
      <c r="M10" s="308">
        <v>9.8220000000000002E-2</v>
      </c>
      <c r="N10" s="278">
        <f t="shared" ref="N10:N16" si="0">L10*M10</f>
        <v>878581.63236000005</v>
      </c>
      <c r="O10" s="74" t="s">
        <v>14</v>
      </c>
      <c r="P10" s="307">
        <v>4746418</v>
      </c>
      <c r="Q10" s="308">
        <v>8.9520000000000002E-2</v>
      </c>
      <c r="R10" s="278">
        <f t="shared" ref="R10:R11" si="1">P10*Q10</f>
        <v>424899.33935999998</v>
      </c>
    </row>
    <row r="11" spans="2:18" ht="15.6" customHeight="1" thickBot="1">
      <c r="B11" s="283" t="s">
        <v>249</v>
      </c>
      <c r="C11" s="79">
        <v>804002</v>
      </c>
      <c r="D11" s="79" t="s">
        <v>199</v>
      </c>
      <c r="E11" s="345">
        <v>22092.66</v>
      </c>
      <c r="F11" s="336"/>
      <c r="G11" s="337"/>
      <c r="H11" s="336"/>
      <c r="I11" s="327"/>
      <c r="J11" s="88"/>
      <c r="K11" s="74" t="s">
        <v>93</v>
      </c>
      <c r="L11" s="307">
        <v>17127</v>
      </c>
      <c r="M11" s="308">
        <v>9.8220000000000002E-2</v>
      </c>
      <c r="N11" s="278">
        <f t="shared" si="0"/>
        <v>1682.2139400000001</v>
      </c>
      <c r="O11" s="74" t="s">
        <v>15</v>
      </c>
      <c r="P11" s="307">
        <v>1826242</v>
      </c>
      <c r="Q11" s="308">
        <v>8.9520000000000002E-2</v>
      </c>
      <c r="R11" s="278">
        <f t="shared" si="1"/>
        <v>163485.18384000001</v>
      </c>
    </row>
    <row r="12" spans="2:18" ht="15.6" customHeight="1" thickBot="1">
      <c r="B12" s="297" t="s">
        <v>203</v>
      </c>
      <c r="C12" s="9"/>
      <c r="D12" s="9"/>
      <c r="E12" s="346">
        <f>SUM(E10:E11)</f>
        <v>2239146.2000000002</v>
      </c>
      <c r="F12" s="338"/>
      <c r="G12" s="339"/>
      <c r="H12" s="338"/>
      <c r="I12" s="328"/>
      <c r="J12" s="88"/>
      <c r="K12" s="74" t="s">
        <v>15</v>
      </c>
      <c r="L12" s="307">
        <v>3971924</v>
      </c>
      <c r="M12" s="308">
        <v>8.8349999999999998E-2</v>
      </c>
      <c r="N12" s="278">
        <f t="shared" si="0"/>
        <v>350919.48540000001</v>
      </c>
      <c r="O12" s="74" t="s">
        <v>16</v>
      </c>
      <c r="P12" s="307">
        <v>9636</v>
      </c>
      <c r="Q12" s="308">
        <v>8.9520000000000002E-2</v>
      </c>
      <c r="R12" s="278">
        <f>P12*Q12</f>
        <v>862.61472000000003</v>
      </c>
    </row>
    <row r="13" spans="2:18" ht="15.6" customHeight="1" thickBot="1">
      <c r="B13" s="298" t="s">
        <v>44</v>
      </c>
      <c r="C13" s="2"/>
      <c r="D13" s="2"/>
      <c r="E13" s="347">
        <f>-E11</f>
        <v>-22092.66</v>
      </c>
      <c r="F13" s="336"/>
      <c r="G13" s="337"/>
      <c r="H13" s="336"/>
      <c r="I13" s="327"/>
      <c r="J13" s="88"/>
      <c r="K13" s="74" t="s">
        <v>16</v>
      </c>
      <c r="L13" s="307">
        <v>81963</v>
      </c>
      <c r="M13" s="308">
        <v>8.8349999999999998E-2</v>
      </c>
      <c r="N13" s="278">
        <f t="shared" si="0"/>
        <v>7241.4310500000001</v>
      </c>
      <c r="O13" s="74" t="s">
        <v>17</v>
      </c>
      <c r="P13" s="307">
        <v>0</v>
      </c>
      <c r="Q13" s="308">
        <v>8.9520000000000002E-2</v>
      </c>
      <c r="R13" s="278">
        <f t="shared" ref="R13:R14" si="2">P13*Q13</f>
        <v>0</v>
      </c>
    </row>
    <row r="14" spans="2:18" ht="15.6" customHeight="1" thickBot="1">
      <c r="B14" s="297" t="s">
        <v>219</v>
      </c>
      <c r="C14" s="299"/>
      <c r="D14" s="299"/>
      <c r="E14" s="346">
        <f>SUM(E12:E13)</f>
        <v>2217053.54</v>
      </c>
      <c r="F14" s="354">
        <f>E14*F8</f>
        <v>1525554.5408740002</v>
      </c>
      <c r="G14" s="355"/>
      <c r="H14" s="354">
        <f>E14*H8</f>
        <v>691498.99912599998</v>
      </c>
      <c r="I14" s="356"/>
      <c r="J14" s="88"/>
      <c r="K14" s="74" t="s">
        <v>17</v>
      </c>
      <c r="L14" s="307">
        <v>0</v>
      </c>
      <c r="M14" s="308">
        <v>5.6399999999999999E-2</v>
      </c>
      <c r="N14" s="278">
        <f t="shared" si="0"/>
        <v>0</v>
      </c>
      <c r="O14" s="74" t="s">
        <v>18</v>
      </c>
      <c r="P14" s="307">
        <v>0</v>
      </c>
      <c r="Q14" s="308">
        <v>8.9520000000000002E-2</v>
      </c>
      <c r="R14" s="278">
        <f t="shared" si="2"/>
        <v>0</v>
      </c>
    </row>
    <row r="15" spans="2:18" ht="15.6" customHeight="1" thickBot="1">
      <c r="B15" s="51"/>
      <c r="C15" s="4"/>
      <c r="D15" s="4"/>
      <c r="E15" s="348"/>
      <c r="F15" s="357"/>
      <c r="G15" s="358"/>
      <c r="H15" s="357"/>
      <c r="I15" s="359"/>
      <c r="J15" s="88"/>
      <c r="K15" s="74" t="s">
        <v>18</v>
      </c>
      <c r="L15" s="307">
        <v>86985</v>
      </c>
      <c r="M15" s="308">
        <v>5.6399999999999999E-2</v>
      </c>
      <c r="N15" s="278">
        <f t="shared" si="0"/>
        <v>4905.9539999999997</v>
      </c>
      <c r="O15" s="73" t="s">
        <v>53</v>
      </c>
      <c r="P15" s="240">
        <f>SUM(P10:P14)</f>
        <v>6582296</v>
      </c>
      <c r="Q15" s="241"/>
      <c r="R15" s="71">
        <f>SUM(R10:R14)</f>
        <v>589247.13791999989</v>
      </c>
    </row>
    <row r="16" spans="2:18" ht="15.6" customHeight="1" thickTop="1">
      <c r="B16" s="51"/>
      <c r="C16" s="4"/>
      <c r="D16" s="4"/>
      <c r="E16" s="348"/>
      <c r="F16" s="357"/>
      <c r="G16" s="358"/>
      <c r="H16" s="357"/>
      <c r="I16" s="359"/>
      <c r="J16" s="88"/>
      <c r="K16" s="74" t="s">
        <v>33</v>
      </c>
      <c r="L16" s="307">
        <v>2574153</v>
      </c>
      <c r="M16" s="308">
        <v>5.4000000000000001E-4</v>
      </c>
      <c r="N16" s="278">
        <f t="shared" si="0"/>
        <v>1390.0426199999999</v>
      </c>
      <c r="O16" s="74"/>
      <c r="P16" s="309">
        <v>6582296</v>
      </c>
      <c r="Q16" s="65"/>
      <c r="R16" s="242"/>
    </row>
    <row r="17" spans="2:18" ht="15.6" customHeight="1" thickBot="1">
      <c r="B17" s="283" t="s">
        <v>235</v>
      </c>
      <c r="C17" s="79">
        <v>804000</v>
      </c>
      <c r="D17" s="79" t="s">
        <v>199</v>
      </c>
      <c r="E17" s="345">
        <v>9452203.8800000008</v>
      </c>
      <c r="F17" s="360"/>
      <c r="G17" s="358"/>
      <c r="H17" s="357"/>
      <c r="I17" s="359"/>
      <c r="J17" s="88"/>
      <c r="K17" s="73" t="s">
        <v>53</v>
      </c>
      <c r="L17" s="240">
        <f>SUM(L10:L16)</f>
        <v>15677190</v>
      </c>
      <c r="M17" s="6"/>
      <c r="N17" s="71">
        <f>SUM(N10:N16)</f>
        <v>1244720.7593699999</v>
      </c>
      <c r="O17" s="74"/>
      <c r="P17" s="231">
        <f>P15-P16</f>
        <v>0</v>
      </c>
      <c r="Q17" s="65" t="s">
        <v>41</v>
      </c>
      <c r="R17" s="72"/>
    </row>
    <row r="18" spans="2:18" ht="15.6" customHeight="1" thickTop="1">
      <c r="B18" s="283" t="s">
        <v>236</v>
      </c>
      <c r="C18" s="79">
        <v>804010</v>
      </c>
      <c r="D18" s="79" t="s">
        <v>199</v>
      </c>
      <c r="E18" s="345">
        <v>-112158.98</v>
      </c>
      <c r="F18" s="357"/>
      <c r="G18" s="358"/>
      <c r="H18" s="357"/>
      <c r="I18" s="359"/>
      <c r="J18" s="88"/>
      <c r="K18" s="64"/>
      <c r="L18" s="309">
        <v>15677190</v>
      </c>
      <c r="M18" s="65"/>
      <c r="N18" s="242"/>
      <c r="O18" s="51"/>
      <c r="P18" s="4"/>
      <c r="Q18" s="196"/>
      <c r="R18" s="72"/>
    </row>
    <row r="19" spans="2:18" ht="15.6" customHeight="1">
      <c r="B19" s="283" t="s">
        <v>237</v>
      </c>
      <c r="C19" s="79">
        <v>804017</v>
      </c>
      <c r="D19" s="79" t="s">
        <v>199</v>
      </c>
      <c r="E19" s="345">
        <v>28423.55</v>
      </c>
      <c r="F19" s="357"/>
      <c r="G19" s="358"/>
      <c r="H19" s="357"/>
      <c r="I19" s="359"/>
      <c r="J19" s="88"/>
      <c r="K19" s="51"/>
      <c r="L19" s="231">
        <f>L17-L18</f>
        <v>0</v>
      </c>
      <c r="M19" s="65" t="s">
        <v>41</v>
      </c>
      <c r="N19" s="36"/>
      <c r="O19" s="69"/>
      <c r="P19" s="70"/>
      <c r="Q19" s="4"/>
      <c r="R19" s="72"/>
    </row>
    <row r="20" spans="2:18" ht="15.6" customHeight="1">
      <c r="B20" s="283" t="s">
        <v>238</v>
      </c>
      <c r="C20" s="79">
        <v>804018</v>
      </c>
      <c r="D20" s="79" t="s">
        <v>199</v>
      </c>
      <c r="E20" s="345">
        <v>5291.37</v>
      </c>
      <c r="F20" s="357"/>
      <c r="G20" s="358"/>
      <c r="H20" s="357"/>
      <c r="I20" s="359"/>
      <c r="J20" s="88"/>
      <c r="K20" s="51"/>
      <c r="L20" s="4"/>
      <c r="M20" s="65"/>
      <c r="N20" s="36"/>
      <c r="O20" s="69"/>
      <c r="P20" s="70"/>
      <c r="Q20" s="4"/>
      <c r="R20" s="36"/>
    </row>
    <row r="21" spans="2:18" ht="15.6" customHeight="1">
      <c r="B21" s="283" t="s">
        <v>239</v>
      </c>
      <c r="C21" s="79">
        <v>804600</v>
      </c>
      <c r="D21" s="79" t="s">
        <v>199</v>
      </c>
      <c r="E21" s="345">
        <v>-450045.06</v>
      </c>
      <c r="F21" s="357"/>
      <c r="G21" s="358"/>
      <c r="H21" s="357"/>
      <c r="I21" s="359"/>
      <c r="J21" s="88"/>
      <c r="K21" s="51"/>
      <c r="L21" s="4"/>
      <c r="M21" s="65"/>
      <c r="N21" s="36"/>
      <c r="O21" s="69"/>
      <c r="P21" s="70"/>
      <c r="Q21" s="4"/>
      <c r="R21" s="36"/>
    </row>
    <row r="22" spans="2:18" ht="15.6" customHeight="1">
      <c r="B22" s="283" t="s">
        <v>240</v>
      </c>
      <c r="C22" s="79">
        <v>804730</v>
      </c>
      <c r="D22" s="79" t="s">
        <v>199</v>
      </c>
      <c r="E22" s="345">
        <v>1192250.82</v>
      </c>
      <c r="F22" s="357"/>
      <c r="G22" s="358"/>
      <c r="H22" s="357"/>
      <c r="I22" s="359"/>
      <c r="J22" s="88"/>
      <c r="K22" s="73" t="s">
        <v>54</v>
      </c>
      <c r="L22" s="4"/>
      <c r="M22" s="4"/>
      <c r="N22" s="36"/>
      <c r="O22" s="73" t="s">
        <v>54</v>
      </c>
      <c r="P22" s="68"/>
      <c r="Q22" s="4"/>
      <c r="R22" s="36"/>
    </row>
    <row r="23" spans="2:18" ht="15.6" customHeight="1">
      <c r="B23" s="283" t="s">
        <v>241</v>
      </c>
      <c r="C23" s="79">
        <v>808100</v>
      </c>
      <c r="D23" s="79" t="s">
        <v>199</v>
      </c>
      <c r="E23" s="345">
        <v>303352.07</v>
      </c>
      <c r="F23" s="357"/>
      <c r="G23" s="358"/>
      <c r="H23" s="357"/>
      <c r="I23" s="359"/>
      <c r="J23" s="88"/>
      <c r="K23" s="74" t="s">
        <v>14</v>
      </c>
      <c r="L23" s="279">
        <f>+L10</f>
        <v>8945038</v>
      </c>
      <c r="M23" s="308">
        <v>0.16167000000000001</v>
      </c>
      <c r="N23" s="278">
        <f t="shared" ref="N23:N28" si="3">L23*M23</f>
        <v>1446144.2934600001</v>
      </c>
      <c r="O23" s="74" t="s">
        <v>14</v>
      </c>
      <c r="P23" s="279">
        <f>+P10</f>
        <v>4746418</v>
      </c>
      <c r="Q23" s="308">
        <v>0.16148000000000001</v>
      </c>
      <c r="R23" s="278">
        <f t="shared" ref="R23" si="4">P23*Q23</f>
        <v>766451.57864000008</v>
      </c>
    </row>
    <row r="24" spans="2:18" ht="15.6" customHeight="1">
      <c r="B24" s="283" t="s">
        <v>242</v>
      </c>
      <c r="C24" s="79">
        <v>808200</v>
      </c>
      <c r="D24" s="79" t="s">
        <v>199</v>
      </c>
      <c r="E24" s="345">
        <v>-2205088.98</v>
      </c>
      <c r="F24" s="357"/>
      <c r="G24" s="358"/>
      <c r="H24" s="357"/>
      <c r="I24" s="359"/>
      <c r="J24" s="88"/>
      <c r="K24" s="74" t="s">
        <v>93</v>
      </c>
      <c r="L24" s="279">
        <f t="shared" ref="L24:L28" si="5">+L11</f>
        <v>17127</v>
      </c>
      <c r="M24" s="308">
        <v>0.16167000000000001</v>
      </c>
      <c r="N24" s="278">
        <f t="shared" si="3"/>
        <v>2768.92209</v>
      </c>
      <c r="O24" s="74" t="s">
        <v>15</v>
      </c>
      <c r="P24" s="279">
        <f t="shared" ref="P24:P27" si="6">+P11</f>
        <v>1826242</v>
      </c>
      <c r="Q24" s="308">
        <v>0.16148000000000001</v>
      </c>
      <c r="R24" s="278">
        <f>P24*Q24</f>
        <v>294901.55816000002</v>
      </c>
    </row>
    <row r="25" spans="2:18" ht="15.6" customHeight="1">
      <c r="B25" s="283" t="s">
        <v>243</v>
      </c>
      <c r="C25" s="79">
        <v>811000</v>
      </c>
      <c r="D25" s="79" t="s">
        <v>199</v>
      </c>
      <c r="E25" s="345">
        <v>-64920.04</v>
      </c>
      <c r="F25" s="357"/>
      <c r="G25" s="358"/>
      <c r="H25" s="357"/>
      <c r="I25" s="359"/>
      <c r="J25" s="88"/>
      <c r="K25" s="74" t="s">
        <v>15</v>
      </c>
      <c r="L25" s="279">
        <f t="shared" si="5"/>
        <v>3971924</v>
      </c>
      <c r="M25" s="308">
        <v>0.16167000000000001</v>
      </c>
      <c r="N25" s="278">
        <f t="shared" si="3"/>
        <v>642140.95308000001</v>
      </c>
      <c r="O25" s="74" t="s">
        <v>16</v>
      </c>
      <c r="P25" s="279">
        <f t="shared" si="6"/>
        <v>9636</v>
      </c>
      <c r="Q25" s="308">
        <v>0.16148000000000001</v>
      </c>
      <c r="R25" s="278">
        <f t="shared" ref="R25:R27" si="7">P25*Q25</f>
        <v>1556.0212800000002</v>
      </c>
    </row>
    <row r="26" spans="2:18" ht="15.6" customHeight="1">
      <c r="B26" s="283" t="s">
        <v>244</v>
      </c>
      <c r="C26" s="79">
        <v>483000</v>
      </c>
      <c r="D26" s="79" t="s">
        <v>199</v>
      </c>
      <c r="E26" s="345">
        <v>-1751023.06</v>
      </c>
      <c r="F26" s="360"/>
      <c r="G26" s="358"/>
      <c r="H26" s="357"/>
      <c r="I26" s="359"/>
      <c r="J26" s="88"/>
      <c r="K26" s="74" t="s">
        <v>16</v>
      </c>
      <c r="L26" s="279">
        <f t="shared" si="5"/>
        <v>81963</v>
      </c>
      <c r="M26" s="308">
        <v>0.16167000000000001</v>
      </c>
      <c r="N26" s="278">
        <f t="shared" si="3"/>
        <v>13250.958210000001</v>
      </c>
      <c r="O26" s="74" t="s">
        <v>17</v>
      </c>
      <c r="P26" s="279">
        <f t="shared" si="6"/>
        <v>0</v>
      </c>
      <c r="Q26" s="308">
        <v>0.16148000000000001</v>
      </c>
      <c r="R26" s="278">
        <f t="shared" si="7"/>
        <v>0</v>
      </c>
    </row>
    <row r="27" spans="2:18" ht="15.6" customHeight="1">
      <c r="B27" s="283" t="s">
        <v>245</v>
      </c>
      <c r="C27" s="79">
        <v>483600</v>
      </c>
      <c r="D27" s="79" t="s">
        <v>199</v>
      </c>
      <c r="E27" s="345">
        <v>182925</v>
      </c>
      <c r="F27" s="357"/>
      <c r="G27" s="358"/>
      <c r="H27" s="357"/>
      <c r="I27" s="359"/>
      <c r="J27" s="88"/>
      <c r="K27" s="74" t="s">
        <v>17</v>
      </c>
      <c r="L27" s="279">
        <f t="shared" si="5"/>
        <v>0</v>
      </c>
      <c r="M27" s="308">
        <v>0.16167000000000001</v>
      </c>
      <c r="N27" s="278">
        <f t="shared" si="3"/>
        <v>0</v>
      </c>
      <c r="O27" s="74" t="s">
        <v>18</v>
      </c>
      <c r="P27" s="279">
        <f t="shared" si="6"/>
        <v>0</v>
      </c>
      <c r="Q27" s="308">
        <v>0.16148000000000001</v>
      </c>
      <c r="R27" s="278">
        <f t="shared" si="7"/>
        <v>0</v>
      </c>
    </row>
    <row r="28" spans="2:18" ht="15.6" customHeight="1" thickBot="1">
      <c r="B28" s="283" t="s">
        <v>246</v>
      </c>
      <c r="C28" s="79">
        <v>483730</v>
      </c>
      <c r="D28" s="79" t="s">
        <v>199</v>
      </c>
      <c r="E28" s="345">
        <v>-2549327.2799999998</v>
      </c>
      <c r="F28" s="357"/>
      <c r="G28" s="358"/>
      <c r="H28" s="357"/>
      <c r="I28" s="359"/>
      <c r="J28" s="88"/>
      <c r="K28" s="74" t="s">
        <v>18</v>
      </c>
      <c r="L28" s="279">
        <f t="shared" si="5"/>
        <v>86985</v>
      </c>
      <c r="M28" s="308">
        <v>0.16167000000000001</v>
      </c>
      <c r="N28" s="278">
        <f t="shared" si="3"/>
        <v>14062.864950000001</v>
      </c>
      <c r="O28" s="73" t="s">
        <v>58</v>
      </c>
      <c r="P28" s="240">
        <f>SUM(P23:P27)</f>
        <v>6582296</v>
      </c>
      <c r="Q28" s="241"/>
      <c r="R28" s="71">
        <f>SUM(R23:R27)</f>
        <v>1062909.15808</v>
      </c>
    </row>
    <row r="29" spans="2:18" ht="15.6" customHeight="1" thickTop="1" thickBot="1">
      <c r="B29" s="283" t="s">
        <v>247</v>
      </c>
      <c r="C29" s="79">
        <v>495028</v>
      </c>
      <c r="D29" s="79" t="s">
        <v>199</v>
      </c>
      <c r="E29" s="345">
        <v>-468750</v>
      </c>
      <c r="F29" s="357"/>
      <c r="G29" s="358"/>
      <c r="H29" s="357"/>
      <c r="I29" s="359"/>
      <c r="J29" s="88"/>
      <c r="K29" s="73" t="s">
        <v>58</v>
      </c>
      <c r="L29" s="240">
        <f>SUM(L23:L28)</f>
        <v>13103037</v>
      </c>
      <c r="M29" s="241"/>
      <c r="N29" s="250">
        <f>SUM(N23:N28)</f>
        <v>2118367.9917899999</v>
      </c>
      <c r="O29" s="73"/>
      <c r="P29" s="309">
        <v>6582296</v>
      </c>
      <c r="Q29" s="65"/>
      <c r="R29" s="247"/>
    </row>
    <row r="30" spans="2:18" ht="15.6" customHeight="1" thickTop="1">
      <c r="B30" s="283" t="s">
        <v>197</v>
      </c>
      <c r="C30" s="79">
        <v>495100</v>
      </c>
      <c r="D30" s="79" t="s">
        <v>199</v>
      </c>
      <c r="E30" s="345">
        <v>0</v>
      </c>
      <c r="F30" s="361"/>
      <c r="G30" s="362"/>
      <c r="H30" s="361"/>
      <c r="I30" s="363"/>
      <c r="J30" s="88"/>
      <c r="K30" s="64"/>
      <c r="L30" s="309">
        <v>13103037</v>
      </c>
      <c r="M30" s="65"/>
      <c r="N30" s="251"/>
      <c r="O30" s="73"/>
      <c r="P30" s="231">
        <f>P28-P29</f>
        <v>0</v>
      </c>
      <c r="Q30" s="65" t="s">
        <v>41</v>
      </c>
      <c r="R30" s="72"/>
    </row>
    <row r="31" spans="2:18" ht="15.6" customHeight="1" thickBot="1">
      <c r="B31" s="301" t="s">
        <v>47</v>
      </c>
      <c r="C31" s="79"/>
      <c r="D31" s="79"/>
      <c r="E31" s="347">
        <f>-E13</f>
        <v>22092.66</v>
      </c>
      <c r="F31" s="357"/>
      <c r="G31" s="358"/>
      <c r="H31" s="357"/>
      <c r="I31" s="359"/>
      <c r="J31" s="88"/>
      <c r="K31" s="66"/>
      <c r="L31" s="248">
        <f>L29-L30</f>
        <v>0</v>
      </c>
      <c r="M31" s="67" t="s">
        <v>41</v>
      </c>
      <c r="N31" s="249"/>
      <c r="O31" s="252"/>
      <c r="P31" s="253"/>
      <c r="Q31" s="254"/>
      <c r="R31" s="255"/>
    </row>
    <row r="32" spans="2:18" ht="15.6" customHeight="1" thickBot="1">
      <c r="B32" s="297" t="s">
        <v>48</v>
      </c>
      <c r="C32" s="4"/>
      <c r="D32" s="4"/>
      <c r="E32" s="346">
        <f>SUM(E17:E31)</f>
        <v>3585225.9500000007</v>
      </c>
      <c r="F32" s="364"/>
      <c r="G32" s="337">
        <f>E32*G8</f>
        <v>2386326.3923200001</v>
      </c>
      <c r="H32" s="228"/>
      <c r="I32" s="327">
        <f>E32*I8</f>
        <v>1198899.5576800003</v>
      </c>
      <c r="J32" s="88"/>
    </row>
    <row r="33" spans="1:17" ht="15.6" customHeight="1">
      <c r="B33" s="283" t="s">
        <v>194</v>
      </c>
      <c r="C33" s="79">
        <v>495100</v>
      </c>
      <c r="D33" s="4" t="s">
        <v>204</v>
      </c>
      <c r="E33" s="345">
        <v>0</v>
      </c>
      <c r="F33" s="361"/>
      <c r="G33" s="337">
        <f>E33</f>
        <v>0</v>
      </c>
      <c r="H33" s="228"/>
      <c r="I33" s="327"/>
      <c r="J33" s="88"/>
      <c r="K33" s="311" t="s">
        <v>32</v>
      </c>
      <c r="L33" s="7" t="s">
        <v>12</v>
      </c>
      <c r="M33" s="7" t="s">
        <v>12</v>
      </c>
      <c r="N33" s="7" t="s">
        <v>22</v>
      </c>
      <c r="O33" s="7" t="s">
        <v>22</v>
      </c>
      <c r="P33" s="312"/>
      <c r="Q33" s="2"/>
    </row>
    <row r="34" spans="1:17" ht="15.6" customHeight="1" thickBot="1">
      <c r="B34" s="302" t="s">
        <v>172</v>
      </c>
      <c r="C34" s="79">
        <v>495100</v>
      </c>
      <c r="D34" s="4" t="s">
        <v>205</v>
      </c>
      <c r="E34" s="345">
        <v>0</v>
      </c>
      <c r="F34" s="361"/>
      <c r="G34" s="337"/>
      <c r="H34" s="228"/>
      <c r="I34" s="327">
        <f>E34</f>
        <v>0</v>
      </c>
      <c r="J34" s="88"/>
      <c r="K34" s="295"/>
      <c r="L34" s="46" t="s">
        <v>2</v>
      </c>
      <c r="M34" s="46" t="s">
        <v>1</v>
      </c>
      <c r="N34" s="46" t="s">
        <v>2</v>
      </c>
      <c r="O34" s="46" t="s">
        <v>1</v>
      </c>
      <c r="P34" s="322" t="s">
        <v>212</v>
      </c>
      <c r="Q34" s="2"/>
    </row>
    <row r="35" spans="1:17" ht="15.6" customHeight="1">
      <c r="B35" s="64" t="s">
        <v>206</v>
      </c>
      <c r="C35" s="79">
        <v>804000</v>
      </c>
      <c r="D35" s="4" t="s">
        <v>204</v>
      </c>
      <c r="E35" s="345">
        <v>-99041.94</v>
      </c>
      <c r="F35" s="357"/>
      <c r="G35" s="337">
        <f>E35</f>
        <v>-99041.94</v>
      </c>
      <c r="H35" s="228"/>
      <c r="I35" s="327"/>
      <c r="J35" s="88"/>
      <c r="K35" s="51" t="s">
        <v>214</v>
      </c>
      <c r="L35" s="230">
        <f>$F$39</f>
        <v>1525554.5408740002</v>
      </c>
      <c r="M35" s="230">
        <f>G39</f>
        <v>2287284.4523200002</v>
      </c>
      <c r="N35" s="230">
        <f>$H$39</f>
        <v>691498.99912599998</v>
      </c>
      <c r="O35" s="230">
        <f>I39</f>
        <v>1151511.6776800004</v>
      </c>
      <c r="P35" s="321">
        <f>SUM(L35:O35)-E39</f>
        <v>0</v>
      </c>
      <c r="Q35" s="2"/>
    </row>
    <row r="36" spans="1:17" ht="15.6" customHeight="1" thickBot="1">
      <c r="B36" s="64" t="s">
        <v>207</v>
      </c>
      <c r="C36" s="79">
        <v>804000</v>
      </c>
      <c r="D36" s="4" t="s">
        <v>205</v>
      </c>
      <c r="E36" s="345">
        <v>-47387.88</v>
      </c>
      <c r="F36" s="357"/>
      <c r="G36" s="337"/>
      <c r="H36" s="228"/>
      <c r="I36" s="327">
        <f>E36</f>
        <v>-47387.88</v>
      </c>
      <c r="J36" s="88"/>
      <c r="K36" s="51" t="s">
        <v>217</v>
      </c>
      <c r="L36" s="310">
        <f>-$N$17</f>
        <v>-1244720.7593699999</v>
      </c>
      <c r="M36" s="310">
        <f>-N29</f>
        <v>-2118367.9917899999</v>
      </c>
      <c r="N36" s="310">
        <f>-$R$15</f>
        <v>-589247.13791999989</v>
      </c>
      <c r="O36" s="310">
        <f>-R28</f>
        <v>-1062909.15808</v>
      </c>
      <c r="P36" s="321">
        <f>SUM(L36:O36)+N17+N29+R15+R28</f>
        <v>0</v>
      </c>
      <c r="Q36" s="2"/>
    </row>
    <row r="37" spans="1:17" ht="15.6" customHeight="1" thickBot="1">
      <c r="B37" s="297" t="s">
        <v>220</v>
      </c>
      <c r="C37" s="79"/>
      <c r="D37" s="4"/>
      <c r="E37" s="346">
        <f>SUM(E32:E36)</f>
        <v>3438796.1300000008</v>
      </c>
      <c r="F37" s="338"/>
      <c r="G37" s="340"/>
      <c r="H37" s="338"/>
      <c r="I37" s="300"/>
      <c r="J37" s="88"/>
      <c r="K37" s="297" t="s">
        <v>215</v>
      </c>
      <c r="L37" s="245">
        <f t="shared" ref="L37:O37" si="8">SUM(L35:L36)</f>
        <v>280833.7815040003</v>
      </c>
      <c r="M37" s="245">
        <f>SUM(M35:M36)</f>
        <v>168916.46053000027</v>
      </c>
      <c r="N37" s="245">
        <f t="shared" si="8"/>
        <v>102251.86120600009</v>
      </c>
      <c r="O37" s="245">
        <f t="shared" si="8"/>
        <v>88602.519600000465</v>
      </c>
      <c r="P37" s="313"/>
      <c r="Q37" s="2"/>
    </row>
    <row r="38" spans="1:17" ht="15.6" customHeight="1" thickBot="1">
      <c r="B38" s="51"/>
      <c r="C38" s="29"/>
      <c r="D38" s="29"/>
      <c r="E38" s="350"/>
      <c r="F38" s="341"/>
      <c r="G38" s="342"/>
      <c r="H38" s="341"/>
      <c r="I38" s="303"/>
      <c r="J38" s="88"/>
      <c r="K38" s="314"/>
      <c r="L38" s="263"/>
      <c r="M38" s="9"/>
      <c r="N38" s="2"/>
      <c r="O38" s="318"/>
      <c r="P38" s="315"/>
      <c r="Q38" s="2"/>
    </row>
    <row r="39" spans="1:17" ht="15.6" customHeight="1" thickBot="1">
      <c r="B39" s="304" t="s">
        <v>211</v>
      </c>
      <c r="C39" s="305"/>
      <c r="D39" s="305"/>
      <c r="E39" s="346">
        <f>E37+E14</f>
        <v>5655849.6700000009</v>
      </c>
      <c r="F39" s="352">
        <f>SUM(F14:F37)</f>
        <v>1525554.5408740002</v>
      </c>
      <c r="G39" s="353">
        <f t="shared" ref="G39:I39" si="9">SUM(G14:G37)</f>
        <v>2287284.4523200002</v>
      </c>
      <c r="H39" s="352">
        <f t="shared" si="9"/>
        <v>691498.99912599998</v>
      </c>
      <c r="I39" s="306">
        <f t="shared" si="9"/>
        <v>1151511.6776800004</v>
      </c>
      <c r="J39" s="88"/>
      <c r="K39" s="316"/>
      <c r="L39" s="319" t="s">
        <v>76</v>
      </c>
      <c r="M39" s="317">
        <f>SUM(L37:M37)</f>
        <v>449750.24203400058</v>
      </c>
      <c r="N39" s="320" t="s">
        <v>77</v>
      </c>
      <c r="O39" s="317">
        <f>SUM(N37:O37)</f>
        <v>190854.38080600055</v>
      </c>
      <c r="P39" s="83"/>
      <c r="Q39" s="2"/>
    </row>
    <row r="40" spans="1:17" ht="15.6" customHeight="1">
      <c r="B40" s="88"/>
      <c r="C40" s="30"/>
      <c r="D40" s="30"/>
      <c r="E40" s="194"/>
      <c r="F40" s="194"/>
      <c r="G40" s="194"/>
      <c r="H40" s="194"/>
      <c r="I40" s="194"/>
      <c r="J40" s="88"/>
      <c r="M40" s="81"/>
      <c r="Q40" s="2"/>
    </row>
    <row r="41" spans="1:17" ht="15.6" customHeight="1">
      <c r="A41" s="88"/>
      <c r="B41" s="370" t="s">
        <v>223</v>
      </c>
      <c r="C41" s="369"/>
      <c r="D41" s="31" t="s">
        <v>222</v>
      </c>
      <c r="E41" s="287">
        <v>5655849.6699999999</v>
      </c>
      <c r="F41" s="194"/>
      <c r="G41" s="194"/>
      <c r="H41" s="194"/>
      <c r="I41" s="194"/>
      <c r="J41" s="88"/>
      <c r="P41" s="3"/>
    </row>
    <row r="42" spans="1:17" ht="15.6" customHeight="1">
      <c r="B42" s="291"/>
      <c r="C42" s="291"/>
      <c r="D42" s="31" t="s">
        <v>71</v>
      </c>
      <c r="E42" s="228">
        <f>ROUND(E39-E41,2)</f>
        <v>0</v>
      </c>
      <c r="F42" s="326"/>
      <c r="G42" s="326"/>
      <c r="H42" s="326"/>
      <c r="I42" s="326"/>
    </row>
    <row r="43" spans="1:17" ht="15.6" customHeight="1">
      <c r="B43" s="291"/>
      <c r="C43" s="291"/>
      <c r="E43" s="260"/>
      <c r="F43" s="326"/>
      <c r="G43" s="326"/>
      <c r="H43" s="326"/>
      <c r="I43" s="326"/>
    </row>
    <row r="44" spans="1:17" ht="15.6" customHeight="1" thickBot="1">
      <c r="B44" s="291"/>
      <c r="C44" s="291"/>
      <c r="E44" s="260"/>
      <c r="F44" s="326"/>
      <c r="G44" s="326"/>
      <c r="H44" s="326"/>
      <c r="I44" s="326"/>
    </row>
    <row r="45" spans="1:17" ht="15.6" customHeight="1" thickBot="1">
      <c r="B45" s="291"/>
      <c r="C45" s="291"/>
      <c r="E45" s="385" t="s">
        <v>213</v>
      </c>
      <c r="F45" s="386"/>
      <c r="G45" s="326"/>
      <c r="H45" s="326"/>
      <c r="I45" s="326"/>
    </row>
    <row r="46" spans="1:17" ht="15.6" customHeight="1">
      <c r="B46" s="291"/>
      <c r="C46" s="291"/>
      <c r="E46" s="283" t="s">
        <v>78</v>
      </c>
      <c r="F46" s="324" t="s">
        <v>79</v>
      </c>
      <c r="G46" s="326"/>
      <c r="H46" s="326"/>
      <c r="I46" s="326"/>
    </row>
    <row r="47" spans="1:17" ht="15.75" thickBot="1">
      <c r="E47" s="325" t="e">
        <f>SUM('191010 WA DEF'!E36:E45)+SUM('191000 WA Amort'!H36:H45)+SUM(#REF!)+SUM(#REF!)</f>
        <v>#REF!</v>
      </c>
      <c r="F47" s="323" t="e">
        <f>-E47</f>
        <v>#REF!</v>
      </c>
    </row>
    <row r="48" spans="1:17">
      <c r="E48" s="373"/>
      <c r="F48" s="373"/>
    </row>
    <row r="49" spans="4:5">
      <c r="D49" s="8" t="s">
        <v>224</v>
      </c>
      <c r="E49" s="87">
        <f>0.38+0.06+239.39+0.07+110.39</f>
        <v>350.28999999999996</v>
      </c>
    </row>
    <row r="50" spans="4:5">
      <c r="D50" s="8" t="s">
        <v>225</v>
      </c>
      <c r="E50" s="374" t="e">
        <f>E47+E49-0.01</f>
        <v>#REF!</v>
      </c>
    </row>
    <row r="51" spans="4:5">
      <c r="E51" s="87"/>
    </row>
    <row r="52" spans="4:5">
      <c r="E52" s="87"/>
    </row>
    <row r="53" spans="4:5">
      <c r="E53" s="87"/>
    </row>
    <row r="54" spans="4:5">
      <c r="E54" s="87"/>
    </row>
    <row r="55" spans="4:5">
      <c r="E55" s="87"/>
    </row>
    <row r="56" spans="4:5">
      <c r="E56" s="87"/>
    </row>
    <row r="57" spans="4:5">
      <c r="E57" s="87"/>
    </row>
    <row r="58" spans="4:5">
      <c r="E58" s="87"/>
    </row>
    <row r="59" spans="4:5">
      <c r="E59" s="87"/>
    </row>
    <row r="60" spans="4:5">
      <c r="E60" s="87"/>
    </row>
    <row r="61" spans="4:5">
      <c r="E61" s="87"/>
    </row>
    <row r="62" spans="4:5">
      <c r="E62" s="87"/>
    </row>
    <row r="63" spans="4:5">
      <c r="E63" s="87"/>
    </row>
    <row r="64" spans="4:5">
      <c r="E64" s="87"/>
    </row>
    <row r="65" spans="5:5">
      <c r="E65" s="87"/>
    </row>
    <row r="1390" spans="4:4">
      <c r="D1390" s="87">
        <v>-2130</v>
      </c>
    </row>
    <row r="1398" spans="4:4">
      <c r="D1398" s="87">
        <f>7004298-2130</f>
        <v>7002168</v>
      </c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61" priority="29" operator="equal">
      <formula>"ERROR"</formula>
    </cfRule>
  </conditionalFormatting>
  <conditionalFormatting sqref="D43:D46">
    <cfRule type="cellIs" dxfId="160" priority="28" operator="equal">
      <formula>"ERROR"</formula>
    </cfRule>
  </conditionalFormatting>
  <conditionalFormatting sqref="P31">
    <cfRule type="cellIs" dxfId="159" priority="25" operator="notEqual">
      <formula>0</formula>
    </cfRule>
  </conditionalFormatting>
  <conditionalFormatting sqref="L19">
    <cfRule type="cellIs" dxfId="158" priority="23" stopIfTrue="1" operator="equal">
      <formula>0</formula>
    </cfRule>
    <cfRule type="cellIs" dxfId="157" priority="24" stopIfTrue="1" operator="notEqual">
      <formula>0</formula>
    </cfRule>
  </conditionalFormatting>
  <conditionalFormatting sqref="L19">
    <cfRule type="cellIs" dxfId="156" priority="21" stopIfTrue="1" operator="equal">
      <formula>0</formula>
    </cfRule>
    <cfRule type="cellIs" dxfId="155" priority="22" stopIfTrue="1" operator="notEqual">
      <formula>0</formula>
    </cfRule>
  </conditionalFormatting>
  <conditionalFormatting sqref="L31">
    <cfRule type="cellIs" dxfId="154" priority="19" stopIfTrue="1" operator="equal">
      <formula>0</formula>
    </cfRule>
    <cfRule type="cellIs" dxfId="153" priority="20" stopIfTrue="1" operator="notEqual">
      <formula>0</formula>
    </cfRule>
  </conditionalFormatting>
  <conditionalFormatting sqref="L31">
    <cfRule type="cellIs" dxfId="152" priority="17" stopIfTrue="1" operator="equal">
      <formula>0</formula>
    </cfRule>
    <cfRule type="cellIs" dxfId="151" priority="18" stopIfTrue="1" operator="notEqual">
      <formula>0</formula>
    </cfRule>
  </conditionalFormatting>
  <conditionalFormatting sqref="P17">
    <cfRule type="cellIs" dxfId="150" priority="15" stopIfTrue="1" operator="equal">
      <formula>0</formula>
    </cfRule>
    <cfRule type="cellIs" dxfId="149" priority="16" stopIfTrue="1" operator="notEqual">
      <formula>0</formula>
    </cfRule>
  </conditionalFormatting>
  <conditionalFormatting sqref="P17">
    <cfRule type="cellIs" dxfId="148" priority="13" stopIfTrue="1" operator="equal">
      <formula>0</formula>
    </cfRule>
    <cfRule type="cellIs" dxfId="147" priority="14" stopIfTrue="1" operator="notEqual">
      <formula>0</formula>
    </cfRule>
  </conditionalFormatting>
  <conditionalFormatting sqref="P30">
    <cfRule type="cellIs" dxfId="146" priority="11" stopIfTrue="1" operator="equal">
      <formula>0</formula>
    </cfRule>
    <cfRule type="cellIs" dxfId="145" priority="12" stopIfTrue="1" operator="notEqual">
      <formula>0</formula>
    </cfRule>
  </conditionalFormatting>
  <conditionalFormatting sqref="P30">
    <cfRule type="cellIs" dxfId="144" priority="9" stopIfTrue="1" operator="equal">
      <formula>0</formula>
    </cfRule>
    <cfRule type="cellIs" dxfId="143" priority="10" stopIfTrue="1" operator="notEqual">
      <formula>0</formula>
    </cfRule>
  </conditionalFormatting>
  <conditionalFormatting sqref="P35:P36">
    <cfRule type="cellIs" dxfId="142" priority="7" stopIfTrue="1" operator="equal">
      <formula>0</formula>
    </cfRule>
    <cfRule type="cellIs" dxfId="141" priority="8" stopIfTrue="1" operator="notEqual">
      <formula>0</formula>
    </cfRule>
  </conditionalFormatting>
  <conditionalFormatting sqref="P35:P36">
    <cfRule type="cellIs" dxfId="140" priority="5" stopIfTrue="1" operator="equal">
      <formula>0</formula>
    </cfRule>
    <cfRule type="cellIs" dxfId="139" priority="6" stopIfTrue="1" operator="notEqual">
      <formula>0</formula>
    </cfRule>
  </conditionalFormatting>
  <conditionalFormatting sqref="E42">
    <cfRule type="cellIs" dxfId="138" priority="3" stopIfTrue="1" operator="equal">
      <formula>0</formula>
    </cfRule>
    <cfRule type="cellIs" dxfId="137" priority="4" stopIfTrue="1" operator="notEqual">
      <formula>0</formula>
    </cfRule>
  </conditionalFormatting>
  <conditionalFormatting sqref="E42">
    <cfRule type="cellIs" dxfId="136" priority="1" stopIfTrue="1" operator="equal">
      <formula>0</formula>
    </cfRule>
    <cfRule type="cellIs" dxfId="135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5CC77-255C-4E7C-9FCC-FD26536D6B20}">
  <sheetPr>
    <pageSetUpPr fitToPage="1"/>
  </sheetPr>
  <dimension ref="A1:T1396"/>
  <sheetViews>
    <sheetView zoomScale="60" zoomScaleNormal="60" workbookViewId="0">
      <selection activeCell="I25" sqref="I25"/>
    </sheetView>
  </sheetViews>
  <sheetFormatPr defaultColWidth="16" defaultRowHeight="15"/>
  <cols>
    <col min="1" max="1" width="2.85546875" style="87" customWidth="1"/>
    <col min="2" max="2" width="48.7109375" style="87" bestFit="1" customWidth="1"/>
    <col min="3" max="3" width="11.5703125" style="87" customWidth="1"/>
    <col min="4" max="4" width="10.7109375" style="87" customWidth="1"/>
    <col min="5" max="5" width="18.7109375" style="15" bestFit="1" customWidth="1"/>
    <col min="6" max="6" width="17.5703125" style="88" customWidth="1"/>
    <col min="7" max="7" width="18.5703125" style="88" bestFit="1" customWidth="1"/>
    <col min="8" max="9" width="17.5703125" style="88" customWidth="1"/>
    <col min="10" max="10" width="4.85546875" style="87" bestFit="1" customWidth="1"/>
    <col min="11" max="11" width="22.28515625" style="87" bestFit="1" customWidth="1"/>
    <col min="12" max="18" width="18.140625" style="87" customWidth="1"/>
    <col min="19" max="19" width="5.140625" style="87" customWidth="1"/>
    <col min="20" max="20" width="41.5703125" style="87" bestFit="1" customWidth="1"/>
    <col min="21" max="16384" width="16" style="87"/>
  </cols>
  <sheetData>
    <row r="1" spans="2:20" ht="15.6" customHeight="1">
      <c r="B1" s="285" t="s">
        <v>218</v>
      </c>
      <c r="C1" s="286">
        <v>202105</v>
      </c>
      <c r="D1" s="284"/>
      <c r="E1" s="204"/>
      <c r="F1" s="204"/>
      <c r="G1" s="204"/>
      <c r="H1" s="204"/>
      <c r="I1" s="204"/>
      <c r="K1" s="280" t="s">
        <v>200</v>
      </c>
      <c r="L1" s="288" t="s">
        <v>201</v>
      </c>
      <c r="N1" s="390"/>
      <c r="O1" s="390"/>
      <c r="T1" s="375" t="s">
        <v>226</v>
      </c>
    </row>
    <row r="2" spans="2:20" ht="15.6" customHeight="1">
      <c r="D2" s="204"/>
      <c r="E2" s="204"/>
      <c r="F2" s="204"/>
      <c r="G2" s="204"/>
      <c r="H2" s="204"/>
      <c r="I2" s="204"/>
      <c r="K2" s="281"/>
      <c r="L2" s="282" t="s">
        <v>202</v>
      </c>
      <c r="N2" s="372"/>
      <c r="O2" s="372"/>
      <c r="T2" s="376" t="s">
        <v>227</v>
      </c>
    </row>
    <row r="3" spans="2:20" ht="15.6" customHeight="1">
      <c r="D3" s="204"/>
      <c r="E3" s="204"/>
      <c r="F3" s="204"/>
      <c r="G3" s="204"/>
      <c r="H3" s="204"/>
      <c r="I3" s="204"/>
      <c r="K3" s="281"/>
      <c r="L3" s="289"/>
      <c r="N3" s="373"/>
      <c r="O3" s="373"/>
      <c r="T3" s="376" t="s">
        <v>228</v>
      </c>
    </row>
    <row r="4" spans="2:20" ht="15.6" customHeight="1" thickBot="1">
      <c r="D4" s="204"/>
      <c r="E4" s="204"/>
      <c r="F4" s="204"/>
      <c r="G4" s="204"/>
      <c r="H4" s="204"/>
      <c r="I4" s="204"/>
      <c r="K4" s="281"/>
      <c r="L4" s="289"/>
      <c r="T4" s="376" t="s">
        <v>229</v>
      </c>
    </row>
    <row r="5" spans="2:20" ht="15.6" customHeight="1" thickBot="1">
      <c r="B5" s="294"/>
      <c r="C5" s="50"/>
      <c r="D5" s="50"/>
      <c r="E5" s="351" t="s">
        <v>28</v>
      </c>
      <c r="F5" s="387" t="s">
        <v>59</v>
      </c>
      <c r="G5" s="388"/>
      <c r="H5" s="387" t="s">
        <v>60</v>
      </c>
      <c r="I5" s="389"/>
      <c r="J5" s="88"/>
      <c r="K5" s="382" t="s">
        <v>59</v>
      </c>
      <c r="L5" s="383"/>
      <c r="M5" s="383"/>
      <c r="N5" s="384"/>
      <c r="O5" s="382" t="s">
        <v>60</v>
      </c>
      <c r="P5" s="383"/>
      <c r="Q5" s="383"/>
      <c r="R5" s="384"/>
      <c r="T5" s="376" t="s">
        <v>230</v>
      </c>
    </row>
    <row r="6" spans="2:20" ht="15.6" customHeight="1" thickBot="1">
      <c r="B6" s="295" t="s">
        <v>31</v>
      </c>
      <c r="C6" s="4"/>
      <c r="D6" s="4"/>
      <c r="E6" s="343" t="s">
        <v>216</v>
      </c>
      <c r="F6" s="330" t="s">
        <v>2</v>
      </c>
      <c r="G6" s="331" t="s">
        <v>1</v>
      </c>
      <c r="H6" s="330" t="s">
        <v>2</v>
      </c>
      <c r="I6" s="329" t="s">
        <v>1</v>
      </c>
      <c r="J6" s="88"/>
      <c r="K6" s="211" t="s">
        <v>42</v>
      </c>
      <c r="L6" s="205" t="s">
        <v>10</v>
      </c>
      <c r="M6" s="205" t="s">
        <v>10</v>
      </c>
      <c r="N6" s="205" t="s">
        <v>10</v>
      </c>
      <c r="O6" s="211" t="s">
        <v>42</v>
      </c>
      <c r="P6" s="205" t="s">
        <v>10</v>
      </c>
      <c r="Q6" s="205" t="s">
        <v>10</v>
      </c>
      <c r="R6" s="274" t="s">
        <v>10</v>
      </c>
      <c r="T6" s="376" t="s">
        <v>231</v>
      </c>
    </row>
    <row r="7" spans="2:20" ht="15.6" customHeight="1" thickBot="1">
      <c r="B7" s="51"/>
      <c r="C7" s="4"/>
      <c r="D7" s="4"/>
      <c r="E7" s="344"/>
      <c r="F7" s="332"/>
      <c r="G7" s="333"/>
      <c r="H7" s="332"/>
      <c r="I7" s="36"/>
      <c r="J7" s="88"/>
      <c r="K7" s="212" t="s">
        <v>72</v>
      </c>
      <c r="L7" s="207" t="s">
        <v>40</v>
      </c>
      <c r="M7" s="207" t="s">
        <v>13</v>
      </c>
      <c r="N7" s="207" t="s">
        <v>11</v>
      </c>
      <c r="O7" s="212" t="s">
        <v>72</v>
      </c>
      <c r="P7" s="207" t="s">
        <v>40</v>
      </c>
      <c r="Q7" s="207" t="s">
        <v>13</v>
      </c>
      <c r="R7" s="207" t="s">
        <v>11</v>
      </c>
      <c r="T7" s="376" t="s">
        <v>232</v>
      </c>
    </row>
    <row r="8" spans="2:20" ht="15.6" customHeight="1">
      <c r="B8" s="51"/>
      <c r="C8" s="4"/>
      <c r="D8" s="4"/>
      <c r="E8" s="365">
        <f>F8+H8</f>
        <v>1</v>
      </c>
      <c r="F8" s="334">
        <v>0.68810000000000004</v>
      </c>
      <c r="G8" s="335">
        <f>ROUND($L$29/($L$29+$P$28),4)</f>
        <v>0.64549999999999996</v>
      </c>
      <c r="H8" s="334">
        <v>0.31190000000000001</v>
      </c>
      <c r="I8" s="296">
        <f>1-G8</f>
        <v>0.35450000000000004</v>
      </c>
      <c r="J8" s="366"/>
      <c r="K8" s="51"/>
      <c r="L8" s="273"/>
      <c r="M8" s="273"/>
      <c r="N8" s="274"/>
      <c r="O8" s="213"/>
      <c r="P8" s="214"/>
      <c r="Q8" s="214"/>
      <c r="R8" s="76"/>
      <c r="T8" s="376" t="s">
        <v>233</v>
      </c>
    </row>
    <row r="9" spans="2:20" ht="15.6" customHeight="1">
      <c r="B9" s="51"/>
      <c r="C9" s="4"/>
      <c r="D9" s="4"/>
      <c r="E9" s="344"/>
      <c r="F9" s="332"/>
      <c r="G9" s="333"/>
      <c r="H9" s="332"/>
      <c r="I9" s="36"/>
      <c r="J9" s="88"/>
      <c r="K9" s="73" t="s">
        <v>52</v>
      </c>
      <c r="L9" s="4"/>
      <c r="M9" s="4"/>
      <c r="N9" s="36"/>
      <c r="O9" s="73" t="s">
        <v>52</v>
      </c>
      <c r="P9" s="4"/>
      <c r="Q9" s="4"/>
      <c r="R9" s="36"/>
    </row>
    <row r="10" spans="2:20" ht="15.6" customHeight="1">
      <c r="B10" s="283" t="s">
        <v>248</v>
      </c>
      <c r="C10" s="79">
        <v>804001</v>
      </c>
      <c r="D10" s="79" t="s">
        <v>199</v>
      </c>
      <c r="E10" s="345">
        <v>2239771.7999999998</v>
      </c>
      <c r="F10" s="336"/>
      <c r="G10" s="337"/>
      <c r="H10" s="336"/>
      <c r="I10" s="327"/>
      <c r="J10" s="88"/>
      <c r="K10" s="74" t="s">
        <v>14</v>
      </c>
      <c r="L10" s="307">
        <v>4457469</v>
      </c>
      <c r="M10" s="308">
        <v>9.8220000000000002E-2</v>
      </c>
      <c r="N10" s="278">
        <f t="shared" ref="N10:N16" si="0">L10*M10</f>
        <v>437812.60518000001</v>
      </c>
      <c r="O10" s="74" t="s">
        <v>14</v>
      </c>
      <c r="P10" s="307">
        <v>2518275</v>
      </c>
      <c r="Q10" s="308">
        <v>8.9520000000000002E-2</v>
      </c>
      <c r="R10" s="278">
        <f t="shared" ref="R10:R11" si="1">P10*Q10</f>
        <v>225435.978</v>
      </c>
    </row>
    <row r="11" spans="2:20" ht="15.6" customHeight="1" thickBot="1">
      <c r="B11" s="283" t="s">
        <v>249</v>
      </c>
      <c r="C11" s="79">
        <v>804002</v>
      </c>
      <c r="D11" s="79" t="s">
        <v>199</v>
      </c>
      <c r="E11" s="345">
        <v>27751.82</v>
      </c>
      <c r="F11" s="336"/>
      <c r="G11" s="337"/>
      <c r="H11" s="336"/>
      <c r="I11" s="327"/>
      <c r="J11" s="88"/>
      <c r="K11" s="74" t="s">
        <v>93</v>
      </c>
      <c r="L11" s="307">
        <v>8599</v>
      </c>
      <c r="M11" s="308">
        <v>9.8220000000000002E-2</v>
      </c>
      <c r="N11" s="278">
        <f t="shared" si="0"/>
        <v>844.59378000000004</v>
      </c>
      <c r="O11" s="74" t="s">
        <v>15</v>
      </c>
      <c r="P11" s="307">
        <v>1443773</v>
      </c>
      <c r="Q11" s="308">
        <v>8.9520000000000002E-2</v>
      </c>
      <c r="R11" s="278">
        <f t="shared" si="1"/>
        <v>129246.55896000001</v>
      </c>
    </row>
    <row r="12" spans="2:20" ht="15.6" customHeight="1" thickBot="1">
      <c r="B12" s="297" t="s">
        <v>203</v>
      </c>
      <c r="C12" s="9"/>
      <c r="D12" s="9"/>
      <c r="E12" s="346">
        <f>SUM(E10:E11)</f>
        <v>2267523.6199999996</v>
      </c>
      <c r="F12" s="338"/>
      <c r="G12" s="339"/>
      <c r="H12" s="338"/>
      <c r="I12" s="328"/>
      <c r="J12" s="88"/>
      <c r="K12" s="74" t="s">
        <v>15</v>
      </c>
      <c r="L12" s="307">
        <v>2827756</v>
      </c>
      <c r="M12" s="308">
        <v>8.8349999999999998E-2</v>
      </c>
      <c r="N12" s="278">
        <f t="shared" si="0"/>
        <v>249832.2426</v>
      </c>
      <c r="O12" s="74" t="s">
        <v>16</v>
      </c>
      <c r="P12" s="307">
        <v>89062</v>
      </c>
      <c r="Q12" s="308">
        <v>8.9520000000000002E-2</v>
      </c>
      <c r="R12" s="278">
        <f>P12*Q12</f>
        <v>7972.8302400000002</v>
      </c>
    </row>
    <row r="13" spans="2:20" ht="15.6" customHeight="1" thickBot="1">
      <c r="B13" s="298" t="s">
        <v>44</v>
      </c>
      <c r="C13" s="2"/>
      <c r="D13" s="2"/>
      <c r="E13" s="347">
        <f>-E11</f>
        <v>-27751.82</v>
      </c>
      <c r="F13" s="336"/>
      <c r="G13" s="337"/>
      <c r="H13" s="336"/>
      <c r="I13" s="327"/>
      <c r="J13" s="88"/>
      <c r="K13" s="74" t="s">
        <v>16</v>
      </c>
      <c r="L13" s="307">
        <v>18675</v>
      </c>
      <c r="M13" s="308">
        <v>8.8349999999999998E-2</v>
      </c>
      <c r="N13" s="278">
        <f t="shared" si="0"/>
        <v>1649.93625</v>
      </c>
      <c r="O13" s="74" t="s">
        <v>17</v>
      </c>
      <c r="P13" s="307">
        <v>0</v>
      </c>
      <c r="Q13" s="308">
        <v>8.9520000000000002E-2</v>
      </c>
      <c r="R13" s="278">
        <f t="shared" ref="R13:R14" si="2">P13*Q13</f>
        <v>0</v>
      </c>
    </row>
    <row r="14" spans="2:20" ht="15.6" customHeight="1" thickBot="1">
      <c r="B14" s="297" t="s">
        <v>219</v>
      </c>
      <c r="C14" s="299"/>
      <c r="D14" s="299"/>
      <c r="E14" s="346">
        <f>SUM(E12:E13)</f>
        <v>2239771.7999999998</v>
      </c>
      <c r="F14" s="354">
        <f>E14*F8</f>
        <v>1541186.9755800001</v>
      </c>
      <c r="G14" s="355"/>
      <c r="H14" s="354">
        <f>E14*H8</f>
        <v>698584.82441999996</v>
      </c>
      <c r="I14" s="356"/>
      <c r="J14" s="88"/>
      <c r="K14" s="74" t="s">
        <v>17</v>
      </c>
      <c r="L14" s="307">
        <v>0</v>
      </c>
      <c r="M14" s="308">
        <v>5.6399999999999999E-2</v>
      </c>
      <c r="N14" s="278">
        <f t="shared" si="0"/>
        <v>0</v>
      </c>
      <c r="O14" s="74" t="s">
        <v>18</v>
      </c>
      <c r="P14" s="307">
        <v>0</v>
      </c>
      <c r="Q14" s="308">
        <v>8.9520000000000002E-2</v>
      </c>
      <c r="R14" s="278">
        <f t="shared" si="2"/>
        <v>0</v>
      </c>
    </row>
    <row r="15" spans="2:20" ht="15.6" customHeight="1" thickBot="1">
      <c r="B15" s="51"/>
      <c r="C15" s="4"/>
      <c r="D15" s="4"/>
      <c r="E15" s="348"/>
      <c r="F15" s="357"/>
      <c r="G15" s="358"/>
      <c r="H15" s="357"/>
      <c r="I15" s="359"/>
      <c r="J15" s="88"/>
      <c r="K15" s="74" t="s">
        <v>18</v>
      </c>
      <c r="L15" s="307">
        <v>65395</v>
      </c>
      <c r="M15" s="308">
        <v>5.6399999999999999E-2</v>
      </c>
      <c r="N15" s="278">
        <f t="shared" si="0"/>
        <v>3688.2779999999998</v>
      </c>
      <c r="O15" s="73" t="s">
        <v>53</v>
      </c>
      <c r="P15" s="240">
        <f>SUM(P10:P14)</f>
        <v>4051110</v>
      </c>
      <c r="Q15" s="241"/>
      <c r="R15" s="71">
        <f>SUM(R10:R14)</f>
        <v>362655.36719999998</v>
      </c>
    </row>
    <row r="16" spans="2:20" ht="15.6" customHeight="1" thickTop="1">
      <c r="B16" s="51"/>
      <c r="C16" s="4"/>
      <c r="D16" s="4"/>
      <c r="E16" s="348"/>
      <c r="F16" s="357"/>
      <c r="G16" s="358"/>
      <c r="H16" s="357"/>
      <c r="I16" s="359"/>
      <c r="J16" s="88"/>
      <c r="K16" s="74" t="s">
        <v>33</v>
      </c>
      <c r="L16" s="307">
        <v>2309343</v>
      </c>
      <c r="M16" s="308">
        <v>5.4000000000000001E-4</v>
      </c>
      <c r="N16" s="278">
        <f t="shared" si="0"/>
        <v>1247.04522</v>
      </c>
      <c r="O16" s="74"/>
      <c r="P16" s="309">
        <v>4051110</v>
      </c>
      <c r="Q16" s="65"/>
      <c r="R16" s="242"/>
    </row>
    <row r="17" spans="2:18" ht="15.6" customHeight="1" thickBot="1">
      <c r="B17" s="283" t="s">
        <v>235</v>
      </c>
      <c r="C17" s="79">
        <v>804000</v>
      </c>
      <c r="D17" s="79" t="s">
        <v>199</v>
      </c>
      <c r="E17" s="345">
        <v>11513414.5</v>
      </c>
      <c r="F17" s="360"/>
      <c r="G17" s="358"/>
      <c r="H17" s="357"/>
      <c r="I17" s="359"/>
      <c r="J17" s="88"/>
      <c r="K17" s="73" t="s">
        <v>53</v>
      </c>
      <c r="L17" s="240">
        <f>SUM(L10:L16)</f>
        <v>9687237</v>
      </c>
      <c r="M17" s="6"/>
      <c r="N17" s="71">
        <f>SUM(N10:N16)</f>
        <v>695074.70103</v>
      </c>
      <c r="O17" s="74"/>
      <c r="P17" s="231">
        <f>P15-P16</f>
        <v>0</v>
      </c>
      <c r="Q17" s="65" t="s">
        <v>41</v>
      </c>
      <c r="R17" s="72"/>
    </row>
    <row r="18" spans="2:18" ht="15.6" customHeight="1" thickTop="1">
      <c r="B18" s="283" t="s">
        <v>236</v>
      </c>
      <c r="C18" s="79">
        <v>804010</v>
      </c>
      <c r="D18" s="79" t="s">
        <v>199</v>
      </c>
      <c r="E18" s="345">
        <v>92569.88</v>
      </c>
      <c r="F18" s="357"/>
      <c r="G18" s="358"/>
      <c r="H18" s="357"/>
      <c r="I18" s="359"/>
      <c r="J18" s="88"/>
      <c r="K18" s="64"/>
      <c r="L18" s="309">
        <v>9687237</v>
      </c>
      <c r="M18" s="65"/>
      <c r="N18" s="242"/>
      <c r="O18" s="51"/>
      <c r="P18" s="4"/>
      <c r="Q18" s="196"/>
      <c r="R18" s="72"/>
    </row>
    <row r="19" spans="2:18" ht="15.6" customHeight="1">
      <c r="B19" s="283" t="s">
        <v>237</v>
      </c>
      <c r="C19" s="79">
        <v>804017</v>
      </c>
      <c r="D19" s="79" t="s">
        <v>199</v>
      </c>
      <c r="E19" s="345">
        <v>30695.23</v>
      </c>
      <c r="F19" s="357"/>
      <c r="G19" s="358"/>
      <c r="H19" s="357"/>
      <c r="I19" s="359"/>
      <c r="J19" s="88"/>
      <c r="K19" s="51"/>
      <c r="L19" s="231">
        <f>L17-L18</f>
        <v>0</v>
      </c>
      <c r="M19" s="65" t="s">
        <v>41</v>
      </c>
      <c r="N19" s="36"/>
      <c r="O19" s="69"/>
      <c r="P19" s="70"/>
      <c r="Q19" s="4"/>
      <c r="R19" s="72"/>
    </row>
    <row r="20" spans="2:18" ht="15.6" customHeight="1">
      <c r="B20" s="283" t="s">
        <v>238</v>
      </c>
      <c r="C20" s="79">
        <v>804018</v>
      </c>
      <c r="D20" s="79" t="s">
        <v>199</v>
      </c>
      <c r="E20" s="345">
        <v>10291.02</v>
      </c>
      <c r="F20" s="357"/>
      <c r="G20" s="358"/>
      <c r="H20" s="357"/>
      <c r="I20" s="359"/>
      <c r="J20" s="88"/>
      <c r="K20" s="51"/>
      <c r="L20" s="4"/>
      <c r="M20" s="65"/>
      <c r="N20" s="36"/>
      <c r="O20" s="69"/>
      <c r="P20" s="70"/>
      <c r="Q20" s="4"/>
      <c r="R20" s="36"/>
    </row>
    <row r="21" spans="2:18" ht="15.6" customHeight="1">
      <c r="B21" s="283" t="s">
        <v>239</v>
      </c>
      <c r="C21" s="79">
        <v>804600</v>
      </c>
      <c r="D21" s="79" t="s">
        <v>199</v>
      </c>
      <c r="E21" s="345">
        <v>-748053.66</v>
      </c>
      <c r="F21" s="357"/>
      <c r="G21" s="358"/>
      <c r="H21" s="357"/>
      <c r="I21" s="359"/>
      <c r="J21" s="88"/>
      <c r="K21" s="51"/>
      <c r="L21" s="4"/>
      <c r="M21" s="65"/>
      <c r="N21" s="36"/>
      <c r="O21" s="69"/>
      <c r="P21" s="70"/>
      <c r="Q21" s="4"/>
      <c r="R21" s="36"/>
    </row>
    <row r="22" spans="2:18" ht="15.6" customHeight="1">
      <c r="B22" s="283" t="s">
        <v>240</v>
      </c>
      <c r="C22" s="79">
        <v>804730</v>
      </c>
      <c r="D22" s="79" t="s">
        <v>199</v>
      </c>
      <c r="E22" s="345">
        <v>2444044.7400000002</v>
      </c>
      <c r="F22" s="357"/>
      <c r="G22" s="358"/>
      <c r="H22" s="357"/>
      <c r="I22" s="359"/>
      <c r="J22" s="88"/>
      <c r="K22" s="73" t="s">
        <v>54</v>
      </c>
      <c r="L22" s="4"/>
      <c r="M22" s="4"/>
      <c r="N22" s="36"/>
      <c r="O22" s="73" t="s">
        <v>54</v>
      </c>
      <c r="P22" s="68"/>
      <c r="Q22" s="4"/>
      <c r="R22" s="36"/>
    </row>
    <row r="23" spans="2:18" ht="15.6" customHeight="1">
      <c r="B23" s="283" t="s">
        <v>241</v>
      </c>
      <c r="C23" s="79">
        <v>808100</v>
      </c>
      <c r="D23" s="79" t="s">
        <v>199</v>
      </c>
      <c r="E23" s="345">
        <v>6252</v>
      </c>
      <c r="F23" s="357"/>
      <c r="G23" s="358"/>
      <c r="H23" s="357"/>
      <c r="I23" s="359"/>
      <c r="J23" s="88"/>
      <c r="K23" s="74" t="s">
        <v>14</v>
      </c>
      <c r="L23" s="279">
        <f>+L10</f>
        <v>4457469</v>
      </c>
      <c r="M23" s="308">
        <v>0.16167000000000001</v>
      </c>
      <c r="N23" s="278">
        <f t="shared" ref="N23:N28" si="3">L23*M23</f>
        <v>720639.01323000004</v>
      </c>
      <c r="O23" s="74" t="s">
        <v>14</v>
      </c>
      <c r="P23" s="279">
        <f>+P10</f>
        <v>2518275</v>
      </c>
      <c r="Q23" s="308">
        <v>0.16148000000000001</v>
      </c>
      <c r="R23" s="278">
        <f t="shared" ref="R23" si="4">P23*Q23</f>
        <v>406651.04700000002</v>
      </c>
    </row>
    <row r="24" spans="2:18" ht="15.6" customHeight="1">
      <c r="B24" s="283" t="s">
        <v>242</v>
      </c>
      <c r="C24" s="79">
        <v>808200</v>
      </c>
      <c r="D24" s="79" t="s">
        <v>199</v>
      </c>
      <c r="E24" s="345">
        <v>-7450128.4800000004</v>
      </c>
      <c r="F24" s="357"/>
      <c r="G24" s="358"/>
      <c r="H24" s="357"/>
      <c r="I24" s="359"/>
      <c r="J24" s="88"/>
      <c r="K24" s="74" t="s">
        <v>93</v>
      </c>
      <c r="L24" s="279">
        <f t="shared" ref="L24:L28" si="5">+L11</f>
        <v>8599</v>
      </c>
      <c r="M24" s="308">
        <v>0.16167000000000001</v>
      </c>
      <c r="N24" s="278">
        <f t="shared" si="3"/>
        <v>1390.2003300000001</v>
      </c>
      <c r="O24" s="74" t="s">
        <v>15</v>
      </c>
      <c r="P24" s="279">
        <f t="shared" ref="P24:P27" si="6">+P11</f>
        <v>1443773</v>
      </c>
      <c r="Q24" s="308">
        <v>0.16148000000000001</v>
      </c>
      <c r="R24" s="278">
        <f>P24*Q24</f>
        <v>233140.46404000002</v>
      </c>
    </row>
    <row r="25" spans="2:18" ht="15.6" customHeight="1">
      <c r="B25" s="283" t="s">
        <v>243</v>
      </c>
      <c r="C25" s="79">
        <v>811000</v>
      </c>
      <c r="D25" s="79" t="s">
        <v>199</v>
      </c>
      <c r="E25" s="345">
        <v>-31979.01</v>
      </c>
      <c r="F25" s="357"/>
      <c r="G25" s="358"/>
      <c r="H25" s="357"/>
      <c r="I25" s="359"/>
      <c r="J25" s="88"/>
      <c r="K25" s="74" t="s">
        <v>15</v>
      </c>
      <c r="L25" s="279">
        <f t="shared" si="5"/>
        <v>2827756</v>
      </c>
      <c r="M25" s="308">
        <v>0.16167000000000001</v>
      </c>
      <c r="N25" s="278">
        <f t="shared" si="3"/>
        <v>457163.31252000004</v>
      </c>
      <c r="O25" s="74" t="s">
        <v>16</v>
      </c>
      <c r="P25" s="279">
        <f t="shared" si="6"/>
        <v>89062</v>
      </c>
      <c r="Q25" s="308">
        <v>0.16148000000000001</v>
      </c>
      <c r="R25" s="278">
        <f t="shared" ref="R25:R27" si="7">P25*Q25</f>
        <v>14381.731760000001</v>
      </c>
    </row>
    <row r="26" spans="2:18" ht="15.6" customHeight="1">
      <c r="B26" s="283" t="s">
        <v>244</v>
      </c>
      <c r="C26" s="79">
        <v>483000</v>
      </c>
      <c r="D26" s="79" t="s">
        <v>199</v>
      </c>
      <c r="E26" s="345">
        <v>-152095.42000000001</v>
      </c>
      <c r="F26" s="360"/>
      <c r="G26" s="358"/>
      <c r="H26" s="357"/>
      <c r="I26" s="359"/>
      <c r="J26" s="88"/>
      <c r="K26" s="74" t="s">
        <v>16</v>
      </c>
      <c r="L26" s="279">
        <f t="shared" si="5"/>
        <v>18675</v>
      </c>
      <c r="M26" s="308">
        <v>0.16167000000000001</v>
      </c>
      <c r="N26" s="278">
        <f t="shared" si="3"/>
        <v>3019.1872499999999</v>
      </c>
      <c r="O26" s="74" t="s">
        <v>17</v>
      </c>
      <c r="P26" s="279">
        <f t="shared" si="6"/>
        <v>0</v>
      </c>
      <c r="Q26" s="308">
        <v>0.16148000000000001</v>
      </c>
      <c r="R26" s="278">
        <f t="shared" si="7"/>
        <v>0</v>
      </c>
    </row>
    <row r="27" spans="2:18" ht="15.6" customHeight="1">
      <c r="B27" s="283" t="s">
        <v>245</v>
      </c>
      <c r="C27" s="79">
        <v>483600</v>
      </c>
      <c r="D27" s="79" t="s">
        <v>199</v>
      </c>
      <c r="E27" s="345">
        <v>300762.01</v>
      </c>
      <c r="F27" s="357"/>
      <c r="G27" s="358"/>
      <c r="H27" s="357"/>
      <c r="I27" s="359"/>
      <c r="J27" s="88"/>
      <c r="K27" s="74" t="s">
        <v>17</v>
      </c>
      <c r="L27" s="279">
        <f t="shared" si="5"/>
        <v>0</v>
      </c>
      <c r="M27" s="308">
        <v>0.16167000000000001</v>
      </c>
      <c r="N27" s="278">
        <f t="shared" si="3"/>
        <v>0</v>
      </c>
      <c r="O27" s="74" t="s">
        <v>18</v>
      </c>
      <c r="P27" s="279">
        <f t="shared" si="6"/>
        <v>0</v>
      </c>
      <c r="Q27" s="308">
        <v>0.16148000000000001</v>
      </c>
      <c r="R27" s="278">
        <f t="shared" si="7"/>
        <v>0</v>
      </c>
    </row>
    <row r="28" spans="2:18" ht="15.6" customHeight="1" thickBot="1">
      <c r="B28" s="283" t="s">
        <v>246</v>
      </c>
      <c r="C28" s="79">
        <v>483730</v>
      </c>
      <c r="D28" s="79" t="s">
        <v>199</v>
      </c>
      <c r="E28" s="345">
        <v>-3559127.51</v>
      </c>
      <c r="F28" s="357"/>
      <c r="G28" s="358"/>
      <c r="H28" s="357"/>
      <c r="I28" s="359"/>
      <c r="J28" s="88"/>
      <c r="K28" s="74" t="s">
        <v>18</v>
      </c>
      <c r="L28" s="279">
        <f t="shared" si="5"/>
        <v>65395</v>
      </c>
      <c r="M28" s="308">
        <v>0.16167000000000001</v>
      </c>
      <c r="N28" s="278">
        <f t="shared" si="3"/>
        <v>10572.409650000001</v>
      </c>
      <c r="O28" s="73" t="s">
        <v>58</v>
      </c>
      <c r="P28" s="240">
        <f>SUM(P23:P27)</f>
        <v>4051110</v>
      </c>
      <c r="Q28" s="241"/>
      <c r="R28" s="71">
        <f>SUM(R23:R27)</f>
        <v>654173.24280000001</v>
      </c>
    </row>
    <row r="29" spans="2:18" ht="15.6" customHeight="1" thickTop="1" thickBot="1">
      <c r="B29" s="283" t="s">
        <v>247</v>
      </c>
      <c r="C29" s="79">
        <v>495028</v>
      </c>
      <c r="D29" s="79" t="s">
        <v>199</v>
      </c>
      <c r="E29" s="345">
        <v>-468750</v>
      </c>
      <c r="F29" s="357"/>
      <c r="G29" s="358"/>
      <c r="H29" s="357"/>
      <c r="I29" s="359"/>
      <c r="J29" s="88"/>
      <c r="K29" s="73" t="s">
        <v>58</v>
      </c>
      <c r="L29" s="240">
        <f>SUM(L23:L28)</f>
        <v>7377894</v>
      </c>
      <c r="M29" s="241"/>
      <c r="N29" s="250">
        <f>SUM(N23:N28)</f>
        <v>1192784.1229800002</v>
      </c>
      <c r="O29" s="73"/>
      <c r="P29" s="309">
        <v>4051110</v>
      </c>
      <c r="Q29" s="65"/>
      <c r="R29" s="247"/>
    </row>
    <row r="30" spans="2:18" ht="15.6" customHeight="1" thickTop="1">
      <c r="B30" s="283" t="s">
        <v>197</v>
      </c>
      <c r="C30" s="79">
        <v>495100</v>
      </c>
      <c r="D30" s="79" t="s">
        <v>199</v>
      </c>
      <c r="E30" s="345">
        <v>0</v>
      </c>
      <c r="F30" s="361"/>
      <c r="G30" s="362"/>
      <c r="H30" s="361"/>
      <c r="I30" s="363"/>
      <c r="J30" s="88"/>
      <c r="K30" s="64"/>
      <c r="L30" s="309">
        <v>7377894</v>
      </c>
      <c r="M30" s="65"/>
      <c r="N30" s="251"/>
      <c r="O30" s="73"/>
      <c r="P30" s="231">
        <f>P28-P29</f>
        <v>0</v>
      </c>
      <c r="Q30" s="65" t="s">
        <v>41</v>
      </c>
      <c r="R30" s="72"/>
    </row>
    <row r="31" spans="2:18" ht="15.6" customHeight="1" thickBot="1">
      <c r="B31" s="301" t="s">
        <v>47</v>
      </c>
      <c r="C31" s="79"/>
      <c r="D31" s="79"/>
      <c r="E31" s="347">
        <f>-E13</f>
        <v>27751.82</v>
      </c>
      <c r="F31" s="357"/>
      <c r="G31" s="358"/>
      <c r="H31" s="357"/>
      <c r="I31" s="359"/>
      <c r="J31" s="88"/>
      <c r="K31" s="66"/>
      <c r="L31" s="248">
        <f>L29-L30</f>
        <v>0</v>
      </c>
      <c r="M31" s="67" t="s">
        <v>41</v>
      </c>
      <c r="N31" s="249"/>
      <c r="O31" s="252"/>
      <c r="P31" s="253"/>
      <c r="Q31" s="254"/>
      <c r="R31" s="255"/>
    </row>
    <row r="32" spans="2:18" ht="15.6" customHeight="1" thickBot="1">
      <c r="B32" s="297" t="s">
        <v>48</v>
      </c>
      <c r="C32" s="4"/>
      <c r="D32" s="4"/>
      <c r="E32" s="346">
        <f>SUM(E17:E31)</f>
        <v>2015647.1200000008</v>
      </c>
      <c r="F32" s="364"/>
      <c r="G32" s="337">
        <f>E32*G8</f>
        <v>1301100.2159600004</v>
      </c>
      <c r="H32" s="228"/>
      <c r="I32" s="327">
        <f>E32*I8</f>
        <v>714546.9040400004</v>
      </c>
      <c r="J32" s="88"/>
    </row>
    <row r="33" spans="1:20" ht="15.6" customHeight="1">
      <c r="B33" s="283" t="s">
        <v>194</v>
      </c>
      <c r="C33" s="79">
        <v>495100</v>
      </c>
      <c r="D33" s="4" t="s">
        <v>204</v>
      </c>
      <c r="E33" s="345">
        <v>0</v>
      </c>
      <c r="F33" s="361"/>
      <c r="G33" s="337">
        <f>E33</f>
        <v>0</v>
      </c>
      <c r="H33" s="228"/>
      <c r="I33" s="327"/>
      <c r="J33" s="88"/>
      <c r="K33" s="311" t="s">
        <v>32</v>
      </c>
      <c r="L33" s="7" t="s">
        <v>12</v>
      </c>
      <c r="M33" s="7" t="s">
        <v>12</v>
      </c>
      <c r="N33" s="7" t="s">
        <v>22</v>
      </c>
      <c r="O33" s="7" t="s">
        <v>22</v>
      </c>
      <c r="P33" s="312"/>
      <c r="Q33" s="2"/>
    </row>
    <row r="34" spans="1:20" ht="15.6" customHeight="1" thickBot="1">
      <c r="B34" s="302" t="s">
        <v>172</v>
      </c>
      <c r="C34" s="79">
        <v>495100</v>
      </c>
      <c r="D34" s="4" t="s">
        <v>205</v>
      </c>
      <c r="E34" s="345">
        <v>0</v>
      </c>
      <c r="F34" s="361"/>
      <c r="G34" s="337"/>
      <c r="H34" s="228"/>
      <c r="I34" s="327">
        <f>E34</f>
        <v>0</v>
      </c>
      <c r="J34" s="88"/>
      <c r="K34" s="295"/>
      <c r="L34" s="46" t="s">
        <v>2</v>
      </c>
      <c r="M34" s="46" t="s">
        <v>1</v>
      </c>
      <c r="N34" s="46" t="s">
        <v>2</v>
      </c>
      <c r="O34" s="46" t="s">
        <v>1</v>
      </c>
      <c r="P34" s="322" t="s">
        <v>212</v>
      </c>
      <c r="Q34" s="2"/>
    </row>
    <row r="35" spans="1:20" ht="15.6" customHeight="1">
      <c r="B35" s="64" t="s">
        <v>206</v>
      </c>
      <c r="C35" s="79">
        <v>804000</v>
      </c>
      <c r="D35" s="4" t="s">
        <v>204</v>
      </c>
      <c r="E35" s="345">
        <v>58849.63</v>
      </c>
      <c r="F35" s="357"/>
      <c r="G35" s="337">
        <f>E35</f>
        <v>58849.63</v>
      </c>
      <c r="H35" s="228"/>
      <c r="I35" s="327"/>
      <c r="J35" s="88"/>
      <c r="K35" s="51" t="s">
        <v>214</v>
      </c>
      <c r="L35" s="230">
        <f>$F$39</f>
        <v>1541186.9755800001</v>
      </c>
      <c r="M35" s="230">
        <f>G39</f>
        <v>1359949.8459600003</v>
      </c>
      <c r="N35" s="230">
        <f>$H$39</f>
        <v>698584.82441999996</v>
      </c>
      <c r="O35" s="230">
        <f>I39</f>
        <v>743343.95404000045</v>
      </c>
      <c r="P35" s="321">
        <f>SUM(L35:O35)-E39</f>
        <v>0</v>
      </c>
      <c r="Q35" s="2"/>
    </row>
    <row r="36" spans="1:20" ht="15.6" customHeight="1" thickBot="1">
      <c r="B36" s="64" t="s">
        <v>207</v>
      </c>
      <c r="C36" s="79">
        <v>804000</v>
      </c>
      <c r="D36" s="4" t="s">
        <v>205</v>
      </c>
      <c r="E36" s="345">
        <v>28797.05</v>
      </c>
      <c r="F36" s="357"/>
      <c r="G36" s="337"/>
      <c r="H36" s="228"/>
      <c r="I36" s="327">
        <f>E36</f>
        <v>28797.05</v>
      </c>
      <c r="J36" s="88"/>
      <c r="K36" s="51" t="s">
        <v>217</v>
      </c>
      <c r="L36" s="310">
        <f>-$N$17</f>
        <v>-695074.70103</v>
      </c>
      <c r="M36" s="310">
        <f>-N29</f>
        <v>-1192784.1229800002</v>
      </c>
      <c r="N36" s="310">
        <f>-$R$15</f>
        <v>-362655.36719999998</v>
      </c>
      <c r="O36" s="310">
        <f>-R28</f>
        <v>-654173.24280000001</v>
      </c>
      <c r="P36" s="321">
        <f>SUM(L36:O36)+N17+N29+R15+R28</f>
        <v>0</v>
      </c>
      <c r="Q36" s="2"/>
    </row>
    <row r="37" spans="1:20" ht="15.6" customHeight="1" thickBot="1">
      <c r="B37" s="297" t="s">
        <v>220</v>
      </c>
      <c r="C37" s="79"/>
      <c r="D37" s="4"/>
      <c r="E37" s="346">
        <f>SUM(E32:E36)</f>
        <v>2103293.8000000007</v>
      </c>
      <c r="F37" s="338"/>
      <c r="G37" s="340"/>
      <c r="H37" s="338"/>
      <c r="I37" s="300"/>
      <c r="J37" s="88"/>
      <c r="K37" s="297" t="s">
        <v>215</v>
      </c>
      <c r="L37" s="245">
        <f t="shared" ref="L37:O37" si="8">SUM(L35:L36)</f>
        <v>846112.27455000009</v>
      </c>
      <c r="M37" s="245">
        <f>SUM(M35:M36)</f>
        <v>167165.72298000008</v>
      </c>
      <c r="N37" s="245">
        <f t="shared" si="8"/>
        <v>335929.45721999998</v>
      </c>
      <c r="O37" s="245">
        <f t="shared" si="8"/>
        <v>89170.711240000441</v>
      </c>
      <c r="P37" s="313"/>
      <c r="Q37" s="2"/>
    </row>
    <row r="38" spans="1:20" ht="15.6" customHeight="1" thickBot="1">
      <c r="B38" s="51"/>
      <c r="C38" s="29"/>
      <c r="D38" s="29"/>
      <c r="E38" s="350"/>
      <c r="F38" s="341"/>
      <c r="G38" s="342"/>
      <c r="H38" s="341"/>
      <c r="I38" s="303"/>
      <c r="J38" s="88"/>
      <c r="K38" s="314"/>
      <c r="L38" s="263"/>
      <c r="M38" s="9"/>
      <c r="N38" s="2"/>
      <c r="O38" s="318"/>
      <c r="P38" s="315"/>
      <c r="Q38" s="2"/>
    </row>
    <row r="39" spans="1:20" ht="15.6" customHeight="1" thickBot="1">
      <c r="B39" s="304" t="s">
        <v>211</v>
      </c>
      <c r="C39" s="305"/>
      <c r="D39" s="305"/>
      <c r="E39" s="346">
        <f>E37+E14</f>
        <v>4343065.6000000006</v>
      </c>
      <c r="F39" s="352">
        <f>SUM(F14:F37)</f>
        <v>1541186.9755800001</v>
      </c>
      <c r="G39" s="353">
        <f t="shared" ref="G39:I39" si="9">SUM(G14:G37)</f>
        <v>1359949.8459600003</v>
      </c>
      <c r="H39" s="352">
        <f t="shared" si="9"/>
        <v>698584.82441999996</v>
      </c>
      <c r="I39" s="306">
        <f t="shared" si="9"/>
        <v>743343.95404000045</v>
      </c>
      <c r="J39" s="88"/>
      <c r="K39" s="316"/>
      <c r="L39" s="319" t="s">
        <v>76</v>
      </c>
      <c r="M39" s="317">
        <f>SUM(L37:M37)</f>
        <v>1013277.9975300002</v>
      </c>
      <c r="N39" s="320" t="s">
        <v>77</v>
      </c>
      <c r="O39" s="317">
        <f>SUM(N37:O37)</f>
        <v>425100.16846000042</v>
      </c>
      <c r="P39" s="83"/>
      <c r="Q39" s="2"/>
    </row>
    <row r="40" spans="1:20" ht="15.6" customHeight="1">
      <c r="B40" s="88"/>
      <c r="C40" s="30"/>
      <c r="D40" s="30"/>
      <c r="E40" s="194"/>
      <c r="F40" s="194"/>
      <c r="G40" s="194"/>
      <c r="H40" s="194"/>
      <c r="I40" s="194"/>
      <c r="J40" s="88"/>
      <c r="M40" s="81"/>
      <c r="Q40" s="2"/>
    </row>
    <row r="41" spans="1:20" ht="15.6" customHeight="1">
      <c r="A41" s="88"/>
      <c r="B41" s="370" t="s">
        <v>223</v>
      </c>
      <c r="C41" s="369"/>
      <c r="D41" s="31" t="s">
        <v>222</v>
      </c>
      <c r="E41" s="287">
        <v>4343065.5999999996</v>
      </c>
      <c r="F41" s="194"/>
      <c r="G41" s="194"/>
      <c r="H41" s="194"/>
      <c r="I41" s="194"/>
      <c r="J41" s="88"/>
      <c r="P41" s="3"/>
    </row>
    <row r="42" spans="1:20" ht="15.6" customHeight="1">
      <c r="B42" s="291"/>
      <c r="C42" s="291"/>
      <c r="D42" s="31" t="s">
        <v>71</v>
      </c>
      <c r="E42" s="228">
        <f>ROUND(E39-E41,2)</f>
        <v>0</v>
      </c>
      <c r="F42" s="326"/>
      <c r="G42" s="326"/>
      <c r="H42" s="326"/>
      <c r="I42" s="326"/>
    </row>
    <row r="43" spans="1:20" ht="15.6" customHeight="1">
      <c r="B43" s="291"/>
      <c r="C43" s="291"/>
      <c r="E43" s="260"/>
      <c r="F43" s="326"/>
      <c r="G43" s="326"/>
      <c r="H43" s="326"/>
      <c r="I43" s="326"/>
    </row>
    <row r="44" spans="1:20" ht="15.6" customHeight="1" thickBot="1">
      <c r="B44" s="291"/>
      <c r="C44" s="291"/>
      <c r="E44" s="260"/>
      <c r="F44" s="326"/>
      <c r="G44" s="326"/>
      <c r="H44" s="326"/>
      <c r="I44" s="326"/>
    </row>
    <row r="45" spans="1:20" ht="15.6" customHeight="1" thickBot="1">
      <c r="B45" s="291"/>
      <c r="C45" s="291"/>
      <c r="E45" s="385" t="s">
        <v>213</v>
      </c>
      <c r="F45" s="386"/>
      <c r="G45" s="326"/>
      <c r="H45" s="326"/>
      <c r="I45" s="326"/>
    </row>
    <row r="46" spans="1:20" ht="15.6" customHeight="1">
      <c r="B46" s="291"/>
      <c r="C46" s="291"/>
      <c r="E46" s="283" t="s">
        <v>78</v>
      </c>
      <c r="F46" s="324" t="s">
        <v>79</v>
      </c>
      <c r="G46" s="326"/>
      <c r="H46" s="326"/>
      <c r="I46" s="326"/>
    </row>
    <row r="47" spans="1:20" ht="15.75" thickBot="1">
      <c r="E47" s="325" t="e">
        <f>SUM('191010 WA DEF'!E36:E45)+SUM('191000 WA Amort'!H36:H45)+SUM(#REF!)+SUM(#REF!)</f>
        <v>#REF!</v>
      </c>
      <c r="F47" s="323" t="e">
        <f>-E47</f>
        <v>#REF!</v>
      </c>
    </row>
    <row r="48" spans="1:20">
      <c r="E48" s="373"/>
      <c r="F48" s="373"/>
      <c r="T48" s="88"/>
    </row>
    <row r="49" spans="1:20" s="88" customFormat="1">
      <c r="A49" s="87"/>
      <c r="B49" s="87"/>
      <c r="C49" s="87"/>
      <c r="D49" s="87"/>
      <c r="E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1:20" s="88" customFormat="1">
      <c r="A50" s="87"/>
      <c r="B50" s="87"/>
      <c r="C50" s="87"/>
      <c r="D50" s="87"/>
      <c r="E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1:20" s="88" customFormat="1">
      <c r="A51" s="87"/>
      <c r="B51" s="87"/>
      <c r="C51" s="87"/>
      <c r="D51" s="87"/>
      <c r="E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1:20" s="88" customFormat="1">
      <c r="A52" s="87"/>
      <c r="B52" s="87"/>
      <c r="C52" s="87"/>
      <c r="D52" s="87"/>
      <c r="E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1:20" s="88" customFormat="1">
      <c r="A53" s="87"/>
      <c r="B53" s="87"/>
      <c r="C53" s="87"/>
      <c r="D53" s="87"/>
      <c r="E53" s="87"/>
      <c r="J53" s="87"/>
      <c r="K53" s="87"/>
      <c r="L53" s="87"/>
      <c r="M53" s="87"/>
      <c r="N53" s="87"/>
      <c r="O53" s="87"/>
      <c r="P53" s="87"/>
      <c r="Q53" s="87"/>
      <c r="R53" s="87"/>
    </row>
    <row r="54" spans="1:20" s="88" customFormat="1">
      <c r="A54" s="87"/>
      <c r="B54" s="87"/>
      <c r="C54" s="87"/>
      <c r="D54" s="87"/>
      <c r="E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1:20" s="88" customFormat="1">
      <c r="A55" s="87"/>
      <c r="B55" s="87"/>
      <c r="C55" s="87"/>
      <c r="D55" s="87"/>
      <c r="E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1:20" s="88" customFormat="1">
      <c r="A56" s="87"/>
      <c r="B56" s="87"/>
      <c r="C56" s="87"/>
      <c r="D56" s="87"/>
      <c r="E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1:20" s="88" customFormat="1">
      <c r="A57" s="87"/>
      <c r="B57" s="87"/>
      <c r="C57" s="87"/>
      <c r="D57" s="87"/>
      <c r="E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1:20" s="88" customFormat="1">
      <c r="A58" s="87"/>
      <c r="B58" s="87"/>
      <c r="C58" s="87"/>
      <c r="D58" s="87"/>
      <c r="E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1:20" s="88" customFormat="1">
      <c r="A59" s="87"/>
      <c r="B59" s="87"/>
      <c r="C59" s="87"/>
      <c r="D59" s="87"/>
      <c r="E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1:20" s="88" customFormat="1">
      <c r="A60" s="87"/>
      <c r="B60" s="87"/>
      <c r="C60" s="87"/>
      <c r="D60" s="87"/>
      <c r="E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1:20" s="88" customFormat="1">
      <c r="A61" s="87"/>
      <c r="B61" s="87"/>
      <c r="C61" s="87"/>
      <c r="D61" s="87"/>
      <c r="E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1:20" s="88" customFormat="1">
      <c r="A62" s="87"/>
      <c r="B62" s="87"/>
      <c r="C62" s="87"/>
      <c r="D62" s="87"/>
      <c r="E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1:20" s="88" customFormat="1">
      <c r="A63" s="87"/>
      <c r="B63" s="87"/>
      <c r="C63" s="87"/>
      <c r="D63" s="87"/>
      <c r="E63" s="87"/>
      <c r="J63" s="87"/>
      <c r="K63" s="87"/>
      <c r="L63" s="87"/>
      <c r="M63" s="87"/>
      <c r="N63" s="87"/>
      <c r="O63" s="87"/>
      <c r="P63" s="87"/>
      <c r="Q63" s="87"/>
      <c r="R63" s="87"/>
      <c r="T63" s="87"/>
    </row>
    <row r="1387" spans="1:20">
      <c r="T1387" s="15"/>
    </row>
    <row r="1388" spans="1:20" s="15" customFormat="1">
      <c r="A1388" s="87"/>
      <c r="B1388" s="87"/>
      <c r="C1388" s="87"/>
      <c r="D1388" s="87">
        <v>-2130</v>
      </c>
      <c r="F1388" s="88"/>
      <c r="G1388" s="88"/>
      <c r="H1388" s="88"/>
      <c r="I1388" s="88"/>
      <c r="J1388" s="87"/>
      <c r="K1388" s="87"/>
      <c r="L1388" s="87"/>
      <c r="M1388" s="87"/>
      <c r="N1388" s="87"/>
      <c r="O1388" s="87"/>
      <c r="P1388" s="87"/>
      <c r="Q1388" s="87"/>
      <c r="R1388" s="87"/>
      <c r="T1388" s="87"/>
    </row>
    <row r="1395" spans="1:20">
      <c r="T1395" s="15"/>
    </row>
    <row r="1396" spans="1:20" s="15" customFormat="1">
      <c r="A1396" s="87"/>
      <c r="B1396" s="87"/>
      <c r="C1396" s="87"/>
      <c r="D1396" s="87">
        <f>7004298-2130</f>
        <v>7002168</v>
      </c>
      <c r="F1396" s="88"/>
      <c r="G1396" s="88"/>
      <c r="H1396" s="88"/>
      <c r="I1396" s="88"/>
      <c r="J1396" s="87"/>
      <c r="K1396" s="87"/>
      <c r="L1396" s="87"/>
      <c r="M1396" s="87"/>
      <c r="N1396" s="87"/>
      <c r="O1396" s="87"/>
      <c r="P1396" s="87"/>
      <c r="Q1396" s="87"/>
      <c r="R1396" s="87"/>
      <c r="T1396" s="87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34" priority="27" operator="equal">
      <formula>"ERROR"</formula>
    </cfRule>
  </conditionalFormatting>
  <conditionalFormatting sqref="D43:D46">
    <cfRule type="cellIs" dxfId="133" priority="26" operator="equal">
      <formula>"ERROR"</formula>
    </cfRule>
  </conditionalFormatting>
  <conditionalFormatting sqref="P31">
    <cfRule type="cellIs" dxfId="132" priority="25" operator="notEqual">
      <formula>0</formula>
    </cfRule>
  </conditionalFormatting>
  <conditionalFormatting sqref="L19">
    <cfRule type="cellIs" dxfId="131" priority="23" stopIfTrue="1" operator="equal">
      <formula>0</formula>
    </cfRule>
    <cfRule type="cellIs" dxfId="130" priority="24" stopIfTrue="1" operator="notEqual">
      <formula>0</formula>
    </cfRule>
  </conditionalFormatting>
  <conditionalFormatting sqref="L19">
    <cfRule type="cellIs" dxfId="129" priority="21" stopIfTrue="1" operator="equal">
      <formula>0</formula>
    </cfRule>
    <cfRule type="cellIs" dxfId="128" priority="22" stopIfTrue="1" operator="notEqual">
      <formula>0</formula>
    </cfRule>
  </conditionalFormatting>
  <conditionalFormatting sqref="L31">
    <cfRule type="cellIs" dxfId="127" priority="19" stopIfTrue="1" operator="equal">
      <formula>0</formula>
    </cfRule>
    <cfRule type="cellIs" dxfId="126" priority="20" stopIfTrue="1" operator="notEqual">
      <formula>0</formula>
    </cfRule>
  </conditionalFormatting>
  <conditionalFormatting sqref="L31">
    <cfRule type="cellIs" dxfId="125" priority="17" stopIfTrue="1" operator="equal">
      <formula>0</formula>
    </cfRule>
    <cfRule type="cellIs" dxfId="124" priority="18" stopIfTrue="1" operator="notEqual">
      <formula>0</formula>
    </cfRule>
  </conditionalFormatting>
  <conditionalFormatting sqref="P17">
    <cfRule type="cellIs" dxfId="123" priority="15" stopIfTrue="1" operator="equal">
      <formula>0</formula>
    </cfRule>
    <cfRule type="cellIs" dxfId="122" priority="16" stopIfTrue="1" operator="notEqual">
      <formula>0</formula>
    </cfRule>
  </conditionalFormatting>
  <conditionalFormatting sqref="P17">
    <cfRule type="cellIs" dxfId="121" priority="13" stopIfTrue="1" operator="equal">
      <formula>0</formula>
    </cfRule>
    <cfRule type="cellIs" dxfId="120" priority="14" stopIfTrue="1" operator="notEqual">
      <formula>0</formula>
    </cfRule>
  </conditionalFormatting>
  <conditionalFormatting sqref="P30">
    <cfRule type="cellIs" dxfId="119" priority="11" stopIfTrue="1" operator="equal">
      <formula>0</formula>
    </cfRule>
    <cfRule type="cellIs" dxfId="118" priority="12" stopIfTrue="1" operator="notEqual">
      <formula>0</formula>
    </cfRule>
  </conditionalFormatting>
  <conditionalFormatting sqref="P30">
    <cfRule type="cellIs" dxfId="117" priority="9" stopIfTrue="1" operator="equal">
      <formula>0</formula>
    </cfRule>
    <cfRule type="cellIs" dxfId="116" priority="10" stopIfTrue="1" operator="notEqual">
      <formula>0</formula>
    </cfRule>
  </conditionalFormatting>
  <conditionalFormatting sqref="P35:P36">
    <cfRule type="cellIs" dxfId="115" priority="7" stopIfTrue="1" operator="equal">
      <formula>0</formula>
    </cfRule>
    <cfRule type="cellIs" dxfId="114" priority="8" stopIfTrue="1" operator="notEqual">
      <formula>0</formula>
    </cfRule>
  </conditionalFormatting>
  <conditionalFormatting sqref="P35:P36">
    <cfRule type="cellIs" dxfId="113" priority="5" stopIfTrue="1" operator="equal">
      <formula>0</formula>
    </cfRule>
    <cfRule type="cellIs" dxfId="112" priority="6" stopIfTrue="1" operator="notEqual">
      <formula>0</formula>
    </cfRule>
  </conditionalFormatting>
  <conditionalFormatting sqref="E42">
    <cfRule type="cellIs" dxfId="111" priority="3" stopIfTrue="1" operator="equal">
      <formula>0</formula>
    </cfRule>
    <cfRule type="cellIs" dxfId="110" priority="4" stopIfTrue="1" operator="notEqual">
      <formula>0</formula>
    </cfRule>
  </conditionalFormatting>
  <conditionalFormatting sqref="E42">
    <cfRule type="cellIs" dxfId="109" priority="1" stopIfTrue="1" operator="equal">
      <formula>0</formula>
    </cfRule>
    <cfRule type="cellIs" dxfId="108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A7034-6E2B-453A-B75F-DBF6AB399DD0}">
  <sheetPr>
    <pageSetUpPr fitToPage="1"/>
  </sheetPr>
  <dimension ref="A1:T1396"/>
  <sheetViews>
    <sheetView topLeftCell="A4" zoomScale="60" zoomScaleNormal="60" workbookViewId="0">
      <selection activeCell="E17" sqref="E17"/>
    </sheetView>
  </sheetViews>
  <sheetFormatPr defaultColWidth="16" defaultRowHeight="15"/>
  <cols>
    <col min="1" max="1" width="2.85546875" style="87" customWidth="1"/>
    <col min="2" max="2" width="48.7109375" style="87" bestFit="1" customWidth="1"/>
    <col min="3" max="3" width="11.5703125" style="87" customWidth="1"/>
    <col min="4" max="4" width="10.7109375" style="87" customWidth="1"/>
    <col min="5" max="5" width="18.7109375" style="15" bestFit="1" customWidth="1"/>
    <col min="6" max="6" width="17.5703125" style="88" customWidth="1"/>
    <col min="7" max="7" width="18.5703125" style="88" bestFit="1" customWidth="1"/>
    <col min="8" max="9" width="17.5703125" style="88" customWidth="1"/>
    <col min="10" max="10" width="4.85546875" style="87" bestFit="1" customWidth="1"/>
    <col min="11" max="11" width="22.28515625" style="87" bestFit="1" customWidth="1"/>
    <col min="12" max="18" width="18.140625" style="87" customWidth="1"/>
    <col min="19" max="19" width="5.140625" style="87" customWidth="1"/>
    <col min="20" max="20" width="41.5703125" style="87" bestFit="1" customWidth="1"/>
    <col min="21" max="16384" width="16" style="87"/>
  </cols>
  <sheetData>
    <row r="1" spans="2:20" ht="15.6" customHeight="1">
      <c r="B1" s="285" t="s">
        <v>218</v>
      </c>
      <c r="C1" s="286">
        <v>202106</v>
      </c>
      <c r="D1" s="284"/>
      <c r="E1" s="204"/>
      <c r="F1" s="204"/>
      <c r="G1" s="204"/>
      <c r="H1" s="204"/>
      <c r="I1" s="204"/>
      <c r="K1" s="280" t="s">
        <v>200</v>
      </c>
      <c r="L1" s="288" t="s">
        <v>201</v>
      </c>
      <c r="N1" s="390"/>
      <c r="O1" s="390"/>
      <c r="T1" s="377" t="s">
        <v>226</v>
      </c>
    </row>
    <row r="2" spans="2:20" ht="15.6" customHeight="1">
      <c r="D2" s="204"/>
      <c r="E2" s="204"/>
      <c r="F2" s="204"/>
      <c r="G2" s="204"/>
      <c r="H2" s="204"/>
      <c r="I2" s="204"/>
      <c r="K2" s="281"/>
      <c r="L2" s="282" t="s">
        <v>202</v>
      </c>
      <c r="N2" s="372"/>
      <c r="O2" s="372"/>
      <c r="T2" s="378" t="s">
        <v>227</v>
      </c>
    </row>
    <row r="3" spans="2:20" ht="15.6" customHeight="1">
      <c r="D3" s="204"/>
      <c r="E3" s="204"/>
      <c r="F3" s="204"/>
      <c r="G3" s="204"/>
      <c r="H3" s="204"/>
      <c r="I3" s="204"/>
      <c r="K3" s="281"/>
      <c r="L3" s="289"/>
      <c r="N3" s="373"/>
      <c r="O3" s="373"/>
      <c r="T3" s="378" t="s">
        <v>228</v>
      </c>
    </row>
    <row r="4" spans="2:20" ht="15.6" customHeight="1" thickBot="1">
      <c r="D4" s="204"/>
      <c r="E4" s="204"/>
      <c r="F4" s="204"/>
      <c r="G4" s="204"/>
      <c r="H4" s="204"/>
      <c r="I4" s="204"/>
      <c r="K4" s="281"/>
      <c r="L4" s="289"/>
      <c r="T4" s="378" t="s">
        <v>229</v>
      </c>
    </row>
    <row r="5" spans="2:20" ht="15.6" customHeight="1" thickBot="1">
      <c r="B5" s="294"/>
      <c r="C5" s="50"/>
      <c r="D5" s="50"/>
      <c r="E5" s="351" t="s">
        <v>28</v>
      </c>
      <c r="F5" s="387" t="s">
        <v>59</v>
      </c>
      <c r="G5" s="388"/>
      <c r="H5" s="387" t="s">
        <v>60</v>
      </c>
      <c r="I5" s="389"/>
      <c r="J5" s="88"/>
      <c r="K5" s="382" t="s">
        <v>59</v>
      </c>
      <c r="L5" s="383"/>
      <c r="M5" s="383"/>
      <c r="N5" s="384"/>
      <c r="O5" s="382" t="s">
        <v>60</v>
      </c>
      <c r="P5" s="383"/>
      <c r="Q5" s="383"/>
      <c r="R5" s="384"/>
      <c r="T5" s="378" t="s">
        <v>230</v>
      </c>
    </row>
    <row r="6" spans="2:20" ht="15.6" customHeight="1" thickBot="1">
      <c r="B6" s="295" t="s">
        <v>31</v>
      </c>
      <c r="C6" s="4"/>
      <c r="D6" s="4"/>
      <c r="E6" s="343" t="s">
        <v>216</v>
      </c>
      <c r="F6" s="330" t="s">
        <v>2</v>
      </c>
      <c r="G6" s="331" t="s">
        <v>1</v>
      </c>
      <c r="H6" s="330" t="s">
        <v>2</v>
      </c>
      <c r="I6" s="329" t="s">
        <v>1</v>
      </c>
      <c r="J6" s="88"/>
      <c r="K6" s="211" t="s">
        <v>42</v>
      </c>
      <c r="L6" s="205" t="s">
        <v>10</v>
      </c>
      <c r="M6" s="205" t="s">
        <v>10</v>
      </c>
      <c r="N6" s="205" t="s">
        <v>10</v>
      </c>
      <c r="O6" s="211" t="s">
        <v>42</v>
      </c>
      <c r="P6" s="205" t="s">
        <v>10</v>
      </c>
      <c r="Q6" s="205" t="s">
        <v>10</v>
      </c>
      <c r="R6" s="274" t="s">
        <v>10</v>
      </c>
      <c r="T6" s="378" t="s">
        <v>231</v>
      </c>
    </row>
    <row r="7" spans="2:20" ht="15.6" customHeight="1" thickBot="1">
      <c r="B7" s="51"/>
      <c r="C7" s="4"/>
      <c r="D7" s="4"/>
      <c r="E7" s="344"/>
      <c r="F7" s="332"/>
      <c r="G7" s="333"/>
      <c r="H7" s="332"/>
      <c r="I7" s="36"/>
      <c r="J7" s="88"/>
      <c r="K7" s="212" t="s">
        <v>72</v>
      </c>
      <c r="L7" s="207" t="s">
        <v>40</v>
      </c>
      <c r="M7" s="207" t="s">
        <v>13</v>
      </c>
      <c r="N7" s="207" t="s">
        <v>11</v>
      </c>
      <c r="O7" s="212" t="s">
        <v>72</v>
      </c>
      <c r="P7" s="207" t="s">
        <v>40</v>
      </c>
      <c r="Q7" s="207" t="s">
        <v>13</v>
      </c>
      <c r="R7" s="207" t="s">
        <v>11</v>
      </c>
      <c r="T7" s="378" t="s">
        <v>232</v>
      </c>
    </row>
    <row r="8" spans="2:20" ht="15.6" customHeight="1">
      <c r="B8" s="51"/>
      <c r="C8" s="4"/>
      <c r="D8" s="4"/>
      <c r="E8" s="365">
        <f>F8+H8</f>
        <v>1</v>
      </c>
      <c r="F8" s="334">
        <v>0.68810000000000004</v>
      </c>
      <c r="G8" s="335">
        <f>ROUND($L$29/($L$29+$P$28),4)</f>
        <v>0.64329999999999998</v>
      </c>
      <c r="H8" s="334">
        <v>0.31190000000000001</v>
      </c>
      <c r="I8" s="296">
        <f>1-G8</f>
        <v>0.35670000000000002</v>
      </c>
      <c r="J8" s="366"/>
      <c r="K8" s="51"/>
      <c r="L8" s="273"/>
      <c r="M8" s="273"/>
      <c r="N8" s="274"/>
      <c r="O8" s="213"/>
      <c r="P8" s="214"/>
      <c r="Q8" s="214"/>
      <c r="R8" s="76"/>
      <c r="T8" s="378" t="s">
        <v>233</v>
      </c>
    </row>
    <row r="9" spans="2:20" ht="15.6" customHeight="1">
      <c r="B9" s="51"/>
      <c r="C9" s="4"/>
      <c r="D9" s="4"/>
      <c r="E9" s="344"/>
      <c r="F9" s="332"/>
      <c r="G9" s="333"/>
      <c r="H9" s="332"/>
      <c r="I9" s="36"/>
      <c r="J9" s="88"/>
      <c r="K9" s="73" t="s">
        <v>52</v>
      </c>
      <c r="L9" s="4"/>
      <c r="M9" s="4"/>
      <c r="N9" s="36"/>
      <c r="O9" s="73" t="s">
        <v>52</v>
      </c>
      <c r="P9" s="4"/>
      <c r="Q9" s="4"/>
      <c r="R9" s="36"/>
    </row>
    <row r="10" spans="2:20" ht="15.6" customHeight="1">
      <c r="B10" s="283" t="s">
        <v>248</v>
      </c>
      <c r="C10" s="79">
        <v>804001</v>
      </c>
      <c r="D10" s="79" t="s">
        <v>199</v>
      </c>
      <c r="E10" s="345">
        <v>2197743.3199999998</v>
      </c>
      <c r="F10" s="336"/>
      <c r="G10" s="337"/>
      <c r="H10" s="336"/>
      <c r="I10" s="327"/>
      <c r="J10" s="88"/>
      <c r="K10" s="74" t="s">
        <v>14</v>
      </c>
      <c r="L10" s="307">
        <v>2740706</v>
      </c>
      <c r="M10" s="308">
        <v>9.8220000000000002E-2</v>
      </c>
      <c r="N10" s="278">
        <f t="shared" ref="N10:N16" si="0">L10*M10</f>
        <v>269192.14332000003</v>
      </c>
      <c r="O10" s="74" t="s">
        <v>14</v>
      </c>
      <c r="P10" s="307">
        <v>1493810</v>
      </c>
      <c r="Q10" s="308">
        <v>8.9520000000000002E-2</v>
      </c>
      <c r="R10" s="278">
        <f t="shared" ref="R10:R11" si="1">P10*Q10</f>
        <v>133725.87119999999</v>
      </c>
    </row>
    <row r="11" spans="2:20" ht="15.6" customHeight="1" thickBot="1">
      <c r="B11" s="283" t="s">
        <v>249</v>
      </c>
      <c r="C11" s="79">
        <v>804002</v>
      </c>
      <c r="D11" s="79" t="s">
        <v>199</v>
      </c>
      <c r="E11" s="345">
        <v>23484.18</v>
      </c>
      <c r="F11" s="336"/>
      <c r="G11" s="337"/>
      <c r="H11" s="336"/>
      <c r="I11" s="327"/>
      <c r="J11" s="88"/>
      <c r="K11" s="74" t="s">
        <v>93</v>
      </c>
      <c r="L11" s="307">
        <v>4893</v>
      </c>
      <c r="M11" s="308">
        <v>9.8220000000000002E-2</v>
      </c>
      <c r="N11" s="278">
        <f t="shared" si="0"/>
        <v>480.59046000000001</v>
      </c>
      <c r="O11" s="74" t="s">
        <v>15</v>
      </c>
      <c r="P11" s="307">
        <v>1110268</v>
      </c>
      <c r="Q11" s="308">
        <v>8.9520000000000002E-2</v>
      </c>
      <c r="R11" s="278">
        <f t="shared" si="1"/>
        <v>99391.191359999997</v>
      </c>
    </row>
    <row r="12" spans="2:20" ht="15.6" customHeight="1" thickBot="1">
      <c r="B12" s="297" t="s">
        <v>203</v>
      </c>
      <c r="C12" s="9"/>
      <c r="D12" s="9"/>
      <c r="E12" s="346">
        <f>SUM(E10:E11)</f>
        <v>2221227.5</v>
      </c>
      <c r="F12" s="338"/>
      <c r="G12" s="339"/>
      <c r="H12" s="338"/>
      <c r="I12" s="328"/>
      <c r="J12" s="88"/>
      <c r="K12" s="74" t="s">
        <v>15</v>
      </c>
      <c r="L12" s="307">
        <v>1934595</v>
      </c>
      <c r="M12" s="308">
        <v>8.8349999999999998E-2</v>
      </c>
      <c r="N12" s="278">
        <f t="shared" si="0"/>
        <v>170921.46825000001</v>
      </c>
      <c r="O12" s="74" t="s">
        <v>16</v>
      </c>
      <c r="P12" s="307">
        <v>39804</v>
      </c>
      <c r="Q12" s="308">
        <v>8.9520000000000002E-2</v>
      </c>
      <c r="R12" s="278">
        <f>P12*Q12</f>
        <v>3563.2540800000002</v>
      </c>
    </row>
    <row r="13" spans="2:20" ht="15.6" customHeight="1" thickBot="1">
      <c r="B13" s="298" t="s">
        <v>44</v>
      </c>
      <c r="C13" s="2"/>
      <c r="D13" s="2"/>
      <c r="E13" s="347">
        <f>-E11</f>
        <v>-23484.18</v>
      </c>
      <c r="F13" s="336"/>
      <c r="G13" s="337"/>
      <c r="H13" s="336"/>
      <c r="I13" s="327"/>
      <c r="J13" s="88"/>
      <c r="K13" s="74" t="s">
        <v>16</v>
      </c>
      <c r="L13" s="307">
        <v>36635</v>
      </c>
      <c r="M13" s="308">
        <v>8.8349999999999998E-2</v>
      </c>
      <c r="N13" s="278">
        <f t="shared" si="0"/>
        <v>3236.7022499999998</v>
      </c>
      <c r="O13" s="74" t="s">
        <v>17</v>
      </c>
      <c r="P13" s="307">
        <v>0</v>
      </c>
      <c r="Q13" s="308">
        <v>8.9520000000000002E-2</v>
      </c>
      <c r="R13" s="278">
        <f t="shared" ref="R13:R14" si="2">P13*Q13</f>
        <v>0</v>
      </c>
    </row>
    <row r="14" spans="2:20" ht="15.6" customHeight="1" thickBot="1">
      <c r="B14" s="297" t="s">
        <v>219</v>
      </c>
      <c r="C14" s="299"/>
      <c r="D14" s="299"/>
      <c r="E14" s="346">
        <f>SUM(E12:E13)</f>
        <v>2197743.3199999998</v>
      </c>
      <c r="F14" s="354">
        <f>E14*F8</f>
        <v>1512267.1784920001</v>
      </c>
      <c r="G14" s="355"/>
      <c r="H14" s="354">
        <f>E14*H8</f>
        <v>685476.14150799997</v>
      </c>
      <c r="I14" s="356"/>
      <c r="J14" s="88"/>
      <c r="K14" s="74" t="s">
        <v>17</v>
      </c>
      <c r="L14" s="307">
        <v>0</v>
      </c>
      <c r="M14" s="308">
        <v>5.6399999999999999E-2</v>
      </c>
      <c r="N14" s="278">
        <f t="shared" si="0"/>
        <v>0</v>
      </c>
      <c r="O14" s="74" t="s">
        <v>18</v>
      </c>
      <c r="P14" s="307">
        <v>0</v>
      </c>
      <c r="Q14" s="308">
        <v>8.9520000000000002E-2</v>
      </c>
      <c r="R14" s="278">
        <f t="shared" si="2"/>
        <v>0</v>
      </c>
    </row>
    <row r="15" spans="2:20" ht="15.6" customHeight="1" thickBot="1">
      <c r="B15" s="51"/>
      <c r="C15" s="4"/>
      <c r="D15" s="4"/>
      <c r="E15" s="348"/>
      <c r="F15" s="357"/>
      <c r="G15" s="358"/>
      <c r="H15" s="357"/>
      <c r="I15" s="359"/>
      <c r="J15" s="88"/>
      <c r="K15" s="74" t="s">
        <v>18</v>
      </c>
      <c r="L15" s="307">
        <v>51440</v>
      </c>
      <c r="M15" s="308">
        <v>5.6399999999999999E-2</v>
      </c>
      <c r="N15" s="278">
        <f t="shared" si="0"/>
        <v>2901.2159999999999</v>
      </c>
      <c r="O15" s="73" t="s">
        <v>53</v>
      </c>
      <c r="P15" s="240">
        <f>SUM(P10:P14)</f>
        <v>2643882</v>
      </c>
      <c r="Q15" s="241"/>
      <c r="R15" s="71">
        <f>SUM(R10:R14)</f>
        <v>236680.31664</v>
      </c>
    </row>
    <row r="16" spans="2:20" ht="15.6" customHeight="1" thickTop="1">
      <c r="B16" s="51"/>
      <c r="C16" s="4"/>
      <c r="D16" s="4"/>
      <c r="E16" s="348"/>
      <c r="F16" s="357"/>
      <c r="G16" s="358"/>
      <c r="H16" s="357"/>
      <c r="I16" s="359"/>
      <c r="J16" s="88"/>
      <c r="K16" s="74" t="s">
        <v>33</v>
      </c>
      <c r="L16" s="307">
        <v>2001614</v>
      </c>
      <c r="M16" s="308">
        <v>5.4000000000000001E-4</v>
      </c>
      <c r="N16" s="278">
        <f t="shared" si="0"/>
        <v>1080.87156</v>
      </c>
      <c r="O16" s="74"/>
      <c r="P16" s="309">
        <v>2643882</v>
      </c>
      <c r="Q16" s="65"/>
      <c r="R16" s="242"/>
    </row>
    <row r="17" spans="2:18" ht="15.6" customHeight="1" thickBot="1">
      <c r="B17" s="283" t="s">
        <v>235</v>
      </c>
      <c r="C17" s="79">
        <v>804000</v>
      </c>
      <c r="D17" s="79" t="s">
        <v>199</v>
      </c>
      <c r="E17" s="345">
        <v>9735081.9100000001</v>
      </c>
      <c r="F17" s="360"/>
      <c r="G17" s="358"/>
      <c r="H17" s="357"/>
      <c r="I17" s="359"/>
      <c r="J17" s="88"/>
      <c r="K17" s="73" t="s">
        <v>53</v>
      </c>
      <c r="L17" s="240">
        <f>SUM(L10:L16)</f>
        <v>6769883</v>
      </c>
      <c r="M17" s="6"/>
      <c r="N17" s="71">
        <f>SUM(N10:N16)</f>
        <v>447812.99184000003</v>
      </c>
      <c r="O17" s="74"/>
      <c r="P17" s="231">
        <f>P15-P16</f>
        <v>0</v>
      </c>
      <c r="Q17" s="65" t="s">
        <v>41</v>
      </c>
      <c r="R17" s="72"/>
    </row>
    <row r="18" spans="2:18" ht="15.6" customHeight="1" thickTop="1">
      <c r="B18" s="283" t="s">
        <v>236</v>
      </c>
      <c r="C18" s="79">
        <v>804010</v>
      </c>
      <c r="D18" s="79" t="s">
        <v>199</v>
      </c>
      <c r="E18" s="345">
        <v>76041.210000000006</v>
      </c>
      <c r="F18" s="357"/>
      <c r="G18" s="358"/>
      <c r="H18" s="357"/>
      <c r="I18" s="359"/>
      <c r="J18" s="88"/>
      <c r="K18" s="64"/>
      <c r="L18" s="309">
        <v>6769883</v>
      </c>
      <c r="M18" s="65"/>
      <c r="N18" s="242"/>
      <c r="O18" s="51"/>
      <c r="P18" s="4"/>
      <c r="Q18" s="196"/>
      <c r="R18" s="72"/>
    </row>
    <row r="19" spans="2:18" ht="15.6" customHeight="1">
      <c r="B19" s="283" t="s">
        <v>237</v>
      </c>
      <c r="C19" s="79">
        <v>804017</v>
      </c>
      <c r="D19" s="79" t="s">
        <v>199</v>
      </c>
      <c r="E19" s="345">
        <v>27836.94</v>
      </c>
      <c r="F19" s="357"/>
      <c r="G19" s="358"/>
      <c r="H19" s="357"/>
      <c r="I19" s="359"/>
      <c r="J19" s="88"/>
      <c r="K19" s="51"/>
      <c r="L19" s="379">
        <f>L17-L18</f>
        <v>0</v>
      </c>
      <c r="M19" s="65" t="s">
        <v>41</v>
      </c>
      <c r="N19" s="36"/>
      <c r="O19" s="69"/>
      <c r="P19" s="70"/>
      <c r="Q19" s="4"/>
      <c r="R19" s="72"/>
    </row>
    <row r="20" spans="2:18" ht="15.6" customHeight="1">
      <c r="B20" s="283" t="s">
        <v>238</v>
      </c>
      <c r="C20" s="79">
        <v>804018</v>
      </c>
      <c r="D20" s="79" t="s">
        <v>199</v>
      </c>
      <c r="E20" s="345">
        <v>14252.14</v>
      </c>
      <c r="F20" s="357"/>
      <c r="G20" s="358"/>
      <c r="H20" s="357"/>
      <c r="I20" s="359"/>
      <c r="J20" s="88"/>
      <c r="K20" s="51"/>
      <c r="L20" s="4"/>
      <c r="M20" s="65"/>
      <c r="N20" s="36"/>
      <c r="O20" s="69"/>
      <c r="P20" s="70"/>
      <c r="Q20" s="4"/>
      <c r="R20" s="36"/>
    </row>
    <row r="21" spans="2:18" ht="15.6" customHeight="1">
      <c r="B21" s="283" t="s">
        <v>239</v>
      </c>
      <c r="C21" s="79">
        <v>804600</v>
      </c>
      <c r="D21" s="79" t="s">
        <v>199</v>
      </c>
      <c r="E21" s="345">
        <v>-751048.88</v>
      </c>
      <c r="F21" s="357"/>
      <c r="G21" s="358"/>
      <c r="H21" s="357"/>
      <c r="I21" s="359"/>
      <c r="J21" s="88"/>
      <c r="K21" s="51"/>
      <c r="L21" s="4"/>
      <c r="M21" s="65"/>
      <c r="N21" s="36"/>
      <c r="O21" s="69"/>
      <c r="P21" s="70"/>
      <c r="Q21" s="4"/>
      <c r="R21" s="36"/>
    </row>
    <row r="22" spans="2:18" ht="15.6" customHeight="1">
      <c r="B22" s="283" t="s">
        <v>240</v>
      </c>
      <c r="C22" s="79">
        <v>804730</v>
      </c>
      <c r="D22" s="79" t="s">
        <v>199</v>
      </c>
      <c r="E22" s="345">
        <v>1822488.11</v>
      </c>
      <c r="F22" s="357"/>
      <c r="G22" s="358"/>
      <c r="H22" s="357"/>
      <c r="I22" s="359"/>
      <c r="J22" s="88"/>
      <c r="K22" s="73" t="s">
        <v>54</v>
      </c>
      <c r="L22" s="4"/>
      <c r="M22" s="4"/>
      <c r="N22" s="36"/>
      <c r="O22" s="73" t="s">
        <v>54</v>
      </c>
      <c r="P22" s="68"/>
      <c r="Q22" s="4"/>
      <c r="R22" s="36"/>
    </row>
    <row r="23" spans="2:18" ht="15.6" customHeight="1">
      <c r="B23" s="283" t="s">
        <v>241</v>
      </c>
      <c r="C23" s="79">
        <v>808100</v>
      </c>
      <c r="D23" s="79" t="s">
        <v>199</v>
      </c>
      <c r="E23" s="345">
        <v>2755.2</v>
      </c>
      <c r="F23" s="357"/>
      <c r="G23" s="358"/>
      <c r="H23" s="357"/>
      <c r="I23" s="359"/>
      <c r="J23" s="88"/>
      <c r="K23" s="74" t="s">
        <v>14</v>
      </c>
      <c r="L23" s="279">
        <f>+L10</f>
        <v>2740706</v>
      </c>
      <c r="M23" s="308">
        <v>0.16167000000000001</v>
      </c>
      <c r="N23" s="278">
        <f t="shared" ref="N23:N28" si="3">L23*M23</f>
        <v>443089.93902000005</v>
      </c>
      <c r="O23" s="74" t="s">
        <v>14</v>
      </c>
      <c r="P23" s="279">
        <f>+P10</f>
        <v>1493810</v>
      </c>
      <c r="Q23" s="308">
        <v>0.16148000000000001</v>
      </c>
      <c r="R23" s="278">
        <f t="shared" ref="R23" si="4">P23*Q23</f>
        <v>241220.43880000003</v>
      </c>
    </row>
    <row r="24" spans="2:18" ht="15.6" customHeight="1">
      <c r="B24" s="283" t="s">
        <v>242</v>
      </c>
      <c r="C24" s="79">
        <v>808200</v>
      </c>
      <c r="D24" s="79" t="s">
        <v>199</v>
      </c>
      <c r="E24" s="345">
        <v>-6921186.4900000002</v>
      </c>
      <c r="F24" s="357"/>
      <c r="G24" s="358"/>
      <c r="H24" s="357"/>
      <c r="I24" s="359"/>
      <c r="J24" s="88"/>
      <c r="K24" s="74" t="s">
        <v>93</v>
      </c>
      <c r="L24" s="279">
        <f t="shared" ref="L24:L28" si="5">+L11</f>
        <v>4893</v>
      </c>
      <c r="M24" s="308">
        <v>0.16167000000000001</v>
      </c>
      <c r="N24" s="278">
        <f t="shared" si="3"/>
        <v>791.05131000000006</v>
      </c>
      <c r="O24" s="74" t="s">
        <v>15</v>
      </c>
      <c r="P24" s="279">
        <f t="shared" ref="P24:P27" si="6">+P11</f>
        <v>1110268</v>
      </c>
      <c r="Q24" s="308">
        <v>0.16148000000000001</v>
      </c>
      <c r="R24" s="278">
        <f>P24*Q24</f>
        <v>179286.07664000001</v>
      </c>
    </row>
    <row r="25" spans="2:18" ht="15.6" customHeight="1">
      <c r="B25" s="283" t="s">
        <v>243</v>
      </c>
      <c r="C25" s="79">
        <v>811000</v>
      </c>
      <c r="D25" s="79" t="s">
        <v>199</v>
      </c>
      <c r="E25" s="345">
        <v>-29068.67</v>
      </c>
      <c r="F25" s="357"/>
      <c r="G25" s="358"/>
      <c r="H25" s="357"/>
      <c r="I25" s="359"/>
      <c r="J25" s="88"/>
      <c r="K25" s="74" t="s">
        <v>15</v>
      </c>
      <c r="L25" s="279">
        <f t="shared" si="5"/>
        <v>1934595</v>
      </c>
      <c r="M25" s="308">
        <v>0.16167000000000001</v>
      </c>
      <c r="N25" s="278">
        <f t="shared" si="3"/>
        <v>312765.97365</v>
      </c>
      <c r="O25" s="74" t="s">
        <v>16</v>
      </c>
      <c r="P25" s="279">
        <f t="shared" si="6"/>
        <v>39804</v>
      </c>
      <c r="Q25" s="308">
        <v>0.16148000000000001</v>
      </c>
      <c r="R25" s="278">
        <f t="shared" ref="R25:R27" si="7">P25*Q25</f>
        <v>6427.5499200000004</v>
      </c>
    </row>
    <row r="26" spans="2:18" ht="15.6" customHeight="1">
      <c r="B26" s="283" t="s">
        <v>244</v>
      </c>
      <c r="C26" s="79">
        <v>483000</v>
      </c>
      <c r="D26" s="79" t="s">
        <v>199</v>
      </c>
      <c r="E26" s="345">
        <v>-463068.56</v>
      </c>
      <c r="F26" s="360"/>
      <c r="G26" s="358"/>
      <c r="H26" s="357"/>
      <c r="I26" s="359"/>
      <c r="J26" s="88"/>
      <c r="K26" s="74" t="s">
        <v>16</v>
      </c>
      <c r="L26" s="279">
        <f t="shared" si="5"/>
        <v>36635</v>
      </c>
      <c r="M26" s="308">
        <v>0.16167000000000001</v>
      </c>
      <c r="N26" s="278">
        <f t="shared" si="3"/>
        <v>5922.7804500000002</v>
      </c>
      <c r="O26" s="74" t="s">
        <v>17</v>
      </c>
      <c r="P26" s="279">
        <f t="shared" si="6"/>
        <v>0</v>
      </c>
      <c r="Q26" s="308">
        <v>0.16148000000000001</v>
      </c>
      <c r="R26" s="278">
        <f t="shared" si="7"/>
        <v>0</v>
      </c>
    </row>
    <row r="27" spans="2:18" ht="15.6" customHeight="1">
      <c r="B27" s="283" t="s">
        <v>245</v>
      </c>
      <c r="C27" s="79">
        <v>483600</v>
      </c>
      <c r="D27" s="79" t="s">
        <v>199</v>
      </c>
      <c r="E27" s="345">
        <v>362745</v>
      </c>
      <c r="F27" s="357"/>
      <c r="G27" s="358"/>
      <c r="H27" s="357"/>
      <c r="I27" s="359"/>
      <c r="J27" s="88"/>
      <c r="K27" s="74" t="s">
        <v>17</v>
      </c>
      <c r="L27" s="279">
        <f t="shared" si="5"/>
        <v>0</v>
      </c>
      <c r="M27" s="308">
        <v>0.16167000000000001</v>
      </c>
      <c r="N27" s="278">
        <f t="shared" si="3"/>
        <v>0</v>
      </c>
      <c r="O27" s="74" t="s">
        <v>18</v>
      </c>
      <c r="P27" s="279">
        <f t="shared" si="6"/>
        <v>0</v>
      </c>
      <c r="Q27" s="308">
        <v>0.16148000000000001</v>
      </c>
      <c r="R27" s="278">
        <f t="shared" si="7"/>
        <v>0</v>
      </c>
    </row>
    <row r="28" spans="2:18" ht="15.6" customHeight="1" thickBot="1">
      <c r="B28" s="283" t="s">
        <v>246</v>
      </c>
      <c r="C28" s="79">
        <v>483730</v>
      </c>
      <c r="D28" s="79" t="s">
        <v>199</v>
      </c>
      <c r="E28" s="345">
        <v>-2225410.06</v>
      </c>
      <c r="F28" s="357"/>
      <c r="G28" s="358"/>
      <c r="H28" s="357"/>
      <c r="I28" s="359"/>
      <c r="J28" s="88"/>
      <c r="K28" s="74" t="s">
        <v>18</v>
      </c>
      <c r="L28" s="279">
        <f t="shared" si="5"/>
        <v>51440</v>
      </c>
      <c r="M28" s="308">
        <v>0.16167000000000001</v>
      </c>
      <c r="N28" s="278">
        <f t="shared" si="3"/>
        <v>8316.3047999999999</v>
      </c>
      <c r="O28" s="73" t="s">
        <v>58</v>
      </c>
      <c r="P28" s="240">
        <f>SUM(P23:P27)</f>
        <v>2643882</v>
      </c>
      <c r="Q28" s="241"/>
      <c r="R28" s="71">
        <f>SUM(R23:R27)</f>
        <v>426934.06536000007</v>
      </c>
    </row>
    <row r="29" spans="2:18" ht="15.6" customHeight="1" thickTop="1" thickBot="1">
      <c r="B29" s="283" t="s">
        <v>247</v>
      </c>
      <c r="C29" s="79">
        <v>495028</v>
      </c>
      <c r="D29" s="79" t="s">
        <v>199</v>
      </c>
      <c r="E29" s="345">
        <v>-468750</v>
      </c>
      <c r="F29" s="357"/>
      <c r="G29" s="358"/>
      <c r="H29" s="357"/>
      <c r="I29" s="359"/>
      <c r="J29" s="88"/>
      <c r="K29" s="73" t="s">
        <v>58</v>
      </c>
      <c r="L29" s="240">
        <f>SUM(L23:L28)</f>
        <v>4768269</v>
      </c>
      <c r="M29" s="241"/>
      <c r="N29" s="250">
        <f>SUM(N23:N28)</f>
        <v>770886.04923</v>
      </c>
      <c r="O29" s="73"/>
      <c r="P29" s="309">
        <v>2643882</v>
      </c>
      <c r="Q29" s="65"/>
      <c r="R29" s="247"/>
    </row>
    <row r="30" spans="2:18" ht="15.6" customHeight="1" thickTop="1">
      <c r="B30" s="283" t="s">
        <v>197</v>
      </c>
      <c r="C30" s="79">
        <v>495100</v>
      </c>
      <c r="D30" s="79" t="s">
        <v>199</v>
      </c>
      <c r="E30" s="345">
        <v>0</v>
      </c>
      <c r="F30" s="361"/>
      <c r="G30" s="362"/>
      <c r="H30" s="361"/>
      <c r="I30" s="363"/>
      <c r="J30" s="88"/>
      <c r="K30" s="64"/>
      <c r="L30" s="309">
        <v>4768269</v>
      </c>
      <c r="M30" s="65"/>
      <c r="N30" s="251"/>
      <c r="O30" s="73"/>
      <c r="P30" s="231">
        <f>P28-P29</f>
        <v>0</v>
      </c>
      <c r="Q30" s="65" t="s">
        <v>41</v>
      </c>
      <c r="R30" s="72"/>
    </row>
    <row r="31" spans="2:18" ht="15.6" customHeight="1" thickBot="1">
      <c r="B31" s="301" t="s">
        <v>47</v>
      </c>
      <c r="C31" s="79"/>
      <c r="D31" s="79"/>
      <c r="E31" s="347">
        <f>-E13</f>
        <v>23484.18</v>
      </c>
      <c r="F31" s="357"/>
      <c r="G31" s="358"/>
      <c r="H31" s="357"/>
      <c r="I31" s="359"/>
      <c r="J31" s="88"/>
      <c r="K31" s="66"/>
      <c r="L31" s="248">
        <f>L29-L30</f>
        <v>0</v>
      </c>
      <c r="M31" s="67" t="s">
        <v>41</v>
      </c>
      <c r="N31" s="249"/>
      <c r="O31" s="252"/>
      <c r="P31" s="253"/>
      <c r="Q31" s="254"/>
      <c r="R31" s="255"/>
    </row>
    <row r="32" spans="2:18" ht="15.6" customHeight="1" thickBot="1">
      <c r="B32" s="297" t="s">
        <v>48</v>
      </c>
      <c r="C32" s="4"/>
      <c r="D32" s="4"/>
      <c r="E32" s="346">
        <f>SUM(E17:E31)</f>
        <v>1206152.0299999986</v>
      </c>
      <c r="F32" s="364"/>
      <c r="G32" s="337">
        <f>E32*G8</f>
        <v>775917.60089899914</v>
      </c>
      <c r="H32" s="228"/>
      <c r="I32" s="327">
        <f>E32*I8</f>
        <v>430234.42910099955</v>
      </c>
      <c r="J32" s="88"/>
    </row>
    <row r="33" spans="1:20" ht="15.6" customHeight="1">
      <c r="B33" s="283" t="s">
        <v>194</v>
      </c>
      <c r="C33" s="79">
        <v>495100</v>
      </c>
      <c r="D33" s="4" t="s">
        <v>204</v>
      </c>
      <c r="E33" s="345">
        <v>0</v>
      </c>
      <c r="F33" s="361"/>
      <c r="G33" s="337">
        <f>E33</f>
        <v>0</v>
      </c>
      <c r="H33" s="228"/>
      <c r="I33" s="327"/>
      <c r="J33" s="88"/>
      <c r="K33" s="311" t="s">
        <v>32</v>
      </c>
      <c r="L33" s="7" t="s">
        <v>12</v>
      </c>
      <c r="M33" s="7" t="s">
        <v>12</v>
      </c>
      <c r="N33" s="7" t="s">
        <v>22</v>
      </c>
      <c r="O33" s="7" t="s">
        <v>22</v>
      </c>
      <c r="P33" s="312"/>
      <c r="Q33" s="2"/>
    </row>
    <row r="34" spans="1:20" ht="15.6" customHeight="1" thickBot="1">
      <c r="B34" s="302" t="s">
        <v>172</v>
      </c>
      <c r="C34" s="79">
        <v>495100</v>
      </c>
      <c r="D34" s="4" t="s">
        <v>205</v>
      </c>
      <c r="E34" s="345">
        <v>0</v>
      </c>
      <c r="F34" s="361"/>
      <c r="G34" s="337"/>
      <c r="H34" s="228"/>
      <c r="I34" s="327">
        <f>E34</f>
        <v>0</v>
      </c>
      <c r="J34" s="88"/>
      <c r="K34" s="295"/>
      <c r="L34" s="46" t="s">
        <v>2</v>
      </c>
      <c r="M34" s="46" t="s">
        <v>1</v>
      </c>
      <c r="N34" s="46" t="s">
        <v>2</v>
      </c>
      <c r="O34" s="46" t="s">
        <v>1</v>
      </c>
      <c r="P34" s="322" t="s">
        <v>212</v>
      </c>
      <c r="Q34" s="2"/>
    </row>
    <row r="35" spans="1:20" ht="15.6" customHeight="1">
      <c r="B35" s="64" t="s">
        <v>206</v>
      </c>
      <c r="C35" s="79">
        <v>804000</v>
      </c>
      <c r="D35" s="4" t="s">
        <v>204</v>
      </c>
      <c r="E35" s="345">
        <v>-59607.33</v>
      </c>
      <c r="F35" s="357"/>
      <c r="G35" s="337">
        <f>E35</f>
        <v>-59607.33</v>
      </c>
      <c r="H35" s="228"/>
      <c r="I35" s="327"/>
      <c r="J35" s="88"/>
      <c r="K35" s="51" t="s">
        <v>214</v>
      </c>
      <c r="L35" s="230">
        <f>$F$39</f>
        <v>1512267.1784920001</v>
      </c>
      <c r="M35" s="230">
        <f>G39</f>
        <v>716310.27089899918</v>
      </c>
      <c r="N35" s="230">
        <f>$H$39</f>
        <v>685476.14150799997</v>
      </c>
      <c r="O35" s="230">
        <f>I39</f>
        <v>398023.84910099953</v>
      </c>
      <c r="P35" s="321">
        <f>SUM(L35:O35)-E39</f>
        <v>0</v>
      </c>
      <c r="Q35" s="2"/>
    </row>
    <row r="36" spans="1:20" ht="15.6" customHeight="1" thickBot="1">
      <c r="B36" s="64" t="s">
        <v>207</v>
      </c>
      <c r="C36" s="79">
        <v>804000</v>
      </c>
      <c r="D36" s="4" t="s">
        <v>205</v>
      </c>
      <c r="E36" s="345">
        <v>-32210.58</v>
      </c>
      <c r="F36" s="357"/>
      <c r="G36" s="337"/>
      <c r="H36" s="228"/>
      <c r="I36" s="327">
        <f>E36</f>
        <v>-32210.58</v>
      </c>
      <c r="J36" s="88"/>
      <c r="K36" s="51" t="s">
        <v>217</v>
      </c>
      <c r="L36" s="310">
        <f>-$N$17</f>
        <v>-447812.99184000003</v>
      </c>
      <c r="M36" s="310">
        <f>-N29</f>
        <v>-770886.04923</v>
      </c>
      <c r="N36" s="310">
        <f>-$R$15</f>
        <v>-236680.31664</v>
      </c>
      <c r="O36" s="310">
        <f>-R28</f>
        <v>-426934.06536000007</v>
      </c>
      <c r="P36" s="321">
        <f>SUM(L36:O36)+N17+N29+R15+R28</f>
        <v>0</v>
      </c>
      <c r="Q36" s="2"/>
    </row>
    <row r="37" spans="1:20" ht="15.6" customHeight="1" thickBot="1">
      <c r="B37" s="297" t="s">
        <v>220</v>
      </c>
      <c r="C37" s="79"/>
      <c r="D37" s="4"/>
      <c r="E37" s="346">
        <f>SUM(E32:E36)</f>
        <v>1114334.1199999985</v>
      </c>
      <c r="F37" s="338"/>
      <c r="G37" s="340"/>
      <c r="H37" s="338"/>
      <c r="I37" s="300"/>
      <c r="J37" s="88"/>
      <c r="K37" s="297" t="s">
        <v>215</v>
      </c>
      <c r="L37" s="245">
        <f t="shared" ref="L37:O37" si="8">SUM(L35:L36)</f>
        <v>1064454.1866520001</v>
      </c>
      <c r="M37" s="245">
        <f>SUM(M35:M36)</f>
        <v>-54575.778331000824</v>
      </c>
      <c r="N37" s="245">
        <f t="shared" si="8"/>
        <v>448795.824868</v>
      </c>
      <c r="O37" s="245">
        <f t="shared" si="8"/>
        <v>-28910.216259000532</v>
      </c>
      <c r="P37" s="313"/>
      <c r="Q37" s="2"/>
    </row>
    <row r="38" spans="1:20" ht="15.6" customHeight="1" thickBot="1">
      <c r="B38" s="51"/>
      <c r="C38" s="29"/>
      <c r="D38" s="29"/>
      <c r="E38" s="350"/>
      <c r="F38" s="341"/>
      <c r="G38" s="342"/>
      <c r="H38" s="341"/>
      <c r="I38" s="303"/>
      <c r="J38" s="88"/>
      <c r="K38" s="314"/>
      <c r="L38" s="263"/>
      <c r="M38" s="9"/>
      <c r="N38" s="2"/>
      <c r="O38" s="318"/>
      <c r="P38" s="315"/>
      <c r="Q38" s="2"/>
    </row>
    <row r="39" spans="1:20" ht="15.6" customHeight="1" thickBot="1">
      <c r="B39" s="304" t="s">
        <v>211</v>
      </c>
      <c r="C39" s="305"/>
      <c r="D39" s="305"/>
      <c r="E39" s="346">
        <f>E37+E14</f>
        <v>3312077.4399999985</v>
      </c>
      <c r="F39" s="352">
        <f>SUM(F14:F37)</f>
        <v>1512267.1784920001</v>
      </c>
      <c r="G39" s="353">
        <f t="shared" ref="G39:I39" si="9">SUM(G14:G37)</f>
        <v>716310.27089899918</v>
      </c>
      <c r="H39" s="352">
        <f t="shared" si="9"/>
        <v>685476.14150799997</v>
      </c>
      <c r="I39" s="306">
        <f t="shared" si="9"/>
        <v>398023.84910099953</v>
      </c>
      <c r="J39" s="88"/>
      <c r="K39" s="316"/>
      <c r="L39" s="319" t="s">
        <v>76</v>
      </c>
      <c r="M39" s="317">
        <f>SUM(L37:M37)</f>
        <v>1009878.4083209992</v>
      </c>
      <c r="N39" s="320" t="s">
        <v>77</v>
      </c>
      <c r="O39" s="317">
        <f>SUM(N37:O37)</f>
        <v>419885.60860899946</v>
      </c>
      <c r="P39" s="83"/>
      <c r="Q39" s="2"/>
    </row>
    <row r="40" spans="1:20" ht="15.6" customHeight="1">
      <c r="B40" s="88"/>
      <c r="C40" s="30"/>
      <c r="D40" s="30"/>
      <c r="E40" s="194"/>
      <c r="F40" s="194"/>
      <c r="G40" s="194"/>
      <c r="H40" s="194"/>
      <c r="I40" s="194"/>
      <c r="J40" s="88"/>
      <c r="M40" s="81"/>
      <c r="Q40" s="2"/>
    </row>
    <row r="41" spans="1:20" ht="15.6" customHeight="1">
      <c r="A41" s="88"/>
      <c r="B41" s="370" t="s">
        <v>223</v>
      </c>
      <c r="C41" s="369"/>
      <c r="D41" s="31" t="s">
        <v>222</v>
      </c>
      <c r="E41" s="287">
        <v>3312077.44</v>
      </c>
      <c r="F41" s="194"/>
      <c r="G41" s="194"/>
      <c r="H41" s="194"/>
      <c r="I41" s="194"/>
      <c r="J41" s="88"/>
      <c r="P41" s="3"/>
    </row>
    <row r="42" spans="1:20" ht="15.6" customHeight="1">
      <c r="B42" s="291"/>
      <c r="C42" s="291"/>
      <c r="D42" s="31" t="s">
        <v>71</v>
      </c>
      <c r="E42" s="228">
        <f>ROUND(E39-E41,2)</f>
        <v>0</v>
      </c>
      <c r="F42" s="326"/>
      <c r="G42" s="326"/>
      <c r="H42" s="326"/>
      <c r="I42" s="326"/>
    </row>
    <row r="43" spans="1:20" ht="15.6" customHeight="1">
      <c r="B43" s="291"/>
      <c r="C43" s="291"/>
      <c r="E43" s="260"/>
      <c r="F43" s="326"/>
      <c r="G43" s="326"/>
      <c r="H43" s="326"/>
      <c r="I43" s="326"/>
    </row>
    <row r="44" spans="1:20" ht="15.6" customHeight="1" thickBot="1">
      <c r="B44" s="291"/>
      <c r="C44" s="291"/>
      <c r="E44" s="260"/>
      <c r="F44" s="326"/>
      <c r="G44" s="326"/>
      <c r="H44" s="326"/>
      <c r="I44" s="326"/>
    </row>
    <row r="45" spans="1:20" ht="15.6" customHeight="1" thickBot="1">
      <c r="B45" s="291"/>
      <c r="C45" s="291"/>
      <c r="E45" s="385" t="s">
        <v>213</v>
      </c>
      <c r="F45" s="386"/>
      <c r="G45" s="326"/>
      <c r="H45" s="326"/>
      <c r="I45" s="326"/>
    </row>
    <row r="46" spans="1:20" ht="15.6" customHeight="1">
      <c r="B46" s="291"/>
      <c r="C46" s="291"/>
      <c r="E46" s="283" t="s">
        <v>78</v>
      </c>
      <c r="F46" s="324" t="s">
        <v>79</v>
      </c>
      <c r="G46" s="326"/>
      <c r="H46" s="326"/>
      <c r="I46" s="326"/>
    </row>
    <row r="47" spans="1:20" ht="15.75" thickBot="1">
      <c r="E47" s="325" t="e">
        <f>SUM('191010 WA DEF'!E36:E45)+SUM('191000 WA Amort'!H36:H45)+SUM(#REF!)+SUM(#REF!)</f>
        <v>#REF!</v>
      </c>
      <c r="F47" s="323" t="e">
        <f>-E47</f>
        <v>#REF!</v>
      </c>
    </row>
    <row r="48" spans="1:20">
      <c r="E48" s="373"/>
      <c r="F48" s="373"/>
      <c r="T48" s="88"/>
    </row>
    <row r="49" spans="1:20" s="88" customFormat="1">
      <c r="A49" s="87"/>
      <c r="B49" s="87"/>
      <c r="C49" s="87"/>
      <c r="D49" s="87"/>
      <c r="E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1:20" s="88" customFormat="1">
      <c r="A50" s="87"/>
      <c r="B50" s="87"/>
      <c r="C50" s="87"/>
      <c r="D50" s="87"/>
      <c r="E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1:20" s="88" customFormat="1">
      <c r="A51" s="87"/>
      <c r="B51" s="87"/>
      <c r="C51" s="87"/>
      <c r="D51" s="87"/>
      <c r="E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1:20" s="88" customFormat="1">
      <c r="A52" s="87"/>
      <c r="B52" s="87"/>
      <c r="C52" s="87"/>
      <c r="D52" s="87"/>
      <c r="E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1:20" s="88" customFormat="1">
      <c r="A53" s="87"/>
      <c r="B53" s="87"/>
      <c r="C53" s="87"/>
      <c r="D53" s="87"/>
      <c r="E53" s="87"/>
      <c r="J53" s="87"/>
      <c r="K53" s="87"/>
      <c r="L53" s="87"/>
      <c r="M53" s="87"/>
      <c r="N53" s="87"/>
      <c r="O53" s="87"/>
      <c r="P53" s="87"/>
      <c r="Q53" s="87"/>
      <c r="R53" s="87"/>
    </row>
    <row r="54" spans="1:20" s="88" customFormat="1">
      <c r="A54" s="87"/>
      <c r="B54" s="87"/>
      <c r="C54" s="87"/>
      <c r="D54" s="87"/>
      <c r="E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1:20" s="88" customFormat="1">
      <c r="A55" s="87"/>
      <c r="B55" s="87"/>
      <c r="C55" s="87"/>
      <c r="D55" s="87"/>
      <c r="E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1:20" s="88" customFormat="1">
      <c r="A56" s="87"/>
      <c r="B56" s="87"/>
      <c r="C56" s="87"/>
      <c r="D56" s="87"/>
      <c r="E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1:20" s="88" customFormat="1">
      <c r="A57" s="87"/>
      <c r="B57" s="87"/>
      <c r="C57" s="87"/>
      <c r="D57" s="87"/>
      <c r="E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1:20" s="88" customFormat="1">
      <c r="A58" s="87"/>
      <c r="B58" s="87"/>
      <c r="C58" s="87"/>
      <c r="D58" s="87"/>
      <c r="E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1:20" s="88" customFormat="1">
      <c r="A59" s="87"/>
      <c r="B59" s="87"/>
      <c r="C59" s="87"/>
      <c r="D59" s="87"/>
      <c r="E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1:20" s="88" customFormat="1">
      <c r="A60" s="87"/>
      <c r="B60" s="87"/>
      <c r="C60" s="87"/>
      <c r="D60" s="87"/>
      <c r="E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1:20" s="88" customFormat="1">
      <c r="A61" s="87"/>
      <c r="B61" s="87"/>
      <c r="C61" s="87"/>
      <c r="D61" s="87"/>
      <c r="E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1:20" s="88" customFormat="1">
      <c r="A62" s="87"/>
      <c r="B62" s="87"/>
      <c r="C62" s="87"/>
      <c r="D62" s="87"/>
      <c r="E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1:20" s="88" customFormat="1">
      <c r="A63" s="87"/>
      <c r="B63" s="87"/>
      <c r="C63" s="87"/>
      <c r="D63" s="87"/>
      <c r="E63" s="87"/>
      <c r="J63" s="87"/>
      <c r="K63" s="87"/>
      <c r="L63" s="87"/>
      <c r="M63" s="87"/>
      <c r="N63" s="87"/>
      <c r="O63" s="87"/>
      <c r="P63" s="87"/>
      <c r="Q63" s="87"/>
      <c r="R63" s="87"/>
      <c r="T63" s="87"/>
    </row>
    <row r="1387" spans="1:20">
      <c r="T1387" s="15"/>
    </row>
    <row r="1388" spans="1:20" s="15" customFormat="1">
      <c r="A1388" s="87"/>
      <c r="B1388" s="87"/>
      <c r="C1388" s="87"/>
      <c r="D1388" s="87">
        <v>-2130</v>
      </c>
      <c r="F1388" s="88"/>
      <c r="G1388" s="88"/>
      <c r="H1388" s="88"/>
      <c r="I1388" s="88"/>
      <c r="J1388" s="87"/>
      <c r="K1388" s="87"/>
      <c r="L1388" s="87"/>
      <c r="M1388" s="87"/>
      <c r="N1388" s="87"/>
      <c r="O1388" s="87"/>
      <c r="P1388" s="87"/>
      <c r="Q1388" s="87"/>
      <c r="R1388" s="87"/>
      <c r="T1388" s="87"/>
    </row>
    <row r="1395" spans="1:20">
      <c r="T1395" s="15"/>
    </row>
    <row r="1396" spans="1:20" s="15" customFormat="1">
      <c r="A1396" s="87"/>
      <c r="B1396" s="87"/>
      <c r="C1396" s="87"/>
      <c r="D1396" s="87">
        <f>7004298-2130</f>
        <v>7002168</v>
      </c>
      <c r="F1396" s="88"/>
      <c r="G1396" s="88"/>
      <c r="H1396" s="88"/>
      <c r="I1396" s="88"/>
      <c r="J1396" s="87"/>
      <c r="K1396" s="87"/>
      <c r="L1396" s="87"/>
      <c r="M1396" s="87"/>
      <c r="N1396" s="87"/>
      <c r="O1396" s="87"/>
      <c r="P1396" s="87"/>
      <c r="Q1396" s="87"/>
      <c r="R1396" s="87"/>
      <c r="T1396" s="87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07" priority="27" operator="equal">
      <formula>"ERROR"</formula>
    </cfRule>
  </conditionalFormatting>
  <conditionalFormatting sqref="D43:D46">
    <cfRule type="cellIs" dxfId="106" priority="26" operator="equal">
      <formula>"ERROR"</formula>
    </cfRule>
  </conditionalFormatting>
  <conditionalFormatting sqref="P31">
    <cfRule type="cellIs" dxfId="105" priority="25" operator="notEqual">
      <formula>0</formula>
    </cfRule>
  </conditionalFormatting>
  <conditionalFormatting sqref="L19">
    <cfRule type="cellIs" dxfId="104" priority="23" stopIfTrue="1" operator="equal">
      <formula>0</formula>
    </cfRule>
    <cfRule type="cellIs" dxfId="103" priority="24" stopIfTrue="1" operator="notEqual">
      <formula>0</formula>
    </cfRule>
  </conditionalFormatting>
  <conditionalFormatting sqref="L19">
    <cfRule type="cellIs" dxfId="102" priority="21" stopIfTrue="1" operator="equal">
      <formula>0</formula>
    </cfRule>
    <cfRule type="cellIs" dxfId="101" priority="22" stopIfTrue="1" operator="notEqual">
      <formula>0</formula>
    </cfRule>
  </conditionalFormatting>
  <conditionalFormatting sqref="L31">
    <cfRule type="cellIs" dxfId="100" priority="19" stopIfTrue="1" operator="equal">
      <formula>0</formula>
    </cfRule>
    <cfRule type="cellIs" dxfId="99" priority="20" stopIfTrue="1" operator="notEqual">
      <formula>0</formula>
    </cfRule>
  </conditionalFormatting>
  <conditionalFormatting sqref="L31">
    <cfRule type="cellIs" dxfId="98" priority="17" stopIfTrue="1" operator="equal">
      <formula>0</formula>
    </cfRule>
    <cfRule type="cellIs" dxfId="97" priority="18" stopIfTrue="1" operator="notEqual">
      <formula>0</formula>
    </cfRule>
  </conditionalFormatting>
  <conditionalFormatting sqref="P17">
    <cfRule type="cellIs" dxfId="96" priority="15" stopIfTrue="1" operator="equal">
      <formula>0</formula>
    </cfRule>
    <cfRule type="cellIs" dxfId="95" priority="16" stopIfTrue="1" operator="notEqual">
      <formula>0</formula>
    </cfRule>
  </conditionalFormatting>
  <conditionalFormatting sqref="P17">
    <cfRule type="cellIs" dxfId="94" priority="13" stopIfTrue="1" operator="equal">
      <formula>0</formula>
    </cfRule>
    <cfRule type="cellIs" dxfId="93" priority="14" stopIfTrue="1" operator="notEqual">
      <formula>0</formula>
    </cfRule>
  </conditionalFormatting>
  <conditionalFormatting sqref="P30">
    <cfRule type="cellIs" dxfId="92" priority="11" stopIfTrue="1" operator="equal">
      <formula>0</formula>
    </cfRule>
    <cfRule type="cellIs" dxfId="91" priority="12" stopIfTrue="1" operator="notEqual">
      <formula>0</formula>
    </cfRule>
  </conditionalFormatting>
  <conditionalFormatting sqref="P30">
    <cfRule type="cellIs" dxfId="90" priority="9" stopIfTrue="1" operator="equal">
      <formula>0</formula>
    </cfRule>
    <cfRule type="cellIs" dxfId="89" priority="10" stopIfTrue="1" operator="notEqual">
      <formula>0</formula>
    </cfRule>
  </conditionalFormatting>
  <conditionalFormatting sqref="P35:P36">
    <cfRule type="cellIs" dxfId="88" priority="7" stopIfTrue="1" operator="equal">
      <formula>0</formula>
    </cfRule>
    <cfRule type="cellIs" dxfId="87" priority="8" stopIfTrue="1" operator="notEqual">
      <formula>0</formula>
    </cfRule>
  </conditionalFormatting>
  <conditionalFormatting sqref="P35:P36">
    <cfRule type="cellIs" dxfId="86" priority="5" stopIfTrue="1" operator="equal">
      <formula>0</formula>
    </cfRule>
    <cfRule type="cellIs" dxfId="85" priority="6" stopIfTrue="1" operator="notEqual">
      <formula>0</formula>
    </cfRule>
  </conditionalFormatting>
  <conditionalFormatting sqref="E42">
    <cfRule type="cellIs" dxfId="84" priority="3" stopIfTrue="1" operator="equal">
      <formula>0</formula>
    </cfRule>
    <cfRule type="cellIs" dxfId="83" priority="4" stopIfTrue="1" operator="notEqual">
      <formula>0</formula>
    </cfRule>
  </conditionalFormatting>
  <conditionalFormatting sqref="E42">
    <cfRule type="cellIs" dxfId="82" priority="1" stopIfTrue="1" operator="equal">
      <formula>0</formula>
    </cfRule>
    <cfRule type="cellIs" dxfId="81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055F3-6EE9-45E8-8C95-40B58A2C1C7D}">
  <sheetPr>
    <pageSetUpPr fitToPage="1"/>
  </sheetPr>
  <dimension ref="A1:T1396"/>
  <sheetViews>
    <sheetView topLeftCell="A4" zoomScale="60" zoomScaleNormal="60" workbookViewId="0">
      <selection activeCell="G43" sqref="G43"/>
    </sheetView>
  </sheetViews>
  <sheetFormatPr defaultColWidth="16" defaultRowHeight="15"/>
  <cols>
    <col min="1" max="1" width="2.85546875" style="87" customWidth="1"/>
    <col min="2" max="2" width="48.7109375" style="87" bestFit="1" customWidth="1"/>
    <col min="3" max="3" width="11.5703125" style="87" customWidth="1"/>
    <col min="4" max="4" width="10.7109375" style="87" customWidth="1"/>
    <col min="5" max="5" width="18.7109375" style="15" bestFit="1" customWidth="1"/>
    <col min="6" max="6" width="17.5703125" style="88" customWidth="1"/>
    <col min="7" max="7" width="18.5703125" style="88" bestFit="1" customWidth="1"/>
    <col min="8" max="9" width="17.5703125" style="88" customWidth="1"/>
    <col min="10" max="10" width="4.85546875" style="87" bestFit="1" customWidth="1"/>
    <col min="11" max="11" width="22.28515625" style="87" bestFit="1" customWidth="1"/>
    <col min="12" max="18" width="18.140625" style="87" customWidth="1"/>
    <col min="19" max="19" width="5.140625" style="87" customWidth="1"/>
    <col min="20" max="20" width="41.5703125" style="87" bestFit="1" customWidth="1"/>
    <col min="21" max="16384" width="16" style="87"/>
  </cols>
  <sheetData>
    <row r="1" spans="2:20" ht="15.6" customHeight="1">
      <c r="B1" s="285" t="s">
        <v>218</v>
      </c>
      <c r="C1" s="286">
        <v>202107</v>
      </c>
      <c r="D1" s="284"/>
      <c r="E1" s="204"/>
      <c r="F1" s="204"/>
      <c r="G1" s="204"/>
      <c r="H1" s="204"/>
      <c r="I1" s="204"/>
      <c r="K1" s="280" t="s">
        <v>200</v>
      </c>
      <c r="L1" s="288" t="s">
        <v>201</v>
      </c>
      <c r="N1" s="390"/>
      <c r="O1" s="390"/>
      <c r="T1" s="377" t="s">
        <v>226</v>
      </c>
    </row>
    <row r="2" spans="2:20" ht="15.6" customHeight="1">
      <c r="D2" s="204"/>
      <c r="E2" s="204"/>
      <c r="F2" s="204"/>
      <c r="G2" s="204"/>
      <c r="H2" s="204"/>
      <c r="I2" s="204"/>
      <c r="K2" s="281"/>
      <c r="L2" s="282" t="s">
        <v>202</v>
      </c>
      <c r="N2" s="372"/>
      <c r="O2" s="372"/>
      <c r="T2" s="378" t="s">
        <v>227</v>
      </c>
    </row>
    <row r="3" spans="2:20" ht="15.6" customHeight="1">
      <c r="D3" s="204"/>
      <c r="E3" s="204"/>
      <c r="F3" s="204"/>
      <c r="G3" s="204"/>
      <c r="H3" s="204"/>
      <c r="I3" s="204"/>
      <c r="K3" s="281"/>
      <c r="L3" s="289"/>
      <c r="N3" s="373"/>
      <c r="O3" s="373"/>
      <c r="T3" s="378" t="s">
        <v>228</v>
      </c>
    </row>
    <row r="4" spans="2:20" ht="15.6" customHeight="1" thickBot="1">
      <c r="D4" s="204"/>
      <c r="E4" s="204"/>
      <c r="F4" s="204"/>
      <c r="G4" s="204"/>
      <c r="H4" s="204"/>
      <c r="I4" s="204"/>
      <c r="K4" s="281"/>
      <c r="L4" s="289"/>
      <c r="T4" s="378" t="s">
        <v>229</v>
      </c>
    </row>
    <row r="5" spans="2:20" ht="15.6" customHeight="1" thickBot="1">
      <c r="B5" s="294"/>
      <c r="C5" s="50"/>
      <c r="D5" s="50"/>
      <c r="E5" s="351" t="s">
        <v>28</v>
      </c>
      <c r="F5" s="387" t="s">
        <v>59</v>
      </c>
      <c r="G5" s="388"/>
      <c r="H5" s="387" t="s">
        <v>60</v>
      </c>
      <c r="I5" s="389"/>
      <c r="J5" s="88"/>
      <c r="K5" s="382" t="s">
        <v>59</v>
      </c>
      <c r="L5" s="383"/>
      <c r="M5" s="383"/>
      <c r="N5" s="384"/>
      <c r="O5" s="382" t="s">
        <v>60</v>
      </c>
      <c r="P5" s="383"/>
      <c r="Q5" s="383"/>
      <c r="R5" s="384"/>
      <c r="T5" s="378" t="s">
        <v>230</v>
      </c>
    </row>
    <row r="6" spans="2:20" ht="15.6" customHeight="1" thickBot="1">
      <c r="B6" s="295" t="s">
        <v>31</v>
      </c>
      <c r="C6" s="4"/>
      <c r="D6" s="4"/>
      <c r="E6" s="343" t="s">
        <v>216</v>
      </c>
      <c r="F6" s="330" t="s">
        <v>2</v>
      </c>
      <c r="G6" s="331" t="s">
        <v>1</v>
      </c>
      <c r="H6" s="330" t="s">
        <v>2</v>
      </c>
      <c r="I6" s="329" t="s">
        <v>1</v>
      </c>
      <c r="J6" s="88"/>
      <c r="K6" s="211" t="s">
        <v>42</v>
      </c>
      <c r="L6" s="205" t="s">
        <v>10</v>
      </c>
      <c r="M6" s="205" t="s">
        <v>10</v>
      </c>
      <c r="N6" s="205" t="s">
        <v>10</v>
      </c>
      <c r="O6" s="211" t="s">
        <v>42</v>
      </c>
      <c r="P6" s="205" t="s">
        <v>10</v>
      </c>
      <c r="Q6" s="205" t="s">
        <v>10</v>
      </c>
      <c r="R6" s="274" t="s">
        <v>10</v>
      </c>
      <c r="T6" s="378" t="s">
        <v>231</v>
      </c>
    </row>
    <row r="7" spans="2:20" ht="15.6" customHeight="1" thickBot="1">
      <c r="B7" s="51"/>
      <c r="C7" s="4"/>
      <c r="D7" s="4"/>
      <c r="E7" s="344"/>
      <c r="F7" s="332"/>
      <c r="G7" s="333"/>
      <c r="H7" s="332"/>
      <c r="I7" s="36"/>
      <c r="J7" s="88"/>
      <c r="K7" s="212" t="s">
        <v>72</v>
      </c>
      <c r="L7" s="207" t="s">
        <v>40</v>
      </c>
      <c r="M7" s="207" t="s">
        <v>13</v>
      </c>
      <c r="N7" s="207" t="s">
        <v>11</v>
      </c>
      <c r="O7" s="212" t="s">
        <v>72</v>
      </c>
      <c r="P7" s="207" t="s">
        <v>40</v>
      </c>
      <c r="Q7" s="207" t="s">
        <v>13</v>
      </c>
      <c r="R7" s="207" t="s">
        <v>11</v>
      </c>
      <c r="T7" s="378" t="s">
        <v>232</v>
      </c>
    </row>
    <row r="8" spans="2:20" ht="15.6" customHeight="1">
      <c r="B8" s="51"/>
      <c r="C8" s="4"/>
      <c r="D8" s="4"/>
      <c r="E8" s="365">
        <f>F8+H8</f>
        <v>1</v>
      </c>
      <c r="F8" s="334">
        <v>0.68810000000000004</v>
      </c>
      <c r="G8" s="335">
        <f>ROUND($L$29/($L$29+$P$28),4)</f>
        <v>0.65280000000000005</v>
      </c>
      <c r="H8" s="334">
        <v>0.31190000000000001</v>
      </c>
      <c r="I8" s="296">
        <f>1-G8</f>
        <v>0.34719999999999995</v>
      </c>
      <c r="J8" s="366"/>
      <c r="K8" s="51"/>
      <c r="L8" s="273"/>
      <c r="M8" s="273"/>
      <c r="N8" s="274"/>
      <c r="O8" s="213"/>
      <c r="P8" s="214"/>
      <c r="Q8" s="214"/>
      <c r="R8" s="76"/>
      <c r="T8" s="378" t="s">
        <v>233</v>
      </c>
    </row>
    <row r="9" spans="2:20" ht="15.6" customHeight="1">
      <c r="B9" s="51"/>
      <c r="C9" s="4"/>
      <c r="D9" s="4"/>
      <c r="E9" s="344"/>
      <c r="F9" s="332"/>
      <c r="G9" s="333"/>
      <c r="H9" s="332"/>
      <c r="I9" s="36"/>
      <c r="J9" s="88"/>
      <c r="K9" s="73" t="s">
        <v>52</v>
      </c>
      <c r="L9" s="4"/>
      <c r="M9" s="4"/>
      <c r="N9" s="36"/>
      <c r="O9" s="73" t="s">
        <v>52</v>
      </c>
      <c r="P9" s="4"/>
      <c r="Q9" s="4"/>
      <c r="R9" s="36"/>
    </row>
    <row r="10" spans="2:20" ht="15.6" customHeight="1">
      <c r="B10" s="283" t="s">
        <v>248</v>
      </c>
      <c r="C10" s="79">
        <v>804001</v>
      </c>
      <c r="D10" s="79" t="s">
        <v>199</v>
      </c>
      <c r="E10" s="345">
        <v>2238962.86</v>
      </c>
      <c r="F10" s="336"/>
      <c r="G10" s="337"/>
      <c r="H10" s="336"/>
      <c r="I10" s="327"/>
      <c r="J10" s="88"/>
      <c r="K10" s="74" t="s">
        <v>14</v>
      </c>
      <c r="L10" s="307">
        <v>2045371</v>
      </c>
      <c r="M10" s="308">
        <v>9.8220000000000002E-2</v>
      </c>
      <c r="N10" s="278">
        <f t="shared" ref="N10:N16" si="0">L10*M10</f>
        <v>200896.33962000001</v>
      </c>
      <c r="O10" s="74" t="s">
        <v>14</v>
      </c>
      <c r="P10" s="307">
        <v>1033761</v>
      </c>
      <c r="Q10" s="308">
        <v>8.9520000000000002E-2</v>
      </c>
      <c r="R10" s="278">
        <f t="shared" ref="R10:R11" si="1">P10*Q10</f>
        <v>92542.284719999996</v>
      </c>
    </row>
    <row r="11" spans="2:20" ht="15.6" customHeight="1" thickBot="1">
      <c r="B11" s="283" t="s">
        <v>249</v>
      </c>
      <c r="C11" s="79">
        <v>804002</v>
      </c>
      <c r="D11" s="79" t="s">
        <v>199</v>
      </c>
      <c r="E11" s="345">
        <v>9049.24</v>
      </c>
      <c r="F11" s="336"/>
      <c r="G11" s="337"/>
      <c r="H11" s="336"/>
      <c r="I11" s="327"/>
      <c r="J11" s="88"/>
      <c r="K11" s="74" t="s">
        <v>93</v>
      </c>
      <c r="L11" s="307">
        <v>3096</v>
      </c>
      <c r="M11" s="308">
        <v>9.8220000000000002E-2</v>
      </c>
      <c r="N11" s="278">
        <f t="shared" si="0"/>
        <v>304.08911999999998</v>
      </c>
      <c r="O11" s="74" t="s">
        <v>15</v>
      </c>
      <c r="P11" s="307">
        <v>933986</v>
      </c>
      <c r="Q11" s="308">
        <v>8.9520000000000002E-2</v>
      </c>
      <c r="R11" s="278">
        <f t="shared" si="1"/>
        <v>83610.426720000003</v>
      </c>
    </row>
    <row r="12" spans="2:20" ht="15.6" customHeight="1" thickBot="1">
      <c r="B12" s="297" t="s">
        <v>203</v>
      </c>
      <c r="C12" s="9"/>
      <c r="D12" s="9"/>
      <c r="E12" s="346">
        <f>SUM(E10:E11)</f>
        <v>2248012.1</v>
      </c>
      <c r="F12" s="338"/>
      <c r="G12" s="339"/>
      <c r="H12" s="338"/>
      <c r="I12" s="328"/>
      <c r="J12" s="88"/>
      <c r="K12" s="74" t="s">
        <v>15</v>
      </c>
      <c r="L12" s="307">
        <v>1663592</v>
      </c>
      <c r="M12" s="308">
        <v>8.8349999999999998E-2</v>
      </c>
      <c r="N12" s="278">
        <f t="shared" si="0"/>
        <v>146978.35319999998</v>
      </c>
      <c r="O12" s="74" t="s">
        <v>16</v>
      </c>
      <c r="P12" s="307">
        <v>43195</v>
      </c>
      <c r="Q12" s="308">
        <v>8.9520000000000002E-2</v>
      </c>
      <c r="R12" s="278">
        <f>P12*Q12</f>
        <v>3866.8164000000002</v>
      </c>
    </row>
    <row r="13" spans="2:20" ht="15.6" customHeight="1" thickBot="1">
      <c r="B13" s="298" t="s">
        <v>44</v>
      </c>
      <c r="C13" s="2"/>
      <c r="D13" s="2"/>
      <c r="E13" s="347">
        <f>-E11</f>
        <v>-9049.24</v>
      </c>
      <c r="F13" s="336"/>
      <c r="G13" s="337"/>
      <c r="H13" s="336"/>
      <c r="I13" s="327"/>
      <c r="J13" s="88"/>
      <c r="K13" s="74" t="s">
        <v>16</v>
      </c>
      <c r="L13" s="307">
        <v>26207</v>
      </c>
      <c r="M13" s="308">
        <v>8.8349999999999998E-2</v>
      </c>
      <c r="N13" s="278">
        <f t="shared" si="0"/>
        <v>2315.3884499999999</v>
      </c>
      <c r="O13" s="74" t="s">
        <v>17</v>
      </c>
      <c r="P13" s="307">
        <v>0</v>
      </c>
      <c r="Q13" s="308">
        <v>8.9520000000000002E-2</v>
      </c>
      <c r="R13" s="278">
        <f t="shared" ref="R13:R14" si="2">P13*Q13</f>
        <v>0</v>
      </c>
    </row>
    <row r="14" spans="2:20" ht="15.6" customHeight="1" thickBot="1">
      <c r="B14" s="297" t="s">
        <v>219</v>
      </c>
      <c r="C14" s="299"/>
      <c r="D14" s="299"/>
      <c r="E14" s="346">
        <f>SUM(E12:E13)</f>
        <v>2238962.86</v>
      </c>
      <c r="F14" s="354">
        <f>E14*F8</f>
        <v>1540630.343966</v>
      </c>
      <c r="G14" s="355"/>
      <c r="H14" s="354">
        <f>E14*H8</f>
        <v>698332.51603399997</v>
      </c>
      <c r="I14" s="356"/>
      <c r="J14" s="88"/>
      <c r="K14" s="74" t="s">
        <v>17</v>
      </c>
      <c r="L14" s="307">
        <v>0</v>
      </c>
      <c r="M14" s="308">
        <v>5.6399999999999999E-2</v>
      </c>
      <c r="N14" s="278">
        <f t="shared" si="0"/>
        <v>0</v>
      </c>
      <c r="O14" s="74" t="s">
        <v>18</v>
      </c>
      <c r="P14" s="307">
        <v>0</v>
      </c>
      <c r="Q14" s="308">
        <v>8.9520000000000002E-2</v>
      </c>
      <c r="R14" s="278">
        <f t="shared" si="2"/>
        <v>0</v>
      </c>
    </row>
    <row r="15" spans="2:20" ht="15.6" customHeight="1" thickBot="1">
      <c r="B15" s="51"/>
      <c r="C15" s="4"/>
      <c r="D15" s="4"/>
      <c r="E15" s="348"/>
      <c r="F15" s="357"/>
      <c r="G15" s="358"/>
      <c r="H15" s="357"/>
      <c r="I15" s="359"/>
      <c r="J15" s="88"/>
      <c r="K15" s="74" t="s">
        <v>18</v>
      </c>
      <c r="L15" s="307">
        <v>42047</v>
      </c>
      <c r="M15" s="308">
        <v>5.6399999999999999E-2</v>
      </c>
      <c r="N15" s="278">
        <f t="shared" si="0"/>
        <v>2371.4508000000001</v>
      </c>
      <c r="O15" s="73" t="s">
        <v>53</v>
      </c>
      <c r="P15" s="240">
        <f>SUM(P10:P14)</f>
        <v>2010942</v>
      </c>
      <c r="Q15" s="241"/>
      <c r="R15" s="71">
        <f>SUM(R10:R14)</f>
        <v>180019.52784</v>
      </c>
    </row>
    <row r="16" spans="2:20" ht="15.6" customHeight="1" thickTop="1">
      <c r="B16" s="51"/>
      <c r="C16" s="4"/>
      <c r="D16" s="4"/>
      <c r="E16" s="348"/>
      <c r="F16" s="357"/>
      <c r="G16" s="358"/>
      <c r="H16" s="357"/>
      <c r="I16" s="359"/>
      <c r="J16" s="88"/>
      <c r="K16" s="74" t="s">
        <v>33</v>
      </c>
      <c r="L16" s="307">
        <v>2081435</v>
      </c>
      <c r="M16" s="308">
        <v>5.4000000000000001E-4</v>
      </c>
      <c r="N16" s="278">
        <f t="shared" si="0"/>
        <v>1123.9748999999999</v>
      </c>
      <c r="O16" s="74"/>
      <c r="P16" s="309">
        <v>2010942</v>
      </c>
      <c r="Q16" s="65"/>
      <c r="R16" s="242"/>
    </row>
    <row r="17" spans="2:18" ht="15.6" customHeight="1" thickBot="1">
      <c r="B17" s="283" t="s">
        <v>235</v>
      </c>
      <c r="C17" s="79">
        <v>804000</v>
      </c>
      <c r="D17" s="79" t="s">
        <v>199</v>
      </c>
      <c r="E17" s="345">
        <v>8817980.1600000001</v>
      </c>
      <c r="F17" s="360"/>
      <c r="G17" s="358"/>
      <c r="H17" s="357"/>
      <c r="I17" s="359"/>
      <c r="J17" s="88"/>
      <c r="K17" s="73" t="s">
        <v>53</v>
      </c>
      <c r="L17" s="240">
        <f>SUM(L10:L16)</f>
        <v>5861748</v>
      </c>
      <c r="M17" s="6"/>
      <c r="N17" s="71">
        <f>SUM(N10:N16)</f>
        <v>353989.59609000001</v>
      </c>
      <c r="O17" s="74"/>
      <c r="P17" s="231">
        <f>P15-P16</f>
        <v>0</v>
      </c>
      <c r="Q17" s="65" t="s">
        <v>41</v>
      </c>
      <c r="R17" s="72"/>
    </row>
    <row r="18" spans="2:18" ht="15.6" customHeight="1" thickTop="1">
      <c r="B18" s="283" t="s">
        <v>236</v>
      </c>
      <c r="C18" s="79">
        <v>804010</v>
      </c>
      <c r="D18" s="79" t="s">
        <v>199</v>
      </c>
      <c r="E18" s="345">
        <v>-85462.26</v>
      </c>
      <c r="F18" s="357"/>
      <c r="G18" s="358"/>
      <c r="H18" s="357"/>
      <c r="I18" s="359"/>
      <c r="J18" s="88"/>
      <c r="K18" s="64"/>
      <c r="L18" s="309">
        <v>5861748</v>
      </c>
      <c r="M18" s="65"/>
      <c r="N18" s="242"/>
      <c r="O18" s="51"/>
      <c r="P18" s="4"/>
      <c r="Q18" s="196"/>
      <c r="R18" s="72"/>
    </row>
    <row r="19" spans="2:18" ht="15.6" customHeight="1">
      <c r="B19" s="283" t="s">
        <v>237</v>
      </c>
      <c r="C19" s="79">
        <v>804017</v>
      </c>
      <c r="D19" s="79" t="s">
        <v>199</v>
      </c>
      <c r="E19" s="345">
        <v>24227.07</v>
      </c>
      <c r="F19" s="357"/>
      <c r="G19" s="358"/>
      <c r="H19" s="357"/>
      <c r="I19" s="359"/>
      <c r="J19" s="88"/>
      <c r="K19" s="51"/>
      <c r="L19" s="379">
        <f>L17-L18</f>
        <v>0</v>
      </c>
      <c r="M19" s="65" t="s">
        <v>41</v>
      </c>
      <c r="N19" s="36"/>
      <c r="O19" s="69"/>
      <c r="P19" s="70"/>
      <c r="Q19" s="4"/>
      <c r="R19" s="72"/>
    </row>
    <row r="20" spans="2:18" ht="15.6" customHeight="1">
      <c r="B20" s="283" t="s">
        <v>238</v>
      </c>
      <c r="C20" s="79">
        <v>804018</v>
      </c>
      <c r="D20" s="79" t="s">
        <v>199</v>
      </c>
      <c r="E20" s="345">
        <v>16970.87</v>
      </c>
      <c r="F20" s="357"/>
      <c r="G20" s="358"/>
      <c r="H20" s="357"/>
      <c r="I20" s="359"/>
      <c r="J20" s="88"/>
      <c r="K20" s="51"/>
      <c r="L20" s="4"/>
      <c r="M20" s="65"/>
      <c r="N20" s="36"/>
      <c r="O20" s="69"/>
      <c r="P20" s="70"/>
      <c r="Q20" s="4"/>
      <c r="R20" s="36"/>
    </row>
    <row r="21" spans="2:18" ht="15.6" customHeight="1">
      <c r="B21" s="283" t="s">
        <v>239</v>
      </c>
      <c r="C21" s="79">
        <v>804600</v>
      </c>
      <c r="D21" s="79" t="s">
        <v>199</v>
      </c>
      <c r="E21" s="345">
        <v>-1110497.9099999999</v>
      </c>
      <c r="F21" s="357"/>
      <c r="G21" s="358"/>
      <c r="H21" s="357"/>
      <c r="I21" s="359"/>
      <c r="J21" s="88"/>
      <c r="K21" s="51"/>
      <c r="L21" s="4"/>
      <c r="M21" s="65"/>
      <c r="N21" s="36"/>
      <c r="O21" s="69"/>
      <c r="P21" s="70"/>
      <c r="Q21" s="4"/>
      <c r="R21" s="36"/>
    </row>
    <row r="22" spans="2:18" ht="15.6" customHeight="1">
      <c r="B22" s="283" t="s">
        <v>240</v>
      </c>
      <c r="C22" s="79">
        <v>804730</v>
      </c>
      <c r="D22" s="79" t="s">
        <v>199</v>
      </c>
      <c r="E22" s="345">
        <v>1505060.86</v>
      </c>
      <c r="F22" s="357"/>
      <c r="G22" s="358"/>
      <c r="H22" s="357"/>
      <c r="I22" s="359"/>
      <c r="J22" s="88"/>
      <c r="K22" s="73" t="s">
        <v>54</v>
      </c>
      <c r="L22" s="4"/>
      <c r="M22" s="4"/>
      <c r="N22" s="36"/>
      <c r="O22" s="73" t="s">
        <v>54</v>
      </c>
      <c r="P22" s="68"/>
      <c r="Q22" s="4"/>
      <c r="R22" s="36"/>
    </row>
    <row r="23" spans="2:18" ht="15.6" customHeight="1">
      <c r="B23" s="283" t="s">
        <v>241</v>
      </c>
      <c r="C23" s="79">
        <v>808100</v>
      </c>
      <c r="D23" s="79" t="s">
        <v>199</v>
      </c>
      <c r="E23" s="345">
        <v>10884.16</v>
      </c>
      <c r="F23" s="357"/>
      <c r="G23" s="358"/>
      <c r="H23" s="357"/>
      <c r="I23" s="359"/>
      <c r="J23" s="88"/>
      <c r="K23" s="74" t="s">
        <v>14</v>
      </c>
      <c r="L23" s="279">
        <f>+L10</f>
        <v>2045371</v>
      </c>
      <c r="M23" s="308">
        <v>0.16167000000000001</v>
      </c>
      <c r="N23" s="278">
        <f t="shared" ref="N23:N28" si="3">L23*M23</f>
        <v>330675.12956999999</v>
      </c>
      <c r="O23" s="74" t="s">
        <v>14</v>
      </c>
      <c r="P23" s="279">
        <f>+P10</f>
        <v>1033761</v>
      </c>
      <c r="Q23" s="308">
        <v>0.16148000000000001</v>
      </c>
      <c r="R23" s="278">
        <f t="shared" ref="R23" si="4">P23*Q23</f>
        <v>166931.72628</v>
      </c>
    </row>
    <row r="24" spans="2:18" ht="15.6" customHeight="1">
      <c r="B24" s="283" t="s">
        <v>242</v>
      </c>
      <c r="C24" s="79">
        <v>808200</v>
      </c>
      <c r="D24" s="79" t="s">
        <v>199</v>
      </c>
      <c r="E24" s="345">
        <v>-2791053.17</v>
      </c>
      <c r="F24" s="357"/>
      <c r="G24" s="358"/>
      <c r="H24" s="357"/>
      <c r="I24" s="359"/>
      <c r="J24" s="88"/>
      <c r="K24" s="74" t="s">
        <v>93</v>
      </c>
      <c r="L24" s="279">
        <f t="shared" ref="L24:L28" si="5">+L11</f>
        <v>3096</v>
      </c>
      <c r="M24" s="308">
        <v>0.16167000000000001</v>
      </c>
      <c r="N24" s="278">
        <f t="shared" si="3"/>
        <v>500.53032000000002</v>
      </c>
      <c r="O24" s="74" t="s">
        <v>15</v>
      </c>
      <c r="P24" s="279">
        <f t="shared" ref="P24:P27" si="6">+P11</f>
        <v>933986</v>
      </c>
      <c r="Q24" s="308">
        <v>0.16148000000000001</v>
      </c>
      <c r="R24" s="278">
        <f>P24*Q24</f>
        <v>150820.05928000002</v>
      </c>
    </row>
    <row r="25" spans="2:18" ht="15.6" customHeight="1">
      <c r="B25" s="283" t="s">
        <v>243</v>
      </c>
      <c r="C25" s="79">
        <v>811000</v>
      </c>
      <c r="D25" s="79" t="s">
        <v>199</v>
      </c>
      <c r="E25" s="345">
        <v>-43538.97</v>
      </c>
      <c r="F25" s="357"/>
      <c r="G25" s="358"/>
      <c r="H25" s="357"/>
      <c r="I25" s="359"/>
      <c r="J25" s="88"/>
      <c r="K25" s="74" t="s">
        <v>15</v>
      </c>
      <c r="L25" s="279">
        <f t="shared" si="5"/>
        <v>1663592</v>
      </c>
      <c r="M25" s="308">
        <v>0.16167000000000001</v>
      </c>
      <c r="N25" s="278">
        <f t="shared" si="3"/>
        <v>268952.91863999999</v>
      </c>
      <c r="O25" s="74" t="s">
        <v>16</v>
      </c>
      <c r="P25" s="279">
        <f t="shared" si="6"/>
        <v>43195</v>
      </c>
      <c r="Q25" s="308">
        <v>0.16148000000000001</v>
      </c>
      <c r="R25" s="278">
        <f t="shared" ref="R25:R27" si="7">P25*Q25</f>
        <v>6975.1286000000009</v>
      </c>
    </row>
    <row r="26" spans="2:18" ht="15.6" customHeight="1">
      <c r="B26" s="283" t="s">
        <v>244</v>
      </c>
      <c r="C26" s="79">
        <v>483000</v>
      </c>
      <c r="D26" s="79" t="s">
        <v>199</v>
      </c>
      <c r="E26" s="345">
        <v>-1949104.09</v>
      </c>
      <c r="F26" s="360"/>
      <c r="G26" s="358"/>
      <c r="H26" s="357"/>
      <c r="I26" s="359"/>
      <c r="J26" s="88"/>
      <c r="K26" s="74" t="s">
        <v>16</v>
      </c>
      <c r="L26" s="279">
        <f t="shared" si="5"/>
        <v>26207</v>
      </c>
      <c r="M26" s="308">
        <v>0.16167000000000001</v>
      </c>
      <c r="N26" s="278">
        <f t="shared" si="3"/>
        <v>4236.8856900000001</v>
      </c>
      <c r="O26" s="74" t="s">
        <v>17</v>
      </c>
      <c r="P26" s="279">
        <f t="shared" si="6"/>
        <v>0</v>
      </c>
      <c r="Q26" s="308">
        <v>0.16148000000000001</v>
      </c>
      <c r="R26" s="278">
        <f t="shared" si="7"/>
        <v>0</v>
      </c>
    </row>
    <row r="27" spans="2:18" ht="15.6" customHeight="1">
      <c r="B27" s="283" t="s">
        <v>245</v>
      </c>
      <c r="C27" s="79">
        <v>483600</v>
      </c>
      <c r="D27" s="79" t="s">
        <v>199</v>
      </c>
      <c r="E27" s="345">
        <v>1178390.26</v>
      </c>
      <c r="F27" s="357"/>
      <c r="G27" s="358"/>
      <c r="H27" s="357"/>
      <c r="I27" s="359"/>
      <c r="J27" s="88"/>
      <c r="K27" s="74" t="s">
        <v>17</v>
      </c>
      <c r="L27" s="279">
        <f t="shared" si="5"/>
        <v>0</v>
      </c>
      <c r="M27" s="308">
        <v>0.16167000000000001</v>
      </c>
      <c r="N27" s="278">
        <f t="shared" si="3"/>
        <v>0</v>
      </c>
      <c r="O27" s="74" t="s">
        <v>18</v>
      </c>
      <c r="P27" s="279">
        <f t="shared" si="6"/>
        <v>0</v>
      </c>
      <c r="Q27" s="308">
        <v>0.16148000000000001</v>
      </c>
      <c r="R27" s="278">
        <f t="shared" si="7"/>
        <v>0</v>
      </c>
    </row>
    <row r="28" spans="2:18" ht="15.6" customHeight="1" thickBot="1">
      <c r="B28" s="283" t="s">
        <v>246</v>
      </c>
      <c r="C28" s="79">
        <v>483730</v>
      </c>
      <c r="D28" s="79" t="s">
        <v>199</v>
      </c>
      <c r="E28" s="345">
        <v>-3642037.75</v>
      </c>
      <c r="F28" s="357"/>
      <c r="G28" s="358"/>
      <c r="H28" s="357"/>
      <c r="I28" s="359"/>
      <c r="J28" s="88"/>
      <c r="K28" s="74" t="s">
        <v>18</v>
      </c>
      <c r="L28" s="279">
        <f t="shared" si="5"/>
        <v>42047</v>
      </c>
      <c r="M28" s="308">
        <v>0.16167000000000001</v>
      </c>
      <c r="N28" s="278">
        <f t="shared" si="3"/>
        <v>6797.7384900000006</v>
      </c>
      <c r="O28" s="73" t="s">
        <v>58</v>
      </c>
      <c r="P28" s="240">
        <f>SUM(P23:P27)</f>
        <v>2010942</v>
      </c>
      <c r="Q28" s="241"/>
      <c r="R28" s="71">
        <f>SUM(R23:R27)</f>
        <v>324726.91415999999</v>
      </c>
    </row>
    <row r="29" spans="2:18" ht="15.6" customHeight="1" thickTop="1" thickBot="1">
      <c r="B29" s="283" t="s">
        <v>247</v>
      </c>
      <c r="C29" s="79">
        <v>495028</v>
      </c>
      <c r="D29" s="79" t="s">
        <v>199</v>
      </c>
      <c r="E29" s="345">
        <v>-468750</v>
      </c>
      <c r="F29" s="357"/>
      <c r="G29" s="358"/>
      <c r="H29" s="357"/>
      <c r="I29" s="359"/>
      <c r="J29" s="88"/>
      <c r="K29" s="73" t="s">
        <v>58</v>
      </c>
      <c r="L29" s="240">
        <f>SUM(L23:L28)</f>
        <v>3780313</v>
      </c>
      <c r="M29" s="241"/>
      <c r="N29" s="250">
        <f>SUM(N23:N28)</f>
        <v>611163.2027100001</v>
      </c>
      <c r="O29" s="73"/>
      <c r="P29" s="309">
        <v>2010942</v>
      </c>
      <c r="Q29" s="65"/>
      <c r="R29" s="247"/>
    </row>
    <row r="30" spans="2:18" ht="15.6" customHeight="1" thickTop="1">
      <c r="B30" s="283" t="s">
        <v>197</v>
      </c>
      <c r="C30" s="79">
        <v>495100</v>
      </c>
      <c r="D30" s="79" t="s">
        <v>199</v>
      </c>
      <c r="E30" s="345">
        <v>0</v>
      </c>
      <c r="F30" s="361"/>
      <c r="G30" s="362"/>
      <c r="H30" s="361"/>
      <c r="I30" s="363"/>
      <c r="J30" s="88"/>
      <c r="K30" s="64"/>
      <c r="L30" s="309">
        <v>3780313</v>
      </c>
      <c r="M30" s="65"/>
      <c r="N30" s="251"/>
      <c r="O30" s="73"/>
      <c r="P30" s="231">
        <f>P28-P29</f>
        <v>0</v>
      </c>
      <c r="Q30" s="65" t="s">
        <v>41</v>
      </c>
      <c r="R30" s="72"/>
    </row>
    <row r="31" spans="2:18" ht="15.6" customHeight="1" thickBot="1">
      <c r="B31" s="301" t="s">
        <v>47</v>
      </c>
      <c r="C31" s="79"/>
      <c r="D31" s="79"/>
      <c r="E31" s="347">
        <f>-E13</f>
        <v>9049.24</v>
      </c>
      <c r="F31" s="357"/>
      <c r="G31" s="358"/>
      <c r="H31" s="357"/>
      <c r="I31" s="359"/>
      <c r="J31" s="88"/>
      <c r="K31" s="66"/>
      <c r="L31" s="248">
        <f>L29-L30</f>
        <v>0</v>
      </c>
      <c r="M31" s="67" t="s">
        <v>41</v>
      </c>
      <c r="N31" s="249"/>
      <c r="O31" s="252"/>
      <c r="P31" s="253"/>
      <c r="Q31" s="254"/>
      <c r="R31" s="255"/>
    </row>
    <row r="32" spans="2:18" ht="15.6" customHeight="1" thickBot="1">
      <c r="B32" s="297" t="s">
        <v>48</v>
      </c>
      <c r="C32" s="4"/>
      <c r="D32" s="4"/>
      <c r="E32" s="346">
        <f>SUM(E17:E31)</f>
        <v>1472118.4699999995</v>
      </c>
      <c r="F32" s="364"/>
      <c r="G32" s="337">
        <f>E32*G8</f>
        <v>960998.9372159997</v>
      </c>
      <c r="H32" s="228"/>
      <c r="I32" s="327">
        <f>E32*I8</f>
        <v>511119.53278399975</v>
      </c>
      <c r="J32" s="88"/>
    </row>
    <row r="33" spans="1:20" ht="15.6" customHeight="1">
      <c r="B33" s="283" t="s">
        <v>194</v>
      </c>
      <c r="C33" s="79">
        <v>495100</v>
      </c>
      <c r="D33" s="4" t="s">
        <v>204</v>
      </c>
      <c r="E33" s="345">
        <v>0</v>
      </c>
      <c r="F33" s="361"/>
      <c r="G33" s="337">
        <f>E33</f>
        <v>0</v>
      </c>
      <c r="H33" s="228"/>
      <c r="I33" s="327"/>
      <c r="J33" s="88"/>
      <c r="K33" s="311" t="s">
        <v>32</v>
      </c>
      <c r="L33" s="7" t="s">
        <v>12</v>
      </c>
      <c r="M33" s="7" t="s">
        <v>12</v>
      </c>
      <c r="N33" s="7" t="s">
        <v>22</v>
      </c>
      <c r="O33" s="7" t="s">
        <v>22</v>
      </c>
      <c r="P33" s="312"/>
      <c r="Q33" s="2"/>
    </row>
    <row r="34" spans="1:20" ht="15.6" customHeight="1" thickBot="1">
      <c r="B34" s="302" t="s">
        <v>172</v>
      </c>
      <c r="C34" s="79">
        <v>495100</v>
      </c>
      <c r="D34" s="4" t="s">
        <v>205</v>
      </c>
      <c r="E34" s="345">
        <v>0</v>
      </c>
      <c r="F34" s="361"/>
      <c r="G34" s="337"/>
      <c r="H34" s="228"/>
      <c r="I34" s="327">
        <f>E34</f>
        <v>0</v>
      </c>
      <c r="J34" s="88"/>
      <c r="K34" s="295"/>
      <c r="L34" s="46" t="s">
        <v>2</v>
      </c>
      <c r="M34" s="46" t="s">
        <v>1</v>
      </c>
      <c r="N34" s="46" t="s">
        <v>2</v>
      </c>
      <c r="O34" s="46" t="s">
        <v>1</v>
      </c>
      <c r="P34" s="322" t="s">
        <v>212</v>
      </c>
      <c r="Q34" s="2"/>
    </row>
    <row r="35" spans="1:20" ht="15.6" customHeight="1">
      <c r="B35" s="64" t="s">
        <v>206</v>
      </c>
      <c r="C35" s="79">
        <v>804000</v>
      </c>
      <c r="D35" s="4" t="s">
        <v>204</v>
      </c>
      <c r="E35" s="345">
        <v>-148454.93</v>
      </c>
      <c r="F35" s="357"/>
      <c r="G35" s="337">
        <f>E35</f>
        <v>-148454.93</v>
      </c>
      <c r="H35" s="228"/>
      <c r="I35" s="327"/>
      <c r="J35" s="88"/>
      <c r="K35" s="51" t="s">
        <v>214</v>
      </c>
      <c r="L35" s="230">
        <f>$F$39</f>
        <v>1540630.343966</v>
      </c>
      <c r="M35" s="230">
        <f>G39</f>
        <v>812544.00721599977</v>
      </c>
      <c r="N35" s="230">
        <f>$H$39</f>
        <v>698332.51603399997</v>
      </c>
      <c r="O35" s="230">
        <f>I39</f>
        <v>432010.24278399977</v>
      </c>
      <c r="P35" s="321">
        <f>SUM(L35:O35)-E39</f>
        <v>0</v>
      </c>
      <c r="Q35" s="2"/>
    </row>
    <row r="36" spans="1:20" ht="15.6" customHeight="1" thickBot="1">
      <c r="B36" s="64" t="s">
        <v>207</v>
      </c>
      <c r="C36" s="79">
        <v>804000</v>
      </c>
      <c r="D36" s="4" t="s">
        <v>205</v>
      </c>
      <c r="E36" s="345">
        <v>-79109.289999999994</v>
      </c>
      <c r="F36" s="357"/>
      <c r="G36" s="337"/>
      <c r="H36" s="228"/>
      <c r="I36" s="327">
        <f>E36</f>
        <v>-79109.289999999994</v>
      </c>
      <c r="J36" s="88"/>
      <c r="K36" s="51" t="s">
        <v>217</v>
      </c>
      <c r="L36" s="310">
        <f>-$N$17</f>
        <v>-353989.59609000001</v>
      </c>
      <c r="M36" s="310">
        <f>-N29</f>
        <v>-611163.2027100001</v>
      </c>
      <c r="N36" s="310">
        <f>-$R$15</f>
        <v>-180019.52784</v>
      </c>
      <c r="O36" s="310">
        <f>-R28</f>
        <v>-324726.91415999999</v>
      </c>
      <c r="P36" s="321">
        <f>SUM(L36:O36)+N17+N29+R15+R28</f>
        <v>0</v>
      </c>
      <c r="Q36" s="2"/>
    </row>
    <row r="37" spans="1:20" ht="15.6" customHeight="1" thickBot="1">
      <c r="B37" s="297" t="s">
        <v>220</v>
      </c>
      <c r="C37" s="79"/>
      <c r="D37" s="4"/>
      <c r="E37" s="346">
        <f>SUM(E32:E36)</f>
        <v>1244554.2499999995</v>
      </c>
      <c r="F37" s="338"/>
      <c r="G37" s="340"/>
      <c r="H37" s="338"/>
      <c r="I37" s="300"/>
      <c r="J37" s="88"/>
      <c r="K37" s="297" t="s">
        <v>215</v>
      </c>
      <c r="L37" s="245">
        <f t="shared" ref="L37:O37" si="8">SUM(L35:L36)</f>
        <v>1186640.7478760001</v>
      </c>
      <c r="M37" s="245">
        <f>SUM(M35:M36)</f>
        <v>201380.80450599967</v>
      </c>
      <c r="N37" s="245">
        <f t="shared" si="8"/>
        <v>518312.98819399998</v>
      </c>
      <c r="O37" s="245">
        <f t="shared" si="8"/>
        <v>107283.32862399978</v>
      </c>
      <c r="P37" s="313"/>
      <c r="Q37" s="2"/>
    </row>
    <row r="38" spans="1:20" ht="15.6" customHeight="1" thickBot="1">
      <c r="B38" s="51"/>
      <c r="C38" s="29"/>
      <c r="D38" s="29"/>
      <c r="E38" s="350"/>
      <c r="F38" s="341"/>
      <c r="G38" s="342"/>
      <c r="H38" s="341"/>
      <c r="I38" s="303"/>
      <c r="J38" s="88"/>
      <c r="K38" s="314"/>
      <c r="L38" s="263"/>
      <c r="M38" s="9"/>
      <c r="N38" s="2"/>
      <c r="O38" s="318"/>
      <c r="P38" s="315"/>
      <c r="Q38" s="2"/>
    </row>
    <row r="39" spans="1:20" ht="15.6" customHeight="1" thickBot="1">
      <c r="B39" s="304" t="s">
        <v>211</v>
      </c>
      <c r="C39" s="305"/>
      <c r="D39" s="305"/>
      <c r="E39" s="346">
        <f>E37+E14</f>
        <v>3483517.1099999994</v>
      </c>
      <c r="F39" s="352">
        <f>SUM(F14:F37)</f>
        <v>1540630.343966</v>
      </c>
      <c r="G39" s="353">
        <f t="shared" ref="G39:I39" si="9">SUM(G14:G37)</f>
        <v>812544.00721599977</v>
      </c>
      <c r="H39" s="352">
        <f t="shared" si="9"/>
        <v>698332.51603399997</v>
      </c>
      <c r="I39" s="306">
        <f t="shared" si="9"/>
        <v>432010.24278399977</v>
      </c>
      <c r="J39" s="88"/>
      <c r="K39" s="316"/>
      <c r="L39" s="319" t="s">
        <v>76</v>
      </c>
      <c r="M39" s="317">
        <f>SUM(L37:M37)</f>
        <v>1388021.5523819998</v>
      </c>
      <c r="N39" s="320" t="s">
        <v>77</v>
      </c>
      <c r="O39" s="317">
        <f>SUM(N37:O37)</f>
        <v>625596.31681799982</v>
      </c>
      <c r="P39" s="83"/>
      <c r="Q39" s="2"/>
    </row>
    <row r="40" spans="1:20" ht="15.6" customHeight="1">
      <c r="B40" s="88"/>
      <c r="C40" s="30"/>
      <c r="D40" s="30"/>
      <c r="E40" s="194"/>
      <c r="F40" s="194"/>
      <c r="G40" s="194"/>
      <c r="H40" s="194"/>
      <c r="I40" s="194"/>
      <c r="J40" s="88"/>
      <c r="M40" s="81"/>
      <c r="Q40" s="2"/>
    </row>
    <row r="41" spans="1:20" ht="15.6" customHeight="1">
      <c r="A41" s="88"/>
      <c r="B41" s="370" t="s">
        <v>223</v>
      </c>
      <c r="C41" s="369"/>
      <c r="D41" s="31" t="s">
        <v>222</v>
      </c>
      <c r="E41" s="287">
        <v>3483517.11</v>
      </c>
      <c r="F41" s="194"/>
      <c r="G41" s="194"/>
      <c r="H41" s="194"/>
      <c r="I41" s="194"/>
      <c r="J41" s="88"/>
      <c r="P41" s="3"/>
    </row>
    <row r="42" spans="1:20" ht="15.6" customHeight="1">
      <c r="B42" s="291"/>
      <c r="C42" s="291"/>
      <c r="D42" s="31" t="s">
        <v>71</v>
      </c>
      <c r="E42" s="228">
        <f>ROUND(E39-E41,2)</f>
        <v>0</v>
      </c>
      <c r="F42" s="326"/>
      <c r="G42" s="326"/>
      <c r="H42" s="326"/>
      <c r="I42" s="326"/>
    </row>
    <row r="43" spans="1:20" ht="15.6" customHeight="1">
      <c r="B43" s="291"/>
      <c r="C43" s="291"/>
      <c r="E43" s="260"/>
      <c r="F43" s="326"/>
      <c r="G43" s="326"/>
      <c r="H43" s="326"/>
      <c r="I43" s="326"/>
    </row>
    <row r="44" spans="1:20" ht="15.6" customHeight="1" thickBot="1">
      <c r="B44" s="291"/>
      <c r="C44" s="291"/>
      <c r="E44" s="260"/>
      <c r="F44" s="326"/>
      <c r="G44" s="326"/>
      <c r="H44" s="326"/>
      <c r="I44" s="326"/>
    </row>
    <row r="45" spans="1:20" ht="15.6" customHeight="1" thickBot="1">
      <c r="B45" s="291"/>
      <c r="C45" s="291"/>
      <c r="E45" s="385" t="s">
        <v>213</v>
      </c>
      <c r="F45" s="386"/>
      <c r="G45" s="326"/>
      <c r="H45" s="326"/>
      <c r="I45" s="326"/>
    </row>
    <row r="46" spans="1:20" ht="15.6" customHeight="1">
      <c r="B46" s="291"/>
      <c r="C46" s="291"/>
      <c r="E46" s="283" t="s">
        <v>78</v>
      </c>
      <c r="F46" s="324" t="s">
        <v>79</v>
      </c>
      <c r="G46" s="326"/>
      <c r="H46" s="326"/>
      <c r="I46" s="326"/>
    </row>
    <row r="47" spans="1:20" ht="15.75" thickBot="1">
      <c r="E47" s="325" t="e">
        <f>SUM('191010 WA DEF'!E36:E45)+SUM('191000 WA Amort'!H36:H45)+SUM(#REF!)+SUM(#REF!)</f>
        <v>#REF!</v>
      </c>
      <c r="F47" s="323" t="e">
        <f>-E47</f>
        <v>#REF!</v>
      </c>
    </row>
    <row r="48" spans="1:20">
      <c r="E48" s="373"/>
      <c r="F48" s="373"/>
      <c r="T48" s="88"/>
    </row>
    <row r="49" spans="1:20" s="88" customFormat="1">
      <c r="A49" s="87"/>
      <c r="B49" s="87"/>
      <c r="C49" s="87"/>
      <c r="D49" s="87"/>
      <c r="E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1:20" s="88" customFormat="1">
      <c r="A50" s="87"/>
      <c r="B50" s="87"/>
      <c r="C50" s="87"/>
      <c r="D50" s="87"/>
      <c r="E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1:20" s="88" customFormat="1">
      <c r="A51" s="87"/>
      <c r="B51" s="87"/>
      <c r="C51" s="87"/>
      <c r="D51" s="87"/>
      <c r="E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1:20" s="88" customFormat="1">
      <c r="A52" s="87"/>
      <c r="B52" s="87"/>
      <c r="C52" s="87"/>
      <c r="D52" s="87"/>
      <c r="E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1:20" s="88" customFormat="1">
      <c r="A53" s="87"/>
      <c r="B53" s="87"/>
      <c r="C53" s="87"/>
      <c r="D53" s="87"/>
      <c r="E53" s="87"/>
      <c r="J53" s="87"/>
      <c r="K53" s="87"/>
      <c r="L53" s="87"/>
      <c r="M53" s="87"/>
      <c r="N53" s="87"/>
      <c r="O53" s="87"/>
      <c r="P53" s="87"/>
      <c r="Q53" s="87"/>
      <c r="R53" s="87"/>
    </row>
    <row r="54" spans="1:20" s="88" customFormat="1">
      <c r="A54" s="87"/>
      <c r="B54" s="87"/>
      <c r="C54" s="87"/>
      <c r="D54" s="87"/>
      <c r="E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1:20" s="88" customFormat="1">
      <c r="A55" s="87"/>
      <c r="B55" s="87"/>
      <c r="C55" s="87"/>
      <c r="D55" s="87"/>
      <c r="E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1:20" s="88" customFormat="1">
      <c r="A56" s="87"/>
      <c r="B56" s="87"/>
      <c r="C56" s="87"/>
      <c r="D56" s="87"/>
      <c r="E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1:20" s="88" customFormat="1">
      <c r="A57" s="87"/>
      <c r="B57" s="87"/>
      <c r="C57" s="87"/>
      <c r="D57" s="87"/>
      <c r="E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1:20" s="88" customFormat="1">
      <c r="A58" s="87"/>
      <c r="B58" s="87"/>
      <c r="C58" s="87"/>
      <c r="D58" s="87"/>
      <c r="E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1:20" s="88" customFormat="1">
      <c r="A59" s="87"/>
      <c r="B59" s="87"/>
      <c r="C59" s="87"/>
      <c r="D59" s="87"/>
      <c r="E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1:20" s="88" customFormat="1">
      <c r="A60" s="87"/>
      <c r="B60" s="87"/>
      <c r="C60" s="87"/>
      <c r="D60" s="87"/>
      <c r="E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1:20" s="88" customFormat="1">
      <c r="A61" s="87"/>
      <c r="B61" s="87"/>
      <c r="C61" s="87"/>
      <c r="D61" s="87"/>
      <c r="E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1:20" s="88" customFormat="1">
      <c r="A62" s="87"/>
      <c r="B62" s="87"/>
      <c r="C62" s="87"/>
      <c r="D62" s="87"/>
      <c r="E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1:20" s="88" customFormat="1">
      <c r="A63" s="87"/>
      <c r="B63" s="87"/>
      <c r="C63" s="87"/>
      <c r="D63" s="87"/>
      <c r="E63" s="87"/>
      <c r="J63" s="87"/>
      <c r="K63" s="87"/>
      <c r="L63" s="87"/>
      <c r="M63" s="87"/>
      <c r="N63" s="87"/>
      <c r="O63" s="87"/>
      <c r="P63" s="87"/>
      <c r="Q63" s="87"/>
      <c r="R63" s="87"/>
      <c r="T63" s="87"/>
    </row>
    <row r="1387" spans="1:20">
      <c r="T1387" s="15"/>
    </row>
    <row r="1388" spans="1:20" s="15" customFormat="1">
      <c r="A1388" s="87"/>
      <c r="B1388" s="87"/>
      <c r="C1388" s="87"/>
      <c r="D1388" s="87">
        <v>-2130</v>
      </c>
      <c r="F1388" s="88"/>
      <c r="G1388" s="88"/>
      <c r="H1388" s="88"/>
      <c r="I1388" s="88"/>
      <c r="J1388" s="87"/>
      <c r="K1388" s="87"/>
      <c r="L1388" s="87"/>
      <c r="M1388" s="87"/>
      <c r="N1388" s="87"/>
      <c r="O1388" s="87"/>
      <c r="P1388" s="87"/>
      <c r="Q1388" s="87"/>
      <c r="R1388" s="87"/>
      <c r="T1388" s="87"/>
    </row>
    <row r="1395" spans="1:20">
      <c r="T1395" s="15"/>
    </row>
    <row r="1396" spans="1:20" s="15" customFormat="1">
      <c r="A1396" s="87"/>
      <c r="B1396" s="87"/>
      <c r="C1396" s="87"/>
      <c r="D1396" s="87">
        <f>7004298-2130</f>
        <v>7002168</v>
      </c>
      <c r="F1396" s="88"/>
      <c r="G1396" s="88"/>
      <c r="H1396" s="88"/>
      <c r="I1396" s="88"/>
      <c r="J1396" s="87"/>
      <c r="K1396" s="87"/>
      <c r="L1396" s="87"/>
      <c r="M1396" s="87"/>
      <c r="N1396" s="87"/>
      <c r="O1396" s="87"/>
      <c r="P1396" s="87"/>
      <c r="Q1396" s="87"/>
      <c r="R1396" s="87"/>
      <c r="T1396" s="87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80" priority="27" operator="equal">
      <formula>"ERROR"</formula>
    </cfRule>
  </conditionalFormatting>
  <conditionalFormatting sqref="D43:D46">
    <cfRule type="cellIs" dxfId="79" priority="26" operator="equal">
      <formula>"ERROR"</formula>
    </cfRule>
  </conditionalFormatting>
  <conditionalFormatting sqref="P31">
    <cfRule type="cellIs" dxfId="78" priority="25" operator="notEqual">
      <formula>0</formula>
    </cfRule>
  </conditionalFormatting>
  <conditionalFormatting sqref="L19">
    <cfRule type="cellIs" dxfId="77" priority="23" stopIfTrue="1" operator="equal">
      <formula>0</formula>
    </cfRule>
    <cfRule type="cellIs" dxfId="76" priority="24" stopIfTrue="1" operator="notEqual">
      <formula>0</formula>
    </cfRule>
  </conditionalFormatting>
  <conditionalFormatting sqref="L19">
    <cfRule type="cellIs" dxfId="75" priority="21" stopIfTrue="1" operator="equal">
      <formula>0</formula>
    </cfRule>
    <cfRule type="cellIs" dxfId="74" priority="22" stopIfTrue="1" operator="notEqual">
      <formula>0</formula>
    </cfRule>
  </conditionalFormatting>
  <conditionalFormatting sqref="L31">
    <cfRule type="cellIs" dxfId="73" priority="19" stopIfTrue="1" operator="equal">
      <formula>0</formula>
    </cfRule>
    <cfRule type="cellIs" dxfId="72" priority="20" stopIfTrue="1" operator="notEqual">
      <formula>0</formula>
    </cfRule>
  </conditionalFormatting>
  <conditionalFormatting sqref="L31">
    <cfRule type="cellIs" dxfId="71" priority="17" stopIfTrue="1" operator="equal">
      <formula>0</formula>
    </cfRule>
    <cfRule type="cellIs" dxfId="70" priority="18" stopIfTrue="1" operator="notEqual">
      <formula>0</formula>
    </cfRule>
  </conditionalFormatting>
  <conditionalFormatting sqref="P17">
    <cfRule type="cellIs" dxfId="69" priority="15" stopIfTrue="1" operator="equal">
      <formula>0</formula>
    </cfRule>
    <cfRule type="cellIs" dxfId="68" priority="16" stopIfTrue="1" operator="notEqual">
      <formula>0</formula>
    </cfRule>
  </conditionalFormatting>
  <conditionalFormatting sqref="P17">
    <cfRule type="cellIs" dxfId="67" priority="13" stopIfTrue="1" operator="equal">
      <formula>0</formula>
    </cfRule>
    <cfRule type="cellIs" dxfId="66" priority="14" stopIfTrue="1" operator="notEqual">
      <formula>0</formula>
    </cfRule>
  </conditionalFormatting>
  <conditionalFormatting sqref="P30">
    <cfRule type="cellIs" dxfId="65" priority="11" stopIfTrue="1" operator="equal">
      <formula>0</formula>
    </cfRule>
    <cfRule type="cellIs" dxfId="64" priority="12" stopIfTrue="1" operator="notEqual">
      <formula>0</formula>
    </cfRule>
  </conditionalFormatting>
  <conditionalFormatting sqref="P30">
    <cfRule type="cellIs" dxfId="63" priority="9" stopIfTrue="1" operator="equal">
      <formula>0</formula>
    </cfRule>
    <cfRule type="cellIs" dxfId="62" priority="10" stopIfTrue="1" operator="notEqual">
      <formula>0</formula>
    </cfRule>
  </conditionalFormatting>
  <conditionalFormatting sqref="P35:P36">
    <cfRule type="cellIs" dxfId="61" priority="7" stopIfTrue="1" operator="equal">
      <formula>0</formula>
    </cfRule>
    <cfRule type="cellIs" dxfId="60" priority="8" stopIfTrue="1" operator="notEqual">
      <formula>0</formula>
    </cfRule>
  </conditionalFormatting>
  <conditionalFormatting sqref="P35:P36">
    <cfRule type="cellIs" dxfId="59" priority="5" stopIfTrue="1" operator="equal">
      <formula>0</formula>
    </cfRule>
    <cfRule type="cellIs" dxfId="58" priority="6" stopIfTrue="1" operator="notEqual">
      <formula>0</formula>
    </cfRule>
  </conditionalFormatting>
  <conditionalFormatting sqref="E42">
    <cfRule type="cellIs" dxfId="57" priority="3" stopIfTrue="1" operator="equal">
      <formula>0</formula>
    </cfRule>
    <cfRule type="cellIs" dxfId="56" priority="4" stopIfTrue="1" operator="notEqual">
      <formula>0</formula>
    </cfRule>
  </conditionalFormatting>
  <conditionalFormatting sqref="E42">
    <cfRule type="cellIs" dxfId="55" priority="1" stopIfTrue="1" operator="equal">
      <formula>0</formula>
    </cfRule>
    <cfRule type="cellIs" dxfId="54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22205-7562-42EF-B181-CA3F27C66788}">
  <sheetPr>
    <pageSetUpPr fitToPage="1"/>
  </sheetPr>
  <dimension ref="A1:T1396"/>
  <sheetViews>
    <sheetView zoomScale="60" zoomScaleNormal="60" workbookViewId="0">
      <selection activeCell="M19" sqref="M19"/>
    </sheetView>
  </sheetViews>
  <sheetFormatPr defaultColWidth="16" defaultRowHeight="15"/>
  <cols>
    <col min="1" max="1" width="2.85546875" style="87" customWidth="1"/>
    <col min="2" max="2" width="48.7109375" style="87" bestFit="1" customWidth="1"/>
    <col min="3" max="3" width="11.5703125" style="87" customWidth="1"/>
    <col min="4" max="4" width="10.7109375" style="87" customWidth="1"/>
    <col min="5" max="5" width="18.7109375" style="15" bestFit="1" customWidth="1"/>
    <col min="6" max="6" width="17.5703125" style="88" customWidth="1"/>
    <col min="7" max="7" width="18.5703125" style="88" bestFit="1" customWidth="1"/>
    <col min="8" max="9" width="17.5703125" style="88" customWidth="1"/>
    <col min="10" max="10" width="4.85546875" style="87" bestFit="1" customWidth="1"/>
    <col min="11" max="11" width="22.28515625" style="87" bestFit="1" customWidth="1"/>
    <col min="12" max="18" width="18.140625" style="87" customWidth="1"/>
    <col min="19" max="19" width="5.140625" style="87" customWidth="1"/>
    <col min="20" max="20" width="41.5703125" style="87" bestFit="1" customWidth="1"/>
    <col min="21" max="16384" width="16" style="87"/>
  </cols>
  <sheetData>
    <row r="1" spans="2:20" ht="15.6" customHeight="1">
      <c r="B1" s="285" t="s">
        <v>218</v>
      </c>
      <c r="C1" s="286">
        <v>202108</v>
      </c>
      <c r="D1" s="284"/>
      <c r="E1" s="204"/>
      <c r="F1" s="204"/>
      <c r="G1" s="204"/>
      <c r="H1" s="204"/>
      <c r="I1" s="204"/>
      <c r="K1" s="280" t="s">
        <v>200</v>
      </c>
      <c r="L1" s="288" t="s">
        <v>201</v>
      </c>
      <c r="N1" s="390"/>
      <c r="O1" s="390"/>
      <c r="T1" s="377" t="s">
        <v>226</v>
      </c>
    </row>
    <row r="2" spans="2:20" ht="15.6" customHeight="1">
      <c r="D2" s="204"/>
      <c r="E2" s="204"/>
      <c r="F2" s="204"/>
      <c r="G2" s="204"/>
      <c r="H2" s="204"/>
      <c r="I2" s="204"/>
      <c r="K2" s="281"/>
      <c r="L2" s="282" t="s">
        <v>202</v>
      </c>
      <c r="N2" s="372"/>
      <c r="O2" s="372"/>
      <c r="T2" s="378" t="s">
        <v>227</v>
      </c>
    </row>
    <row r="3" spans="2:20" ht="15.6" customHeight="1">
      <c r="D3" s="204"/>
      <c r="E3" s="204"/>
      <c r="F3" s="204"/>
      <c r="G3" s="204"/>
      <c r="H3" s="204"/>
      <c r="I3" s="204"/>
      <c r="K3" s="281"/>
      <c r="L3" s="289"/>
      <c r="N3" s="373"/>
      <c r="O3" s="373"/>
      <c r="T3" s="378" t="s">
        <v>228</v>
      </c>
    </row>
    <row r="4" spans="2:20" ht="15.6" customHeight="1" thickBot="1">
      <c r="D4" s="204"/>
      <c r="E4" s="204"/>
      <c r="F4" s="204"/>
      <c r="G4" s="204"/>
      <c r="H4" s="204"/>
      <c r="I4" s="204"/>
      <c r="K4" s="281"/>
      <c r="L4" s="289"/>
      <c r="T4" s="378" t="s">
        <v>229</v>
      </c>
    </row>
    <row r="5" spans="2:20" ht="15.6" customHeight="1" thickBot="1">
      <c r="B5" s="294"/>
      <c r="C5" s="50"/>
      <c r="D5" s="50"/>
      <c r="E5" s="351" t="s">
        <v>28</v>
      </c>
      <c r="F5" s="387" t="s">
        <v>59</v>
      </c>
      <c r="G5" s="388"/>
      <c r="H5" s="387" t="s">
        <v>60</v>
      </c>
      <c r="I5" s="389"/>
      <c r="J5" s="88"/>
      <c r="K5" s="382" t="s">
        <v>59</v>
      </c>
      <c r="L5" s="383"/>
      <c r="M5" s="383"/>
      <c r="N5" s="384"/>
      <c r="O5" s="382" t="s">
        <v>60</v>
      </c>
      <c r="P5" s="383"/>
      <c r="Q5" s="383"/>
      <c r="R5" s="384"/>
      <c r="T5" s="378" t="s">
        <v>230</v>
      </c>
    </row>
    <row r="6" spans="2:20" ht="15.6" customHeight="1" thickBot="1">
      <c r="B6" s="295" t="s">
        <v>31</v>
      </c>
      <c r="C6" s="4"/>
      <c r="D6" s="4"/>
      <c r="E6" s="343" t="s">
        <v>216</v>
      </c>
      <c r="F6" s="330" t="s">
        <v>2</v>
      </c>
      <c r="G6" s="331" t="s">
        <v>1</v>
      </c>
      <c r="H6" s="330" t="s">
        <v>2</v>
      </c>
      <c r="I6" s="329" t="s">
        <v>1</v>
      </c>
      <c r="J6" s="88"/>
      <c r="K6" s="211" t="s">
        <v>42</v>
      </c>
      <c r="L6" s="205" t="s">
        <v>10</v>
      </c>
      <c r="M6" s="205" t="s">
        <v>10</v>
      </c>
      <c r="N6" s="205" t="s">
        <v>10</v>
      </c>
      <c r="O6" s="211" t="s">
        <v>42</v>
      </c>
      <c r="P6" s="205" t="s">
        <v>10</v>
      </c>
      <c r="Q6" s="205" t="s">
        <v>10</v>
      </c>
      <c r="R6" s="274" t="s">
        <v>10</v>
      </c>
      <c r="T6" s="378" t="s">
        <v>231</v>
      </c>
    </row>
    <row r="7" spans="2:20" ht="15.6" customHeight="1" thickBot="1">
      <c r="B7" s="51"/>
      <c r="C7" s="4"/>
      <c r="D7" s="4"/>
      <c r="E7" s="344"/>
      <c r="F7" s="332"/>
      <c r="G7" s="333"/>
      <c r="H7" s="332"/>
      <c r="I7" s="36"/>
      <c r="J7" s="88"/>
      <c r="K7" s="212" t="s">
        <v>72</v>
      </c>
      <c r="L7" s="207" t="s">
        <v>40</v>
      </c>
      <c r="M7" s="207" t="s">
        <v>13</v>
      </c>
      <c r="N7" s="207" t="s">
        <v>11</v>
      </c>
      <c r="O7" s="212" t="s">
        <v>72</v>
      </c>
      <c r="P7" s="207" t="s">
        <v>40</v>
      </c>
      <c r="Q7" s="207" t="s">
        <v>13</v>
      </c>
      <c r="R7" s="207" t="s">
        <v>11</v>
      </c>
      <c r="T7" s="378" t="s">
        <v>232</v>
      </c>
    </row>
    <row r="8" spans="2:20" ht="15.6" customHeight="1">
      <c r="B8" s="51"/>
      <c r="C8" s="4"/>
      <c r="D8" s="4"/>
      <c r="E8" s="365">
        <f>F8+H8</f>
        <v>1</v>
      </c>
      <c r="F8" s="334">
        <v>0.68810000000000004</v>
      </c>
      <c r="G8" s="335">
        <f>ROUND($L$29/($L$29+$P$28),4)</f>
        <v>0.6593</v>
      </c>
      <c r="H8" s="334">
        <v>0.31190000000000001</v>
      </c>
      <c r="I8" s="296">
        <f>1-G8</f>
        <v>0.3407</v>
      </c>
      <c r="J8" s="366"/>
      <c r="K8" s="51"/>
      <c r="L8" s="273"/>
      <c r="M8" s="273"/>
      <c r="N8" s="274"/>
      <c r="O8" s="213"/>
      <c r="P8" s="214"/>
      <c r="Q8" s="214"/>
      <c r="R8" s="76"/>
      <c r="T8" s="378" t="s">
        <v>233</v>
      </c>
    </row>
    <row r="9" spans="2:20" ht="15.6" customHeight="1">
      <c r="B9" s="51"/>
      <c r="C9" s="4"/>
      <c r="D9" s="4"/>
      <c r="E9" s="344"/>
      <c r="F9" s="332"/>
      <c r="G9" s="333"/>
      <c r="H9" s="332"/>
      <c r="I9" s="36"/>
      <c r="J9" s="88"/>
      <c r="K9" s="73" t="s">
        <v>52</v>
      </c>
      <c r="L9" s="4"/>
      <c r="M9" s="4"/>
      <c r="N9" s="36"/>
      <c r="O9" s="73" t="s">
        <v>52</v>
      </c>
      <c r="P9" s="4"/>
      <c r="Q9" s="4"/>
      <c r="R9" s="36"/>
    </row>
    <row r="10" spans="2:20" ht="15.6" customHeight="1">
      <c r="B10" s="283" t="s">
        <v>248</v>
      </c>
      <c r="C10" s="79">
        <v>804001</v>
      </c>
      <c r="D10" s="79" t="s">
        <v>199</v>
      </c>
      <c r="E10" s="345">
        <v>2167861.1800000002</v>
      </c>
      <c r="F10" s="336"/>
      <c r="G10" s="337"/>
      <c r="H10" s="336"/>
      <c r="I10" s="327"/>
      <c r="J10" s="88"/>
      <c r="K10" s="74" t="s">
        <v>14</v>
      </c>
      <c r="L10" s="307">
        <v>2327290</v>
      </c>
      <c r="M10" s="308">
        <v>9.8220000000000002E-2</v>
      </c>
      <c r="N10" s="278">
        <f t="shared" ref="N10:N16" si="0">L10*M10</f>
        <v>228586.42379999999</v>
      </c>
      <c r="O10" s="74" t="s">
        <v>14</v>
      </c>
      <c r="P10" s="307">
        <v>1138852</v>
      </c>
      <c r="Q10" s="308">
        <v>8.9520000000000002E-2</v>
      </c>
      <c r="R10" s="278">
        <f t="shared" ref="R10:R11" si="1">P10*Q10</f>
        <v>101950.03104</v>
      </c>
    </row>
    <row r="11" spans="2:20" ht="15.6" customHeight="1" thickBot="1">
      <c r="B11" s="283" t="s">
        <v>249</v>
      </c>
      <c r="C11" s="79">
        <v>804002</v>
      </c>
      <c r="D11" s="79" t="s">
        <v>199</v>
      </c>
      <c r="E11" s="345">
        <v>4409.8</v>
      </c>
      <c r="F11" s="336"/>
      <c r="G11" s="337"/>
      <c r="H11" s="336"/>
      <c r="I11" s="327"/>
      <c r="J11" s="88"/>
      <c r="K11" s="74" t="s">
        <v>93</v>
      </c>
      <c r="L11" s="307">
        <v>3614</v>
      </c>
      <c r="M11" s="308">
        <v>9.8220000000000002E-2</v>
      </c>
      <c r="N11" s="278">
        <f t="shared" si="0"/>
        <v>354.96708000000001</v>
      </c>
      <c r="O11" s="74" t="s">
        <v>15</v>
      </c>
      <c r="P11" s="307">
        <v>1042627</v>
      </c>
      <c r="Q11" s="308">
        <v>8.9520000000000002E-2</v>
      </c>
      <c r="R11" s="278">
        <f t="shared" si="1"/>
        <v>93335.969039999996</v>
      </c>
    </row>
    <row r="12" spans="2:20" ht="15.6" customHeight="1" thickBot="1">
      <c r="B12" s="297" t="s">
        <v>203</v>
      </c>
      <c r="C12" s="9"/>
      <c r="D12" s="9"/>
      <c r="E12" s="346">
        <f>SUM(E10:E11)</f>
        <v>2172270.98</v>
      </c>
      <c r="F12" s="338"/>
      <c r="G12" s="339"/>
      <c r="H12" s="338"/>
      <c r="I12" s="328"/>
      <c r="J12" s="88"/>
      <c r="K12" s="74" t="s">
        <v>15</v>
      </c>
      <c r="L12" s="307">
        <v>1901151</v>
      </c>
      <c r="M12" s="308">
        <v>8.8349999999999998E-2</v>
      </c>
      <c r="N12" s="278">
        <f t="shared" si="0"/>
        <v>167966.69084999998</v>
      </c>
      <c r="O12" s="74" t="s">
        <v>16</v>
      </c>
      <c r="P12" s="307">
        <v>42556</v>
      </c>
      <c r="Q12" s="308">
        <v>8.9520000000000002E-2</v>
      </c>
      <c r="R12" s="278">
        <f>P12*Q12</f>
        <v>3809.61312</v>
      </c>
    </row>
    <row r="13" spans="2:20" ht="15.6" customHeight="1" thickBot="1">
      <c r="B13" s="298" t="s">
        <v>44</v>
      </c>
      <c r="C13" s="2"/>
      <c r="D13" s="2"/>
      <c r="E13" s="347">
        <f>-E11</f>
        <v>-4409.8</v>
      </c>
      <c r="F13" s="336"/>
      <c r="G13" s="337"/>
      <c r="H13" s="336"/>
      <c r="I13" s="327"/>
      <c r="J13" s="88"/>
      <c r="K13" s="74" t="s">
        <v>16</v>
      </c>
      <c r="L13" s="307">
        <v>29262</v>
      </c>
      <c r="M13" s="308">
        <v>8.8349999999999998E-2</v>
      </c>
      <c r="N13" s="278">
        <f t="shared" si="0"/>
        <v>2585.2977000000001</v>
      </c>
      <c r="O13" s="74" t="s">
        <v>17</v>
      </c>
      <c r="P13" s="307">
        <v>0</v>
      </c>
      <c r="Q13" s="308">
        <v>8.9520000000000002E-2</v>
      </c>
      <c r="R13" s="278">
        <f t="shared" ref="R13:R14" si="2">P13*Q13</f>
        <v>0</v>
      </c>
    </row>
    <row r="14" spans="2:20" ht="15.6" customHeight="1" thickBot="1">
      <c r="B14" s="297" t="s">
        <v>219</v>
      </c>
      <c r="C14" s="299"/>
      <c r="D14" s="299"/>
      <c r="E14" s="346">
        <f>SUM(E12:E13)</f>
        <v>2167861.1800000002</v>
      </c>
      <c r="F14" s="354">
        <f>E14*F8</f>
        <v>1491705.2779580003</v>
      </c>
      <c r="G14" s="355"/>
      <c r="H14" s="354">
        <f>E14*H8</f>
        <v>676155.90204200009</v>
      </c>
      <c r="I14" s="356"/>
      <c r="J14" s="88"/>
      <c r="K14" s="74" t="s">
        <v>17</v>
      </c>
      <c r="L14" s="307">
        <v>0</v>
      </c>
      <c r="M14" s="308">
        <v>5.6399999999999999E-2</v>
      </c>
      <c r="N14" s="278">
        <f t="shared" si="0"/>
        <v>0</v>
      </c>
      <c r="O14" s="74" t="s">
        <v>18</v>
      </c>
      <c r="P14" s="307">
        <v>0</v>
      </c>
      <c r="Q14" s="308">
        <v>8.9520000000000002E-2</v>
      </c>
      <c r="R14" s="278">
        <f t="shared" si="2"/>
        <v>0</v>
      </c>
    </row>
    <row r="15" spans="2:20" ht="15.6" customHeight="1" thickBot="1">
      <c r="B15" s="51"/>
      <c r="C15" s="4"/>
      <c r="D15" s="4"/>
      <c r="E15" s="348"/>
      <c r="F15" s="357"/>
      <c r="G15" s="358"/>
      <c r="H15" s="357"/>
      <c r="I15" s="359"/>
      <c r="J15" s="88"/>
      <c r="K15" s="74" t="s">
        <v>18</v>
      </c>
      <c r="L15" s="307">
        <v>42398</v>
      </c>
      <c r="M15" s="308">
        <v>5.6399999999999999E-2</v>
      </c>
      <c r="N15" s="278">
        <f t="shared" si="0"/>
        <v>2391.2471999999998</v>
      </c>
      <c r="O15" s="73" t="s">
        <v>53</v>
      </c>
      <c r="P15" s="240">
        <f>SUM(P10:P14)</f>
        <v>2224035</v>
      </c>
      <c r="Q15" s="241"/>
      <c r="R15" s="71">
        <f>SUM(R10:R14)</f>
        <v>199095.61319999999</v>
      </c>
    </row>
    <row r="16" spans="2:20" ht="15.6" customHeight="1" thickTop="1">
      <c r="B16" s="51"/>
      <c r="C16" s="4"/>
      <c r="D16" s="4"/>
      <c r="E16" s="348"/>
      <c r="F16" s="357"/>
      <c r="G16" s="358"/>
      <c r="H16" s="357"/>
      <c r="I16" s="359"/>
      <c r="J16" s="88"/>
      <c r="K16" s="74" t="s">
        <v>33</v>
      </c>
      <c r="L16" s="307">
        <v>1753118</v>
      </c>
      <c r="M16" s="308">
        <v>5.4000000000000001E-4</v>
      </c>
      <c r="N16" s="278">
        <f t="shared" si="0"/>
        <v>946.68371999999999</v>
      </c>
      <c r="O16" s="74"/>
      <c r="P16" s="309">
        <v>2224035</v>
      </c>
      <c r="Q16" s="65"/>
      <c r="R16" s="242"/>
    </row>
    <row r="17" spans="2:18" ht="15.6" customHeight="1" thickBot="1">
      <c r="B17" s="283" t="s">
        <v>235</v>
      </c>
      <c r="C17" s="79">
        <v>804000</v>
      </c>
      <c r="D17" s="79" t="s">
        <v>199</v>
      </c>
      <c r="E17" s="345">
        <v>6305965.6900000004</v>
      </c>
      <c r="F17" s="360"/>
      <c r="G17" s="358"/>
      <c r="H17" s="357"/>
      <c r="I17" s="359"/>
      <c r="J17" s="88"/>
      <c r="K17" s="73" t="s">
        <v>53</v>
      </c>
      <c r="L17" s="240">
        <f>SUM(L10:L16)</f>
        <v>6056833</v>
      </c>
      <c r="M17" s="6"/>
      <c r="N17" s="71">
        <f>SUM(N10:N16)</f>
        <v>402831.31034999993</v>
      </c>
      <c r="O17" s="74"/>
      <c r="P17" s="231">
        <f>P15-P16</f>
        <v>0</v>
      </c>
      <c r="Q17" s="65" t="s">
        <v>41</v>
      </c>
      <c r="R17" s="72"/>
    </row>
    <row r="18" spans="2:18" ht="15.6" customHeight="1" thickTop="1">
      <c r="B18" s="283" t="s">
        <v>236</v>
      </c>
      <c r="C18" s="79">
        <v>804010</v>
      </c>
      <c r="D18" s="79" t="s">
        <v>199</v>
      </c>
      <c r="E18" s="345">
        <v>45383.51</v>
      </c>
      <c r="F18" s="357"/>
      <c r="G18" s="358"/>
      <c r="H18" s="357"/>
      <c r="I18" s="359"/>
      <c r="J18" s="88"/>
      <c r="K18" s="64"/>
      <c r="L18" s="309">
        <v>6056833</v>
      </c>
      <c r="M18" s="65"/>
      <c r="N18" s="242"/>
      <c r="O18" s="51"/>
      <c r="P18" s="4"/>
      <c r="Q18" s="196"/>
      <c r="R18" s="72"/>
    </row>
    <row r="19" spans="2:18" ht="15.6" customHeight="1">
      <c r="B19" s="283" t="s">
        <v>237</v>
      </c>
      <c r="C19" s="79">
        <v>804017</v>
      </c>
      <c r="D19" s="79" t="s">
        <v>199</v>
      </c>
      <c r="E19" s="345">
        <v>25771.7</v>
      </c>
      <c r="F19" s="357"/>
      <c r="G19" s="358"/>
      <c r="H19" s="357"/>
      <c r="I19" s="359"/>
      <c r="J19" s="88"/>
      <c r="K19" s="51"/>
      <c r="L19" s="379">
        <f>L17-L18</f>
        <v>0</v>
      </c>
      <c r="M19" s="65" t="s">
        <v>41</v>
      </c>
      <c r="N19" s="36"/>
      <c r="O19" s="69"/>
      <c r="P19" s="70"/>
      <c r="Q19" s="4"/>
      <c r="R19" s="72"/>
    </row>
    <row r="20" spans="2:18" ht="15.6" customHeight="1">
      <c r="B20" s="283" t="s">
        <v>238</v>
      </c>
      <c r="C20" s="79">
        <v>804018</v>
      </c>
      <c r="D20" s="79" t="s">
        <v>199</v>
      </c>
      <c r="E20" s="345">
        <v>12329.18</v>
      </c>
      <c r="F20" s="357"/>
      <c r="G20" s="358"/>
      <c r="H20" s="357"/>
      <c r="I20" s="359"/>
      <c r="J20" s="88"/>
      <c r="K20" s="51"/>
      <c r="L20" s="4"/>
      <c r="M20" s="65"/>
      <c r="N20" s="36"/>
      <c r="O20" s="69"/>
      <c r="P20" s="70"/>
      <c r="Q20" s="4"/>
      <c r="R20" s="36"/>
    </row>
    <row r="21" spans="2:18" ht="15.6" customHeight="1">
      <c r="B21" s="283" t="s">
        <v>239</v>
      </c>
      <c r="C21" s="79">
        <v>804600</v>
      </c>
      <c r="D21" s="79" t="s">
        <v>199</v>
      </c>
      <c r="E21" s="345">
        <v>-1107538.17</v>
      </c>
      <c r="F21" s="357"/>
      <c r="G21" s="358"/>
      <c r="H21" s="357"/>
      <c r="I21" s="359"/>
      <c r="J21" s="88"/>
      <c r="K21" s="51"/>
      <c r="L21" s="4"/>
      <c r="M21" s="65"/>
      <c r="N21" s="36"/>
      <c r="O21" s="69"/>
      <c r="P21" s="70"/>
      <c r="Q21" s="4"/>
      <c r="R21" s="36"/>
    </row>
    <row r="22" spans="2:18" ht="15.6" customHeight="1">
      <c r="B22" s="283" t="s">
        <v>240</v>
      </c>
      <c r="C22" s="79">
        <v>804730</v>
      </c>
      <c r="D22" s="79" t="s">
        <v>199</v>
      </c>
      <c r="E22" s="345">
        <v>417107.05</v>
      </c>
      <c r="F22" s="357"/>
      <c r="G22" s="358"/>
      <c r="H22" s="357"/>
      <c r="I22" s="359"/>
      <c r="J22" s="88"/>
      <c r="K22" s="73" t="s">
        <v>54</v>
      </c>
      <c r="L22" s="4"/>
      <c r="M22" s="4"/>
      <c r="N22" s="36"/>
      <c r="O22" s="73" t="s">
        <v>54</v>
      </c>
      <c r="P22" s="68"/>
      <c r="Q22" s="4"/>
      <c r="R22" s="36"/>
    </row>
    <row r="23" spans="2:18" ht="15.6" customHeight="1">
      <c r="B23" s="283" t="s">
        <v>241</v>
      </c>
      <c r="C23" s="79">
        <v>808100</v>
      </c>
      <c r="D23" s="79" t="s">
        <v>199</v>
      </c>
      <c r="E23" s="345">
        <v>123880.01</v>
      </c>
      <c r="F23" s="357"/>
      <c r="G23" s="358"/>
      <c r="H23" s="357"/>
      <c r="I23" s="359"/>
      <c r="J23" s="88"/>
      <c r="K23" s="74" t="s">
        <v>14</v>
      </c>
      <c r="L23" s="279">
        <f>+L10</f>
        <v>2327290</v>
      </c>
      <c r="M23" s="308">
        <v>0.16167000000000001</v>
      </c>
      <c r="N23" s="278">
        <f t="shared" ref="N23:N28" si="3">L23*M23</f>
        <v>376252.9743</v>
      </c>
      <c r="O23" s="74" t="s">
        <v>14</v>
      </c>
      <c r="P23" s="279">
        <f>+P10</f>
        <v>1138852</v>
      </c>
      <c r="Q23" s="308">
        <v>0.16148000000000001</v>
      </c>
      <c r="R23" s="278">
        <f t="shared" ref="R23" si="4">P23*Q23</f>
        <v>183901.82096000001</v>
      </c>
    </row>
    <row r="24" spans="2:18" ht="15.6" customHeight="1">
      <c r="B24" s="283" t="s">
        <v>242</v>
      </c>
      <c r="C24" s="79">
        <v>808200</v>
      </c>
      <c r="D24" s="79" t="s">
        <v>199</v>
      </c>
      <c r="E24" s="345">
        <v>-706616.92</v>
      </c>
      <c r="F24" s="357"/>
      <c r="G24" s="358"/>
      <c r="H24" s="357"/>
      <c r="I24" s="359"/>
      <c r="J24" s="88"/>
      <c r="K24" s="74" t="s">
        <v>93</v>
      </c>
      <c r="L24" s="279">
        <f t="shared" ref="L24:L28" si="5">+L11</f>
        <v>3614</v>
      </c>
      <c r="M24" s="308">
        <v>0.16167000000000001</v>
      </c>
      <c r="N24" s="278">
        <f t="shared" si="3"/>
        <v>584.27538000000004</v>
      </c>
      <c r="O24" s="74" t="s">
        <v>15</v>
      </c>
      <c r="P24" s="279">
        <f t="shared" ref="P24:P27" si="6">+P11</f>
        <v>1042627</v>
      </c>
      <c r="Q24" s="308">
        <v>0.16148000000000001</v>
      </c>
      <c r="R24" s="278">
        <f>P24*Q24</f>
        <v>168363.40796000001</v>
      </c>
    </row>
    <row r="25" spans="2:18" ht="15.6" customHeight="1">
      <c r="B25" s="283" t="s">
        <v>243</v>
      </c>
      <c r="C25" s="79">
        <v>811000</v>
      </c>
      <c r="D25" s="79" t="s">
        <v>199</v>
      </c>
      <c r="E25" s="345">
        <v>-53777.57</v>
      </c>
      <c r="F25" s="357"/>
      <c r="G25" s="358"/>
      <c r="H25" s="357"/>
      <c r="I25" s="359"/>
      <c r="J25" s="88"/>
      <c r="K25" s="74" t="s">
        <v>15</v>
      </c>
      <c r="L25" s="279">
        <f t="shared" si="5"/>
        <v>1901151</v>
      </c>
      <c r="M25" s="308">
        <v>0.16167000000000001</v>
      </c>
      <c r="N25" s="278">
        <f t="shared" si="3"/>
        <v>307359.08217000001</v>
      </c>
      <c r="O25" s="74" t="s">
        <v>16</v>
      </c>
      <c r="P25" s="279">
        <f t="shared" si="6"/>
        <v>42556</v>
      </c>
      <c r="Q25" s="308">
        <v>0.16148000000000001</v>
      </c>
      <c r="R25" s="278">
        <f t="shared" ref="R25:R27" si="7">P25*Q25</f>
        <v>6871.9428800000005</v>
      </c>
    </row>
    <row r="26" spans="2:18" ht="15.6" customHeight="1">
      <c r="B26" s="283" t="s">
        <v>244</v>
      </c>
      <c r="C26" s="79">
        <v>483000</v>
      </c>
      <c r="D26" s="79" t="s">
        <v>199</v>
      </c>
      <c r="E26" s="345">
        <v>-1373742.09</v>
      </c>
      <c r="F26" s="360"/>
      <c r="G26" s="358"/>
      <c r="H26" s="357"/>
      <c r="I26" s="359"/>
      <c r="J26" s="88"/>
      <c r="K26" s="74" t="s">
        <v>16</v>
      </c>
      <c r="L26" s="279">
        <f t="shared" si="5"/>
        <v>29262</v>
      </c>
      <c r="M26" s="308">
        <v>0.16167000000000001</v>
      </c>
      <c r="N26" s="278">
        <f t="shared" si="3"/>
        <v>4730.7875400000003</v>
      </c>
      <c r="O26" s="74" t="s">
        <v>17</v>
      </c>
      <c r="P26" s="279">
        <f t="shared" si="6"/>
        <v>0</v>
      </c>
      <c r="Q26" s="308">
        <v>0.16148000000000001</v>
      </c>
      <c r="R26" s="278">
        <f t="shared" si="7"/>
        <v>0</v>
      </c>
    </row>
    <row r="27" spans="2:18" ht="15.6" customHeight="1">
      <c r="B27" s="283" t="s">
        <v>245</v>
      </c>
      <c r="C27" s="79">
        <v>483600</v>
      </c>
      <c r="D27" s="79" t="s">
        <v>199</v>
      </c>
      <c r="E27" s="345">
        <v>1092118.69</v>
      </c>
      <c r="F27" s="357"/>
      <c r="G27" s="358"/>
      <c r="H27" s="357"/>
      <c r="I27" s="359"/>
      <c r="J27" s="88"/>
      <c r="K27" s="74" t="s">
        <v>17</v>
      </c>
      <c r="L27" s="279">
        <f t="shared" si="5"/>
        <v>0</v>
      </c>
      <c r="M27" s="308">
        <v>0.16167000000000001</v>
      </c>
      <c r="N27" s="278">
        <f t="shared" si="3"/>
        <v>0</v>
      </c>
      <c r="O27" s="74" t="s">
        <v>18</v>
      </c>
      <c r="P27" s="279">
        <f t="shared" si="6"/>
        <v>0</v>
      </c>
      <c r="Q27" s="308">
        <v>0.16148000000000001</v>
      </c>
      <c r="R27" s="278">
        <f t="shared" si="7"/>
        <v>0</v>
      </c>
    </row>
    <row r="28" spans="2:18" ht="15.6" customHeight="1" thickBot="1">
      <c r="B28" s="283" t="s">
        <v>246</v>
      </c>
      <c r="C28" s="79">
        <v>483730</v>
      </c>
      <c r="D28" s="79" t="s">
        <v>199</v>
      </c>
      <c r="E28" s="345">
        <v>-4205426.43</v>
      </c>
      <c r="F28" s="357"/>
      <c r="G28" s="358"/>
      <c r="H28" s="357"/>
      <c r="I28" s="359"/>
      <c r="J28" s="88"/>
      <c r="K28" s="74" t="s">
        <v>18</v>
      </c>
      <c r="L28" s="279">
        <f t="shared" si="5"/>
        <v>42398</v>
      </c>
      <c r="M28" s="308">
        <v>0.16167000000000001</v>
      </c>
      <c r="N28" s="278">
        <f t="shared" si="3"/>
        <v>6854.4846600000001</v>
      </c>
      <c r="O28" s="73" t="s">
        <v>58</v>
      </c>
      <c r="P28" s="240">
        <f>SUM(P23:P27)</f>
        <v>2224035</v>
      </c>
      <c r="Q28" s="241"/>
      <c r="R28" s="71">
        <f>SUM(R23:R27)</f>
        <v>359137.17180000001</v>
      </c>
    </row>
    <row r="29" spans="2:18" ht="15.6" customHeight="1" thickTop="1" thickBot="1">
      <c r="B29" s="283" t="s">
        <v>247</v>
      </c>
      <c r="C29" s="79">
        <v>495028</v>
      </c>
      <c r="D29" s="79" t="s">
        <v>199</v>
      </c>
      <c r="E29" s="345">
        <v>-468750</v>
      </c>
      <c r="F29" s="357"/>
      <c r="G29" s="358"/>
      <c r="H29" s="357"/>
      <c r="I29" s="359"/>
      <c r="J29" s="88"/>
      <c r="K29" s="73" t="s">
        <v>58</v>
      </c>
      <c r="L29" s="240">
        <f>SUM(L23:L28)</f>
        <v>4303715</v>
      </c>
      <c r="M29" s="241"/>
      <c r="N29" s="250">
        <f>SUM(N23:N28)</f>
        <v>695781.60404999997</v>
      </c>
      <c r="O29" s="73"/>
      <c r="P29" s="309">
        <v>2224035</v>
      </c>
      <c r="Q29" s="65"/>
      <c r="R29" s="247"/>
    </row>
    <row r="30" spans="2:18" ht="15.6" customHeight="1" thickTop="1">
      <c r="B30" s="283" t="s">
        <v>197</v>
      </c>
      <c r="C30" s="79">
        <v>495100</v>
      </c>
      <c r="D30" s="79" t="s">
        <v>199</v>
      </c>
      <c r="E30" s="345">
        <v>0</v>
      </c>
      <c r="F30" s="361"/>
      <c r="G30" s="362"/>
      <c r="H30" s="361"/>
      <c r="I30" s="363"/>
      <c r="J30" s="88"/>
      <c r="K30" s="64"/>
      <c r="L30" s="309">
        <v>4303715</v>
      </c>
      <c r="M30" s="65"/>
      <c r="N30" s="251"/>
      <c r="O30" s="73"/>
      <c r="P30" s="231">
        <f>P28-P29</f>
        <v>0</v>
      </c>
      <c r="Q30" s="65" t="s">
        <v>41</v>
      </c>
      <c r="R30" s="72"/>
    </row>
    <row r="31" spans="2:18" ht="15.6" customHeight="1" thickBot="1">
      <c r="B31" s="301" t="s">
        <v>47</v>
      </c>
      <c r="C31" s="79"/>
      <c r="D31" s="79"/>
      <c r="E31" s="347">
        <f>-E13</f>
        <v>4409.8</v>
      </c>
      <c r="F31" s="357"/>
      <c r="G31" s="358"/>
      <c r="H31" s="357"/>
      <c r="I31" s="359"/>
      <c r="J31" s="88"/>
      <c r="K31" s="66"/>
      <c r="L31" s="248">
        <f>L29-L30</f>
        <v>0</v>
      </c>
      <c r="M31" s="67" t="s">
        <v>41</v>
      </c>
      <c r="N31" s="249"/>
      <c r="O31" s="252"/>
      <c r="P31" s="253"/>
      <c r="Q31" s="254"/>
      <c r="R31" s="255"/>
    </row>
    <row r="32" spans="2:18" ht="15.6" customHeight="1" thickBot="1">
      <c r="B32" s="297" t="s">
        <v>48</v>
      </c>
      <c r="C32" s="4"/>
      <c r="D32" s="4"/>
      <c r="E32" s="346">
        <f>SUM(E17:E31)</f>
        <v>111114.45000000038</v>
      </c>
      <c r="F32" s="364"/>
      <c r="G32" s="337">
        <f>E32*G8</f>
        <v>73257.756885000243</v>
      </c>
      <c r="H32" s="228"/>
      <c r="I32" s="327">
        <f>E32*I8</f>
        <v>37856.693115000126</v>
      </c>
      <c r="J32" s="88"/>
    </row>
    <row r="33" spans="1:20" ht="15.6" customHeight="1">
      <c r="B33" s="283" t="s">
        <v>194</v>
      </c>
      <c r="C33" s="79">
        <v>495100</v>
      </c>
      <c r="D33" s="4" t="s">
        <v>204</v>
      </c>
      <c r="E33" s="345">
        <v>0</v>
      </c>
      <c r="F33" s="361"/>
      <c r="G33" s="337">
        <f>E33</f>
        <v>0</v>
      </c>
      <c r="H33" s="228"/>
      <c r="I33" s="327"/>
      <c r="J33" s="88"/>
      <c r="K33" s="311" t="s">
        <v>32</v>
      </c>
      <c r="L33" s="7" t="s">
        <v>12</v>
      </c>
      <c r="M33" s="7" t="s">
        <v>12</v>
      </c>
      <c r="N33" s="7" t="s">
        <v>22</v>
      </c>
      <c r="O33" s="7" t="s">
        <v>22</v>
      </c>
      <c r="P33" s="312"/>
      <c r="Q33" s="2"/>
    </row>
    <row r="34" spans="1:20" ht="15.6" customHeight="1" thickBot="1">
      <c r="B34" s="302" t="s">
        <v>172</v>
      </c>
      <c r="C34" s="79">
        <v>495100</v>
      </c>
      <c r="D34" s="4" t="s">
        <v>205</v>
      </c>
      <c r="E34" s="345">
        <v>0</v>
      </c>
      <c r="F34" s="361"/>
      <c r="G34" s="337"/>
      <c r="H34" s="228"/>
      <c r="I34" s="327">
        <f>E34</f>
        <v>0</v>
      </c>
      <c r="J34" s="88"/>
      <c r="K34" s="295"/>
      <c r="L34" s="46" t="s">
        <v>2</v>
      </c>
      <c r="M34" s="46" t="s">
        <v>1</v>
      </c>
      <c r="N34" s="46" t="s">
        <v>2</v>
      </c>
      <c r="O34" s="46" t="s">
        <v>1</v>
      </c>
      <c r="P34" s="322" t="s">
        <v>212</v>
      </c>
      <c r="Q34" s="2"/>
    </row>
    <row r="35" spans="1:20" ht="15.6" customHeight="1">
      <c r="B35" s="64" t="s">
        <v>206</v>
      </c>
      <c r="C35" s="79">
        <v>804000</v>
      </c>
      <c r="D35" s="4" t="s">
        <v>204</v>
      </c>
      <c r="E35" s="345">
        <v>-64364.959999999999</v>
      </c>
      <c r="F35" s="357"/>
      <c r="G35" s="337">
        <f>E35</f>
        <v>-64364.959999999999</v>
      </c>
      <c r="H35" s="228"/>
      <c r="I35" s="327"/>
      <c r="J35" s="88"/>
      <c r="K35" s="51" t="s">
        <v>214</v>
      </c>
      <c r="L35" s="230">
        <f>$F$39</f>
        <v>1491705.2779580003</v>
      </c>
      <c r="M35" s="230">
        <f>G39</f>
        <v>8892.7968850002435</v>
      </c>
      <c r="N35" s="230">
        <f>$H$39</f>
        <v>676155.90204200009</v>
      </c>
      <c r="O35" s="230">
        <f>I39</f>
        <v>6875.333115000125</v>
      </c>
      <c r="P35" s="321">
        <f>SUM(L35:O35)-E39</f>
        <v>0</v>
      </c>
      <c r="Q35" s="2"/>
    </row>
    <row r="36" spans="1:20" ht="15.6" customHeight="1" thickBot="1">
      <c r="B36" s="64" t="s">
        <v>207</v>
      </c>
      <c r="C36" s="79">
        <v>804000</v>
      </c>
      <c r="D36" s="4" t="s">
        <v>205</v>
      </c>
      <c r="E36" s="345">
        <v>-30981.360000000001</v>
      </c>
      <c r="F36" s="357"/>
      <c r="G36" s="337"/>
      <c r="H36" s="228"/>
      <c r="I36" s="327">
        <f>E36</f>
        <v>-30981.360000000001</v>
      </c>
      <c r="J36" s="88"/>
      <c r="K36" s="51" t="s">
        <v>217</v>
      </c>
      <c r="L36" s="310">
        <f>-$N$17</f>
        <v>-402831.31034999993</v>
      </c>
      <c r="M36" s="310">
        <f>-N29</f>
        <v>-695781.60404999997</v>
      </c>
      <c r="N36" s="310">
        <f>-$R$15</f>
        <v>-199095.61319999999</v>
      </c>
      <c r="O36" s="310">
        <f>-R28</f>
        <v>-359137.17180000001</v>
      </c>
      <c r="P36" s="321">
        <f>SUM(L36:O36)+N17+N29+R15+R28</f>
        <v>0</v>
      </c>
      <c r="Q36" s="2"/>
    </row>
    <row r="37" spans="1:20" ht="15.6" customHeight="1" thickBot="1">
      <c r="B37" s="297" t="s">
        <v>220</v>
      </c>
      <c r="C37" s="79"/>
      <c r="D37" s="4"/>
      <c r="E37" s="346">
        <f>SUM(E32:E36)</f>
        <v>15768.130000000376</v>
      </c>
      <c r="F37" s="338"/>
      <c r="G37" s="340"/>
      <c r="H37" s="338"/>
      <c r="I37" s="300"/>
      <c r="J37" s="88"/>
      <c r="K37" s="297" t="s">
        <v>215</v>
      </c>
      <c r="L37" s="245">
        <f t="shared" ref="L37:O37" si="8">SUM(L35:L36)</f>
        <v>1088873.9676080004</v>
      </c>
      <c r="M37" s="245">
        <f>SUM(M35:M36)</f>
        <v>-686888.80716499977</v>
      </c>
      <c r="N37" s="245">
        <f t="shared" si="8"/>
        <v>477060.28884200007</v>
      </c>
      <c r="O37" s="245">
        <f t="shared" si="8"/>
        <v>-352261.83868499991</v>
      </c>
      <c r="P37" s="313"/>
      <c r="Q37" s="2"/>
    </row>
    <row r="38" spans="1:20" ht="15.6" customHeight="1" thickBot="1">
      <c r="B38" s="51"/>
      <c r="C38" s="29"/>
      <c r="D38" s="29"/>
      <c r="E38" s="350"/>
      <c r="F38" s="341"/>
      <c r="G38" s="342"/>
      <c r="H38" s="341"/>
      <c r="I38" s="303"/>
      <c r="J38" s="88"/>
      <c r="K38" s="314"/>
      <c r="L38" s="263"/>
      <c r="M38" s="9"/>
      <c r="N38" s="2"/>
      <c r="O38" s="318"/>
      <c r="P38" s="315"/>
      <c r="Q38" s="2"/>
    </row>
    <row r="39" spans="1:20" ht="15.6" customHeight="1" thickBot="1">
      <c r="B39" s="304" t="s">
        <v>211</v>
      </c>
      <c r="C39" s="305"/>
      <c r="D39" s="305"/>
      <c r="E39" s="346">
        <f>E37+E14</f>
        <v>2183629.3100000005</v>
      </c>
      <c r="F39" s="352">
        <f>SUM(F14:F37)</f>
        <v>1491705.2779580003</v>
      </c>
      <c r="G39" s="353">
        <f t="shared" ref="G39:I39" si="9">SUM(G14:G37)</f>
        <v>8892.7968850002435</v>
      </c>
      <c r="H39" s="352">
        <f t="shared" si="9"/>
        <v>676155.90204200009</v>
      </c>
      <c r="I39" s="306">
        <f t="shared" si="9"/>
        <v>6875.333115000125</v>
      </c>
      <c r="J39" s="88"/>
      <c r="K39" s="316"/>
      <c r="L39" s="319" t="s">
        <v>76</v>
      </c>
      <c r="M39" s="317">
        <f>SUM(L37:M37)</f>
        <v>401985.16044300061</v>
      </c>
      <c r="N39" s="320" t="s">
        <v>77</v>
      </c>
      <c r="O39" s="317">
        <f>SUM(N37:O37)</f>
        <v>124798.45015700016</v>
      </c>
      <c r="P39" s="83"/>
      <c r="Q39" s="2"/>
    </row>
    <row r="40" spans="1:20" ht="15.6" customHeight="1">
      <c r="B40" s="88"/>
      <c r="C40" s="30"/>
      <c r="D40" s="30"/>
      <c r="E40" s="194"/>
      <c r="F40" s="194"/>
      <c r="G40" s="194"/>
      <c r="H40" s="194"/>
      <c r="I40" s="194"/>
      <c r="J40" s="88"/>
      <c r="M40" s="81"/>
      <c r="Q40" s="2"/>
    </row>
    <row r="41" spans="1:20" ht="15.6" customHeight="1">
      <c r="A41" s="88"/>
      <c r="B41" s="370" t="s">
        <v>223</v>
      </c>
      <c r="C41" s="369"/>
      <c r="D41" s="31" t="s">
        <v>222</v>
      </c>
      <c r="E41" s="287">
        <v>2183629.31</v>
      </c>
      <c r="F41" s="194"/>
      <c r="G41" s="194"/>
      <c r="H41" s="194"/>
      <c r="I41" s="194"/>
      <c r="J41" s="88"/>
      <c r="P41" s="3"/>
    </row>
    <row r="42" spans="1:20" ht="15.6" customHeight="1">
      <c r="B42" s="291"/>
      <c r="C42" s="291"/>
      <c r="D42" s="31" t="s">
        <v>71</v>
      </c>
      <c r="E42" s="228">
        <f>ROUND(E39-E41,2)</f>
        <v>0</v>
      </c>
      <c r="F42" s="326"/>
      <c r="G42" s="326"/>
      <c r="H42" s="326"/>
      <c r="I42" s="326"/>
    </row>
    <row r="43" spans="1:20" ht="15.6" customHeight="1">
      <c r="B43" s="291"/>
      <c r="C43" s="291"/>
      <c r="E43" s="260"/>
      <c r="F43" s="326"/>
      <c r="G43" s="326"/>
      <c r="H43" s="326"/>
      <c r="I43" s="326"/>
    </row>
    <row r="44" spans="1:20" ht="15.6" customHeight="1" thickBot="1">
      <c r="B44" s="291"/>
      <c r="C44" s="291"/>
      <c r="E44" s="260"/>
      <c r="F44" s="326"/>
      <c r="G44" s="326"/>
      <c r="H44" s="326"/>
      <c r="I44" s="326"/>
    </row>
    <row r="45" spans="1:20" ht="15.6" customHeight="1" thickBot="1">
      <c r="B45" s="291"/>
      <c r="C45" s="291"/>
      <c r="E45" s="385" t="s">
        <v>213</v>
      </c>
      <c r="F45" s="386"/>
      <c r="G45" s="326"/>
      <c r="H45" s="326"/>
      <c r="I45" s="326"/>
    </row>
    <row r="46" spans="1:20" ht="15.6" customHeight="1">
      <c r="B46" s="291"/>
      <c r="C46" s="291"/>
      <c r="E46" s="283" t="s">
        <v>78</v>
      </c>
      <c r="F46" s="324" t="s">
        <v>79</v>
      </c>
      <c r="G46" s="326"/>
      <c r="H46" s="326"/>
      <c r="I46" s="326"/>
    </row>
    <row r="47" spans="1:20" ht="15.75" thickBot="1">
      <c r="E47" s="325" t="e">
        <f>SUM('191010 WA DEF'!E36:E45)+SUM('191000 WA Amort'!H36:H45)+SUM(#REF!)+SUM(#REF!)</f>
        <v>#REF!</v>
      </c>
      <c r="F47" s="323" t="e">
        <f>-E47</f>
        <v>#REF!</v>
      </c>
    </row>
    <row r="48" spans="1:20">
      <c r="E48" s="373"/>
      <c r="F48" s="373"/>
      <c r="T48" s="88"/>
    </row>
    <row r="49" spans="1:20" s="88" customFormat="1">
      <c r="A49" s="87"/>
      <c r="B49" s="87"/>
      <c r="C49" s="87"/>
      <c r="D49" s="87"/>
      <c r="E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1:20" s="88" customFormat="1">
      <c r="A50" s="87"/>
      <c r="B50" s="87"/>
      <c r="C50" s="87"/>
      <c r="D50" s="87"/>
      <c r="E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1:20" s="88" customFormat="1">
      <c r="A51" s="87"/>
      <c r="B51" s="87"/>
      <c r="C51" s="87"/>
      <c r="D51" s="87"/>
      <c r="E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1:20" s="88" customFormat="1">
      <c r="A52" s="87"/>
      <c r="B52" s="87"/>
      <c r="C52" s="87"/>
      <c r="D52" s="87"/>
      <c r="E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1:20" s="88" customFormat="1">
      <c r="A53" s="87"/>
      <c r="B53" s="87"/>
      <c r="C53" s="87"/>
      <c r="D53" s="87"/>
      <c r="E53" s="87"/>
      <c r="J53" s="87"/>
      <c r="K53" s="87"/>
      <c r="L53" s="87"/>
      <c r="M53" s="87"/>
      <c r="N53" s="87"/>
      <c r="O53" s="87"/>
      <c r="P53" s="87"/>
      <c r="Q53" s="87"/>
      <c r="R53" s="87"/>
    </row>
    <row r="54" spans="1:20" s="88" customFormat="1">
      <c r="A54" s="87"/>
      <c r="B54" s="87"/>
      <c r="C54" s="87"/>
      <c r="D54" s="87"/>
      <c r="E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1:20" s="88" customFormat="1">
      <c r="A55" s="87"/>
      <c r="B55" s="87"/>
      <c r="C55" s="87"/>
      <c r="D55" s="87"/>
      <c r="E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1:20" s="88" customFormat="1">
      <c r="A56" s="87"/>
      <c r="B56" s="87"/>
      <c r="C56" s="87"/>
      <c r="D56" s="87"/>
      <c r="E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1:20" s="88" customFormat="1">
      <c r="A57" s="87"/>
      <c r="B57" s="87"/>
      <c r="C57" s="87"/>
      <c r="D57" s="87"/>
      <c r="E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1:20" s="88" customFormat="1">
      <c r="A58" s="87"/>
      <c r="B58" s="87"/>
      <c r="C58" s="87"/>
      <c r="D58" s="87"/>
      <c r="E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1:20" s="88" customFormat="1">
      <c r="A59" s="87"/>
      <c r="B59" s="87"/>
      <c r="C59" s="87"/>
      <c r="D59" s="87"/>
      <c r="E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1:20" s="88" customFormat="1">
      <c r="A60" s="87"/>
      <c r="B60" s="87"/>
      <c r="C60" s="87"/>
      <c r="D60" s="87"/>
      <c r="E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1:20" s="88" customFormat="1">
      <c r="A61" s="87"/>
      <c r="B61" s="87"/>
      <c r="C61" s="87"/>
      <c r="D61" s="87"/>
      <c r="E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1:20" s="88" customFormat="1">
      <c r="A62" s="87"/>
      <c r="B62" s="87"/>
      <c r="C62" s="87"/>
      <c r="D62" s="87"/>
      <c r="E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1:20" s="88" customFormat="1">
      <c r="A63" s="87"/>
      <c r="B63" s="87"/>
      <c r="C63" s="87"/>
      <c r="D63" s="87"/>
      <c r="E63" s="87"/>
      <c r="J63" s="87"/>
      <c r="K63" s="87"/>
      <c r="L63" s="87"/>
      <c r="M63" s="87"/>
      <c r="N63" s="87"/>
      <c r="O63" s="87"/>
      <c r="P63" s="87"/>
      <c r="Q63" s="87"/>
      <c r="R63" s="87"/>
      <c r="T63" s="87"/>
    </row>
    <row r="1387" spans="1:20">
      <c r="T1387" s="15"/>
    </row>
    <row r="1388" spans="1:20" s="15" customFormat="1">
      <c r="A1388" s="87"/>
      <c r="B1388" s="87"/>
      <c r="C1388" s="87"/>
      <c r="D1388" s="87">
        <v>-2130</v>
      </c>
      <c r="F1388" s="88"/>
      <c r="G1388" s="88"/>
      <c r="H1388" s="88"/>
      <c r="I1388" s="88"/>
      <c r="J1388" s="87"/>
      <c r="K1388" s="87"/>
      <c r="L1388" s="87"/>
      <c r="M1388" s="87"/>
      <c r="N1388" s="87"/>
      <c r="O1388" s="87"/>
      <c r="P1388" s="87"/>
      <c r="Q1388" s="87"/>
      <c r="R1388" s="87"/>
      <c r="T1388" s="87"/>
    </row>
    <row r="1395" spans="1:20">
      <c r="T1395" s="15"/>
    </row>
    <row r="1396" spans="1:20" s="15" customFormat="1">
      <c r="A1396" s="87"/>
      <c r="B1396" s="87"/>
      <c r="C1396" s="87"/>
      <c r="D1396" s="87">
        <f>7004298-2130</f>
        <v>7002168</v>
      </c>
      <c r="F1396" s="88"/>
      <c r="G1396" s="88"/>
      <c r="H1396" s="88"/>
      <c r="I1396" s="88"/>
      <c r="J1396" s="87"/>
      <c r="K1396" s="87"/>
      <c r="L1396" s="87"/>
      <c r="M1396" s="87"/>
      <c r="N1396" s="87"/>
      <c r="O1396" s="87"/>
      <c r="P1396" s="87"/>
      <c r="Q1396" s="87"/>
      <c r="R1396" s="87"/>
      <c r="T1396" s="87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53" priority="27" operator="equal">
      <formula>"ERROR"</formula>
    </cfRule>
  </conditionalFormatting>
  <conditionalFormatting sqref="D43:D46">
    <cfRule type="cellIs" dxfId="52" priority="26" operator="equal">
      <formula>"ERROR"</formula>
    </cfRule>
  </conditionalFormatting>
  <conditionalFormatting sqref="P31">
    <cfRule type="cellIs" dxfId="51" priority="25" operator="notEqual">
      <formula>0</formula>
    </cfRule>
  </conditionalFormatting>
  <conditionalFormatting sqref="L19">
    <cfRule type="cellIs" dxfId="50" priority="23" stopIfTrue="1" operator="equal">
      <formula>0</formula>
    </cfRule>
    <cfRule type="cellIs" dxfId="49" priority="24" stopIfTrue="1" operator="notEqual">
      <formula>0</formula>
    </cfRule>
  </conditionalFormatting>
  <conditionalFormatting sqref="L19">
    <cfRule type="cellIs" dxfId="48" priority="21" stopIfTrue="1" operator="equal">
      <formula>0</formula>
    </cfRule>
    <cfRule type="cellIs" dxfId="47" priority="22" stopIfTrue="1" operator="notEqual">
      <formula>0</formula>
    </cfRule>
  </conditionalFormatting>
  <conditionalFormatting sqref="L31">
    <cfRule type="cellIs" dxfId="46" priority="19" stopIfTrue="1" operator="equal">
      <formula>0</formula>
    </cfRule>
    <cfRule type="cellIs" dxfId="45" priority="20" stopIfTrue="1" operator="notEqual">
      <formula>0</formula>
    </cfRule>
  </conditionalFormatting>
  <conditionalFormatting sqref="L31">
    <cfRule type="cellIs" dxfId="44" priority="17" stopIfTrue="1" operator="equal">
      <formula>0</formula>
    </cfRule>
    <cfRule type="cellIs" dxfId="43" priority="18" stopIfTrue="1" operator="notEqual">
      <formula>0</formula>
    </cfRule>
  </conditionalFormatting>
  <conditionalFormatting sqref="P17">
    <cfRule type="cellIs" dxfId="42" priority="15" stopIfTrue="1" operator="equal">
      <formula>0</formula>
    </cfRule>
    <cfRule type="cellIs" dxfId="41" priority="16" stopIfTrue="1" operator="notEqual">
      <formula>0</formula>
    </cfRule>
  </conditionalFormatting>
  <conditionalFormatting sqref="P17">
    <cfRule type="cellIs" dxfId="40" priority="13" stopIfTrue="1" operator="equal">
      <formula>0</formula>
    </cfRule>
    <cfRule type="cellIs" dxfId="39" priority="14" stopIfTrue="1" operator="notEqual">
      <formula>0</formula>
    </cfRule>
  </conditionalFormatting>
  <conditionalFormatting sqref="P30">
    <cfRule type="cellIs" dxfId="38" priority="11" stopIfTrue="1" operator="equal">
      <formula>0</formula>
    </cfRule>
    <cfRule type="cellIs" dxfId="37" priority="12" stopIfTrue="1" operator="notEqual">
      <formula>0</formula>
    </cfRule>
  </conditionalFormatting>
  <conditionalFormatting sqref="P30">
    <cfRule type="cellIs" dxfId="36" priority="9" stopIfTrue="1" operator="equal">
      <formula>0</formula>
    </cfRule>
    <cfRule type="cellIs" dxfId="35" priority="10" stopIfTrue="1" operator="notEqual">
      <formula>0</formula>
    </cfRule>
  </conditionalFormatting>
  <conditionalFormatting sqref="P35:P36">
    <cfRule type="cellIs" dxfId="34" priority="7" stopIfTrue="1" operator="equal">
      <formula>0</formula>
    </cfRule>
    <cfRule type="cellIs" dxfId="33" priority="8" stopIfTrue="1" operator="notEqual">
      <formula>0</formula>
    </cfRule>
  </conditionalFormatting>
  <conditionalFormatting sqref="P35:P36">
    <cfRule type="cellIs" dxfId="32" priority="5" stopIfTrue="1" operator="equal">
      <formula>0</formula>
    </cfRule>
    <cfRule type="cellIs" dxfId="31" priority="6" stopIfTrue="1" operator="notEqual">
      <formula>0</formula>
    </cfRule>
  </conditionalFormatting>
  <conditionalFormatting sqref="E42">
    <cfRule type="cellIs" dxfId="30" priority="3" stopIfTrue="1" operator="equal">
      <formula>0</formula>
    </cfRule>
    <cfRule type="cellIs" dxfId="29" priority="4" stopIfTrue="1" operator="notEqual">
      <formula>0</formula>
    </cfRule>
  </conditionalFormatting>
  <conditionalFormatting sqref="E42">
    <cfRule type="cellIs" dxfId="28" priority="1" stopIfTrue="1" operator="equal">
      <formula>0</formula>
    </cfRule>
    <cfRule type="cellIs" dxfId="27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F5DA2-3143-4EC6-A400-3F8AFA0E9F68}">
  <sheetPr>
    <pageSetUpPr fitToPage="1"/>
  </sheetPr>
  <dimension ref="A1:T1396"/>
  <sheetViews>
    <sheetView zoomScale="60" zoomScaleNormal="60" workbookViewId="0">
      <selection activeCell="K22" sqref="K22"/>
    </sheetView>
  </sheetViews>
  <sheetFormatPr defaultColWidth="16" defaultRowHeight="15"/>
  <cols>
    <col min="1" max="1" width="2.85546875" style="87" customWidth="1"/>
    <col min="2" max="2" width="48.7109375" style="87" bestFit="1" customWidth="1"/>
    <col min="3" max="3" width="11.5703125" style="87" customWidth="1"/>
    <col min="4" max="4" width="10.7109375" style="87" customWidth="1"/>
    <col min="5" max="5" width="18.7109375" style="15" bestFit="1" customWidth="1"/>
    <col min="6" max="6" width="17.5703125" style="88" customWidth="1"/>
    <col min="7" max="7" width="18.5703125" style="88" bestFit="1" customWidth="1"/>
    <col min="8" max="9" width="17.5703125" style="88" customWidth="1"/>
    <col min="10" max="10" width="4.85546875" style="87" bestFit="1" customWidth="1"/>
    <col min="11" max="11" width="22.28515625" style="87" bestFit="1" customWidth="1"/>
    <col min="12" max="18" width="18.140625" style="87" customWidth="1"/>
    <col min="19" max="19" width="5.140625" style="87" customWidth="1"/>
    <col min="20" max="20" width="41.5703125" style="87" bestFit="1" customWidth="1"/>
    <col min="21" max="16384" width="16" style="87"/>
  </cols>
  <sheetData>
    <row r="1" spans="2:20" ht="15.6" customHeight="1">
      <c r="B1" s="285" t="s">
        <v>218</v>
      </c>
      <c r="C1" s="286">
        <v>202109</v>
      </c>
      <c r="D1" s="380"/>
      <c r="E1" s="204"/>
      <c r="F1" s="204"/>
      <c r="G1" s="204"/>
      <c r="H1" s="204"/>
      <c r="I1" s="204"/>
      <c r="K1" s="280" t="s">
        <v>200</v>
      </c>
      <c r="L1" s="288" t="s">
        <v>201</v>
      </c>
      <c r="N1" s="390"/>
      <c r="O1" s="390"/>
      <c r="T1" s="377" t="s">
        <v>226</v>
      </c>
    </row>
    <row r="2" spans="2:20" ht="15.6" customHeight="1">
      <c r="D2" s="204"/>
      <c r="E2" s="204"/>
      <c r="F2" s="204"/>
      <c r="G2" s="204"/>
      <c r="H2" s="204"/>
      <c r="I2" s="204"/>
      <c r="K2" s="281"/>
      <c r="L2" s="282" t="s">
        <v>202</v>
      </c>
      <c r="N2" s="372"/>
      <c r="O2" s="372"/>
      <c r="T2" s="378" t="s">
        <v>227</v>
      </c>
    </row>
    <row r="3" spans="2:20" ht="15.6" customHeight="1">
      <c r="D3" s="204"/>
      <c r="E3" s="204"/>
      <c r="F3" s="204"/>
      <c r="G3" s="204"/>
      <c r="H3" s="204"/>
      <c r="I3" s="204"/>
      <c r="K3" s="281"/>
      <c r="L3" s="289"/>
      <c r="N3" s="373"/>
      <c r="O3" s="373"/>
      <c r="T3" s="378" t="s">
        <v>228</v>
      </c>
    </row>
    <row r="4" spans="2:20" ht="15.6" customHeight="1" thickBot="1">
      <c r="D4" s="204"/>
      <c r="E4" s="204"/>
      <c r="F4" s="204"/>
      <c r="G4" s="204"/>
      <c r="H4" s="204"/>
      <c r="I4" s="204"/>
      <c r="K4" s="281"/>
      <c r="L4" s="289"/>
      <c r="T4" s="378" t="s">
        <v>229</v>
      </c>
    </row>
    <row r="5" spans="2:20" ht="15.6" customHeight="1" thickBot="1">
      <c r="B5" s="294"/>
      <c r="C5" s="50"/>
      <c r="D5" s="50"/>
      <c r="E5" s="351" t="s">
        <v>28</v>
      </c>
      <c r="F5" s="387" t="s">
        <v>59</v>
      </c>
      <c r="G5" s="388"/>
      <c r="H5" s="387" t="s">
        <v>60</v>
      </c>
      <c r="I5" s="389"/>
      <c r="J5" s="88"/>
      <c r="K5" s="382" t="s">
        <v>59</v>
      </c>
      <c r="L5" s="383"/>
      <c r="M5" s="383"/>
      <c r="N5" s="384"/>
      <c r="O5" s="382" t="s">
        <v>60</v>
      </c>
      <c r="P5" s="383"/>
      <c r="Q5" s="383"/>
      <c r="R5" s="384"/>
      <c r="T5" s="378" t="s">
        <v>230</v>
      </c>
    </row>
    <row r="6" spans="2:20" ht="15.6" customHeight="1" thickBot="1">
      <c r="B6" s="295" t="s">
        <v>31</v>
      </c>
      <c r="C6" s="4"/>
      <c r="D6" s="4"/>
      <c r="E6" s="343" t="s">
        <v>216</v>
      </c>
      <c r="F6" s="330" t="s">
        <v>2</v>
      </c>
      <c r="G6" s="331" t="s">
        <v>1</v>
      </c>
      <c r="H6" s="330" t="s">
        <v>2</v>
      </c>
      <c r="I6" s="329" t="s">
        <v>1</v>
      </c>
      <c r="J6" s="88"/>
      <c r="K6" s="211" t="s">
        <v>42</v>
      </c>
      <c r="L6" s="205" t="s">
        <v>10</v>
      </c>
      <c r="M6" s="205" t="s">
        <v>10</v>
      </c>
      <c r="N6" s="205" t="s">
        <v>10</v>
      </c>
      <c r="O6" s="211" t="s">
        <v>42</v>
      </c>
      <c r="P6" s="205" t="s">
        <v>10</v>
      </c>
      <c r="Q6" s="205" t="s">
        <v>10</v>
      </c>
      <c r="R6" s="274" t="s">
        <v>10</v>
      </c>
      <c r="T6" s="378" t="s">
        <v>231</v>
      </c>
    </row>
    <row r="7" spans="2:20" ht="15.6" customHeight="1" thickBot="1">
      <c r="B7" s="51"/>
      <c r="C7" s="4"/>
      <c r="D7" s="4"/>
      <c r="E7" s="344"/>
      <c r="F7" s="332"/>
      <c r="G7" s="333"/>
      <c r="H7" s="332"/>
      <c r="I7" s="36"/>
      <c r="J7" s="88"/>
      <c r="K7" s="212" t="s">
        <v>72</v>
      </c>
      <c r="L7" s="207" t="s">
        <v>40</v>
      </c>
      <c r="M7" s="207" t="s">
        <v>13</v>
      </c>
      <c r="N7" s="207" t="s">
        <v>11</v>
      </c>
      <c r="O7" s="212" t="s">
        <v>72</v>
      </c>
      <c r="P7" s="207" t="s">
        <v>40</v>
      </c>
      <c r="Q7" s="207" t="s">
        <v>13</v>
      </c>
      <c r="R7" s="207" t="s">
        <v>11</v>
      </c>
      <c r="T7" s="378" t="s">
        <v>232</v>
      </c>
    </row>
    <row r="8" spans="2:20" ht="15.6" customHeight="1">
      <c r="B8" s="51"/>
      <c r="C8" s="4"/>
      <c r="D8" s="4"/>
      <c r="E8" s="365">
        <f>F8+H8</f>
        <v>1</v>
      </c>
      <c r="F8" s="334">
        <v>0.68810000000000004</v>
      </c>
      <c r="G8" s="335">
        <f>ROUND($L$29/($L$29+$P$28),4)</f>
        <v>0.65780000000000005</v>
      </c>
      <c r="H8" s="334">
        <v>0.31190000000000001</v>
      </c>
      <c r="I8" s="296">
        <f>1-G8</f>
        <v>0.34219999999999995</v>
      </c>
      <c r="J8" s="366"/>
      <c r="K8" s="51"/>
      <c r="L8" s="273"/>
      <c r="M8" s="273"/>
      <c r="N8" s="274"/>
      <c r="O8" s="213"/>
      <c r="P8" s="214"/>
      <c r="Q8" s="214"/>
      <c r="R8" s="76"/>
      <c r="T8" s="378" t="s">
        <v>233</v>
      </c>
    </row>
    <row r="9" spans="2:20" ht="15.6" customHeight="1">
      <c r="B9" s="51"/>
      <c r="C9" s="4"/>
      <c r="D9" s="4"/>
      <c r="E9" s="344"/>
      <c r="F9" s="332"/>
      <c r="G9" s="333"/>
      <c r="H9" s="332"/>
      <c r="I9" s="36"/>
      <c r="J9" s="88"/>
      <c r="K9" s="73" t="s">
        <v>52</v>
      </c>
      <c r="L9" s="4"/>
      <c r="M9" s="4"/>
      <c r="N9" s="36"/>
      <c r="O9" s="73" t="s">
        <v>52</v>
      </c>
      <c r="P9" s="4"/>
      <c r="Q9" s="4"/>
      <c r="R9" s="36"/>
    </row>
    <row r="10" spans="2:20" ht="15.6" customHeight="1">
      <c r="B10" s="283" t="s">
        <v>248</v>
      </c>
      <c r="C10" s="79">
        <v>804001</v>
      </c>
      <c r="D10" s="79" t="s">
        <v>199</v>
      </c>
      <c r="E10" s="345">
        <v>2140356.84</v>
      </c>
      <c r="F10" s="336"/>
      <c r="G10" s="337"/>
      <c r="H10" s="336"/>
      <c r="I10" s="327"/>
      <c r="J10" s="88"/>
      <c r="K10" s="74" t="s">
        <v>14</v>
      </c>
      <c r="L10" s="307">
        <v>3150157</v>
      </c>
      <c r="M10" s="308">
        <v>9.8220000000000002E-2</v>
      </c>
      <c r="N10" s="278">
        <f t="shared" ref="N10:N16" si="0">L10*M10</f>
        <v>309408.42054000002</v>
      </c>
      <c r="O10" s="74" t="s">
        <v>14</v>
      </c>
      <c r="P10" s="307">
        <v>1659697</v>
      </c>
      <c r="Q10" s="308" t="s">
        <v>234</v>
      </c>
      <c r="R10" s="381">
        <v>146076</v>
      </c>
    </row>
    <row r="11" spans="2:20" ht="15.6" customHeight="1" thickBot="1">
      <c r="B11" s="283" t="s">
        <v>249</v>
      </c>
      <c r="C11" s="79">
        <v>804002</v>
      </c>
      <c r="D11" s="79" t="s">
        <v>199</v>
      </c>
      <c r="E11" s="345">
        <v>7408.2</v>
      </c>
      <c r="F11" s="336"/>
      <c r="G11" s="337"/>
      <c r="H11" s="336"/>
      <c r="I11" s="327"/>
      <c r="J11" s="88"/>
      <c r="K11" s="74" t="s">
        <v>93</v>
      </c>
      <c r="L11" s="307">
        <v>5844</v>
      </c>
      <c r="M11" s="308">
        <v>9.8220000000000002E-2</v>
      </c>
      <c r="N11" s="278">
        <f t="shared" si="0"/>
        <v>573.99768000000006</v>
      </c>
      <c r="O11" s="74" t="s">
        <v>15</v>
      </c>
      <c r="P11" s="307">
        <v>1206728</v>
      </c>
      <c r="Q11" s="308" t="s">
        <v>234</v>
      </c>
      <c r="R11" s="381">
        <v>106211</v>
      </c>
    </row>
    <row r="12" spans="2:20" ht="15.6" customHeight="1" thickBot="1">
      <c r="B12" s="297" t="s">
        <v>203</v>
      </c>
      <c r="C12" s="9"/>
      <c r="D12" s="9"/>
      <c r="E12" s="346">
        <f>SUM(E10:E11)</f>
        <v>2147765.04</v>
      </c>
      <c r="F12" s="338"/>
      <c r="G12" s="339"/>
      <c r="H12" s="338"/>
      <c r="I12" s="328"/>
      <c r="J12" s="88"/>
      <c r="K12" s="74" t="s">
        <v>15</v>
      </c>
      <c r="L12" s="307">
        <v>2361344</v>
      </c>
      <c r="M12" s="308">
        <v>8.8349999999999998E-2</v>
      </c>
      <c r="N12" s="278">
        <f t="shared" si="0"/>
        <v>208624.74239999999</v>
      </c>
      <c r="O12" s="74" t="s">
        <v>16</v>
      </c>
      <c r="P12" s="307">
        <v>44796</v>
      </c>
      <c r="Q12" s="308" t="s">
        <v>234</v>
      </c>
      <c r="R12" s="381">
        <v>3904</v>
      </c>
    </row>
    <row r="13" spans="2:20" ht="15.6" customHeight="1" thickBot="1">
      <c r="B13" s="298" t="s">
        <v>44</v>
      </c>
      <c r="C13" s="2"/>
      <c r="D13" s="2"/>
      <c r="E13" s="347">
        <f>-E11</f>
        <v>-7408.2</v>
      </c>
      <c r="F13" s="336"/>
      <c r="G13" s="337"/>
      <c r="H13" s="336"/>
      <c r="I13" s="327"/>
      <c r="J13" s="88"/>
      <c r="K13" s="74" t="s">
        <v>16</v>
      </c>
      <c r="L13" s="307">
        <v>32584</v>
      </c>
      <c r="M13" s="308">
        <v>8.8349999999999998E-2</v>
      </c>
      <c r="N13" s="278">
        <f t="shared" si="0"/>
        <v>2878.7963999999997</v>
      </c>
      <c r="O13" s="74" t="s">
        <v>17</v>
      </c>
      <c r="P13" s="307">
        <v>0</v>
      </c>
      <c r="Q13" s="308" t="s">
        <v>234</v>
      </c>
      <c r="R13" s="381">
        <v>0</v>
      </c>
    </row>
    <row r="14" spans="2:20" ht="15.6" customHeight="1" thickBot="1">
      <c r="B14" s="297" t="s">
        <v>219</v>
      </c>
      <c r="C14" s="299"/>
      <c r="D14" s="299"/>
      <c r="E14" s="346">
        <f>SUM(E12:E13)</f>
        <v>2140356.84</v>
      </c>
      <c r="F14" s="354">
        <f>E14*F8</f>
        <v>1472779.5416039999</v>
      </c>
      <c r="G14" s="355"/>
      <c r="H14" s="354">
        <f>E14*H8</f>
        <v>667577.29839599994</v>
      </c>
      <c r="I14" s="356"/>
      <c r="J14" s="88"/>
      <c r="K14" s="74" t="s">
        <v>17</v>
      </c>
      <c r="L14" s="307">
        <v>0</v>
      </c>
      <c r="M14" s="308">
        <v>5.6399999999999999E-2</v>
      </c>
      <c r="N14" s="278">
        <f t="shared" si="0"/>
        <v>0</v>
      </c>
      <c r="O14" s="74" t="s">
        <v>18</v>
      </c>
      <c r="P14" s="307">
        <v>0</v>
      </c>
      <c r="Q14" s="308" t="s">
        <v>234</v>
      </c>
      <c r="R14" s="381">
        <v>0</v>
      </c>
    </row>
    <row r="15" spans="2:20" ht="15.6" customHeight="1" thickBot="1">
      <c r="B15" s="51"/>
      <c r="C15" s="4"/>
      <c r="D15" s="4"/>
      <c r="E15" s="348"/>
      <c r="F15" s="357"/>
      <c r="G15" s="358"/>
      <c r="H15" s="357"/>
      <c r="I15" s="359"/>
      <c r="J15" s="88"/>
      <c r="K15" s="74" t="s">
        <v>18</v>
      </c>
      <c r="L15" s="307">
        <v>47105</v>
      </c>
      <c r="M15" s="308">
        <v>5.6399999999999999E-2</v>
      </c>
      <c r="N15" s="278">
        <f t="shared" si="0"/>
        <v>2656.7219999999998</v>
      </c>
      <c r="O15" s="73" t="s">
        <v>53</v>
      </c>
      <c r="P15" s="240">
        <f>SUM(P10:P14)</f>
        <v>2911221</v>
      </c>
      <c r="Q15" s="241"/>
      <c r="R15" s="71">
        <f>SUM(R10:R14)</f>
        <v>256191</v>
      </c>
    </row>
    <row r="16" spans="2:20" ht="15.6" customHeight="1" thickTop="1">
      <c r="B16" s="51"/>
      <c r="C16" s="4"/>
      <c r="D16" s="4"/>
      <c r="E16" s="348"/>
      <c r="F16" s="357"/>
      <c r="G16" s="358"/>
      <c r="H16" s="357"/>
      <c r="I16" s="359"/>
      <c r="J16" s="88"/>
      <c r="K16" s="74" t="s">
        <v>33</v>
      </c>
      <c r="L16" s="307">
        <v>2440385</v>
      </c>
      <c r="M16" s="308">
        <v>5.4000000000000001E-4</v>
      </c>
      <c r="N16" s="278">
        <f t="shared" si="0"/>
        <v>1317.8079</v>
      </c>
      <c r="O16" s="74"/>
      <c r="P16" s="309">
        <v>2911221</v>
      </c>
      <c r="Q16" s="65"/>
      <c r="R16" s="242"/>
    </row>
    <row r="17" spans="2:18" ht="15.6" customHeight="1" thickBot="1">
      <c r="B17" s="283" t="s">
        <v>235</v>
      </c>
      <c r="C17" s="79">
        <v>804000</v>
      </c>
      <c r="D17" s="79" t="s">
        <v>199</v>
      </c>
      <c r="E17" s="345">
        <v>8643970.3599999994</v>
      </c>
      <c r="F17" s="360"/>
      <c r="G17" s="358"/>
      <c r="H17" s="357"/>
      <c r="I17" s="359"/>
      <c r="J17" s="88"/>
      <c r="K17" s="73" t="s">
        <v>53</v>
      </c>
      <c r="L17" s="240">
        <f>SUM(L10:L16)</f>
        <v>8037419</v>
      </c>
      <c r="M17" s="6"/>
      <c r="N17" s="71">
        <f>SUM(N10:N16)</f>
        <v>525460.48691999994</v>
      </c>
      <c r="O17" s="74"/>
      <c r="P17" s="231">
        <f>P15-P16</f>
        <v>0</v>
      </c>
      <c r="Q17" s="65" t="s">
        <v>41</v>
      </c>
      <c r="R17" s="72"/>
    </row>
    <row r="18" spans="2:18" ht="15.6" customHeight="1" thickTop="1">
      <c r="B18" s="283" t="s">
        <v>236</v>
      </c>
      <c r="C18" s="79">
        <v>804010</v>
      </c>
      <c r="D18" s="79" t="s">
        <v>199</v>
      </c>
      <c r="E18" s="345">
        <v>39449.47</v>
      </c>
      <c r="F18" s="357"/>
      <c r="G18" s="358"/>
      <c r="H18" s="357"/>
      <c r="I18" s="359"/>
      <c r="J18" s="88"/>
      <c r="K18" s="64"/>
      <c r="L18" s="309">
        <v>8037419</v>
      </c>
      <c r="M18" s="65"/>
      <c r="N18" s="242"/>
      <c r="O18" s="51"/>
      <c r="P18" s="4"/>
      <c r="Q18" s="196"/>
      <c r="R18" s="72"/>
    </row>
    <row r="19" spans="2:18" ht="15.6" customHeight="1">
      <c r="B19" s="283" t="s">
        <v>237</v>
      </c>
      <c r="C19" s="79">
        <v>804017</v>
      </c>
      <c r="D19" s="79" t="s">
        <v>199</v>
      </c>
      <c r="E19" s="345">
        <v>26879.39</v>
      </c>
      <c r="F19" s="357"/>
      <c r="G19" s="358"/>
      <c r="H19" s="357"/>
      <c r="I19" s="359"/>
      <c r="J19" s="88"/>
      <c r="K19" s="51"/>
      <c r="L19" s="379">
        <f>L17-L18</f>
        <v>0</v>
      </c>
      <c r="M19" s="65" t="s">
        <v>41</v>
      </c>
      <c r="N19" s="36"/>
      <c r="O19" s="69"/>
      <c r="P19" s="70"/>
      <c r="Q19" s="4"/>
      <c r="R19" s="72"/>
    </row>
    <row r="20" spans="2:18" ht="15.6" customHeight="1">
      <c r="B20" s="283" t="s">
        <v>238</v>
      </c>
      <c r="C20" s="79">
        <v>804018</v>
      </c>
      <c r="D20" s="79" t="s">
        <v>199</v>
      </c>
      <c r="E20" s="345">
        <v>5969.59</v>
      </c>
      <c r="F20" s="357"/>
      <c r="G20" s="358"/>
      <c r="H20" s="357"/>
      <c r="I20" s="359"/>
      <c r="J20" s="88"/>
      <c r="K20" s="51"/>
      <c r="L20" s="4"/>
      <c r="M20" s="65"/>
      <c r="N20" s="36"/>
      <c r="O20" s="69"/>
      <c r="P20" s="70"/>
      <c r="Q20" s="4"/>
      <c r="R20" s="36"/>
    </row>
    <row r="21" spans="2:18" ht="15.6" customHeight="1">
      <c r="B21" s="283" t="s">
        <v>239</v>
      </c>
      <c r="C21" s="79">
        <v>804600</v>
      </c>
      <c r="D21" s="79" t="s">
        <v>199</v>
      </c>
      <c r="E21" s="345">
        <v>-1018712.24</v>
      </c>
      <c r="F21" s="357"/>
      <c r="G21" s="358"/>
      <c r="H21" s="357"/>
      <c r="I21" s="359"/>
      <c r="J21" s="88"/>
      <c r="K21" s="51"/>
      <c r="L21" s="4"/>
      <c r="M21" s="65"/>
      <c r="N21" s="36"/>
      <c r="O21" s="69"/>
      <c r="P21" s="70"/>
      <c r="Q21" s="4"/>
      <c r="R21" s="36"/>
    </row>
    <row r="22" spans="2:18" ht="15.6" customHeight="1">
      <c r="B22" s="283" t="s">
        <v>240</v>
      </c>
      <c r="C22" s="79">
        <v>804730</v>
      </c>
      <c r="D22" s="79" t="s">
        <v>199</v>
      </c>
      <c r="E22" s="345">
        <v>462087.02</v>
      </c>
      <c r="F22" s="357"/>
      <c r="G22" s="358"/>
      <c r="H22" s="357"/>
      <c r="I22" s="359"/>
      <c r="J22" s="88"/>
      <c r="K22" s="73" t="s">
        <v>54</v>
      </c>
      <c r="L22" s="4"/>
      <c r="M22" s="4"/>
      <c r="N22" s="36"/>
      <c r="O22" s="73" t="s">
        <v>54</v>
      </c>
      <c r="P22" s="68"/>
      <c r="Q22" s="4"/>
      <c r="R22" s="36"/>
    </row>
    <row r="23" spans="2:18" ht="15.6" customHeight="1">
      <c r="B23" s="283" t="s">
        <v>241</v>
      </c>
      <c r="C23" s="79">
        <v>808100</v>
      </c>
      <c r="D23" s="79" t="s">
        <v>199</v>
      </c>
      <c r="E23" s="345">
        <v>162237.98000000001</v>
      </c>
      <c r="F23" s="357"/>
      <c r="G23" s="358"/>
      <c r="H23" s="357"/>
      <c r="I23" s="359"/>
      <c r="J23" s="88"/>
      <c r="K23" s="74" t="s">
        <v>14</v>
      </c>
      <c r="L23" s="279">
        <f>+L10</f>
        <v>3150157</v>
      </c>
      <c r="M23" s="308">
        <v>0.16167000000000001</v>
      </c>
      <c r="N23" s="278">
        <f t="shared" ref="N23:N28" si="1">L23*M23</f>
        <v>509285.88219000003</v>
      </c>
      <c r="O23" s="74" t="s">
        <v>14</v>
      </c>
      <c r="P23" s="279">
        <f>+P10</f>
        <v>1659697</v>
      </c>
      <c r="Q23" s="308" t="s">
        <v>234</v>
      </c>
      <c r="R23" s="381">
        <v>344181</v>
      </c>
    </row>
    <row r="24" spans="2:18" ht="15.6" customHeight="1">
      <c r="B24" s="283" t="s">
        <v>242</v>
      </c>
      <c r="C24" s="79">
        <v>808200</v>
      </c>
      <c r="D24" s="79" t="s">
        <v>199</v>
      </c>
      <c r="E24" s="345">
        <v>-231166.7</v>
      </c>
      <c r="F24" s="357"/>
      <c r="G24" s="358"/>
      <c r="H24" s="357"/>
      <c r="I24" s="359"/>
      <c r="J24" s="88"/>
      <c r="K24" s="74" t="s">
        <v>93</v>
      </c>
      <c r="L24" s="279">
        <f t="shared" ref="L24:L28" si="2">+L11</f>
        <v>5844</v>
      </c>
      <c r="M24" s="308">
        <v>0.16167000000000001</v>
      </c>
      <c r="N24" s="278">
        <f t="shared" si="1"/>
        <v>944.79948000000002</v>
      </c>
      <c r="O24" s="74" t="s">
        <v>15</v>
      </c>
      <c r="P24" s="279">
        <f t="shared" ref="P24:P27" si="3">+P11</f>
        <v>1206728</v>
      </c>
      <c r="Q24" s="308" t="s">
        <v>234</v>
      </c>
      <c r="R24" s="381">
        <v>252449</v>
      </c>
    </row>
    <row r="25" spans="2:18" ht="15.6" customHeight="1">
      <c r="B25" s="283" t="s">
        <v>243</v>
      </c>
      <c r="C25" s="79">
        <v>811000</v>
      </c>
      <c r="D25" s="79" t="s">
        <v>199</v>
      </c>
      <c r="E25" s="345">
        <v>-64893.99</v>
      </c>
      <c r="F25" s="357"/>
      <c r="G25" s="358"/>
      <c r="H25" s="357"/>
      <c r="I25" s="359"/>
      <c r="J25" s="88"/>
      <c r="K25" s="74" t="s">
        <v>15</v>
      </c>
      <c r="L25" s="279">
        <f t="shared" si="2"/>
        <v>2361344</v>
      </c>
      <c r="M25" s="308">
        <v>0.16167000000000001</v>
      </c>
      <c r="N25" s="278">
        <f t="shared" si="1"/>
        <v>381758.48448000004</v>
      </c>
      <c r="O25" s="74" t="s">
        <v>16</v>
      </c>
      <c r="P25" s="279">
        <f t="shared" si="3"/>
        <v>44796</v>
      </c>
      <c r="Q25" s="308" t="s">
        <v>234</v>
      </c>
      <c r="R25" s="381">
        <v>8562</v>
      </c>
    </row>
    <row r="26" spans="2:18" ht="15.6" customHeight="1">
      <c r="B26" s="283" t="s">
        <v>244</v>
      </c>
      <c r="C26" s="79">
        <v>483000</v>
      </c>
      <c r="D26" s="79" t="s">
        <v>199</v>
      </c>
      <c r="E26" s="345">
        <v>-1873642.31</v>
      </c>
      <c r="F26" s="360"/>
      <c r="G26" s="358"/>
      <c r="H26" s="357"/>
      <c r="I26" s="359"/>
      <c r="J26" s="88"/>
      <c r="K26" s="74" t="s">
        <v>16</v>
      </c>
      <c r="L26" s="279">
        <f t="shared" si="2"/>
        <v>32584</v>
      </c>
      <c r="M26" s="308">
        <v>0.16167000000000001</v>
      </c>
      <c r="N26" s="278">
        <f t="shared" si="1"/>
        <v>5267.8552800000007</v>
      </c>
      <c r="O26" s="74" t="s">
        <v>17</v>
      </c>
      <c r="P26" s="279">
        <f t="shared" si="3"/>
        <v>0</v>
      </c>
      <c r="Q26" s="308" t="s">
        <v>234</v>
      </c>
      <c r="R26" s="381">
        <v>0</v>
      </c>
    </row>
    <row r="27" spans="2:18" ht="15.6" customHeight="1">
      <c r="B27" s="283" t="s">
        <v>245</v>
      </c>
      <c r="C27" s="79">
        <v>483600</v>
      </c>
      <c r="D27" s="79" t="s">
        <v>199</v>
      </c>
      <c r="E27" s="345">
        <v>1159555.5</v>
      </c>
      <c r="F27" s="357"/>
      <c r="G27" s="358"/>
      <c r="H27" s="357"/>
      <c r="I27" s="359"/>
      <c r="J27" s="88"/>
      <c r="K27" s="74" t="s">
        <v>17</v>
      </c>
      <c r="L27" s="279">
        <f t="shared" si="2"/>
        <v>0</v>
      </c>
      <c r="M27" s="308">
        <v>0.16167000000000001</v>
      </c>
      <c r="N27" s="278">
        <f t="shared" si="1"/>
        <v>0</v>
      </c>
      <c r="O27" s="74" t="s">
        <v>18</v>
      </c>
      <c r="P27" s="279">
        <f t="shared" si="3"/>
        <v>0</v>
      </c>
      <c r="Q27" s="308" t="s">
        <v>234</v>
      </c>
      <c r="R27" s="381">
        <v>0</v>
      </c>
    </row>
    <row r="28" spans="2:18" ht="15.6" customHeight="1" thickBot="1">
      <c r="B28" s="283" t="s">
        <v>246</v>
      </c>
      <c r="C28" s="79">
        <v>483730</v>
      </c>
      <c r="D28" s="79" t="s">
        <v>199</v>
      </c>
      <c r="E28" s="345">
        <v>-5122982.07</v>
      </c>
      <c r="F28" s="357"/>
      <c r="G28" s="358"/>
      <c r="H28" s="357"/>
      <c r="I28" s="359"/>
      <c r="J28" s="88"/>
      <c r="K28" s="74" t="s">
        <v>18</v>
      </c>
      <c r="L28" s="279">
        <f t="shared" si="2"/>
        <v>47105</v>
      </c>
      <c r="M28" s="308">
        <v>0.16167000000000001</v>
      </c>
      <c r="N28" s="278">
        <f t="shared" si="1"/>
        <v>7615.4653500000004</v>
      </c>
      <c r="O28" s="73" t="s">
        <v>58</v>
      </c>
      <c r="P28" s="240">
        <f>SUM(P23:P27)</f>
        <v>2911221</v>
      </c>
      <c r="Q28" s="241"/>
      <c r="R28" s="71">
        <f>SUM(R23:R27)</f>
        <v>605192</v>
      </c>
    </row>
    <row r="29" spans="2:18" ht="15.6" customHeight="1" thickTop="1" thickBot="1">
      <c r="B29" s="283" t="s">
        <v>247</v>
      </c>
      <c r="C29" s="79">
        <v>495028</v>
      </c>
      <c r="D29" s="79" t="s">
        <v>199</v>
      </c>
      <c r="E29" s="345">
        <v>-468750</v>
      </c>
      <c r="F29" s="357"/>
      <c r="G29" s="358"/>
      <c r="H29" s="357"/>
      <c r="I29" s="359"/>
      <c r="J29" s="88"/>
      <c r="K29" s="73" t="s">
        <v>58</v>
      </c>
      <c r="L29" s="240">
        <f>SUM(L23:L28)</f>
        <v>5597034</v>
      </c>
      <c r="M29" s="241"/>
      <c r="N29" s="250">
        <f>SUM(N23:N28)</f>
        <v>904872.48678000004</v>
      </c>
      <c r="O29" s="73"/>
      <c r="P29" s="309">
        <v>2911221</v>
      </c>
      <c r="Q29" s="65"/>
      <c r="R29" s="247"/>
    </row>
    <row r="30" spans="2:18" ht="15.6" customHeight="1" thickTop="1">
      <c r="B30" s="283" t="s">
        <v>197</v>
      </c>
      <c r="C30" s="79">
        <v>495100</v>
      </c>
      <c r="D30" s="79" t="s">
        <v>199</v>
      </c>
      <c r="E30" s="345">
        <v>0</v>
      </c>
      <c r="F30" s="361"/>
      <c r="G30" s="362"/>
      <c r="H30" s="361"/>
      <c r="I30" s="363"/>
      <c r="J30" s="88"/>
      <c r="K30" s="64"/>
      <c r="L30" s="309">
        <v>5597034</v>
      </c>
      <c r="M30" s="65"/>
      <c r="N30" s="251"/>
      <c r="O30" s="73"/>
      <c r="P30" s="231">
        <f>P28-P29</f>
        <v>0</v>
      </c>
      <c r="Q30" s="65" t="s">
        <v>41</v>
      </c>
      <c r="R30" s="72"/>
    </row>
    <row r="31" spans="2:18" ht="15.6" customHeight="1" thickBot="1">
      <c r="B31" s="301" t="s">
        <v>47</v>
      </c>
      <c r="C31" s="79"/>
      <c r="D31" s="79"/>
      <c r="E31" s="347">
        <f>-E13</f>
        <v>7408.2</v>
      </c>
      <c r="F31" s="357"/>
      <c r="G31" s="358"/>
      <c r="H31" s="357"/>
      <c r="I31" s="359"/>
      <c r="J31" s="88"/>
      <c r="K31" s="66"/>
      <c r="L31" s="248">
        <f>L29-L30</f>
        <v>0</v>
      </c>
      <c r="M31" s="67" t="s">
        <v>41</v>
      </c>
      <c r="N31" s="249"/>
      <c r="O31" s="252"/>
      <c r="P31" s="253"/>
      <c r="Q31" s="254"/>
      <c r="R31" s="255"/>
    </row>
    <row r="32" spans="2:18" ht="15.6" customHeight="1" thickBot="1">
      <c r="B32" s="297" t="s">
        <v>48</v>
      </c>
      <c r="C32" s="4"/>
      <c r="D32" s="4"/>
      <c r="E32" s="346">
        <f>SUM(E17:E31)</f>
        <v>1727410.2</v>
      </c>
      <c r="F32" s="364"/>
      <c r="G32" s="337">
        <f>E32*G8</f>
        <v>1136290.4295600001</v>
      </c>
      <c r="H32" s="228"/>
      <c r="I32" s="327">
        <f>E32*I8</f>
        <v>591119.77043999988</v>
      </c>
      <c r="J32" s="88"/>
    </row>
    <row r="33" spans="1:20" ht="15.6" customHeight="1">
      <c r="B33" s="283" t="s">
        <v>194</v>
      </c>
      <c r="C33" s="79">
        <v>495100</v>
      </c>
      <c r="D33" s="4" t="s">
        <v>204</v>
      </c>
      <c r="E33" s="345">
        <v>0</v>
      </c>
      <c r="F33" s="361"/>
      <c r="G33" s="337">
        <f>E33</f>
        <v>0</v>
      </c>
      <c r="H33" s="228"/>
      <c r="I33" s="327"/>
      <c r="J33" s="88"/>
      <c r="K33" s="311" t="s">
        <v>32</v>
      </c>
      <c r="L33" s="7" t="s">
        <v>12</v>
      </c>
      <c r="M33" s="7" t="s">
        <v>12</v>
      </c>
      <c r="N33" s="7" t="s">
        <v>22</v>
      </c>
      <c r="O33" s="7" t="s">
        <v>22</v>
      </c>
      <c r="P33" s="312"/>
      <c r="Q33" s="2"/>
    </row>
    <row r="34" spans="1:20" ht="15.6" customHeight="1" thickBot="1">
      <c r="B34" s="302" t="s">
        <v>172</v>
      </c>
      <c r="C34" s="79">
        <v>495100</v>
      </c>
      <c r="D34" s="4" t="s">
        <v>205</v>
      </c>
      <c r="E34" s="345">
        <v>0</v>
      </c>
      <c r="F34" s="361"/>
      <c r="G34" s="337"/>
      <c r="H34" s="228"/>
      <c r="I34" s="327">
        <f>E34</f>
        <v>0</v>
      </c>
      <c r="J34" s="88"/>
      <c r="K34" s="295"/>
      <c r="L34" s="46" t="s">
        <v>2</v>
      </c>
      <c r="M34" s="46" t="s">
        <v>1</v>
      </c>
      <c r="N34" s="46" t="s">
        <v>2</v>
      </c>
      <c r="O34" s="46" t="s">
        <v>1</v>
      </c>
      <c r="P34" s="322" t="s">
        <v>212</v>
      </c>
      <c r="Q34" s="2"/>
    </row>
    <row r="35" spans="1:20" ht="15.6" customHeight="1">
      <c r="B35" s="64" t="s">
        <v>206</v>
      </c>
      <c r="C35" s="79">
        <v>804000</v>
      </c>
      <c r="D35" s="4" t="s">
        <v>204</v>
      </c>
      <c r="E35" s="345">
        <v>3496.22</v>
      </c>
      <c r="F35" s="357"/>
      <c r="G35" s="337">
        <f>E35</f>
        <v>3496.22</v>
      </c>
      <c r="H35" s="228"/>
      <c r="I35" s="327"/>
      <c r="J35" s="88"/>
      <c r="K35" s="51" t="s">
        <v>214</v>
      </c>
      <c r="L35" s="230">
        <f>$F$39</f>
        <v>1472779.5416039999</v>
      </c>
      <c r="M35" s="230">
        <f>G39</f>
        <v>1139786.64956</v>
      </c>
      <c r="N35" s="230">
        <f>$H$39</f>
        <v>667577.29839599994</v>
      </c>
      <c r="O35" s="230">
        <f>I39</f>
        <v>593354.72043999983</v>
      </c>
      <c r="P35" s="321">
        <f>SUM(L35:O35)-E39</f>
        <v>0</v>
      </c>
      <c r="Q35" s="2"/>
    </row>
    <row r="36" spans="1:20" ht="15.6" customHeight="1" thickBot="1">
      <c r="B36" s="64" t="s">
        <v>207</v>
      </c>
      <c r="C36" s="79">
        <v>804000</v>
      </c>
      <c r="D36" s="4" t="s">
        <v>205</v>
      </c>
      <c r="E36" s="345">
        <v>2234.9499999999998</v>
      </c>
      <c r="F36" s="357"/>
      <c r="G36" s="337"/>
      <c r="H36" s="228"/>
      <c r="I36" s="327">
        <f>E36</f>
        <v>2234.9499999999998</v>
      </c>
      <c r="J36" s="88"/>
      <c r="K36" s="51" t="s">
        <v>217</v>
      </c>
      <c r="L36" s="310">
        <f>-$N$17</f>
        <v>-525460.48691999994</v>
      </c>
      <c r="M36" s="310">
        <f>-N29</f>
        <v>-904872.48678000004</v>
      </c>
      <c r="N36" s="310">
        <f>-$R$15</f>
        <v>-256191</v>
      </c>
      <c r="O36" s="310">
        <f>-R28</f>
        <v>-605192</v>
      </c>
      <c r="P36" s="321">
        <f>SUM(L36:O36)+N17+N29+R15+R28</f>
        <v>0</v>
      </c>
      <c r="Q36" s="2"/>
    </row>
    <row r="37" spans="1:20" ht="15.6" customHeight="1" thickBot="1">
      <c r="B37" s="297" t="s">
        <v>220</v>
      </c>
      <c r="C37" s="79"/>
      <c r="D37" s="4"/>
      <c r="E37" s="346">
        <f>SUM(E32:E36)</f>
        <v>1733141.3699999999</v>
      </c>
      <c r="F37" s="338"/>
      <c r="G37" s="340"/>
      <c r="H37" s="338"/>
      <c r="I37" s="300"/>
      <c r="J37" s="88"/>
      <c r="K37" s="297" t="s">
        <v>215</v>
      </c>
      <c r="L37" s="245">
        <f t="shared" ref="L37:O37" si="4">SUM(L35:L36)</f>
        <v>947319.05468399997</v>
      </c>
      <c r="M37" s="245">
        <f>SUM(M35:M36)</f>
        <v>234914.16278000001</v>
      </c>
      <c r="N37" s="245">
        <f t="shared" si="4"/>
        <v>411386.29839599994</v>
      </c>
      <c r="O37" s="245">
        <f t="shared" si="4"/>
        <v>-11837.27956000017</v>
      </c>
      <c r="P37" s="313"/>
      <c r="Q37" s="2"/>
    </row>
    <row r="38" spans="1:20" ht="15.6" customHeight="1" thickBot="1">
      <c r="B38" s="51"/>
      <c r="C38" s="29"/>
      <c r="D38" s="29"/>
      <c r="E38" s="350"/>
      <c r="F38" s="341"/>
      <c r="G38" s="342"/>
      <c r="H38" s="341"/>
      <c r="I38" s="303"/>
      <c r="J38" s="88"/>
      <c r="K38" s="314"/>
      <c r="L38" s="263"/>
      <c r="M38" s="9"/>
      <c r="N38" s="2"/>
      <c r="O38" s="318"/>
      <c r="P38" s="315"/>
      <c r="Q38" s="2"/>
    </row>
    <row r="39" spans="1:20" ht="15.6" customHeight="1" thickBot="1">
      <c r="B39" s="304" t="s">
        <v>211</v>
      </c>
      <c r="C39" s="305"/>
      <c r="D39" s="305"/>
      <c r="E39" s="346">
        <f>E37+E14</f>
        <v>3873498.21</v>
      </c>
      <c r="F39" s="352">
        <f>SUM(F14:F37)</f>
        <v>1472779.5416039999</v>
      </c>
      <c r="G39" s="353">
        <f t="shared" ref="G39:I39" si="5">SUM(G14:G37)</f>
        <v>1139786.64956</v>
      </c>
      <c r="H39" s="352">
        <f t="shared" si="5"/>
        <v>667577.29839599994</v>
      </c>
      <c r="I39" s="306">
        <f t="shared" si="5"/>
        <v>593354.72043999983</v>
      </c>
      <c r="J39" s="88"/>
      <c r="K39" s="316"/>
      <c r="L39" s="319" t="s">
        <v>76</v>
      </c>
      <c r="M39" s="317">
        <f>SUM(L37:M37)</f>
        <v>1182233.217464</v>
      </c>
      <c r="N39" s="320" t="s">
        <v>77</v>
      </c>
      <c r="O39" s="317">
        <f>SUM(N37:O37)</f>
        <v>399549.01883599977</v>
      </c>
      <c r="P39" s="83"/>
      <c r="Q39" s="2"/>
    </row>
    <row r="40" spans="1:20" ht="15.6" customHeight="1">
      <c r="B40" s="88"/>
      <c r="C40" s="30"/>
      <c r="D40" s="30"/>
      <c r="E40" s="194"/>
      <c r="F40" s="194"/>
      <c r="G40" s="194"/>
      <c r="H40" s="194"/>
      <c r="I40" s="194"/>
      <c r="J40" s="88"/>
      <c r="M40" s="81"/>
      <c r="Q40" s="2"/>
    </row>
    <row r="41" spans="1:20" ht="15.6" customHeight="1">
      <c r="A41" s="88"/>
      <c r="B41" s="370" t="s">
        <v>223</v>
      </c>
      <c r="C41" s="369"/>
      <c r="D41" s="31" t="s">
        <v>222</v>
      </c>
      <c r="E41" s="287">
        <v>3873498.21</v>
      </c>
      <c r="F41" s="194"/>
      <c r="G41" s="194"/>
      <c r="H41" s="194"/>
      <c r="I41" s="194"/>
      <c r="J41" s="88"/>
      <c r="P41" s="3"/>
    </row>
    <row r="42" spans="1:20" ht="15.6" customHeight="1">
      <c r="B42" s="291"/>
      <c r="C42" s="291"/>
      <c r="D42" s="31" t="s">
        <v>71</v>
      </c>
      <c r="E42" s="228">
        <f>ROUND(E39-E41,2)</f>
        <v>0</v>
      </c>
      <c r="F42" s="326"/>
      <c r="G42" s="326"/>
      <c r="H42" s="326"/>
      <c r="I42" s="326"/>
    </row>
    <row r="43" spans="1:20" ht="15.6" customHeight="1">
      <c r="B43" s="291"/>
      <c r="C43" s="291"/>
      <c r="E43" s="260"/>
      <c r="F43" s="326"/>
      <c r="G43" s="326"/>
      <c r="H43" s="326"/>
      <c r="I43" s="326"/>
    </row>
    <row r="44" spans="1:20" ht="15.6" customHeight="1" thickBot="1">
      <c r="B44" s="291"/>
      <c r="C44" s="291"/>
      <c r="E44" s="260"/>
      <c r="F44" s="326"/>
      <c r="G44" s="326"/>
      <c r="H44" s="326"/>
      <c r="I44" s="326"/>
    </row>
    <row r="45" spans="1:20" ht="15.6" customHeight="1" thickBot="1">
      <c r="B45" s="291"/>
      <c r="C45" s="291"/>
      <c r="E45" s="385" t="s">
        <v>213</v>
      </c>
      <c r="F45" s="386"/>
      <c r="G45" s="326"/>
      <c r="H45" s="326"/>
      <c r="I45" s="326"/>
    </row>
    <row r="46" spans="1:20" ht="15.6" customHeight="1">
      <c r="B46" s="291"/>
      <c r="C46" s="291"/>
      <c r="E46" s="283" t="s">
        <v>78</v>
      </c>
      <c r="F46" s="324" t="s">
        <v>79</v>
      </c>
      <c r="G46" s="326"/>
      <c r="H46" s="326"/>
      <c r="I46" s="326"/>
    </row>
    <row r="47" spans="1:20" ht="15.75" thickBot="1">
      <c r="E47" s="325" t="e">
        <f>SUM('191010 WA DEF'!E36:E45)+SUM('191000 WA Amort'!H36:H45)+SUM(#REF!)+SUM(#REF!)</f>
        <v>#REF!</v>
      </c>
      <c r="F47" s="323" t="e">
        <f>-E47</f>
        <v>#REF!</v>
      </c>
    </row>
    <row r="48" spans="1:20">
      <c r="E48" s="373"/>
      <c r="F48" s="373"/>
      <c r="T48" s="88"/>
    </row>
    <row r="49" spans="1:20" s="88" customFormat="1">
      <c r="A49" s="87"/>
      <c r="B49" s="87"/>
      <c r="C49" s="87"/>
      <c r="D49" s="87"/>
      <c r="E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1:20" s="88" customFormat="1">
      <c r="A50" s="87"/>
      <c r="B50" s="87"/>
      <c r="C50" s="87"/>
      <c r="D50" s="87"/>
      <c r="E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1:20" s="88" customFormat="1">
      <c r="A51" s="87"/>
      <c r="B51" s="87"/>
      <c r="C51" s="87"/>
      <c r="D51" s="87"/>
      <c r="E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1:20" s="88" customFormat="1">
      <c r="A52" s="87"/>
      <c r="B52" s="87"/>
      <c r="C52" s="87"/>
      <c r="D52" s="87"/>
      <c r="E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1:20" s="88" customFormat="1">
      <c r="A53" s="87"/>
      <c r="B53" s="87"/>
      <c r="C53" s="87"/>
      <c r="D53" s="87"/>
      <c r="E53" s="87"/>
      <c r="J53" s="87"/>
      <c r="K53" s="87"/>
      <c r="L53" s="87"/>
      <c r="M53" s="87"/>
      <c r="N53" s="87"/>
      <c r="O53" s="87"/>
      <c r="P53" s="87"/>
      <c r="Q53" s="87"/>
      <c r="R53" s="87"/>
    </row>
    <row r="54" spans="1:20" s="88" customFormat="1">
      <c r="A54" s="87"/>
      <c r="B54" s="87"/>
      <c r="C54" s="87"/>
      <c r="D54" s="87"/>
      <c r="E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1:20" s="88" customFormat="1">
      <c r="A55" s="87"/>
      <c r="B55" s="87"/>
      <c r="C55" s="87"/>
      <c r="D55" s="87"/>
      <c r="E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1:20" s="88" customFormat="1">
      <c r="A56" s="87"/>
      <c r="B56" s="87"/>
      <c r="C56" s="87"/>
      <c r="D56" s="87"/>
      <c r="E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1:20" s="88" customFormat="1">
      <c r="A57" s="87"/>
      <c r="B57" s="87"/>
      <c r="C57" s="87"/>
      <c r="D57" s="87"/>
      <c r="E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1:20" s="88" customFormat="1">
      <c r="A58" s="87"/>
      <c r="B58" s="87"/>
      <c r="C58" s="87"/>
      <c r="D58" s="87"/>
      <c r="E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1:20" s="88" customFormat="1">
      <c r="A59" s="87"/>
      <c r="B59" s="87"/>
      <c r="C59" s="87"/>
      <c r="D59" s="87"/>
      <c r="E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1:20" s="88" customFormat="1">
      <c r="A60" s="87"/>
      <c r="B60" s="87"/>
      <c r="C60" s="87"/>
      <c r="D60" s="87"/>
      <c r="E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1:20" s="88" customFormat="1">
      <c r="A61" s="87"/>
      <c r="B61" s="87"/>
      <c r="C61" s="87"/>
      <c r="D61" s="87"/>
      <c r="E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1:20" s="88" customFormat="1">
      <c r="A62" s="87"/>
      <c r="B62" s="87"/>
      <c r="C62" s="87"/>
      <c r="D62" s="87"/>
      <c r="E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1:20" s="88" customFormat="1">
      <c r="A63" s="87"/>
      <c r="B63" s="87"/>
      <c r="C63" s="87"/>
      <c r="D63" s="87"/>
      <c r="E63" s="87"/>
      <c r="J63" s="87"/>
      <c r="K63" s="87"/>
      <c r="L63" s="87"/>
      <c r="M63" s="87"/>
      <c r="N63" s="87"/>
      <c r="O63" s="87"/>
      <c r="P63" s="87"/>
      <c r="Q63" s="87"/>
      <c r="R63" s="87"/>
      <c r="T63" s="87"/>
    </row>
    <row r="1387" spans="1:20">
      <c r="T1387" s="15"/>
    </row>
    <row r="1388" spans="1:20" s="15" customFormat="1">
      <c r="A1388" s="87"/>
      <c r="B1388" s="87"/>
      <c r="C1388" s="87"/>
      <c r="D1388" s="87">
        <v>-2130</v>
      </c>
      <c r="F1388" s="88"/>
      <c r="G1388" s="88"/>
      <c r="H1388" s="88"/>
      <c r="I1388" s="88"/>
      <c r="J1388" s="87"/>
      <c r="K1388" s="87"/>
      <c r="L1388" s="87"/>
      <c r="M1388" s="87"/>
      <c r="N1388" s="87"/>
      <c r="O1388" s="87"/>
      <c r="P1388" s="87"/>
      <c r="Q1388" s="87"/>
      <c r="R1388" s="87"/>
      <c r="T1388" s="87"/>
    </row>
    <row r="1395" spans="1:20">
      <c r="T1395" s="15"/>
    </row>
    <row r="1396" spans="1:20" s="15" customFormat="1">
      <c r="A1396" s="87"/>
      <c r="B1396" s="87"/>
      <c r="C1396" s="87"/>
      <c r="D1396" s="87">
        <f>7004298-2130</f>
        <v>7002168</v>
      </c>
      <c r="F1396" s="88"/>
      <c r="G1396" s="88"/>
      <c r="H1396" s="88"/>
      <c r="I1396" s="88"/>
      <c r="J1396" s="87"/>
      <c r="K1396" s="87"/>
      <c r="L1396" s="87"/>
      <c r="M1396" s="87"/>
      <c r="N1396" s="87"/>
      <c r="O1396" s="87"/>
      <c r="P1396" s="87"/>
      <c r="Q1396" s="87"/>
      <c r="R1396" s="87"/>
      <c r="T1396" s="87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6" priority="27" operator="equal">
      <formula>"ERROR"</formula>
    </cfRule>
  </conditionalFormatting>
  <conditionalFormatting sqref="D43:D46">
    <cfRule type="cellIs" dxfId="25" priority="26" operator="equal">
      <formula>"ERROR"</formula>
    </cfRule>
  </conditionalFormatting>
  <conditionalFormatting sqref="P31">
    <cfRule type="cellIs" dxfId="24" priority="25" operator="notEqual">
      <formula>0</formula>
    </cfRule>
  </conditionalFormatting>
  <conditionalFormatting sqref="L19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L19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L31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L31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P17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P17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P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P30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P35:P36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P35:P36">
    <cfRule type="cellIs" dxfId="5" priority="5" stopIfTrue="1" operator="equal">
      <formula>0</formula>
    </cfRule>
    <cfRule type="cellIs" dxfId="4" priority="6" stopIfTrue="1" operator="notEqual">
      <formula>0</formula>
    </cfRule>
  </conditionalFormatting>
  <conditionalFormatting sqref="E42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E42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W45"/>
  <sheetViews>
    <sheetView tabSelected="1" zoomScale="90" zoomScaleNormal="90" workbookViewId="0">
      <pane ySplit="6" topLeftCell="A7" activePane="bottomLeft" state="frozen"/>
      <selection activeCell="M19" sqref="M19"/>
      <selection pane="bottomLeft" activeCell="G12" sqref="G12"/>
    </sheetView>
  </sheetViews>
  <sheetFormatPr defaultColWidth="8.85546875" defaultRowHeight="15"/>
  <cols>
    <col min="1" max="1" width="9.140625" style="96" customWidth="1"/>
    <col min="2" max="2" width="8.85546875" style="96"/>
    <col min="3" max="3" width="1.7109375" style="97" customWidth="1"/>
    <col min="4" max="4" width="13.7109375" style="96" customWidth="1"/>
    <col min="5" max="6" width="14.28515625" style="96" customWidth="1"/>
    <col min="7" max="7" width="14.7109375" style="96" bestFit="1" customWidth="1"/>
    <col min="8" max="8" width="12.140625" style="96" customWidth="1"/>
    <col min="9" max="9" width="15.28515625" style="96" bestFit="1" customWidth="1"/>
    <col min="10" max="10" width="1.7109375" style="97" customWidth="1"/>
    <col min="11" max="11" width="14.28515625" style="96" bestFit="1" customWidth="1"/>
    <col min="12" max="12" width="13.85546875" style="96" bestFit="1" customWidth="1"/>
    <col min="13" max="13" width="6.140625" style="138" customWidth="1"/>
    <col min="14" max="14" width="12.42578125" style="96" bestFit="1" customWidth="1"/>
    <col min="15" max="16" width="8.85546875" style="96"/>
    <col min="17" max="17" width="12.7109375" style="96" customWidth="1"/>
    <col min="18" max="19" width="13.140625" style="96" bestFit="1" customWidth="1"/>
    <col min="20" max="16384" width="8.85546875" style="96"/>
  </cols>
  <sheetData>
    <row r="1" spans="1:13" s="100" customFormat="1" ht="15.75">
      <c r="A1" s="98" t="s">
        <v>4</v>
      </c>
      <c r="B1" s="99"/>
      <c r="C1" s="99"/>
      <c r="D1" s="99"/>
      <c r="E1" s="99"/>
      <c r="F1" s="99"/>
      <c r="G1" s="99"/>
    </row>
    <row r="2" spans="1:13" s="100" customFormat="1" ht="15.75">
      <c r="A2" s="98" t="s">
        <v>0</v>
      </c>
      <c r="B2" s="99"/>
      <c r="C2" s="99"/>
      <c r="D2" s="99"/>
      <c r="E2" s="99"/>
      <c r="F2" s="99"/>
      <c r="G2" s="99"/>
    </row>
    <row r="3" spans="1:13" s="100" customFormat="1" ht="15.75">
      <c r="A3" s="98" t="s">
        <v>141</v>
      </c>
      <c r="B3" s="99"/>
      <c r="C3" s="99"/>
      <c r="D3" s="99"/>
      <c r="E3" s="99"/>
      <c r="F3" s="99"/>
      <c r="G3" s="99"/>
    </row>
    <row r="4" spans="1:13" s="100" customFormat="1" ht="15.75">
      <c r="A4" s="98" t="s">
        <v>142</v>
      </c>
      <c r="B4" s="99"/>
      <c r="C4" s="99"/>
      <c r="D4" s="99"/>
      <c r="E4" s="99"/>
      <c r="F4" s="99"/>
      <c r="G4" s="99"/>
    </row>
    <row r="5" spans="1:13" s="103" customFormat="1" ht="18.75">
      <c r="A5" s="101"/>
      <c r="B5" s="102"/>
      <c r="C5" s="102"/>
      <c r="D5" s="102"/>
      <c r="E5" s="102"/>
      <c r="F5" s="102"/>
      <c r="G5" s="102"/>
    </row>
    <row r="6" spans="1:13" s="104" customFormat="1" ht="56.45" customHeight="1">
      <c r="A6" s="105" t="s">
        <v>97</v>
      </c>
      <c r="B6" s="106" t="s">
        <v>89</v>
      </c>
      <c r="C6" s="107"/>
      <c r="D6" s="106" t="s">
        <v>101</v>
      </c>
      <c r="E6" s="106" t="s">
        <v>88</v>
      </c>
      <c r="F6" s="106" t="s">
        <v>1</v>
      </c>
      <c r="G6" s="106" t="s">
        <v>2</v>
      </c>
      <c r="H6" s="106" t="s">
        <v>3</v>
      </c>
      <c r="I6" s="106" t="s">
        <v>21</v>
      </c>
      <c r="J6" s="107"/>
      <c r="K6" s="108" t="s">
        <v>98</v>
      </c>
      <c r="L6" s="108" t="s">
        <v>99</v>
      </c>
      <c r="M6" s="107"/>
    </row>
    <row r="7" spans="1:13" s="104" customFormat="1" ht="15.75">
      <c r="A7" s="143">
        <v>202001</v>
      </c>
      <c r="B7" s="144">
        <v>4.9599999999999998E-2</v>
      </c>
      <c r="C7" s="121"/>
      <c r="D7" s="145">
        <v>0</v>
      </c>
      <c r="E7" s="146">
        <v>-805474.47813399998</v>
      </c>
      <c r="F7" s="145">
        <v>465507.08934299834</v>
      </c>
      <c r="G7" s="145">
        <v>-1019075.8062920009</v>
      </c>
      <c r="H7" s="257">
        <f t="shared" ref="H7:H18" si="0">ROUND(((E7)*(B7/12))+((SUM(F7:G7)/2)*(B7/12)),2)</f>
        <v>-4473.34</v>
      </c>
      <c r="I7" s="146">
        <f>SUM(E7:H7)</f>
        <v>-1363516.5350830026</v>
      </c>
      <c r="J7" s="123"/>
      <c r="K7" s="147">
        <v>-1363516.54</v>
      </c>
      <c r="L7" s="148">
        <f t="shared" ref="L7:L12" si="1">K7-I7</f>
        <v>-4.9169973935931921E-3</v>
      </c>
      <c r="M7" s="137"/>
    </row>
    <row r="8" spans="1:13" s="104" customFormat="1" ht="15.75">
      <c r="A8" s="139">
        <f>A7+1</f>
        <v>202002</v>
      </c>
      <c r="B8" s="144">
        <v>4.9599999999999998E-2</v>
      </c>
      <c r="C8" s="121"/>
      <c r="D8" s="125">
        <v>0</v>
      </c>
      <c r="E8" s="146">
        <f>I7+D8</f>
        <v>-1363516.5350830026</v>
      </c>
      <c r="F8" s="145">
        <v>357241.75332700042</v>
      </c>
      <c r="G8" s="256">
        <v>-930160.93573400006</v>
      </c>
      <c r="H8" s="122">
        <f t="shared" si="0"/>
        <v>-6819.9</v>
      </c>
      <c r="I8" s="167">
        <f t="shared" ref="I8:I12" si="2">SUM(E8:H8)</f>
        <v>-1943255.6174900022</v>
      </c>
      <c r="J8" s="123"/>
      <c r="K8" s="147">
        <v>-1943255.62</v>
      </c>
      <c r="L8" s="148">
        <f t="shared" si="1"/>
        <v>-2.5099979247897863E-3</v>
      </c>
      <c r="M8" s="137"/>
    </row>
    <row r="9" spans="1:13" s="104" customFormat="1" ht="15.75">
      <c r="A9" s="139">
        <f t="shared" ref="A9:A18" si="3">A8+1</f>
        <v>202003</v>
      </c>
      <c r="B9" s="144">
        <v>4.9599999999999998E-2</v>
      </c>
      <c r="C9" s="121"/>
      <c r="D9" s="125">
        <v>0</v>
      </c>
      <c r="E9" s="146">
        <f>I8+D9</f>
        <v>-1943255.6174900022</v>
      </c>
      <c r="F9" s="145">
        <v>-16044.36190700205</v>
      </c>
      <c r="G9" s="256">
        <v>-702834.43791600014</v>
      </c>
      <c r="H9" s="122">
        <f>ROUND(((E9)*(B9/12))+((SUM(F9:G9)/2)*(B9/12)),2)</f>
        <v>-9517.81</v>
      </c>
      <c r="I9" s="167">
        <f t="shared" si="2"/>
        <v>-2671652.2273130044</v>
      </c>
      <c r="J9" s="123"/>
      <c r="K9" s="147">
        <v>-2671652.23</v>
      </c>
      <c r="L9" s="148">
        <f t="shared" si="1"/>
        <v>-2.6869955472648144E-3</v>
      </c>
      <c r="M9" s="137"/>
    </row>
    <row r="10" spans="1:13" s="104" customFormat="1" ht="15.75">
      <c r="A10" s="139">
        <f t="shared" si="3"/>
        <v>202004</v>
      </c>
      <c r="B10" s="144">
        <v>4.7500000000000001E-2</v>
      </c>
      <c r="C10" s="121"/>
      <c r="D10" s="125">
        <v>0</v>
      </c>
      <c r="E10" s="146">
        <f t="shared" ref="E10:E18" si="4">I9+D10</f>
        <v>-2671652.2273130044</v>
      </c>
      <c r="F10" s="145">
        <v>-286572.46695799823</v>
      </c>
      <c r="G10" s="256">
        <v>354965.17556600017</v>
      </c>
      <c r="H10" s="122">
        <f t="shared" si="0"/>
        <v>-10439.93</v>
      </c>
      <c r="I10" s="167">
        <f t="shared" si="2"/>
        <v>-2613699.4487050031</v>
      </c>
      <c r="J10" s="123"/>
      <c r="K10" s="147">
        <v>-2613699.4500000002</v>
      </c>
      <c r="L10" s="148">
        <f t="shared" si="1"/>
        <v>-1.2949970550835133E-3</v>
      </c>
      <c r="M10" s="137"/>
    </row>
    <row r="11" spans="1:13" s="104" customFormat="1" ht="15.75">
      <c r="A11" s="139">
        <f t="shared" si="3"/>
        <v>202005</v>
      </c>
      <c r="B11" s="144">
        <v>4.7500000000000001E-2</v>
      </c>
      <c r="C11" s="121"/>
      <c r="D11" s="125">
        <v>0</v>
      </c>
      <c r="E11" s="146">
        <f t="shared" si="4"/>
        <v>-2613699.4487050031</v>
      </c>
      <c r="F11" s="145">
        <v>-349533.46451799979</v>
      </c>
      <c r="G11" s="256">
        <v>790807.96102399973</v>
      </c>
      <c r="H11" s="122">
        <f t="shared" si="0"/>
        <v>-9472.5400000000009</v>
      </c>
      <c r="I11" s="167">
        <f t="shared" si="2"/>
        <v>-2181897.4921990032</v>
      </c>
      <c r="J11" s="123"/>
      <c r="K11" s="147">
        <v>-2181897.4900000002</v>
      </c>
      <c r="L11" s="148">
        <f t="shared" si="1"/>
        <v>2.1990030072629452E-3</v>
      </c>
      <c r="M11" s="137"/>
    </row>
    <row r="12" spans="1:13" s="104" customFormat="1" ht="15.75">
      <c r="A12" s="139">
        <f t="shared" si="3"/>
        <v>202006</v>
      </c>
      <c r="B12" s="144">
        <v>4.7500000000000001E-2</v>
      </c>
      <c r="C12" s="121"/>
      <c r="D12" s="125">
        <v>0</v>
      </c>
      <c r="E12" s="146">
        <f t="shared" si="4"/>
        <v>-2181897.4921990032</v>
      </c>
      <c r="F12" s="145">
        <v>-221914.22001199971</v>
      </c>
      <c r="G12" s="256">
        <v>995442.01104200003</v>
      </c>
      <c r="H12" s="122">
        <f t="shared" si="0"/>
        <v>-7105.74</v>
      </c>
      <c r="I12" s="167">
        <f t="shared" si="2"/>
        <v>-1415475.441169003</v>
      </c>
      <c r="J12" s="123"/>
      <c r="K12" s="147">
        <v>-1415475.44</v>
      </c>
      <c r="L12" s="148">
        <f t="shared" si="1"/>
        <v>1.1690030805766582E-3</v>
      </c>
      <c r="M12" s="137"/>
    </row>
    <row r="13" spans="1:13" s="104" customFormat="1" ht="15.75">
      <c r="A13" s="139">
        <f t="shared" si="3"/>
        <v>202007</v>
      </c>
      <c r="B13" s="124">
        <v>3.4299999999999997E-2</v>
      </c>
      <c r="C13" s="121"/>
      <c r="D13" s="125">
        <v>0</v>
      </c>
      <c r="E13" s="146">
        <f t="shared" si="4"/>
        <v>-1415475.441169003</v>
      </c>
      <c r="F13" s="145">
        <v>-286329.88624400063</v>
      </c>
      <c r="G13" s="256">
        <v>1119731.3959779998</v>
      </c>
      <c r="H13" s="122">
        <f t="shared" si="0"/>
        <v>-2854.83</v>
      </c>
      <c r="I13" s="167">
        <f>SUM(E13:H13)</f>
        <v>-584928.76143500383</v>
      </c>
      <c r="J13" s="123"/>
      <c r="K13" s="147">
        <v>-584928.76</v>
      </c>
      <c r="L13" s="148">
        <f t="shared" ref="L13" si="5">K13-I13</f>
        <v>1.4350038254633546E-3</v>
      </c>
      <c r="M13" s="137"/>
    </row>
    <row r="14" spans="1:13" s="104" customFormat="1" ht="15.75">
      <c r="A14" s="139">
        <f t="shared" si="3"/>
        <v>202008</v>
      </c>
      <c r="B14" s="124">
        <v>3.4299999999999997E-2</v>
      </c>
      <c r="C14" s="121"/>
      <c r="D14" s="125">
        <v>0</v>
      </c>
      <c r="E14" s="146">
        <f t="shared" si="4"/>
        <v>-584928.76143500383</v>
      </c>
      <c r="F14" s="145">
        <v>-475108.5041119997</v>
      </c>
      <c r="G14" s="256">
        <v>1175024.5782880005</v>
      </c>
      <c r="H14" s="122">
        <f t="shared" si="0"/>
        <v>-671.62</v>
      </c>
      <c r="I14" s="167">
        <f>SUM(E14:H14)</f>
        <v>114315.69274099695</v>
      </c>
      <c r="J14" s="123"/>
      <c r="K14" s="147">
        <v>114315.69</v>
      </c>
      <c r="L14" s="148">
        <f t="shared" ref="L14" si="6">K14-I14</f>
        <v>-2.7409969479776919E-3</v>
      </c>
      <c r="M14" s="137"/>
    </row>
    <row r="15" spans="1:13" s="104" customFormat="1" ht="15.75">
      <c r="A15" s="139">
        <f t="shared" si="3"/>
        <v>202009</v>
      </c>
      <c r="B15" s="124">
        <v>3.4299999999999997E-2</v>
      </c>
      <c r="C15" s="121"/>
      <c r="D15" s="125">
        <v>0</v>
      </c>
      <c r="E15" s="146">
        <f t="shared" si="4"/>
        <v>114315.69274099695</v>
      </c>
      <c r="F15" s="145">
        <v>-412609.49763799895</v>
      </c>
      <c r="G15" s="256">
        <v>1016420.835708</v>
      </c>
      <c r="H15" s="122">
        <f t="shared" si="0"/>
        <v>1189.7</v>
      </c>
      <c r="I15" s="167">
        <f t="shared" ref="I15:I16" si="7">SUM(E15:H15)</f>
        <v>719316.73081099801</v>
      </c>
      <c r="J15" s="123"/>
      <c r="K15" s="147">
        <v>719316.73</v>
      </c>
      <c r="L15" s="148">
        <f t="shared" ref="L15" si="8">K15-I15</f>
        <v>-8.1099802628159523E-4</v>
      </c>
      <c r="M15" s="137"/>
    </row>
    <row r="16" spans="1:13" s="104" customFormat="1" ht="15.75">
      <c r="A16" s="139">
        <f t="shared" si="3"/>
        <v>202010</v>
      </c>
      <c r="B16" s="124">
        <v>3.2500000000000001E-2</v>
      </c>
      <c r="C16" s="121"/>
      <c r="D16" s="125">
        <v>0</v>
      </c>
      <c r="E16" s="146">
        <f t="shared" si="4"/>
        <v>719316.73081099801</v>
      </c>
      <c r="F16" s="145">
        <v>-164901.39884799952</v>
      </c>
      <c r="G16" s="256">
        <v>260754.5799239995</v>
      </c>
      <c r="H16" s="122">
        <f t="shared" si="0"/>
        <v>2077.9499999999998</v>
      </c>
      <c r="I16" s="167">
        <f t="shared" si="7"/>
        <v>817247.86188699794</v>
      </c>
      <c r="J16" s="123"/>
      <c r="K16" s="147">
        <v>817247.86</v>
      </c>
      <c r="L16" s="148">
        <f t="shared" ref="L16" si="9">K16-I16</f>
        <v>-1.8869979539886117E-3</v>
      </c>
      <c r="M16" s="137"/>
    </row>
    <row r="17" spans="1:23" s="104" customFormat="1" ht="15.75">
      <c r="A17" s="139">
        <f t="shared" si="3"/>
        <v>202011</v>
      </c>
      <c r="B17" s="124">
        <v>3.2500000000000001E-2</v>
      </c>
      <c r="C17" s="121"/>
      <c r="D17" s="125">
        <f>-I16</f>
        <v>-817247.86188699794</v>
      </c>
      <c r="E17" s="146">
        <f t="shared" si="4"/>
        <v>0</v>
      </c>
      <c r="F17" s="145">
        <v>274531.20816099923</v>
      </c>
      <c r="G17" s="256">
        <v>-636016.65180400014</v>
      </c>
      <c r="H17" s="122">
        <f t="shared" si="0"/>
        <v>-489.51</v>
      </c>
      <c r="I17" s="167">
        <f>SUM(E17:H17)</f>
        <v>-361974.95364300092</v>
      </c>
      <c r="J17" s="123"/>
      <c r="K17" s="147">
        <v>-361974.95</v>
      </c>
      <c r="L17" s="148">
        <f t="shared" ref="L17" si="10">K17-I17</f>
        <v>3.643000905867666E-3</v>
      </c>
      <c r="M17" s="110"/>
    </row>
    <row r="18" spans="1:23" s="104" customFormat="1" ht="16.5" thickBot="1">
      <c r="A18" s="140">
        <f t="shared" si="3"/>
        <v>202012</v>
      </c>
      <c r="B18" s="126">
        <v>3.2500000000000001E-2</v>
      </c>
      <c r="C18" s="141"/>
      <c r="D18" s="127">
        <v>0</v>
      </c>
      <c r="E18" s="128">
        <f t="shared" si="4"/>
        <v>-361974.95364300092</v>
      </c>
      <c r="F18" s="127">
        <v>986052.61182399932</v>
      </c>
      <c r="G18" s="127">
        <v>-1221931.857657</v>
      </c>
      <c r="H18" s="128">
        <f t="shared" si="0"/>
        <v>-1299.77</v>
      </c>
      <c r="I18" s="180">
        <f t="shared" ref="I18" si="11">SUM(E18:H18)</f>
        <v>-599153.96947600157</v>
      </c>
      <c r="J18" s="142"/>
      <c r="K18" s="129">
        <v>-599153.97</v>
      </c>
      <c r="L18" s="130">
        <f t="shared" ref="L18:L19" si="12">K18-I18</f>
        <v>-5.2399840205907822E-4</v>
      </c>
      <c r="M18" s="137"/>
    </row>
    <row r="19" spans="1:23" s="104" customFormat="1" ht="15.75">
      <c r="A19" s="143">
        <v>202101</v>
      </c>
      <c r="B19" s="144">
        <v>3.2500000000000001E-2</v>
      </c>
      <c r="C19" s="121"/>
      <c r="D19" s="145">
        <v>0</v>
      </c>
      <c r="E19" s="146">
        <f t="shared" ref="E19:E30" si="13">I18+D19</f>
        <v>-599153.96947600157</v>
      </c>
      <c r="F19" s="145">
        <f>'Jan NEW FORMAT'!M37</f>
        <v>759776.25110800192</v>
      </c>
      <c r="G19" s="145">
        <f>'Jan NEW FORMAT'!L37</f>
        <v>-1158080.322801</v>
      </c>
      <c r="H19" s="257">
        <f>ROUND(((E19)*(B19/12))+((SUM(F19:G19)/2)*(B19/12)),2)</f>
        <v>-2162.08</v>
      </c>
      <c r="I19" s="146">
        <f>SUM(E19:H19)</f>
        <v>-999620.12116899958</v>
      </c>
      <c r="J19" s="123"/>
      <c r="K19" s="147">
        <v>-999620.12</v>
      </c>
      <c r="L19" s="148">
        <f t="shared" si="12"/>
        <v>1.1689995881170034E-3</v>
      </c>
      <c r="M19" s="137"/>
    </row>
    <row r="20" spans="1:23" s="104" customFormat="1" ht="15.75">
      <c r="A20" s="139">
        <f>A19+1</f>
        <v>202102</v>
      </c>
      <c r="B20" s="144">
        <v>3.2500000000000001E-2</v>
      </c>
      <c r="C20" s="121"/>
      <c r="D20" s="125">
        <v>0</v>
      </c>
      <c r="E20" s="146">
        <f t="shared" si="13"/>
        <v>-999620.12116899958</v>
      </c>
      <c r="F20" s="145">
        <f>'Feb NEW FORMAT'!M37</f>
        <v>3250005.8152399994</v>
      </c>
      <c r="G20" s="145">
        <f>'Feb NEW FORMAT'!L37</f>
        <v>-1308687.1376409999</v>
      </c>
      <c r="H20" s="122">
        <f t="shared" ref="H20" si="14">ROUND(((E20)*(B20/12))+((SUM(F20:G20)/2)*(B20/12)),2)</f>
        <v>-78.44</v>
      </c>
      <c r="I20" s="167">
        <f t="shared" ref="I20:I24" si="15">SUM(E20:H20)</f>
        <v>941620.11643000017</v>
      </c>
      <c r="J20" s="123"/>
      <c r="K20" s="147">
        <v>941663.63</v>
      </c>
      <c r="L20" s="148">
        <f t="shared" ref="L20" si="16">K20-I20</f>
        <v>43.513569999835454</v>
      </c>
      <c r="M20" s="137"/>
    </row>
    <row r="21" spans="1:23" s="104" customFormat="1" ht="15.75">
      <c r="A21" s="139">
        <f t="shared" ref="A21:A30" si="17">A20+1</f>
        <v>202103</v>
      </c>
      <c r="B21" s="144">
        <v>3.2500000000000001E-2</v>
      </c>
      <c r="C21" s="121"/>
      <c r="D21" s="125">
        <v>0</v>
      </c>
      <c r="E21" s="146">
        <f t="shared" si="13"/>
        <v>941620.11643000017</v>
      </c>
      <c r="F21" s="145">
        <f>'Mar NEW FORMAT'!M37</f>
        <v>-477149.37523399992</v>
      </c>
      <c r="G21" s="145">
        <f>'Mar NEW FORMAT'!L37</f>
        <v>-528059.47194600035</v>
      </c>
      <c r="H21" s="122">
        <f>ROUND(((E21)*(B21/12))+((SUM(F21:G21)/2)*(B21/12)),2)</f>
        <v>1189</v>
      </c>
      <c r="I21" s="167">
        <f t="shared" si="15"/>
        <v>-62399.730750000104</v>
      </c>
      <c r="J21" s="123"/>
      <c r="K21" s="147">
        <v>-62159.9</v>
      </c>
      <c r="L21" s="148">
        <f t="shared" ref="L21" si="18">K21-I21</f>
        <v>239.83075000010285</v>
      </c>
      <c r="M21" s="137"/>
    </row>
    <row r="22" spans="1:23" s="104" customFormat="1" ht="15.75">
      <c r="A22" s="139">
        <f t="shared" si="17"/>
        <v>202104</v>
      </c>
      <c r="B22" s="144">
        <v>3.2500000000000001E-2</v>
      </c>
      <c r="C22" s="121"/>
      <c r="D22" s="125">
        <v>0</v>
      </c>
      <c r="E22" s="146">
        <f t="shared" si="13"/>
        <v>-62399.730750000104</v>
      </c>
      <c r="F22" s="145">
        <f>April!M$37</f>
        <v>168916.46053000027</v>
      </c>
      <c r="G22" s="145">
        <f>April!L$37</f>
        <v>280833.7815040003</v>
      </c>
      <c r="H22" s="122">
        <f t="shared" ref="H22:H30" si="19">ROUND(((E22)*(B22/12))+((SUM(F22:G22)/2)*(B22/12)),2)</f>
        <v>440.04</v>
      </c>
      <c r="I22" s="167">
        <f t="shared" si="15"/>
        <v>387790.55128400045</v>
      </c>
      <c r="J22" s="123"/>
      <c r="K22" s="147">
        <v>387790.55</v>
      </c>
      <c r="L22" s="148">
        <f t="shared" ref="L22" si="20">K22-I22</f>
        <v>-1.284000463783741E-3</v>
      </c>
      <c r="M22" s="137"/>
      <c r="N22" s="371"/>
      <c r="O22" s="371"/>
    </row>
    <row r="23" spans="1:23" s="104" customFormat="1" ht="15.75">
      <c r="A23" s="139">
        <f t="shared" si="17"/>
        <v>202105</v>
      </c>
      <c r="B23" s="144">
        <v>3.2500000000000001E-2</v>
      </c>
      <c r="C23" s="121"/>
      <c r="D23" s="125">
        <v>0</v>
      </c>
      <c r="E23" s="146">
        <f t="shared" si="13"/>
        <v>387790.55128400045</v>
      </c>
      <c r="F23" s="145">
        <f>May!M$37</f>
        <v>167165.72298000008</v>
      </c>
      <c r="G23" s="145">
        <f>May!L$37</f>
        <v>846112.27455000009</v>
      </c>
      <c r="H23" s="122">
        <f t="shared" si="19"/>
        <v>2422.41</v>
      </c>
      <c r="I23" s="167">
        <f t="shared" si="15"/>
        <v>1403490.9588140005</v>
      </c>
      <c r="J23" s="123"/>
      <c r="K23" s="147">
        <v>1403490.96</v>
      </c>
      <c r="L23" s="148">
        <f t="shared" ref="L23" si="21">K23-I23</f>
        <v>1.1859994847327471E-3</v>
      </c>
      <c r="M23" s="137"/>
      <c r="N23" s="371"/>
      <c r="O23" s="371"/>
    </row>
    <row r="24" spans="1:23" s="104" customFormat="1" ht="15.75">
      <c r="A24" s="139">
        <f t="shared" si="17"/>
        <v>202106</v>
      </c>
      <c r="B24" s="144">
        <v>3.2500000000000001E-2</v>
      </c>
      <c r="C24" s="121"/>
      <c r="D24" s="125">
        <v>0</v>
      </c>
      <c r="E24" s="146">
        <f t="shared" si="13"/>
        <v>1403490.9588140005</v>
      </c>
      <c r="F24" s="145">
        <f>Jun!M$37</f>
        <v>-54575.778331000824</v>
      </c>
      <c r="G24" s="145">
        <f>Jun!L$37</f>
        <v>1064454.1866520001</v>
      </c>
      <c r="H24" s="122">
        <f t="shared" si="19"/>
        <v>5168.67</v>
      </c>
      <c r="I24" s="167">
        <f t="shared" si="15"/>
        <v>2418538.0371349994</v>
      </c>
      <c r="J24" s="123"/>
      <c r="K24" s="147">
        <v>2418538.04</v>
      </c>
      <c r="L24" s="148">
        <f t="shared" ref="L24" si="22">K24-I24</f>
        <v>2.8650006279349327E-3</v>
      </c>
      <c r="M24" s="137"/>
      <c r="N24" s="371"/>
      <c r="O24" s="371"/>
    </row>
    <row r="25" spans="1:23" s="104" customFormat="1" ht="15.75">
      <c r="A25" s="139">
        <f t="shared" si="17"/>
        <v>202107</v>
      </c>
      <c r="B25" s="144">
        <v>3.2500000000000001E-2</v>
      </c>
      <c r="C25" s="121"/>
      <c r="D25" s="125">
        <v>0</v>
      </c>
      <c r="E25" s="146">
        <f t="shared" si="13"/>
        <v>2418538.0371349994</v>
      </c>
      <c r="F25" s="145">
        <f>Jul!M$37</f>
        <v>201380.80450599967</v>
      </c>
      <c r="G25" s="145">
        <f>Jul!L$37</f>
        <v>1186640.7478760001</v>
      </c>
      <c r="H25" s="122">
        <f t="shared" si="19"/>
        <v>8429.82</v>
      </c>
      <c r="I25" s="167">
        <f>SUM(E25:H25)</f>
        <v>3814989.409516999</v>
      </c>
      <c r="J25" s="123"/>
      <c r="K25" s="147">
        <v>3814989.41</v>
      </c>
      <c r="L25" s="148">
        <f t="shared" ref="L25" si="23">K25-I25</f>
        <v>4.8300111666321754E-4</v>
      </c>
      <c r="M25" s="137"/>
      <c r="N25" s="371"/>
    </row>
    <row r="26" spans="1:23" s="104" customFormat="1" ht="15.75">
      <c r="A26" s="139">
        <f t="shared" si="17"/>
        <v>202108</v>
      </c>
      <c r="B26" s="144">
        <v>3.2500000000000001E-2</v>
      </c>
      <c r="C26" s="121"/>
      <c r="D26" s="125">
        <v>0</v>
      </c>
      <c r="E26" s="146">
        <f t="shared" si="13"/>
        <v>3814989.409516999</v>
      </c>
      <c r="F26" s="145">
        <f>Aug!M$37</f>
        <v>-686888.80716499977</v>
      </c>
      <c r="G26" s="145">
        <f>Aug!L$37</f>
        <v>1088873.9676080004</v>
      </c>
      <c r="H26" s="122">
        <f t="shared" si="19"/>
        <v>10876.62</v>
      </c>
      <c r="I26" s="167">
        <f>SUM(E26:H26)</f>
        <v>4227851.1899600001</v>
      </c>
      <c r="J26" s="123"/>
      <c r="K26" s="147">
        <v>4227851.1900000004</v>
      </c>
      <c r="L26" s="148">
        <f t="shared" ref="L26" si="24">K26-I26</f>
        <v>4.0000304579734802E-5</v>
      </c>
      <c r="M26" s="137"/>
    </row>
    <row r="27" spans="1:23" s="104" customFormat="1" ht="15.75">
      <c r="A27" s="139">
        <f t="shared" si="17"/>
        <v>202109</v>
      </c>
      <c r="B27" s="144">
        <v>3.2500000000000001E-2</v>
      </c>
      <c r="C27" s="121"/>
      <c r="D27" s="125">
        <v>0</v>
      </c>
      <c r="E27" s="146">
        <f t="shared" si="13"/>
        <v>4227851.1899600001</v>
      </c>
      <c r="F27" s="145">
        <f>Sep!M$37</f>
        <v>234914.16278000001</v>
      </c>
      <c r="G27" s="145">
        <f>Sep!L$37</f>
        <v>947319.05468399997</v>
      </c>
      <c r="H27" s="122">
        <f t="shared" si="19"/>
        <v>13051.37</v>
      </c>
      <c r="I27" s="167">
        <f t="shared" ref="I27:I28" si="25">SUM(E27:H27)</f>
        <v>5423135.7774240002</v>
      </c>
      <c r="J27" s="123"/>
      <c r="K27" s="147">
        <v>5423135.7800000003</v>
      </c>
      <c r="L27" s="148">
        <f t="shared" ref="L27" si="26">K27-I27</f>
        <v>2.5760000571608543E-3</v>
      </c>
      <c r="M27" s="137"/>
    </row>
    <row r="28" spans="1:23" s="104" customFormat="1" ht="15.75">
      <c r="A28" s="139">
        <f t="shared" si="17"/>
        <v>202110</v>
      </c>
      <c r="B28" s="144"/>
      <c r="C28" s="121"/>
      <c r="D28" s="125">
        <v>0</v>
      </c>
      <c r="E28" s="146">
        <f t="shared" si="13"/>
        <v>5423135.7774240002</v>
      </c>
      <c r="F28" s="145"/>
      <c r="G28" s="256"/>
      <c r="H28" s="122">
        <f t="shared" si="19"/>
        <v>0</v>
      </c>
      <c r="I28" s="167">
        <f t="shared" si="25"/>
        <v>5423135.7774240002</v>
      </c>
      <c r="J28" s="123"/>
      <c r="K28" s="147"/>
      <c r="L28" s="148"/>
      <c r="M28" s="137"/>
    </row>
    <row r="29" spans="1:23" s="104" customFormat="1" ht="15.75">
      <c r="A29" s="139">
        <f t="shared" si="17"/>
        <v>202111</v>
      </c>
      <c r="B29" s="124"/>
      <c r="C29" s="121"/>
      <c r="D29" s="125"/>
      <c r="E29" s="146">
        <f t="shared" si="13"/>
        <v>5423135.7774240002</v>
      </c>
      <c r="F29" s="145"/>
      <c r="G29" s="256"/>
      <c r="H29" s="122">
        <f t="shared" si="19"/>
        <v>0</v>
      </c>
      <c r="I29" s="167">
        <f>SUM(E29:H29)</f>
        <v>5423135.7774240002</v>
      </c>
      <c r="J29" s="123"/>
      <c r="K29" s="147"/>
      <c r="L29" s="148"/>
      <c r="M29" s="110"/>
    </row>
    <row r="30" spans="1:23" s="104" customFormat="1" ht="16.5" thickBot="1">
      <c r="A30" s="140">
        <f t="shared" si="17"/>
        <v>202112</v>
      </c>
      <c r="B30" s="126"/>
      <c r="C30" s="141"/>
      <c r="D30" s="127">
        <v>0</v>
      </c>
      <c r="E30" s="128">
        <f t="shared" si="13"/>
        <v>5423135.7774240002</v>
      </c>
      <c r="F30" s="127"/>
      <c r="G30" s="127"/>
      <c r="H30" s="128">
        <f t="shared" si="19"/>
        <v>0</v>
      </c>
      <c r="I30" s="180">
        <f t="shared" ref="I30" si="27">SUM(E30:H30)</f>
        <v>5423135.7774240002</v>
      </c>
      <c r="J30" s="142"/>
      <c r="K30" s="147"/>
      <c r="L30" s="148"/>
      <c r="M30" s="137"/>
    </row>
    <row r="31" spans="1:23" ht="15.75">
      <c r="A31" s="119"/>
      <c r="B31" s="119"/>
      <c r="C31" s="120"/>
      <c r="D31" s="131">
        <f>SUMIF($A$7:$A$30,$D34,D$7:D$30)</f>
        <v>0</v>
      </c>
      <c r="E31" s="119"/>
      <c r="F31" s="131">
        <f>SUMIF($A$7:$A$30,$D34,F$7:F$30)</f>
        <v>234914.16278000001</v>
      </c>
      <c r="G31" s="131">
        <f>SUMIF($A$7:$A$30,$D34,G$7:G$30)</f>
        <v>947319.05468399997</v>
      </c>
      <c r="H31" s="131">
        <f>SUMIF($A$7:$A$30,$D34,H$7:H$30)</f>
        <v>13051.37</v>
      </c>
      <c r="I31" s="132" t="s">
        <v>110</v>
      </c>
      <c r="J31" s="120"/>
      <c r="K31" s="119"/>
      <c r="L31" s="119"/>
      <c r="M31" s="136"/>
      <c r="Q31" s="109"/>
      <c r="R31" s="110"/>
      <c r="S31" s="110"/>
      <c r="T31" s="111"/>
      <c r="U31" s="97"/>
      <c r="V31" s="97"/>
      <c r="W31" s="97"/>
    </row>
    <row r="32" spans="1:23" s="185" customFormat="1">
      <c r="A32" s="135"/>
      <c r="B32" s="135"/>
      <c r="C32" s="182"/>
      <c r="D32" s="183" t="s">
        <v>128</v>
      </c>
      <c r="E32" s="135"/>
      <c r="F32" s="183" t="s">
        <v>121</v>
      </c>
      <c r="G32" s="183" t="s">
        <v>122</v>
      </c>
      <c r="H32" s="183" t="s">
        <v>123</v>
      </c>
      <c r="I32" s="135"/>
      <c r="J32" s="182"/>
      <c r="K32" s="135"/>
      <c r="L32" s="135"/>
      <c r="M32" s="184"/>
      <c r="Q32" s="186"/>
      <c r="R32" s="186"/>
      <c r="S32" s="186"/>
      <c r="T32" s="186"/>
      <c r="U32" s="186"/>
      <c r="V32" s="186"/>
      <c r="W32" s="186"/>
    </row>
    <row r="33" spans="1:23">
      <c r="A33" s="119"/>
      <c r="B33" s="119"/>
      <c r="C33" s="120"/>
      <c r="D33" s="119"/>
      <c r="E33" s="119"/>
      <c r="F33" s="119"/>
      <c r="G33" s="119"/>
      <c r="H33" s="119"/>
      <c r="I33" s="119"/>
      <c r="J33" s="120"/>
      <c r="K33" s="119"/>
      <c r="L33" s="119"/>
      <c r="M33" s="136"/>
      <c r="Q33" s="97"/>
      <c r="R33" s="97"/>
      <c r="S33" s="97"/>
      <c r="T33" s="97"/>
      <c r="U33" s="97"/>
      <c r="V33" s="97"/>
      <c r="W33" s="97"/>
    </row>
    <row r="34" spans="1:23">
      <c r="A34" s="119"/>
      <c r="B34" s="119"/>
      <c r="C34" s="120"/>
      <c r="D34" s="112">
        <v>202109</v>
      </c>
      <c r="E34" s="113" t="s">
        <v>111</v>
      </c>
      <c r="F34" s="114"/>
      <c r="G34" s="119"/>
      <c r="H34" s="119"/>
      <c r="I34" s="119"/>
      <c r="J34" s="120"/>
      <c r="K34" s="119"/>
      <c r="L34" s="119"/>
      <c r="M34" s="136"/>
    </row>
    <row r="35" spans="1:23">
      <c r="A35" s="119"/>
      <c r="B35" s="119"/>
      <c r="C35" s="120"/>
      <c r="D35" s="115" t="s">
        <v>112</v>
      </c>
      <c r="E35" s="115" t="s">
        <v>113</v>
      </c>
      <c r="F35" s="115" t="s">
        <v>114</v>
      </c>
      <c r="G35" s="119"/>
      <c r="H35" s="119"/>
      <c r="I35" s="119"/>
      <c r="J35" s="120"/>
      <c r="K35" s="119"/>
      <c r="L35" s="119"/>
      <c r="M35" s="136"/>
    </row>
    <row r="36" spans="1:23">
      <c r="A36" s="119"/>
      <c r="B36" s="119"/>
      <c r="C36" s="133" t="s">
        <v>34</v>
      </c>
      <c r="D36" s="116" t="s">
        <v>115</v>
      </c>
      <c r="E36" s="117"/>
      <c r="F36" s="118">
        <f>IF($H$31&gt;0,ABS($H$31),"")</f>
        <v>13051.37</v>
      </c>
      <c r="G36" s="135" t="s">
        <v>123</v>
      </c>
      <c r="H36" s="119"/>
      <c r="I36" s="119"/>
      <c r="J36" s="120"/>
      <c r="K36" s="119"/>
      <c r="L36" s="119"/>
      <c r="M36" s="136"/>
    </row>
    <row r="37" spans="1:23">
      <c r="A37" s="119"/>
      <c r="B37" s="119"/>
      <c r="C37" s="133" t="s">
        <v>119</v>
      </c>
      <c r="D37" s="116" t="s">
        <v>116</v>
      </c>
      <c r="E37" s="118" t="str">
        <f>IF($H$31&lt;0,ABS($H$31),"")</f>
        <v/>
      </c>
      <c r="F37" s="117"/>
      <c r="G37" s="135" t="s">
        <v>123</v>
      </c>
      <c r="H37" s="119"/>
      <c r="I37" s="119"/>
      <c r="J37" s="120"/>
      <c r="K37" s="119"/>
      <c r="L37" s="119"/>
      <c r="M37" s="136"/>
    </row>
    <row r="38" spans="1:23">
      <c r="A38" s="119"/>
      <c r="B38" s="119"/>
      <c r="C38" s="133" t="s">
        <v>144</v>
      </c>
      <c r="D38" s="116" t="s">
        <v>117</v>
      </c>
      <c r="E38" s="118">
        <f>IF($F$31+$G$31+H31&gt;0,ABS($F$31+$G$31+H31),"")</f>
        <v>1195284.5874640001</v>
      </c>
      <c r="F38" s="118" t="str">
        <f>IF($F$31+$G$31+H31&lt;0,ABS($F$31+$G$31+H31),"")</f>
        <v/>
      </c>
      <c r="G38" s="135" t="s">
        <v>124</v>
      </c>
      <c r="H38" s="119"/>
      <c r="I38" s="119"/>
      <c r="J38" s="120"/>
      <c r="K38" s="119"/>
      <c r="L38" s="119"/>
      <c r="M38" s="136"/>
    </row>
    <row r="39" spans="1:23">
      <c r="A39" s="119"/>
      <c r="B39" s="119"/>
      <c r="C39" s="133" t="s">
        <v>120</v>
      </c>
      <c r="D39" s="116" t="s">
        <v>118</v>
      </c>
      <c r="E39" s="118" t="str">
        <f>IF($F$31+$G$31&lt;0,ABS($F$31+$G$31),"")</f>
        <v/>
      </c>
      <c r="F39" s="118">
        <f>IF($F$31+$G$31&gt;0,ABS($F$31+$G$31),"")</f>
        <v>1182233.217464</v>
      </c>
      <c r="G39" s="135" t="s">
        <v>125</v>
      </c>
      <c r="H39" s="119"/>
      <c r="I39" s="119"/>
      <c r="J39" s="120"/>
      <c r="K39" s="119"/>
      <c r="L39" s="119"/>
      <c r="M39" s="136"/>
    </row>
    <row r="40" spans="1:23">
      <c r="A40" s="119"/>
      <c r="B40" s="119"/>
      <c r="C40" s="120"/>
      <c r="D40" s="119"/>
      <c r="E40" s="119"/>
      <c r="F40" s="119"/>
      <c r="G40" s="135"/>
      <c r="H40" s="119"/>
      <c r="I40" s="119"/>
      <c r="J40" s="120"/>
      <c r="K40" s="119"/>
      <c r="L40" s="119"/>
      <c r="M40" s="136"/>
    </row>
    <row r="41" spans="1:23">
      <c r="A41" s="119"/>
      <c r="B41" s="119"/>
      <c r="C41" s="120"/>
      <c r="D41" s="119"/>
      <c r="E41" s="119"/>
      <c r="F41" s="134">
        <f>SUM(E36:E39)-SUM(F36:F39)</f>
        <v>0</v>
      </c>
      <c r="G41" s="135" t="s">
        <v>126</v>
      </c>
      <c r="H41" s="119"/>
      <c r="I41" s="119"/>
      <c r="J41" s="120"/>
      <c r="K41" s="119"/>
      <c r="L41" s="119"/>
      <c r="M41" s="136"/>
    </row>
    <row r="42" spans="1:23">
      <c r="G42" s="185"/>
    </row>
    <row r="43" spans="1:23" ht="15.75">
      <c r="D43" s="115" t="s">
        <v>127</v>
      </c>
      <c r="E43" s="150"/>
      <c r="F43" s="151"/>
      <c r="G43" s="187"/>
    </row>
    <row r="44" spans="1:23">
      <c r="D44" s="116" t="s">
        <v>117</v>
      </c>
      <c r="E44" s="118" t="str">
        <f>IF($D$31&gt;0,ABS($D$31),"")</f>
        <v/>
      </c>
      <c r="F44" s="153"/>
      <c r="G44" s="135" t="s">
        <v>128</v>
      </c>
    </row>
    <row r="45" spans="1:23">
      <c r="D45" s="152" t="s">
        <v>129</v>
      </c>
      <c r="E45" s="153">
        <f>F44</f>
        <v>0</v>
      </c>
      <c r="F45" s="118" t="str">
        <f>E44</f>
        <v/>
      </c>
      <c r="G45" s="154"/>
    </row>
  </sheetData>
  <printOptions horizontalCentered="1"/>
  <pageMargins left="0.25" right="0.25" top="0.5" bottom="0.5" header="0.3" footer="0.3"/>
  <pageSetup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Z47"/>
  <sheetViews>
    <sheetView zoomScale="90" zoomScaleNormal="90" workbookViewId="0">
      <pane ySplit="6" topLeftCell="A16" activePane="bottomLeft" state="frozen"/>
      <selection activeCell="M19" sqref="M19"/>
      <selection pane="bottomLeft" activeCell="D33" sqref="D33"/>
    </sheetView>
  </sheetViews>
  <sheetFormatPr defaultColWidth="8.85546875" defaultRowHeight="12.75" outlineLevelCol="1"/>
  <cols>
    <col min="1" max="1" width="9.140625" style="119" customWidth="1"/>
    <col min="2" max="2" width="9" style="119" bestFit="1" customWidth="1"/>
    <col min="3" max="3" width="14.140625" style="119" bestFit="1" customWidth="1"/>
    <col min="4" max="4" width="12.85546875" style="119" bestFit="1" customWidth="1"/>
    <col min="5" max="5" width="14.140625" style="119" bestFit="1" customWidth="1"/>
    <col min="6" max="6" width="14.28515625" style="119" bestFit="1" customWidth="1"/>
    <col min="7" max="7" width="12.42578125" style="119" customWidth="1"/>
    <col min="8" max="8" width="13.140625" style="119" bestFit="1" customWidth="1"/>
    <col min="9" max="9" width="11.5703125" style="119" bestFit="1" customWidth="1"/>
    <col min="10" max="10" width="10.140625" style="119" bestFit="1" customWidth="1"/>
    <col min="11" max="11" width="12.42578125" style="119" bestFit="1" customWidth="1"/>
    <col min="12" max="12" width="11.5703125" style="119" hidden="1" customWidth="1" outlineLevel="1"/>
    <col min="13" max="13" width="11" style="119" hidden="1" customWidth="1" outlineLevel="1"/>
    <col min="14" max="14" width="11.5703125" style="119" hidden="1" customWidth="1" outlineLevel="1"/>
    <col min="15" max="15" width="11.28515625" style="119" bestFit="1" customWidth="1" collapsed="1"/>
    <col min="16" max="16" width="14.140625" style="119" bestFit="1" customWidth="1"/>
    <col min="17" max="17" width="1.7109375" style="175" customWidth="1"/>
    <col min="18" max="18" width="14.140625" style="119" bestFit="1" customWidth="1"/>
    <col min="19" max="19" width="13.28515625" style="120" bestFit="1" customWidth="1"/>
    <col min="20" max="20" width="13.5703125" style="119" customWidth="1"/>
    <col min="21" max="21" width="13.85546875" style="119" bestFit="1" customWidth="1"/>
    <col min="22" max="24" width="8.85546875" style="119"/>
    <col min="25" max="25" width="12.7109375" style="119" customWidth="1"/>
    <col min="26" max="27" width="13.140625" style="119" bestFit="1" customWidth="1"/>
    <col min="28" max="16384" width="8.85546875" style="119"/>
  </cols>
  <sheetData>
    <row r="1" spans="1:21" s="100" customFormat="1" ht="15.75">
      <c r="A1" s="157" t="s">
        <v>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1" s="100" customFormat="1" ht="15.75">
      <c r="A2" s="157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21" s="100" customFormat="1" ht="15.75">
      <c r="A3" s="157" t="s">
        <v>143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21" s="100" customFormat="1" ht="15.75">
      <c r="A4" s="157" t="s">
        <v>100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21" s="103" customFormat="1" ht="13.5" thickBot="1">
      <c r="A5" s="155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21" s="156" customFormat="1" ht="56.45" customHeight="1">
      <c r="A6" s="106" t="s">
        <v>97</v>
      </c>
      <c r="B6" s="106" t="s">
        <v>89</v>
      </c>
      <c r="C6" s="106" t="s">
        <v>130</v>
      </c>
      <c r="D6" s="106" t="s">
        <v>133</v>
      </c>
      <c r="E6" s="170" t="s">
        <v>88</v>
      </c>
      <c r="F6" s="161" t="s">
        <v>138</v>
      </c>
      <c r="G6" s="162" t="s">
        <v>131</v>
      </c>
      <c r="H6" s="163" t="s">
        <v>104</v>
      </c>
      <c r="I6" s="161" t="s">
        <v>139</v>
      </c>
      <c r="J6" s="162" t="s">
        <v>131</v>
      </c>
      <c r="K6" s="163" t="s">
        <v>104</v>
      </c>
      <c r="L6" s="161" t="s">
        <v>140</v>
      </c>
      <c r="M6" s="162" t="s">
        <v>131</v>
      </c>
      <c r="N6" s="163" t="s">
        <v>104</v>
      </c>
      <c r="O6" s="173" t="s">
        <v>3</v>
      </c>
      <c r="P6" s="106" t="s">
        <v>21</v>
      </c>
      <c r="Q6" s="174"/>
      <c r="R6" s="108" t="s">
        <v>98</v>
      </c>
      <c r="S6" s="108" t="s">
        <v>99</v>
      </c>
    </row>
    <row r="7" spans="1:21">
      <c r="A7" s="246" t="s">
        <v>150</v>
      </c>
      <c r="B7" s="158">
        <f>'191010 WA DEF'!B7</f>
        <v>4.9599999999999998E-2</v>
      </c>
      <c r="C7" s="146">
        <v>0</v>
      </c>
      <c r="D7" s="146">
        <v>0</v>
      </c>
      <c r="E7" s="160">
        <v>985404.04219200055</v>
      </c>
      <c r="F7" s="168">
        <f>19882002+20223</f>
        <v>19902225</v>
      </c>
      <c r="G7" s="159">
        <v>-4.0899999999999999E-3</v>
      </c>
      <c r="H7" s="172">
        <f>F7*G7</f>
        <v>-81400.100250000003</v>
      </c>
      <c r="I7" s="169">
        <v>7441465</v>
      </c>
      <c r="J7" s="159">
        <v>-1.035E-2</v>
      </c>
      <c r="K7" s="172">
        <f>I7*J7</f>
        <v>-77019.162750000003</v>
      </c>
      <c r="L7" s="169">
        <v>176036</v>
      </c>
      <c r="M7" s="159">
        <v>-1.035E-2</v>
      </c>
      <c r="N7" s="172">
        <f>L7*M7</f>
        <v>-1821.9726000000001</v>
      </c>
      <c r="O7" s="166">
        <f t="shared" ref="O7:O18" si="0">ROUND(((E7*(B7/12))+(H7+K7+N7)/2*(B7/12)),2)</f>
        <v>3741.84</v>
      </c>
      <c r="P7" s="146">
        <f t="shared" ref="P7:P18" si="1">E7+H7+K7+N7+O7</f>
        <v>828904.6465920005</v>
      </c>
      <c r="Q7" s="110"/>
      <c r="R7" s="147">
        <v>823211.28</v>
      </c>
      <c r="S7" s="148">
        <f t="shared" ref="S7:S9" si="2">R7-P7</f>
        <v>-5693.3665920004714</v>
      </c>
    </row>
    <row r="8" spans="1:21">
      <c r="A8" s="246" t="s">
        <v>151</v>
      </c>
      <c r="B8" s="158">
        <f>'191010 WA DEF'!B8</f>
        <v>4.9599999999999998E-2</v>
      </c>
      <c r="C8" s="122">
        <v>0</v>
      </c>
      <c r="D8" s="122">
        <v>0</v>
      </c>
      <c r="E8" s="171">
        <f t="shared" ref="E8:E18" si="3">P7+C8+D8</f>
        <v>828904.6465920005</v>
      </c>
      <c r="F8" s="168">
        <f>18132989+23546</f>
        <v>18156535</v>
      </c>
      <c r="G8" s="159">
        <v>-4.0899999999999999E-3</v>
      </c>
      <c r="H8" s="172">
        <f t="shared" ref="H8:H16" si="4">F8*G8</f>
        <v>-74260.228149999995</v>
      </c>
      <c r="I8" s="169">
        <v>7239397</v>
      </c>
      <c r="J8" s="159">
        <v>-1.035E-2</v>
      </c>
      <c r="K8" s="172">
        <f t="shared" ref="K8:K16" si="5">I8*J8</f>
        <v>-74927.758950000003</v>
      </c>
      <c r="L8" s="169">
        <v>155563</v>
      </c>
      <c r="M8" s="159">
        <v>-1.035E-2</v>
      </c>
      <c r="N8" s="172">
        <f t="shared" ref="N8:N16" si="6">L8*M8</f>
        <v>-1610.0770499999999</v>
      </c>
      <c r="O8" s="167">
        <f t="shared" si="0"/>
        <v>3114.49</v>
      </c>
      <c r="P8" s="122">
        <f t="shared" si="1"/>
        <v>681221.0724420005</v>
      </c>
      <c r="Q8" s="110"/>
      <c r="R8" s="147">
        <v>675504.18</v>
      </c>
      <c r="S8" s="148">
        <f t="shared" si="2"/>
        <v>-5716.8924420004478</v>
      </c>
    </row>
    <row r="9" spans="1:21">
      <c r="A9" s="246" t="s">
        <v>152</v>
      </c>
      <c r="B9" s="158">
        <f>'191010 WA DEF'!B9</f>
        <v>4.9599999999999998E-2</v>
      </c>
      <c r="C9" s="122">
        <v>0</v>
      </c>
      <c r="D9" s="122">
        <v>0</v>
      </c>
      <c r="E9" s="171">
        <f t="shared" si="3"/>
        <v>681221.0724420005</v>
      </c>
      <c r="F9" s="168">
        <f>16716589+20495</f>
        <v>16737084</v>
      </c>
      <c r="G9" s="159">
        <v>-4.0899999999999999E-3</v>
      </c>
      <c r="H9" s="172">
        <f t="shared" si="4"/>
        <v>-68454.673559999996</v>
      </c>
      <c r="I9" s="169">
        <v>6588074</v>
      </c>
      <c r="J9" s="159">
        <v>-1.035E-2</v>
      </c>
      <c r="K9" s="172">
        <f t="shared" si="5"/>
        <v>-68186.565900000001</v>
      </c>
      <c r="L9" s="169">
        <v>135456</v>
      </c>
      <c r="M9" s="159">
        <v>-1.035E-2</v>
      </c>
      <c r="N9" s="172">
        <f t="shared" si="6"/>
        <v>-1401.9695999999999</v>
      </c>
      <c r="O9" s="167">
        <f t="shared" si="0"/>
        <v>2530.42</v>
      </c>
      <c r="P9" s="122">
        <f t="shared" si="1"/>
        <v>545708.28338200052</v>
      </c>
      <c r="Q9" s="110"/>
      <c r="R9" s="147">
        <v>540247.84</v>
      </c>
      <c r="S9" s="148">
        <f t="shared" si="2"/>
        <v>-5460.4433820005506</v>
      </c>
    </row>
    <row r="10" spans="1:21">
      <c r="A10" s="246" t="s">
        <v>153</v>
      </c>
      <c r="B10" s="158">
        <f>'191010 WA DEF'!B10</f>
        <v>4.7500000000000001E-2</v>
      </c>
      <c r="C10" s="122">
        <v>0</v>
      </c>
      <c r="D10" s="122">
        <v>0</v>
      </c>
      <c r="E10" s="171">
        <f t="shared" si="3"/>
        <v>545708.28338200052</v>
      </c>
      <c r="F10" s="168">
        <f>8669321+11194</f>
        <v>8680515</v>
      </c>
      <c r="G10" s="159">
        <v>-4.0899999999999999E-3</v>
      </c>
      <c r="H10" s="172">
        <f t="shared" si="4"/>
        <v>-35503.306349999999</v>
      </c>
      <c r="I10" s="169">
        <v>3389688</v>
      </c>
      <c r="J10" s="159">
        <v>-1.035E-2</v>
      </c>
      <c r="K10" s="172">
        <f t="shared" si="5"/>
        <v>-35083.270799999998</v>
      </c>
      <c r="L10" s="169">
        <v>-28206</v>
      </c>
      <c r="M10" s="159">
        <v>-1.035E-2</v>
      </c>
      <c r="N10" s="172">
        <f t="shared" si="6"/>
        <v>291.93209999999999</v>
      </c>
      <c r="O10" s="167">
        <f t="shared" si="0"/>
        <v>2020.97</v>
      </c>
      <c r="P10" s="122">
        <f t="shared" si="1"/>
        <v>477434.6083320005</v>
      </c>
      <c r="Q10" s="110"/>
      <c r="R10" s="147">
        <v>471952.55</v>
      </c>
      <c r="S10" s="148">
        <f t="shared" ref="S10" si="7">R10-P10</f>
        <v>-5482.0583320005098</v>
      </c>
    </row>
    <row r="11" spans="1:21">
      <c r="A11" s="246" t="s">
        <v>154</v>
      </c>
      <c r="B11" s="158">
        <f>'191010 WA DEF'!B11</f>
        <v>4.7500000000000001E-2</v>
      </c>
      <c r="C11" s="122">
        <v>0</v>
      </c>
      <c r="D11" s="122">
        <v>0</v>
      </c>
      <c r="E11" s="171">
        <f t="shared" si="3"/>
        <v>477434.6083320005</v>
      </c>
      <c r="F11" s="168">
        <f>5170311+6951</f>
        <v>5177262</v>
      </c>
      <c r="G11" s="159">
        <v>-4.0899999999999999E-3</v>
      </c>
      <c r="H11" s="172">
        <f t="shared" si="4"/>
        <v>-21175.00158</v>
      </c>
      <c r="I11" s="169">
        <v>2662302</v>
      </c>
      <c r="J11" s="159">
        <v>-1.035E-2</v>
      </c>
      <c r="K11" s="172">
        <f t="shared" si="5"/>
        <v>-27554.825700000001</v>
      </c>
      <c r="L11" s="169">
        <v>-100434</v>
      </c>
      <c r="M11" s="159">
        <v>-1.035E-2</v>
      </c>
      <c r="N11" s="172">
        <f t="shared" si="6"/>
        <v>1039.4919</v>
      </c>
      <c r="O11" s="167">
        <f t="shared" si="0"/>
        <v>1795.46</v>
      </c>
      <c r="P11" s="122">
        <f t="shared" si="1"/>
        <v>431539.73295200057</v>
      </c>
      <c r="Q11" s="110"/>
      <c r="R11" s="147">
        <v>426035.97</v>
      </c>
      <c r="S11" s="148">
        <f t="shared" ref="S11" si="8">R11-P11</f>
        <v>-5503.7629520006012</v>
      </c>
    </row>
    <row r="12" spans="1:21">
      <c r="A12" s="246" t="s">
        <v>155</v>
      </c>
      <c r="B12" s="158">
        <f>'191010 WA DEF'!B12</f>
        <v>4.7500000000000001E-2</v>
      </c>
      <c r="C12" s="122">
        <v>0</v>
      </c>
      <c r="D12" s="122">
        <v>0</v>
      </c>
      <c r="E12" s="171">
        <f t="shared" si="3"/>
        <v>431539.73295200057</v>
      </c>
      <c r="F12" s="168">
        <f>3317015+4575</f>
        <v>3321590</v>
      </c>
      <c r="G12" s="159">
        <v>-4.0899999999999999E-3</v>
      </c>
      <c r="H12" s="172">
        <f t="shared" si="4"/>
        <v>-13585.303099999999</v>
      </c>
      <c r="I12" s="169">
        <v>1746909</v>
      </c>
      <c r="J12" s="159">
        <v>-1.035E-2</v>
      </c>
      <c r="K12" s="172">
        <f t="shared" si="5"/>
        <v>-18080.508150000001</v>
      </c>
      <c r="L12" s="169">
        <v>0</v>
      </c>
      <c r="M12" s="159">
        <v>-1.035E-2</v>
      </c>
      <c r="N12" s="172">
        <f t="shared" si="6"/>
        <v>0</v>
      </c>
      <c r="O12" s="167">
        <f>ROUND(((E12*(B12/12))+(H12+K12+N12)/2*(B12/12)),2)</f>
        <v>1645.51</v>
      </c>
      <c r="P12" s="122">
        <f t="shared" si="1"/>
        <v>401519.43170200055</v>
      </c>
      <c r="Q12" s="110"/>
      <c r="R12" s="147">
        <v>395993.88</v>
      </c>
      <c r="S12" s="148">
        <f t="shared" ref="S12" si="9">R12-P12</f>
        <v>-5525.55170200055</v>
      </c>
    </row>
    <row r="13" spans="1:21">
      <c r="A13" s="246" t="s">
        <v>156</v>
      </c>
      <c r="B13" s="158">
        <v>3.4299999999999997E-2</v>
      </c>
      <c r="C13" s="122">
        <v>0</v>
      </c>
      <c r="D13" s="122">
        <v>0</v>
      </c>
      <c r="E13" s="171">
        <f t="shared" si="3"/>
        <v>401519.43170200055</v>
      </c>
      <c r="F13" s="168">
        <f>2630458+2800</f>
        <v>2633258</v>
      </c>
      <c r="G13" s="159">
        <v>-4.0899999999999999E-3</v>
      </c>
      <c r="H13" s="172">
        <f t="shared" si="4"/>
        <v>-10770.02522</v>
      </c>
      <c r="I13" s="169">
        <v>1745062</v>
      </c>
      <c r="J13" s="159">
        <v>-1.035E-2</v>
      </c>
      <c r="K13" s="172">
        <f t="shared" si="5"/>
        <v>-18061.3917</v>
      </c>
      <c r="L13" s="169">
        <v>0</v>
      </c>
      <c r="M13" s="159">
        <v>-1.035E-2</v>
      </c>
      <c r="N13" s="172">
        <f t="shared" si="6"/>
        <v>0</v>
      </c>
      <c r="O13" s="167">
        <f t="shared" si="0"/>
        <v>1106.47</v>
      </c>
      <c r="P13" s="122">
        <f t="shared" si="1"/>
        <v>373794.48478200054</v>
      </c>
      <c r="Q13" s="110"/>
      <c r="R13" s="147">
        <v>368253.14</v>
      </c>
      <c r="S13" s="148">
        <f t="shared" ref="S13" si="10">R13-P13</f>
        <v>-5541.344782000524</v>
      </c>
    </row>
    <row r="14" spans="1:21">
      <c r="A14" s="246" t="s">
        <v>157</v>
      </c>
      <c r="B14" s="158">
        <v>3.4299999999999997E-2</v>
      </c>
      <c r="C14" s="122">
        <v>0</v>
      </c>
      <c r="D14" s="122">
        <v>0</v>
      </c>
      <c r="E14" s="171">
        <f t="shared" si="3"/>
        <v>373794.48478200054</v>
      </c>
      <c r="F14" s="168">
        <f>2236586+2515</f>
        <v>2239101</v>
      </c>
      <c r="G14" s="159">
        <v>-4.0899999999999999E-3</v>
      </c>
      <c r="H14" s="172">
        <f t="shared" si="4"/>
        <v>-9157.9230900000002</v>
      </c>
      <c r="I14" s="169">
        <v>1621230</v>
      </c>
      <c r="J14" s="159">
        <v>-1.035E-2</v>
      </c>
      <c r="K14" s="172">
        <f t="shared" si="5"/>
        <v>-16779.730500000001</v>
      </c>
      <c r="L14" s="169">
        <v>0</v>
      </c>
      <c r="M14" s="159">
        <v>-1.035E-2</v>
      </c>
      <c r="N14" s="172">
        <f t="shared" si="6"/>
        <v>0</v>
      </c>
      <c r="O14" s="167">
        <f t="shared" si="0"/>
        <v>1031.3599999999999</v>
      </c>
      <c r="P14" s="122">
        <f t="shared" si="1"/>
        <v>348888.19119200052</v>
      </c>
      <c r="Q14" s="110"/>
      <c r="R14" s="147">
        <v>343331.01</v>
      </c>
      <c r="S14" s="148">
        <f t="shared" ref="S14" si="11">R14-P14</f>
        <v>-5557.181192000513</v>
      </c>
      <c r="U14" s="261"/>
    </row>
    <row r="15" spans="1:21">
      <c r="A15" s="246" t="s">
        <v>158</v>
      </c>
      <c r="B15" s="158">
        <v>3.4299999999999997E-2</v>
      </c>
      <c r="C15" s="122">
        <v>0</v>
      </c>
      <c r="D15" s="122">
        <v>0</v>
      </c>
      <c r="E15" s="171">
        <f t="shared" si="3"/>
        <v>348888.19119200052</v>
      </c>
      <c r="F15" s="168">
        <f>2843331+3965</f>
        <v>2847296</v>
      </c>
      <c r="G15" s="159">
        <v>-4.0899999999999999E-3</v>
      </c>
      <c r="H15" s="172">
        <f t="shared" si="4"/>
        <v>-11645.440639999999</v>
      </c>
      <c r="I15" s="169">
        <v>2009009</v>
      </c>
      <c r="J15" s="159">
        <v>-1.035E-2</v>
      </c>
      <c r="K15" s="172">
        <f t="shared" si="5"/>
        <v>-20793.243149999998</v>
      </c>
      <c r="L15" s="169">
        <v>0</v>
      </c>
      <c r="M15" s="159">
        <v>-1.035E-2</v>
      </c>
      <c r="N15" s="172">
        <f t="shared" si="6"/>
        <v>0</v>
      </c>
      <c r="O15" s="167">
        <f t="shared" si="0"/>
        <v>950.88</v>
      </c>
      <c r="P15" s="122">
        <f t="shared" si="1"/>
        <v>317400.38740200055</v>
      </c>
      <c r="Q15" s="110"/>
      <c r="R15" s="147">
        <v>317400.40999999997</v>
      </c>
      <c r="S15" s="148">
        <f t="shared" ref="S15" si="12">R15-P15</f>
        <v>2.2597999428398907E-2</v>
      </c>
    </row>
    <row r="16" spans="1:21">
      <c r="A16" s="246" t="s">
        <v>159</v>
      </c>
      <c r="B16" s="158">
        <v>3.2500000000000001E-2</v>
      </c>
      <c r="C16" s="122">
        <v>0</v>
      </c>
      <c r="D16" s="122">
        <v>0</v>
      </c>
      <c r="E16" s="171">
        <f t="shared" si="3"/>
        <v>317400.38740200055</v>
      </c>
      <c r="F16" s="168">
        <f>8963780+13468</f>
        <v>8977248</v>
      </c>
      <c r="G16" s="159">
        <v>-4.0899999999999999E-3</v>
      </c>
      <c r="H16" s="172">
        <f t="shared" si="4"/>
        <v>-36716.944320000002</v>
      </c>
      <c r="I16" s="169">
        <v>4850551</v>
      </c>
      <c r="J16" s="159">
        <v>-1.035E-2</v>
      </c>
      <c r="K16" s="172">
        <f t="shared" si="5"/>
        <v>-50203.202850000001</v>
      </c>
      <c r="L16" s="169">
        <v>0</v>
      </c>
      <c r="M16" s="159">
        <v>-1.035E-2</v>
      </c>
      <c r="N16" s="172">
        <f t="shared" si="6"/>
        <v>0</v>
      </c>
      <c r="O16" s="167">
        <f t="shared" si="0"/>
        <v>741.92</v>
      </c>
      <c r="P16" s="122">
        <f t="shared" si="1"/>
        <v>231222.16023200055</v>
      </c>
      <c r="Q16" s="110"/>
      <c r="R16" s="147">
        <v>231222.18</v>
      </c>
      <c r="S16" s="148">
        <f t="shared" ref="S16" si="13">R16-P16</f>
        <v>1.9767999445321038E-2</v>
      </c>
    </row>
    <row r="17" spans="1:23">
      <c r="A17" s="246" t="s">
        <v>160</v>
      </c>
      <c r="B17" s="158">
        <v>3.2500000000000001E-2</v>
      </c>
      <c r="C17" s="125">
        <f>-'191010 WA DEF'!D17</f>
        <v>817247.86188699794</v>
      </c>
      <c r="D17" s="125">
        <v>104173.57</v>
      </c>
      <c r="E17" s="171">
        <f>P16+C17+D17</f>
        <v>1152643.5921189985</v>
      </c>
      <c r="F17" s="168">
        <f>17131912+25911</f>
        <v>17157823</v>
      </c>
      <c r="G17" s="145" t="s">
        <v>132</v>
      </c>
      <c r="H17" s="164">
        <f>112959+169</f>
        <v>113128</v>
      </c>
      <c r="I17" s="169">
        <v>5799551</v>
      </c>
      <c r="J17" s="145" t="s">
        <v>132</v>
      </c>
      <c r="K17" s="164">
        <v>9063</v>
      </c>
      <c r="L17" s="169">
        <v>0</v>
      </c>
      <c r="M17" s="145" t="s">
        <v>132</v>
      </c>
      <c r="N17" s="164">
        <v>0</v>
      </c>
      <c r="O17" s="167">
        <f t="shared" si="0"/>
        <v>3287.21</v>
      </c>
      <c r="P17" s="122">
        <f>E17+H17+K17+N17+O17+0.02</f>
        <v>1278121.8221189985</v>
      </c>
      <c r="Q17" s="110"/>
      <c r="R17" s="147">
        <v>1278121.82</v>
      </c>
      <c r="S17" s="148">
        <f t="shared" ref="S17" si="14">R17-P17</f>
        <v>-2.1189984399825335E-3</v>
      </c>
    </row>
    <row r="18" spans="1:23" ht="13.5" thickBot="1">
      <c r="A18" s="275" t="s">
        <v>161</v>
      </c>
      <c r="B18" s="176">
        <v>3.2500000000000001E-2</v>
      </c>
      <c r="C18" s="128">
        <v>0</v>
      </c>
      <c r="D18" s="128">
        <v>0</v>
      </c>
      <c r="E18" s="177">
        <f t="shared" si="3"/>
        <v>1278121.8221189985</v>
      </c>
      <c r="F18" s="178">
        <f>21499328+32489</f>
        <v>21531817</v>
      </c>
      <c r="G18" s="149" t="s">
        <v>132</v>
      </c>
      <c r="H18" s="165">
        <f>148673+226</f>
        <v>148899</v>
      </c>
      <c r="I18" s="179">
        <v>7737352</v>
      </c>
      <c r="J18" s="149" t="s">
        <v>132</v>
      </c>
      <c r="K18" s="165">
        <v>-327</v>
      </c>
      <c r="L18" s="179">
        <v>0</v>
      </c>
      <c r="M18" s="149" t="s">
        <v>132</v>
      </c>
      <c r="N18" s="165">
        <v>0</v>
      </c>
      <c r="O18" s="180">
        <f t="shared" si="0"/>
        <v>3662.77</v>
      </c>
      <c r="P18" s="128">
        <f t="shared" si="1"/>
        <v>1430356.5921189985</v>
      </c>
      <c r="Q18" s="181"/>
      <c r="R18" s="276">
        <v>1430356.59</v>
      </c>
      <c r="S18" s="277">
        <f t="shared" ref="S18:S19" si="15">R18-P18</f>
        <v>-2.1189984399825335E-3</v>
      </c>
    </row>
    <row r="19" spans="1:23">
      <c r="A19" s="246" t="s">
        <v>180</v>
      </c>
      <c r="B19" s="158">
        <v>3.2500000000000001E-2</v>
      </c>
      <c r="C19" s="146">
        <v>0</v>
      </c>
      <c r="D19" s="146">
        <v>0</v>
      </c>
      <c r="E19" s="160">
        <f t="shared" ref="E19:E30" si="16">P18+C19+D19</f>
        <v>1430356.5921189985</v>
      </c>
      <c r="F19" s="168">
        <f>20652318+32556</f>
        <v>20684874</v>
      </c>
      <c r="G19" s="159">
        <v>6.9899999999999997E-3</v>
      </c>
      <c r="H19" s="172">
        <f>F19*G19</f>
        <v>144587.26926</v>
      </c>
      <c r="I19" s="169">
        <v>7466798</v>
      </c>
      <c r="J19" s="159">
        <v>1.2999999999999999E-4</v>
      </c>
      <c r="K19" s="172">
        <f>I19*J19</f>
        <v>970.68373999999994</v>
      </c>
      <c r="L19" s="169">
        <v>0</v>
      </c>
      <c r="M19" s="159">
        <v>0</v>
      </c>
      <c r="N19" s="172">
        <f>L19*M19</f>
        <v>0</v>
      </c>
      <c r="O19" s="166">
        <f t="shared" ref="O19:O23" si="17">ROUND(((E19*(B19/12))+(H19+K19+N19)/2*(B19/12)),2)</f>
        <v>4070.99</v>
      </c>
      <c r="P19" s="146">
        <f t="shared" ref="P19:P28" si="18">E19+H19+K19+N19+O19</f>
        <v>1579985.5351189985</v>
      </c>
      <c r="Q19" s="110"/>
      <c r="R19" s="147">
        <v>1579985.53</v>
      </c>
      <c r="S19" s="148">
        <f t="shared" si="15"/>
        <v>-5.1189984660595655E-3</v>
      </c>
    </row>
    <row r="20" spans="1:23">
      <c r="A20" s="246" t="s">
        <v>181</v>
      </c>
      <c r="B20" s="158">
        <v>3.2500000000000001E-2</v>
      </c>
      <c r="C20" s="122">
        <v>0</v>
      </c>
      <c r="D20" s="122">
        <v>0</v>
      </c>
      <c r="E20" s="160">
        <f t="shared" si="16"/>
        <v>1579985.5351189985</v>
      </c>
      <c r="F20" s="168">
        <f>21465565+35195</f>
        <v>21500760</v>
      </c>
      <c r="G20" s="159">
        <v>6.9899999999999997E-3</v>
      </c>
      <c r="H20" s="172">
        <f t="shared" ref="H20:H28" si="19">F20*G20</f>
        <v>150290.3124</v>
      </c>
      <c r="I20" s="169">
        <v>7487490</v>
      </c>
      <c r="J20" s="159">
        <v>1.2999999999999999E-4</v>
      </c>
      <c r="K20" s="172">
        <f t="shared" ref="K20:K28" si="20">I20*J20</f>
        <v>973.37369999999987</v>
      </c>
      <c r="L20" s="169"/>
      <c r="M20" s="159"/>
      <c r="N20" s="172">
        <f t="shared" ref="N20:N28" si="21">L20*M20</f>
        <v>0</v>
      </c>
      <c r="O20" s="167">
        <f t="shared" si="17"/>
        <v>4483.96</v>
      </c>
      <c r="P20" s="122">
        <f t="shared" si="18"/>
        <v>1735733.1812189985</v>
      </c>
      <c r="Q20" s="110"/>
      <c r="R20" s="147">
        <v>1735733.18</v>
      </c>
      <c r="S20" s="148">
        <f t="shared" ref="S20" si="22">R20-P20</f>
        <v>-1.21899857185781E-3</v>
      </c>
    </row>
    <row r="21" spans="1:23">
      <c r="A21" s="246" t="s">
        <v>182</v>
      </c>
      <c r="B21" s="158">
        <v>3.2500000000000001E-2</v>
      </c>
      <c r="C21" s="122">
        <v>0</v>
      </c>
      <c r="D21" s="122">
        <v>0</v>
      </c>
      <c r="E21" s="160">
        <f t="shared" si="16"/>
        <v>1735733.1812189985</v>
      </c>
      <c r="F21" s="168">
        <f>14741098+24419</f>
        <v>14765517</v>
      </c>
      <c r="G21" s="159">
        <v>6.9899999999999997E-3</v>
      </c>
      <c r="H21" s="172">
        <f t="shared" si="19"/>
        <v>103210.96382999999</v>
      </c>
      <c r="I21" s="169">
        <v>6893495</v>
      </c>
      <c r="J21" s="159">
        <v>1.2999999999999999E-4</v>
      </c>
      <c r="K21" s="172">
        <f t="shared" si="20"/>
        <v>896.15434999999991</v>
      </c>
      <c r="L21" s="169"/>
      <c r="M21" s="159"/>
      <c r="N21" s="172">
        <f t="shared" si="21"/>
        <v>0</v>
      </c>
      <c r="O21" s="167">
        <f t="shared" si="17"/>
        <v>4841.92</v>
      </c>
      <c r="P21" s="122">
        <f t="shared" si="18"/>
        <v>1844682.2193989984</v>
      </c>
      <c r="Q21" s="110"/>
      <c r="R21" s="147">
        <v>1844682.22</v>
      </c>
      <c r="S21" s="148">
        <f t="shared" ref="S21" si="23">R21-P21</f>
        <v>6.010015495121479E-4</v>
      </c>
    </row>
    <row r="22" spans="1:23">
      <c r="A22" s="246" t="s">
        <v>183</v>
      </c>
      <c r="B22" s="158">
        <v>3.2500000000000001E-2</v>
      </c>
      <c r="C22" s="122">
        <v>0</v>
      </c>
      <c r="D22" s="122">
        <v>0</v>
      </c>
      <c r="E22" s="160">
        <f t="shared" si="16"/>
        <v>1844682.2193989984</v>
      </c>
      <c r="F22" s="168">
        <f>8945038+17127</f>
        <v>8962165</v>
      </c>
      <c r="G22" s="159">
        <v>6.9899999999999997E-3</v>
      </c>
      <c r="H22" s="172">
        <f t="shared" si="19"/>
        <v>62645.533349999998</v>
      </c>
      <c r="I22" s="169">
        <v>3971924</v>
      </c>
      <c r="J22" s="159">
        <v>1.2999999999999999E-4</v>
      </c>
      <c r="K22" s="172">
        <f t="shared" si="20"/>
        <v>516.35011999999995</v>
      </c>
      <c r="L22" s="169"/>
      <c r="M22" s="159"/>
      <c r="N22" s="172">
        <f t="shared" si="21"/>
        <v>0</v>
      </c>
      <c r="O22" s="167">
        <f t="shared" si="17"/>
        <v>5081.55</v>
      </c>
      <c r="P22" s="122">
        <f t="shared" si="18"/>
        <v>1912925.6528689985</v>
      </c>
      <c r="Q22" s="110"/>
      <c r="R22" s="147">
        <v>1912925.65</v>
      </c>
      <c r="S22" s="148">
        <f t="shared" ref="S22" si="24">R22-P22</f>
        <v>-2.8689985629171133E-3</v>
      </c>
    </row>
    <row r="23" spans="1:23">
      <c r="A23" s="246" t="s">
        <v>184</v>
      </c>
      <c r="B23" s="158">
        <v>3.2500000000000001E-2</v>
      </c>
      <c r="C23" s="122">
        <v>0</v>
      </c>
      <c r="D23" s="122">
        <v>0</v>
      </c>
      <c r="E23" s="160">
        <f t="shared" si="16"/>
        <v>1912925.6528689985</v>
      </c>
      <c r="F23" s="168">
        <f>4457469+8599</f>
        <v>4466068</v>
      </c>
      <c r="G23" s="159">
        <v>6.9899999999999997E-3</v>
      </c>
      <c r="H23" s="172">
        <f t="shared" si="19"/>
        <v>31217.815319999998</v>
      </c>
      <c r="I23" s="169">
        <v>2827756</v>
      </c>
      <c r="J23" s="159">
        <v>1.2999999999999999E-4</v>
      </c>
      <c r="K23" s="172">
        <f t="shared" si="20"/>
        <v>367.60827999999998</v>
      </c>
      <c r="L23" s="169"/>
      <c r="M23" s="159"/>
      <c r="N23" s="172">
        <f t="shared" si="21"/>
        <v>0</v>
      </c>
      <c r="O23" s="167">
        <f t="shared" si="17"/>
        <v>5223.6099999999997</v>
      </c>
      <c r="P23" s="122">
        <f t="shared" si="18"/>
        <v>1949734.6864689987</v>
      </c>
      <c r="Q23" s="110"/>
      <c r="R23" s="147">
        <v>1949734.68</v>
      </c>
      <c r="S23" s="148">
        <f t="shared" ref="S23" si="25">R23-P23</f>
        <v>-6.468998733907938E-3</v>
      </c>
    </row>
    <row r="24" spans="1:23">
      <c r="A24" s="246" t="s">
        <v>185</v>
      </c>
      <c r="B24" s="158">
        <v>3.2500000000000001E-2</v>
      </c>
      <c r="C24" s="122">
        <v>0</v>
      </c>
      <c r="D24" s="122">
        <v>0</v>
      </c>
      <c r="E24" s="160">
        <f t="shared" si="16"/>
        <v>1949734.6864689987</v>
      </c>
      <c r="F24" s="168">
        <f>2740706+4893</f>
        <v>2745599</v>
      </c>
      <c r="G24" s="159">
        <v>6.9899999999999997E-3</v>
      </c>
      <c r="H24" s="172">
        <f t="shared" si="19"/>
        <v>19191.737010000001</v>
      </c>
      <c r="I24" s="169">
        <v>1934595</v>
      </c>
      <c r="J24" s="159">
        <v>1.2999999999999999E-4</v>
      </c>
      <c r="K24" s="172">
        <f t="shared" si="20"/>
        <v>251.49734999999998</v>
      </c>
      <c r="L24" s="169"/>
      <c r="M24" s="159"/>
      <c r="N24" s="172">
        <f t="shared" si="21"/>
        <v>0</v>
      </c>
      <c r="O24" s="167">
        <f>ROUND(((E24*(B24/12))+(H24+K24+N24)/2*(B24/12)),2)</f>
        <v>5306.86</v>
      </c>
      <c r="P24" s="122">
        <f t="shared" si="18"/>
        <v>1974484.7808289989</v>
      </c>
      <c r="Q24" s="110"/>
      <c r="R24" s="147">
        <v>1974484.77</v>
      </c>
      <c r="S24" s="148">
        <f t="shared" ref="S24" si="26">R24-P24</f>
        <v>-1.0828998871147633E-2</v>
      </c>
    </row>
    <row r="25" spans="1:23">
      <c r="A25" s="246" t="s">
        <v>186</v>
      </c>
      <c r="B25" s="158">
        <v>3.2500000000000001E-2</v>
      </c>
      <c r="C25" s="122">
        <v>0</v>
      </c>
      <c r="D25" s="122">
        <v>0</v>
      </c>
      <c r="E25" s="160">
        <f t="shared" si="16"/>
        <v>1974484.7808289989</v>
      </c>
      <c r="F25" s="168">
        <f>2045371+3096</f>
        <v>2048467</v>
      </c>
      <c r="G25" s="159">
        <v>6.9899999999999997E-3</v>
      </c>
      <c r="H25" s="172">
        <f t="shared" si="19"/>
        <v>14318.784329999999</v>
      </c>
      <c r="I25" s="169">
        <v>1663592</v>
      </c>
      <c r="J25" s="159">
        <v>1.2999999999999999E-4</v>
      </c>
      <c r="K25" s="172">
        <f t="shared" si="20"/>
        <v>216.26695999999998</v>
      </c>
      <c r="L25" s="169"/>
      <c r="M25" s="159"/>
      <c r="N25" s="172">
        <f t="shared" si="21"/>
        <v>0</v>
      </c>
      <c r="O25" s="167">
        <f t="shared" ref="O25:O30" si="27">ROUND(((E25*(B25/12))+(H25+K25+N25)/2*(B25/12)),2)</f>
        <v>5367.25</v>
      </c>
      <c r="P25" s="122">
        <f t="shared" si="18"/>
        <v>1994387.0821189987</v>
      </c>
      <c r="Q25" s="110"/>
      <c r="R25" s="147">
        <v>1994387.07</v>
      </c>
      <c r="S25" s="148">
        <f t="shared" ref="S25" si="28">R25-P25</f>
        <v>-1.2118998682126403E-2</v>
      </c>
    </row>
    <row r="26" spans="1:23">
      <c r="A26" s="246" t="s">
        <v>187</v>
      </c>
      <c r="B26" s="158">
        <v>3.2500000000000001E-2</v>
      </c>
      <c r="C26" s="122">
        <v>0</v>
      </c>
      <c r="D26" s="122">
        <v>0</v>
      </c>
      <c r="E26" s="160">
        <f t="shared" si="16"/>
        <v>1994387.0821189987</v>
      </c>
      <c r="F26" s="168">
        <f>2327290+3614</f>
        <v>2330904</v>
      </c>
      <c r="G26" s="159">
        <v>6.9899999999999997E-3</v>
      </c>
      <c r="H26" s="172">
        <f t="shared" si="19"/>
        <v>16293.018959999999</v>
      </c>
      <c r="I26" s="169">
        <v>1901151</v>
      </c>
      <c r="J26" s="159">
        <v>1.2999999999999999E-4</v>
      </c>
      <c r="K26" s="172">
        <f t="shared" si="20"/>
        <v>247.14962999999997</v>
      </c>
      <c r="L26" s="169"/>
      <c r="M26" s="159"/>
      <c r="N26" s="172">
        <f t="shared" si="21"/>
        <v>0</v>
      </c>
      <c r="O26" s="167">
        <f t="shared" si="27"/>
        <v>5423.86</v>
      </c>
      <c r="P26" s="122">
        <f t="shared" si="18"/>
        <v>2016351.110708999</v>
      </c>
      <c r="Q26" s="110"/>
      <c r="R26" s="147">
        <v>2016351.1</v>
      </c>
      <c r="S26" s="148">
        <f t="shared" ref="S26" si="29">R26-P26</f>
        <v>-1.0708998888731003E-2</v>
      </c>
      <c r="U26" s="261"/>
    </row>
    <row r="27" spans="1:23">
      <c r="A27" s="246" t="s">
        <v>188</v>
      </c>
      <c r="B27" s="158">
        <v>3.2500000000000001E-2</v>
      </c>
      <c r="C27" s="122">
        <v>0</v>
      </c>
      <c r="D27" s="122">
        <v>0</v>
      </c>
      <c r="E27" s="160">
        <f t="shared" si="16"/>
        <v>2016351.110708999</v>
      </c>
      <c r="F27" s="168">
        <f>3150157+5844</f>
        <v>3156001</v>
      </c>
      <c r="G27" s="159">
        <v>6.9899999999999997E-3</v>
      </c>
      <c r="H27" s="172">
        <f t="shared" si="19"/>
        <v>22060.44699</v>
      </c>
      <c r="I27" s="169">
        <v>2361344</v>
      </c>
      <c r="J27" s="159">
        <v>1.2999999999999999E-4</v>
      </c>
      <c r="K27" s="172">
        <f t="shared" si="20"/>
        <v>306.97471999999999</v>
      </c>
      <c r="L27" s="169"/>
      <c r="M27" s="159"/>
      <c r="N27" s="172">
        <f t="shared" si="21"/>
        <v>0</v>
      </c>
      <c r="O27" s="167">
        <f t="shared" si="27"/>
        <v>5491.24</v>
      </c>
      <c r="P27" s="122">
        <f t="shared" si="18"/>
        <v>2044209.7724189991</v>
      </c>
      <c r="Q27" s="110"/>
      <c r="R27" s="147">
        <v>2044209.76</v>
      </c>
      <c r="S27" s="148">
        <f t="shared" ref="S27" si="30">R27-P27</f>
        <v>-1.2418999103829265E-2</v>
      </c>
    </row>
    <row r="28" spans="1:23">
      <c r="A28" s="246" t="s">
        <v>189</v>
      </c>
      <c r="B28" s="158"/>
      <c r="C28" s="122">
        <v>0</v>
      </c>
      <c r="D28" s="122">
        <v>0</v>
      </c>
      <c r="E28" s="160">
        <f t="shared" si="16"/>
        <v>2044209.7724189991</v>
      </c>
      <c r="F28" s="168"/>
      <c r="G28" s="159"/>
      <c r="H28" s="172">
        <f t="shared" si="19"/>
        <v>0</v>
      </c>
      <c r="I28" s="169"/>
      <c r="J28" s="159"/>
      <c r="K28" s="172">
        <f t="shared" si="20"/>
        <v>0</v>
      </c>
      <c r="L28" s="169"/>
      <c r="M28" s="159"/>
      <c r="N28" s="172">
        <f t="shared" si="21"/>
        <v>0</v>
      </c>
      <c r="O28" s="167">
        <f t="shared" si="27"/>
        <v>0</v>
      </c>
      <c r="P28" s="122">
        <f t="shared" si="18"/>
        <v>2044209.7724189991</v>
      </c>
      <c r="Q28" s="110"/>
      <c r="R28" s="147"/>
      <c r="S28" s="148"/>
    </row>
    <row r="29" spans="1:23">
      <c r="A29" s="246" t="s">
        <v>190</v>
      </c>
      <c r="B29" s="158"/>
      <c r="C29" s="125"/>
      <c r="D29" s="125"/>
      <c r="E29" s="160">
        <f t="shared" si="16"/>
        <v>2044209.7724189991</v>
      </c>
      <c r="F29" s="168"/>
      <c r="G29" s="145" t="s">
        <v>132</v>
      </c>
      <c r="H29" s="164"/>
      <c r="I29" s="169"/>
      <c r="J29" s="145" t="s">
        <v>132</v>
      </c>
      <c r="K29" s="164"/>
      <c r="L29" s="169"/>
      <c r="M29" s="145" t="s">
        <v>132</v>
      </c>
      <c r="N29" s="164">
        <v>0</v>
      </c>
      <c r="O29" s="167">
        <f t="shared" si="27"/>
        <v>0</v>
      </c>
      <c r="P29" s="122">
        <f>E29+H29+K29+N29+O29</f>
        <v>2044209.7724189991</v>
      </c>
      <c r="Q29" s="110"/>
      <c r="R29" s="147"/>
      <c r="S29" s="148"/>
    </row>
    <row r="30" spans="1:23">
      <c r="A30" s="246" t="s">
        <v>191</v>
      </c>
      <c r="B30" s="158"/>
      <c r="C30" s="122">
        <v>0</v>
      </c>
      <c r="D30" s="122">
        <v>0</v>
      </c>
      <c r="E30" s="160">
        <f t="shared" si="16"/>
        <v>2044209.7724189991</v>
      </c>
      <c r="F30" s="168"/>
      <c r="G30" s="145" t="s">
        <v>132</v>
      </c>
      <c r="H30" s="164"/>
      <c r="I30" s="169"/>
      <c r="J30" s="145" t="s">
        <v>132</v>
      </c>
      <c r="K30" s="164"/>
      <c r="L30" s="169"/>
      <c r="M30" s="145" t="s">
        <v>132</v>
      </c>
      <c r="N30" s="164">
        <v>0</v>
      </c>
      <c r="O30" s="167">
        <f t="shared" si="27"/>
        <v>0</v>
      </c>
      <c r="P30" s="122">
        <f t="shared" ref="P30" si="31">E30+H30+K30+N30+O30</f>
        <v>2044209.7724189991</v>
      </c>
      <c r="Q30" s="110"/>
      <c r="R30" s="147"/>
      <c r="S30" s="148"/>
    </row>
    <row r="31" spans="1:23" s="185" customFormat="1" ht="15.75">
      <c r="A31" s="135"/>
      <c r="B31" s="135"/>
      <c r="C31" s="182"/>
      <c r="D31" s="131">
        <f>SUMIF($A$7:$A$30,$G34,D$7:D$30)</f>
        <v>0</v>
      </c>
      <c r="E31" s="131"/>
      <c r="F31" s="131"/>
      <c r="G31" s="131"/>
      <c r="H31" s="131">
        <f>SUMIF($A$7:$A$30,$G34,H$7:H$30)</f>
        <v>22060.44699</v>
      </c>
      <c r="I31" s="132"/>
      <c r="J31" s="182"/>
      <c r="K31" s="131">
        <f>SUMIF($A$7:$A$30,$G34,K$7:K$30)</f>
        <v>306.97471999999999</v>
      </c>
      <c r="L31" s="135"/>
      <c r="M31" s="184"/>
      <c r="N31" s="131">
        <f>SUMIF($A$7:$A$30,$G34,N$7:N$30)</f>
        <v>0</v>
      </c>
      <c r="O31" s="131">
        <f>SUMIF($A$7:$A$30,$G34,O$7:O$30)</f>
        <v>5491.24</v>
      </c>
      <c r="P31" s="132" t="s">
        <v>110</v>
      </c>
      <c r="Q31" s="188"/>
      <c r="R31" s="189"/>
      <c r="S31" s="189"/>
      <c r="T31" s="190"/>
      <c r="U31" s="186"/>
      <c r="V31" s="186"/>
      <c r="W31" s="186"/>
    </row>
    <row r="32" spans="1:23" s="185" customFormat="1" ht="15">
      <c r="A32" s="135"/>
      <c r="B32" s="135"/>
      <c r="C32" s="182"/>
      <c r="D32" s="183" t="s">
        <v>123</v>
      </c>
      <c r="E32" s="183"/>
      <c r="F32" s="183"/>
      <c r="G32" s="183"/>
      <c r="H32" s="183" t="s">
        <v>121</v>
      </c>
      <c r="I32" s="135"/>
      <c r="J32" s="182"/>
      <c r="K32" s="183" t="s">
        <v>121</v>
      </c>
      <c r="L32" s="183"/>
      <c r="M32" s="191"/>
      <c r="N32" s="183" t="s">
        <v>121</v>
      </c>
      <c r="O32" s="183" t="s">
        <v>122</v>
      </c>
      <c r="Q32" s="186"/>
      <c r="R32" s="186"/>
      <c r="S32" s="186"/>
      <c r="T32" s="186"/>
      <c r="U32" s="186"/>
      <c r="V32" s="186"/>
      <c r="W32" s="186"/>
    </row>
    <row r="33" spans="4:26" s="96" customFormat="1" ht="15">
      <c r="D33" s="119"/>
      <c r="E33" s="119"/>
      <c r="F33" s="120"/>
      <c r="G33" s="119"/>
      <c r="H33" s="119"/>
      <c r="I33" s="119"/>
      <c r="J33" s="119"/>
      <c r="K33" s="119"/>
      <c r="L33" s="119"/>
      <c r="M33" s="120"/>
      <c r="N33" s="119"/>
      <c r="O33" s="119"/>
      <c r="P33" s="136"/>
      <c r="T33" s="97"/>
      <c r="U33" s="97"/>
      <c r="V33" s="97"/>
      <c r="W33" s="97"/>
      <c r="X33" s="97"/>
      <c r="Y33" s="97"/>
      <c r="Z33" s="97"/>
    </row>
    <row r="34" spans="4:26" s="96" customFormat="1" ht="15">
      <c r="D34" s="119"/>
      <c r="E34" s="119"/>
      <c r="F34" s="120"/>
      <c r="G34" s="112">
        <v>202109</v>
      </c>
      <c r="H34" s="113" t="s">
        <v>111</v>
      </c>
      <c r="I34" s="114"/>
      <c r="J34" s="119"/>
      <c r="K34" s="119"/>
      <c r="L34" s="119"/>
      <c r="M34" s="120"/>
      <c r="N34" s="119"/>
      <c r="O34" s="119"/>
      <c r="P34" s="136"/>
    </row>
    <row r="35" spans="4:26" s="96" customFormat="1" ht="15">
      <c r="D35" s="119"/>
      <c r="E35" s="119"/>
      <c r="F35" s="120"/>
      <c r="G35" s="115" t="s">
        <v>112</v>
      </c>
      <c r="H35" s="115" t="s">
        <v>113</v>
      </c>
      <c r="I35" s="115" t="s">
        <v>114</v>
      </c>
      <c r="J35" s="119"/>
      <c r="K35" s="119"/>
      <c r="L35" s="119"/>
      <c r="M35" s="120"/>
      <c r="N35" s="119"/>
      <c r="O35" s="119"/>
      <c r="P35" s="136"/>
    </row>
    <row r="36" spans="4:26" s="96" customFormat="1" ht="15">
      <c r="D36" s="119"/>
      <c r="E36" s="119"/>
      <c r="F36" s="133" t="s">
        <v>34</v>
      </c>
      <c r="G36" s="116" t="s">
        <v>115</v>
      </c>
      <c r="H36" s="117"/>
      <c r="I36" s="118">
        <f>IF($O$31&gt;0,ABS($O$31),"")</f>
        <v>5491.24</v>
      </c>
      <c r="J36" s="135" t="s">
        <v>122</v>
      </c>
      <c r="K36" s="119"/>
      <c r="L36" s="119"/>
      <c r="M36" s="258"/>
      <c r="N36" s="110"/>
      <c r="O36" s="119"/>
      <c r="P36" s="136"/>
    </row>
    <row r="37" spans="4:26" s="96" customFormat="1" ht="15">
      <c r="D37" s="119"/>
      <c r="E37" s="119"/>
      <c r="F37" s="133" t="s">
        <v>119</v>
      </c>
      <c r="G37" s="116" t="s">
        <v>116</v>
      </c>
      <c r="H37" s="118" t="str">
        <f>IF($O$31&lt;0,ABS($O$31),"")</f>
        <v/>
      </c>
      <c r="I37" s="117"/>
      <c r="J37" s="135" t="s">
        <v>162</v>
      </c>
      <c r="K37" s="119"/>
      <c r="L37" s="265"/>
      <c r="M37" s="262"/>
      <c r="N37" s="266"/>
      <c r="O37" s="119"/>
      <c r="P37" s="136"/>
    </row>
    <row r="38" spans="4:26" s="96" customFormat="1" ht="15">
      <c r="D38" s="119"/>
      <c r="E38" s="119"/>
      <c r="F38" s="133" t="s">
        <v>6</v>
      </c>
      <c r="G38" s="116" t="s">
        <v>129</v>
      </c>
      <c r="H38" s="118">
        <f>IF(H31+$K$31+$N$31+O31&gt;0,ABS(H31+$K$31+$N$31+O31),"")</f>
        <v>27858.66171</v>
      </c>
      <c r="I38" s="118" t="str">
        <f>IF(H31+$K$31+$N$31+O31&lt;0,ABS(H31+$K$31+$N$31+O31),"")</f>
        <v/>
      </c>
      <c r="J38" s="135" t="s">
        <v>136</v>
      </c>
      <c r="K38" s="119"/>
      <c r="L38" s="267"/>
      <c r="M38" s="262"/>
      <c r="N38" s="266"/>
      <c r="O38" s="119"/>
      <c r="P38" s="136"/>
    </row>
    <row r="39" spans="4:26" s="96" customFormat="1" ht="15">
      <c r="D39" s="119"/>
      <c r="E39" s="119"/>
      <c r="F39" s="133" t="s">
        <v>137</v>
      </c>
      <c r="G39" s="116" t="s">
        <v>134</v>
      </c>
      <c r="H39" s="118" t="str">
        <f>IF(H31+$K$31+$N$31&lt;0,ABS(H31+$K$31+$N$31),"")</f>
        <v/>
      </c>
      <c r="I39" s="118">
        <f>IF(H31+$K$31+$N$31&gt;0,ABS(H31+$K$31+$N$31),"")</f>
        <v>22367.421709999999</v>
      </c>
      <c r="J39" s="135" t="s">
        <v>121</v>
      </c>
      <c r="K39" s="119"/>
      <c r="L39" s="267"/>
      <c r="M39" s="262"/>
      <c r="N39" s="266"/>
      <c r="O39" s="119"/>
      <c r="P39" s="136"/>
    </row>
    <row r="40" spans="4:26" s="96" customFormat="1" ht="15">
      <c r="D40" s="119"/>
      <c r="E40" s="119"/>
      <c r="F40" s="120"/>
      <c r="G40" s="119"/>
      <c r="H40" s="119"/>
      <c r="I40" s="119"/>
      <c r="J40" s="135"/>
      <c r="K40" s="119"/>
      <c r="L40" s="267"/>
      <c r="M40" s="262"/>
      <c r="N40" s="265"/>
      <c r="O40" s="119"/>
      <c r="P40" s="136"/>
    </row>
    <row r="41" spans="4:26" s="96" customFormat="1" ht="15">
      <c r="D41" s="119"/>
      <c r="E41" s="119"/>
      <c r="F41" s="120"/>
      <c r="G41" s="119"/>
      <c r="H41" s="119"/>
      <c r="I41" s="134">
        <f>SUM(H36:H39)-SUM(I36:I39)</f>
        <v>0</v>
      </c>
      <c r="J41" s="135" t="s">
        <v>126</v>
      </c>
      <c r="K41" s="119"/>
      <c r="L41" s="119"/>
      <c r="M41" s="120"/>
      <c r="N41" s="119"/>
      <c r="O41" s="119"/>
      <c r="P41" s="136"/>
    </row>
    <row r="42" spans="4:26" s="96" customFormat="1" ht="15">
      <c r="F42" s="97"/>
      <c r="J42" s="185"/>
      <c r="M42" s="97"/>
      <c r="P42" s="138"/>
    </row>
    <row r="43" spans="4:26" s="96" customFormat="1" ht="15.75">
      <c r="F43" s="97"/>
      <c r="G43" s="115" t="s">
        <v>135</v>
      </c>
      <c r="H43" s="150"/>
      <c r="I43" s="151"/>
      <c r="J43" s="187"/>
      <c r="M43" s="97"/>
      <c r="P43" s="138"/>
    </row>
    <row r="44" spans="4:26" s="96" customFormat="1" ht="15">
      <c r="F44" s="97"/>
      <c r="G44" s="152" t="s">
        <v>129</v>
      </c>
      <c r="H44" s="118" t="str">
        <f>IF($D$31&gt;0,ABS($D$31),"")</f>
        <v/>
      </c>
      <c r="I44" s="153"/>
      <c r="J44" s="135" t="s">
        <v>123</v>
      </c>
      <c r="M44" s="97"/>
      <c r="P44" s="138"/>
    </row>
    <row r="45" spans="4:26" s="96" customFormat="1" ht="15">
      <c r="F45" s="97"/>
      <c r="G45" s="152" t="s">
        <v>134</v>
      </c>
      <c r="H45" s="153"/>
      <c r="I45" s="118" t="str">
        <f>H44</f>
        <v/>
      </c>
      <c r="J45" s="154"/>
      <c r="M45" s="97"/>
      <c r="P45" s="138"/>
    </row>
    <row r="46" spans="4:26">
      <c r="Q46" s="119"/>
      <c r="S46" s="175"/>
      <c r="U46" s="120"/>
    </row>
    <row r="47" spans="4:26">
      <c r="P47" s="175"/>
      <c r="Q47" s="119"/>
      <c r="R47" s="120"/>
      <c r="S47" s="119"/>
    </row>
  </sheetData>
  <printOptions horizontalCentered="1"/>
  <pageMargins left="0.2" right="0.2" top="0.75" bottom="0.75" header="0.3" footer="0.3"/>
  <pageSetup scale="72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0E03BCE51D8FF4EBA5486821B766315" ma:contentTypeVersion="52" ma:contentTypeDescription="" ma:contentTypeScope="" ma:versionID="9bc2ace04e25791ae1b119c9b11897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2020-07-31T07:00:00+00:00</OpenedDate>
    <SignificantOrder xmlns="dc463f71-b30c-4ab2-9473-d307f9d35888">false</SignificantOrder>
    <Date1 xmlns="dc463f71-b30c-4ab2-9473-d307f9d35888">2021-10-29T07:00:00+00:00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200717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CE7F112-79DE-40C9-902B-B2B0A544EBBF}"/>
</file>

<file path=customXml/itemProps2.xml><?xml version="1.0" encoding="utf-8"?>
<ds:datastoreItem xmlns:ds="http://schemas.openxmlformats.org/officeDocument/2006/customXml" ds:itemID="{B97509D7-7345-45AA-B36A-F525FFBF5057}"/>
</file>

<file path=customXml/itemProps3.xml><?xml version="1.0" encoding="utf-8"?>
<ds:datastoreItem xmlns:ds="http://schemas.openxmlformats.org/officeDocument/2006/customXml" ds:itemID="{3426E31E-90B3-4699-BA3D-CFE0097B21CA}"/>
</file>

<file path=customXml/itemProps4.xml><?xml version="1.0" encoding="utf-8"?>
<ds:datastoreItem xmlns:ds="http://schemas.openxmlformats.org/officeDocument/2006/customXml" ds:itemID="{C342E0E1-8C64-4D58-ABB7-9EFB8A2714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17</vt:i4>
      </vt:variant>
    </vt:vector>
  </HeadingPairs>
  <TitlesOfParts>
    <vt:vector size="31" baseType="lpstr">
      <vt:lpstr>Jan OLD FORMAT</vt:lpstr>
      <vt:lpstr>Feb OLD FORMAT</vt:lpstr>
      <vt:lpstr>Mar OLD FORMAT</vt:lpstr>
      <vt:lpstr>Jan NEW FORMAT</vt:lpstr>
      <vt:lpstr>Feb NEW FORMAT</vt:lpstr>
      <vt:lpstr>Mar NEW FORMAT</vt:lpstr>
      <vt:lpstr>April</vt:lpstr>
      <vt:lpstr>May</vt:lpstr>
      <vt:lpstr>Jun</vt:lpstr>
      <vt:lpstr>Jul</vt:lpstr>
      <vt:lpstr>Aug</vt:lpstr>
      <vt:lpstr>Sep</vt:lpstr>
      <vt:lpstr>191010 WA DEF</vt:lpstr>
      <vt:lpstr>191000 WA Amort</vt:lpstr>
      <vt:lpstr>'191000 WA Amort'!Print_Area</vt:lpstr>
      <vt:lpstr>'191010 WA DEF'!Print_Area</vt:lpstr>
      <vt:lpstr>April!Print_Area</vt:lpstr>
      <vt:lpstr>Aug!Print_Area</vt:lpstr>
      <vt:lpstr>'Feb NEW FORMAT'!Print_Area</vt:lpstr>
      <vt:lpstr>'Feb OLD FORMAT'!Print_Area</vt:lpstr>
      <vt:lpstr>'Jan NEW FORMAT'!Print_Area</vt:lpstr>
      <vt:lpstr>'Jan OLD FORMAT'!Print_Area</vt:lpstr>
      <vt:lpstr>Jul!Print_Area</vt:lpstr>
      <vt:lpstr>Jun!Print_Area</vt:lpstr>
      <vt:lpstr>'Mar NEW FORMAT'!Print_Area</vt:lpstr>
      <vt:lpstr>'Mar OLD FORMAT'!Print_Area</vt:lpstr>
      <vt:lpstr>May!Print_Area</vt:lpstr>
      <vt:lpstr>Sep!Print_Area</vt:lpstr>
      <vt:lpstr>'Feb OLD FORMAT'!Print_Titles</vt:lpstr>
      <vt:lpstr>'Jan OLD FORMAT'!Print_Titles</vt:lpstr>
      <vt:lpstr>'Mar OLD FORMAT'!Print_Titles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Garbarino, Marcus</cp:lastModifiedBy>
  <cp:lastPrinted>2021-09-15T20:54:23Z</cp:lastPrinted>
  <dcterms:created xsi:type="dcterms:W3CDTF">2003-05-01T14:02:57Z</dcterms:created>
  <dcterms:modified xsi:type="dcterms:W3CDTF">2021-10-21T00:57:19Z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0x0101006E56B4D1795A2E4DB2F0B01679ED314A0010E03BCE51D8FF4EBA5486821B766315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