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omments8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20\10.2020\"/>
    </mc:Choice>
  </mc:AlternateContent>
  <xr:revisionPtr revIDLastSave="0" documentId="13_ncr:1_{75D6A2CF-C0FF-479A-879D-7262FEEEC04E}" xr6:coauthVersionLast="44" xr6:coauthVersionMax="44" xr10:uidLastSave="{00000000-0000-0000-0000-000000000000}"/>
  <bookViews>
    <workbookView xWindow="-108" yWindow="-108" windowWidth="23256" windowHeight="12576" tabRatio="772" activeTab="9" xr2:uid="{00000000-000D-0000-FFFF-FFFF00000000}"/>
  </bookViews>
  <sheets>
    <sheet name="Jan" sheetId="5" r:id="rId1"/>
    <sheet name="Feb" sheetId="48" r:id="rId2"/>
    <sheet name="Mar" sheetId="49" r:id="rId3"/>
    <sheet name="Apr" sheetId="50" r:id="rId4"/>
    <sheet name="May" sheetId="51" r:id="rId5"/>
    <sheet name="June" sheetId="52" r:id="rId6"/>
    <sheet name="July" sheetId="53" r:id="rId7"/>
    <sheet name="Aug" sheetId="54" r:id="rId8"/>
    <sheet name="Sept" sheetId="55" r:id="rId9"/>
    <sheet name="Oct" sheetId="56" r:id="rId10"/>
    <sheet name="191010 WA DEF" sheetId="39" r:id="rId11"/>
    <sheet name="191000 WA Amort" sheetId="41" r:id="rId12"/>
  </sheets>
  <externalReferences>
    <externalReference r:id="rId13"/>
    <externalReference r:id="rId14"/>
    <externalReference r:id="rId15"/>
  </externalReferences>
  <definedNames>
    <definedName name="Actual_Cost_Per_MMBtu" localSheetId="11">'[1]Oregon Gas Costs - 1999'!#REF!</definedName>
    <definedName name="Actual_Cost_Per_MMBtu" localSheetId="3">'[1]Oregon Gas Costs - 1999'!#REF!</definedName>
    <definedName name="Actual_Cost_Per_MMBtu" localSheetId="7">'[1]Oregon Gas Costs - 1999'!#REF!</definedName>
    <definedName name="Actual_Cost_Per_MMBtu" localSheetId="1">'[1]Oregon Gas Costs - 1999'!#REF!</definedName>
    <definedName name="Actual_Cost_Per_MMBtu" localSheetId="6">'[1]Oregon Gas Costs - 1999'!#REF!</definedName>
    <definedName name="Actual_Cost_Per_MMBtu" localSheetId="5">'[1]Oregon Gas Costs - 1999'!#REF!</definedName>
    <definedName name="Actual_Cost_Per_MMBtu" localSheetId="2">'[1]Oregon Gas Costs - 1999'!#REF!</definedName>
    <definedName name="Actual_Cost_Per_MMBtu" localSheetId="4">'[1]Oregon Gas Costs - 1999'!#REF!</definedName>
    <definedName name="Actual_Cost_Per_MMBtu" localSheetId="9">'[1]Oregon Gas Costs - 1999'!#REF!</definedName>
    <definedName name="Actual_Cost_Per_MMBtu" localSheetId="8">'[1]Oregon Gas Costs - 1999'!#REF!</definedName>
    <definedName name="Actual_Cost_Per_MMBtu">'[1]Oregon Gas Costs - 1999'!#REF!</definedName>
    <definedName name="Actual_Gas_Costs" localSheetId="11">#REF!</definedName>
    <definedName name="Actual_Gas_Costs" localSheetId="3">#REF!</definedName>
    <definedName name="Actual_Gas_Costs" localSheetId="7">#REF!</definedName>
    <definedName name="Actual_Gas_Costs" localSheetId="1">#REF!</definedName>
    <definedName name="Actual_Gas_Costs" localSheetId="6">#REF!</definedName>
    <definedName name="Actual_Gas_Costs" localSheetId="5">#REF!</definedName>
    <definedName name="Actual_Gas_Costs" localSheetId="2">#REF!</definedName>
    <definedName name="Actual_Gas_Costs" localSheetId="4">#REF!</definedName>
    <definedName name="Actual_Gas_Costs" localSheetId="9">#REF!</definedName>
    <definedName name="Actual_Gas_Costs" localSheetId="8">#REF!</definedName>
    <definedName name="Actual_Gas_Costs">#REF!</definedName>
    <definedName name="Actual_Volumes" localSheetId="11">#REF!</definedName>
    <definedName name="Actual_Volumes" localSheetId="3">#REF!</definedName>
    <definedName name="Actual_Volumes" localSheetId="7">#REF!</definedName>
    <definedName name="Actual_Volumes" localSheetId="1">#REF!</definedName>
    <definedName name="Actual_Volumes" localSheetId="6">#REF!</definedName>
    <definedName name="Actual_Volumes" localSheetId="5">#REF!</definedName>
    <definedName name="Actual_Volumes" localSheetId="2">#REF!</definedName>
    <definedName name="Actual_Volumes" localSheetId="4">#REF!</definedName>
    <definedName name="Actual_Volumes" localSheetId="9">#REF!</definedName>
    <definedName name="Actual_Volumes" localSheetId="8">#REF!</definedName>
    <definedName name="Actual_Volumes">#REF!</definedName>
    <definedName name="Analysis_of_Year_to_Date_Gas_Costs___WWP_System" localSheetId="11">#REF!</definedName>
    <definedName name="Analysis_of_Year_to_Date_Gas_Costs___WWP_System" localSheetId="3">#REF!</definedName>
    <definedName name="Analysis_of_Year_to_Date_Gas_Costs___WWP_System" localSheetId="7">#REF!</definedName>
    <definedName name="Analysis_of_Year_to_Date_Gas_Costs___WWP_System" localSheetId="1">#REF!</definedName>
    <definedName name="Analysis_of_Year_to_Date_Gas_Costs___WWP_System" localSheetId="6">#REF!</definedName>
    <definedName name="Analysis_of_Year_to_Date_Gas_Costs___WWP_System" localSheetId="5">#REF!</definedName>
    <definedName name="Analysis_of_Year_to_Date_Gas_Costs___WWP_System" localSheetId="2">#REF!</definedName>
    <definedName name="Analysis_of_Year_to_Date_Gas_Costs___WWP_System" localSheetId="4">#REF!</definedName>
    <definedName name="Analysis_of_Year_to_Date_Gas_Costs___WWP_System" localSheetId="9">#REF!</definedName>
    <definedName name="Analysis_of_Year_to_Date_Gas_Costs___WWP_System" localSheetId="8">#REF!</definedName>
    <definedName name="Analysis_of_Year_to_Date_Gas_Costs___WWP_System">#REF!</definedName>
    <definedName name="Balancing_Account_Summary" localSheetId="11">#REF!</definedName>
    <definedName name="Balancing_Account_Summary" localSheetId="3">#REF!</definedName>
    <definedName name="Balancing_Account_Summary" localSheetId="7">#REF!</definedName>
    <definedName name="Balancing_Account_Summary" localSheetId="1">#REF!</definedName>
    <definedName name="Balancing_Account_Summary" localSheetId="6">#REF!</definedName>
    <definedName name="Balancing_Account_Summary" localSheetId="5">#REF!</definedName>
    <definedName name="Balancing_Account_Summary" localSheetId="2">#REF!</definedName>
    <definedName name="Balancing_Account_Summary" localSheetId="4">#REF!</definedName>
    <definedName name="Balancing_Account_Summary" localSheetId="9">#REF!</definedName>
    <definedName name="Balancing_Account_Summary" localSheetId="8">#REF!</definedName>
    <definedName name="Balancing_Account_Summary">#REF!</definedName>
    <definedName name="Budgeted_Costs_Volumes" localSheetId="11">#REF!</definedName>
    <definedName name="Budgeted_Costs_Volumes" localSheetId="3">#REF!</definedName>
    <definedName name="Budgeted_Costs_Volumes" localSheetId="7">#REF!</definedName>
    <definedName name="Budgeted_Costs_Volumes" localSheetId="1">#REF!</definedName>
    <definedName name="Budgeted_Costs_Volumes" localSheetId="6">#REF!</definedName>
    <definedName name="Budgeted_Costs_Volumes" localSheetId="5">#REF!</definedName>
    <definedName name="Budgeted_Costs_Volumes" localSheetId="2">#REF!</definedName>
    <definedName name="Budgeted_Costs_Volumes" localSheetId="4">#REF!</definedName>
    <definedName name="Budgeted_Costs_Volumes" localSheetId="9">#REF!</definedName>
    <definedName name="Budgeted_Costs_Volumes" localSheetId="8">#REF!</definedName>
    <definedName name="Budgeted_Costs_Volumes">#REF!</definedName>
    <definedName name="Commodity_Costs" localSheetId="11">#REF!</definedName>
    <definedName name="Commodity_Costs" localSheetId="3">#REF!</definedName>
    <definedName name="Commodity_Costs" localSheetId="7">#REF!</definedName>
    <definedName name="Commodity_Costs" localSheetId="1">#REF!</definedName>
    <definedName name="Commodity_Costs" localSheetId="6">#REF!</definedName>
    <definedName name="Commodity_Costs" localSheetId="5">#REF!</definedName>
    <definedName name="Commodity_Costs" localSheetId="2">#REF!</definedName>
    <definedName name="Commodity_Costs" localSheetId="4">#REF!</definedName>
    <definedName name="Commodity_Costs" localSheetId="9">#REF!</definedName>
    <definedName name="Commodity_Costs" localSheetId="8">#REF!</definedName>
    <definedName name="Commodity_Costs">#REF!</definedName>
    <definedName name="_xlnm.Database" localSheetId="11">'[2]May 2000'!#REF!</definedName>
    <definedName name="_xlnm.Database" localSheetId="3">'[2]May 2000'!#REF!</definedName>
    <definedName name="_xlnm.Database" localSheetId="7">'[2]May 2000'!#REF!</definedName>
    <definedName name="_xlnm.Database" localSheetId="1">'[2]May 2000'!#REF!</definedName>
    <definedName name="_xlnm.Database" localSheetId="6">'[2]May 2000'!#REF!</definedName>
    <definedName name="_xlnm.Database" localSheetId="5">'[2]May 2000'!#REF!</definedName>
    <definedName name="_xlnm.Database" localSheetId="2">'[2]May 2000'!#REF!</definedName>
    <definedName name="_xlnm.Database" localSheetId="4">'[2]May 2000'!#REF!</definedName>
    <definedName name="_xlnm.Database" localSheetId="9">'[2]May 2000'!#REF!</definedName>
    <definedName name="_xlnm.Database" localSheetId="8">'[2]May 2000'!#REF!</definedName>
    <definedName name="_xlnm.Database">'[2]May 2000'!#REF!</definedName>
    <definedName name="EIA857_Report_Info" localSheetId="11">#REF!</definedName>
    <definedName name="EIA857_Report_Info" localSheetId="3">#REF!</definedName>
    <definedName name="EIA857_Report_Info" localSheetId="7">#REF!</definedName>
    <definedName name="EIA857_Report_Info" localSheetId="1">#REF!</definedName>
    <definedName name="EIA857_Report_Info" localSheetId="6">#REF!</definedName>
    <definedName name="EIA857_Report_Info" localSheetId="5">#REF!</definedName>
    <definedName name="EIA857_Report_Info" localSheetId="2">#REF!</definedName>
    <definedName name="EIA857_Report_Info" localSheetId="4">#REF!</definedName>
    <definedName name="EIA857_Report_Info" localSheetId="9">#REF!</definedName>
    <definedName name="EIA857_Report_Info" localSheetId="8">#REF!</definedName>
    <definedName name="EIA857_Report_Info">#REF!</definedName>
    <definedName name="InputMonth">[3]Start!$B$2</definedName>
    <definedName name="JanJunPretaxRate">[3]Start!$C$7</definedName>
    <definedName name="jj" localSheetId="11">'[1]Oregon Gas Costs - 1999'!#REF!</definedName>
    <definedName name="jj" localSheetId="3">'[1]Oregon Gas Costs - 1999'!#REF!</definedName>
    <definedName name="jj" localSheetId="7">'[1]Oregon Gas Costs - 1999'!#REF!</definedName>
    <definedName name="jj" localSheetId="1">'[1]Oregon Gas Costs - 1999'!#REF!</definedName>
    <definedName name="jj" localSheetId="6">'[1]Oregon Gas Costs - 1999'!#REF!</definedName>
    <definedName name="jj" localSheetId="5">'[1]Oregon Gas Costs - 1999'!#REF!</definedName>
    <definedName name="jj" localSheetId="2">'[1]Oregon Gas Costs - 1999'!#REF!</definedName>
    <definedName name="jj" localSheetId="4">'[1]Oregon Gas Costs - 1999'!#REF!</definedName>
    <definedName name="jj" localSheetId="9">'[1]Oregon Gas Costs - 1999'!#REF!</definedName>
    <definedName name="jj" localSheetId="8">'[1]Oregon Gas Costs - 1999'!#REF!</definedName>
    <definedName name="jj">'[1]Oregon Gas Costs - 1999'!#REF!</definedName>
    <definedName name="Journal_Entry_Dollars" localSheetId="11">#REF!</definedName>
    <definedName name="Journal_Entry_Dollars" localSheetId="3">#REF!</definedName>
    <definedName name="Journal_Entry_Dollars" localSheetId="7">#REF!</definedName>
    <definedName name="Journal_Entry_Dollars" localSheetId="1">#REF!</definedName>
    <definedName name="Journal_Entry_Dollars" localSheetId="6">#REF!</definedName>
    <definedName name="Journal_Entry_Dollars" localSheetId="5">#REF!</definedName>
    <definedName name="Journal_Entry_Dollars" localSheetId="2">#REF!</definedName>
    <definedName name="Journal_Entry_Dollars" localSheetId="4">#REF!</definedName>
    <definedName name="Journal_Entry_Dollars" localSheetId="9">#REF!</definedName>
    <definedName name="Journal_Entry_Dollars" localSheetId="8">#REF!</definedName>
    <definedName name="Journal_Entry_Dollars">#REF!</definedName>
    <definedName name="Journal_Entry_Volumes" localSheetId="11">#REF!</definedName>
    <definedName name="Journal_Entry_Volumes" localSheetId="3">#REF!</definedName>
    <definedName name="Journal_Entry_Volumes" localSheetId="7">#REF!</definedName>
    <definedName name="Journal_Entry_Volumes" localSheetId="1">#REF!</definedName>
    <definedName name="Journal_Entry_Volumes" localSheetId="6">#REF!</definedName>
    <definedName name="Journal_Entry_Volumes" localSheetId="5">#REF!</definedName>
    <definedName name="Journal_Entry_Volumes" localSheetId="2">#REF!</definedName>
    <definedName name="Journal_Entry_Volumes" localSheetId="4">#REF!</definedName>
    <definedName name="Journal_Entry_Volumes" localSheetId="9">#REF!</definedName>
    <definedName name="Journal_Entry_Volumes" localSheetId="8">#REF!</definedName>
    <definedName name="Journal_Entry_Volumes">#REF!</definedName>
    <definedName name="JournalEntryPrintArea" localSheetId="11">#REF!</definedName>
    <definedName name="JournalEntryPrintArea" localSheetId="3">#REF!</definedName>
    <definedName name="JournalEntryPrintArea" localSheetId="7">#REF!</definedName>
    <definedName name="JournalEntryPrintArea" localSheetId="1">#REF!</definedName>
    <definedName name="JournalEntryPrintArea" localSheetId="6">#REF!</definedName>
    <definedName name="JournalEntryPrintArea" localSheetId="5">#REF!</definedName>
    <definedName name="JournalEntryPrintArea" localSheetId="2">#REF!</definedName>
    <definedName name="JournalEntryPrintArea" localSheetId="4">#REF!</definedName>
    <definedName name="JournalEntryPrintArea" localSheetId="9">#REF!</definedName>
    <definedName name="JournalEntryPrintArea" localSheetId="8">#REF!</definedName>
    <definedName name="JournalEntryPrintArea">#REF!</definedName>
    <definedName name="JulDecPretaxRate">[3]Start!$C$8</definedName>
    <definedName name="Notes" localSheetId="11">#REF!</definedName>
    <definedName name="Notes" localSheetId="3">#REF!</definedName>
    <definedName name="Notes" localSheetId="7">#REF!</definedName>
    <definedName name="Notes" localSheetId="1">#REF!</definedName>
    <definedName name="Notes" localSheetId="6">#REF!</definedName>
    <definedName name="Notes" localSheetId="5">#REF!</definedName>
    <definedName name="Notes" localSheetId="2">#REF!</definedName>
    <definedName name="Notes" localSheetId="4">#REF!</definedName>
    <definedName name="Notes" localSheetId="9">#REF!</definedName>
    <definedName name="Notes" localSheetId="8">#REF!</definedName>
    <definedName name="Notes">#REF!</definedName>
    <definedName name="_xlnm.Print_Area" localSheetId="11">'191000 WA Amort'!$A$1:$S$42</definedName>
    <definedName name="_xlnm.Print_Area" localSheetId="10">'191010 WA DEF'!$A$1:$L$42</definedName>
    <definedName name="_xlnm.Print_Area" localSheetId="3">Apr!$A$1:$M$63</definedName>
    <definedName name="_xlnm.Print_Area" localSheetId="7">Aug!$A$1:$M$63</definedName>
    <definedName name="_xlnm.Print_Area" localSheetId="1">Feb!$A$1:$M$68</definedName>
    <definedName name="_xlnm.Print_Area" localSheetId="0">Jan!$A$1:$M$68</definedName>
    <definedName name="_xlnm.Print_Area" localSheetId="6">July!$A$1:$M$63</definedName>
    <definedName name="_xlnm.Print_Area" localSheetId="5">June!$A$1:$M$63</definedName>
    <definedName name="_xlnm.Print_Area" localSheetId="2">Mar!$A$1:$M$63</definedName>
    <definedName name="_xlnm.Print_Area" localSheetId="4">May!$A$1:$M$63</definedName>
    <definedName name="_xlnm.Print_Area" localSheetId="9">Oct!$A$1:$M$63</definedName>
    <definedName name="_xlnm.Print_Area" localSheetId="8">Sept!$A$1:$M$63</definedName>
    <definedName name="_xlnm.Print_Titles" localSheetId="3">Apr!$1:$2</definedName>
    <definedName name="_xlnm.Print_Titles" localSheetId="7">Aug!$1:$2</definedName>
    <definedName name="_xlnm.Print_Titles" localSheetId="1">Feb!$1:$2</definedName>
    <definedName name="_xlnm.Print_Titles" localSheetId="0">Jan!$1:$2</definedName>
    <definedName name="_xlnm.Print_Titles" localSheetId="6">July!$1:$2</definedName>
    <definedName name="_xlnm.Print_Titles" localSheetId="5">June!$1:$2</definedName>
    <definedName name="_xlnm.Print_Titles" localSheetId="2">Mar!$1:$2</definedName>
    <definedName name="_xlnm.Print_Titles" localSheetId="4">May!$1:$2</definedName>
    <definedName name="_xlnm.Print_Titles" localSheetId="9">Oct!$1:$2</definedName>
    <definedName name="_xlnm.Print_Titles" localSheetId="8">Sept!$1:$2</definedName>
    <definedName name="SPREADSHEET_DOCUMENTATION" localSheetId="11">#REF!</definedName>
    <definedName name="SPREADSHEET_DOCUMENTATION" localSheetId="3">#REF!</definedName>
    <definedName name="SPREADSHEET_DOCUMENTATION" localSheetId="7">#REF!</definedName>
    <definedName name="SPREADSHEET_DOCUMENTATION" localSheetId="1">#REF!</definedName>
    <definedName name="SPREADSHEET_DOCUMENTATION" localSheetId="6">#REF!</definedName>
    <definedName name="SPREADSHEET_DOCUMENTATION" localSheetId="5">#REF!</definedName>
    <definedName name="SPREADSHEET_DOCUMENTATION" localSheetId="2">#REF!</definedName>
    <definedName name="SPREADSHEET_DOCUMENTATION" localSheetId="4">#REF!</definedName>
    <definedName name="SPREADSHEET_DOCUMENTATION" localSheetId="9">#REF!</definedName>
    <definedName name="SPREADSHEET_DOCUMENTATION" localSheetId="8">#REF!</definedName>
    <definedName name="SPREADSHEET_DOCUMENTATION">#REF!</definedName>
    <definedName name="Summary_of_Off_system_Sales" localSheetId="11">'[1]Oregon Gas Costs - 1999'!#REF!</definedName>
    <definedName name="Summary_of_Off_system_Sales" localSheetId="3">'[1]Oregon Gas Costs - 1999'!#REF!</definedName>
    <definedName name="Summary_of_Off_system_Sales" localSheetId="7">'[1]Oregon Gas Costs - 1999'!#REF!</definedName>
    <definedName name="Summary_of_Off_system_Sales" localSheetId="1">'[1]Oregon Gas Costs - 1999'!#REF!</definedName>
    <definedName name="Summary_of_Off_system_Sales" localSheetId="6">'[1]Oregon Gas Costs - 1999'!#REF!</definedName>
    <definedName name="Summary_of_Off_system_Sales" localSheetId="5">'[1]Oregon Gas Costs - 1999'!#REF!</definedName>
    <definedName name="Summary_of_Off_system_Sales" localSheetId="2">'[1]Oregon Gas Costs - 1999'!#REF!</definedName>
    <definedName name="Summary_of_Off_system_Sales" localSheetId="4">'[1]Oregon Gas Costs - 1999'!#REF!</definedName>
    <definedName name="Summary_of_Off_system_Sales" localSheetId="9">'[1]Oregon Gas Costs - 1999'!#REF!</definedName>
    <definedName name="Summary_of_Off_system_Sales" localSheetId="8">'[1]Oregon Gas Costs - 1999'!#REF!</definedName>
    <definedName name="Summary_of_Off_system_Sales">'[1]Oregon Gas Costs - 1999'!#REF!</definedName>
    <definedName name="Transportation_Costs" localSheetId="11">#REF!</definedName>
    <definedName name="Transportation_Costs" localSheetId="3">#REF!</definedName>
    <definedName name="Transportation_Costs" localSheetId="7">#REF!</definedName>
    <definedName name="Transportation_Costs" localSheetId="1">#REF!</definedName>
    <definedName name="Transportation_Costs" localSheetId="6">#REF!</definedName>
    <definedName name="Transportation_Costs" localSheetId="5">#REF!</definedName>
    <definedName name="Transportation_Costs" localSheetId="2">#REF!</definedName>
    <definedName name="Transportation_Costs" localSheetId="4">#REF!</definedName>
    <definedName name="Transportation_Costs" localSheetId="9">#REF!</definedName>
    <definedName name="Transportation_Costs" localSheetId="8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2" i="56" l="1"/>
  <c r="C32" i="55"/>
  <c r="H7" i="56"/>
  <c r="J7" i="56"/>
  <c r="J14" i="56"/>
  <c r="K51" i="56" s="1"/>
  <c r="K54" i="56" s="1"/>
  <c r="I55" i="56"/>
  <c r="C50" i="56" l="1"/>
  <c r="C42" i="56"/>
  <c r="C15" i="56"/>
  <c r="C12" i="56"/>
  <c r="C18" i="56"/>
  <c r="C6" i="56"/>
  <c r="C21" i="56"/>
  <c r="C9" i="56"/>
  <c r="F29" i="41" l="1"/>
  <c r="C49" i="56"/>
  <c r="C1483" i="56" l="1"/>
  <c r="G42" i="56"/>
  <c r="G44" i="56" s="1"/>
  <c r="C41" i="56"/>
  <c r="K40" i="56"/>
  <c r="K39" i="56"/>
  <c r="L37" i="56"/>
  <c r="L38" i="56" s="1"/>
  <c r="H37" i="56"/>
  <c r="I37" i="56" s="1"/>
  <c r="M36" i="56"/>
  <c r="I36" i="56"/>
  <c r="G32" i="56"/>
  <c r="G34" i="56" s="1"/>
  <c r="I31" i="56"/>
  <c r="C31" i="56"/>
  <c r="C48" i="56" s="1"/>
  <c r="I30" i="56"/>
  <c r="I29" i="56"/>
  <c r="K28" i="56"/>
  <c r="K30" i="56" s="1"/>
  <c r="I28" i="56"/>
  <c r="M27" i="56"/>
  <c r="I27" i="56"/>
  <c r="C27" i="56"/>
  <c r="M26" i="56"/>
  <c r="I26" i="56"/>
  <c r="I25" i="56"/>
  <c r="L24" i="56"/>
  <c r="L25" i="56" s="1"/>
  <c r="M25" i="56" s="1"/>
  <c r="I24" i="56"/>
  <c r="M23" i="56"/>
  <c r="I23" i="56"/>
  <c r="C22" i="56"/>
  <c r="C20" i="56"/>
  <c r="C17" i="56"/>
  <c r="C14" i="56"/>
  <c r="H11" i="56"/>
  <c r="L11" i="56" s="1"/>
  <c r="C11" i="56"/>
  <c r="H10" i="56"/>
  <c r="K10" i="56" s="1"/>
  <c r="C7" i="56"/>
  <c r="F1" i="56"/>
  <c r="M24" i="56" l="1"/>
  <c r="H38" i="56"/>
  <c r="I38" i="56" s="1"/>
  <c r="I32" i="56"/>
  <c r="I33" i="56" s="1"/>
  <c r="C30" i="56"/>
  <c r="C32" i="56" s="1"/>
  <c r="L39" i="56"/>
  <c r="L40" i="56" s="1"/>
  <c r="L41" i="56" s="1"/>
  <c r="M38" i="56"/>
  <c r="M39" i="56"/>
  <c r="M28" i="56"/>
  <c r="C52" i="56"/>
  <c r="G46" i="56"/>
  <c r="K43" i="56"/>
  <c r="K45" i="56" s="1"/>
  <c r="H39" i="56"/>
  <c r="M37" i="56"/>
  <c r="I62" i="55"/>
  <c r="H62" i="55"/>
  <c r="I52" i="56" l="1"/>
  <c r="I7" i="56"/>
  <c r="I14" i="56" s="1"/>
  <c r="I51" i="56" s="1"/>
  <c r="H40" i="56"/>
  <c r="I39" i="56"/>
  <c r="M29" i="56"/>
  <c r="K5" i="56"/>
  <c r="L5" i="56" s="1"/>
  <c r="C56" i="56"/>
  <c r="C58" i="56" s="1"/>
  <c r="C61" i="56" s="1"/>
  <c r="H9" i="56"/>
  <c r="M41" i="56"/>
  <c r="L42" i="56"/>
  <c r="M42" i="56" s="1"/>
  <c r="M40" i="56"/>
  <c r="M43" i="56" s="1"/>
  <c r="C50" i="55"/>
  <c r="C42" i="55"/>
  <c r="C15" i="55"/>
  <c r="C12" i="55"/>
  <c r="C18" i="55"/>
  <c r="C6" i="55"/>
  <c r="C21" i="55"/>
  <c r="C9" i="55"/>
  <c r="I54" i="56" l="1"/>
  <c r="G29" i="39" s="1"/>
  <c r="J15" i="56"/>
  <c r="L9" i="56"/>
  <c r="L12" i="56" s="1"/>
  <c r="H12" i="56"/>
  <c r="K9" i="56"/>
  <c r="K12" i="56" s="1"/>
  <c r="J52" i="56"/>
  <c r="M44" i="56"/>
  <c r="I40" i="56"/>
  <c r="H41" i="56"/>
  <c r="F28" i="41"/>
  <c r="C49" i="55"/>
  <c r="C1483" i="55"/>
  <c r="G42" i="55"/>
  <c r="G44" i="55" s="1"/>
  <c r="C41" i="55"/>
  <c r="K40" i="55"/>
  <c r="K39" i="55"/>
  <c r="L37" i="55"/>
  <c r="M37" i="55" s="1"/>
  <c r="H37" i="55"/>
  <c r="H38" i="55" s="1"/>
  <c r="I38" i="55" s="1"/>
  <c r="M36" i="55"/>
  <c r="I36" i="55"/>
  <c r="G32" i="55"/>
  <c r="G34" i="55" s="1"/>
  <c r="I31" i="55"/>
  <c r="C31" i="55"/>
  <c r="C48" i="55" s="1"/>
  <c r="I30" i="55"/>
  <c r="I29" i="55"/>
  <c r="K28" i="55"/>
  <c r="K30" i="55" s="1"/>
  <c r="I28" i="55"/>
  <c r="M27" i="55"/>
  <c r="I27" i="55"/>
  <c r="C27" i="55"/>
  <c r="M26" i="55"/>
  <c r="I26" i="55"/>
  <c r="I25" i="55"/>
  <c r="L24" i="55"/>
  <c r="M24" i="55" s="1"/>
  <c r="I24" i="55"/>
  <c r="M23" i="55"/>
  <c r="I23" i="55"/>
  <c r="C22" i="55"/>
  <c r="C20" i="55"/>
  <c r="C17" i="55"/>
  <c r="C14" i="55"/>
  <c r="H11" i="55"/>
  <c r="L11" i="55" s="1"/>
  <c r="C11" i="55"/>
  <c r="H10" i="55"/>
  <c r="K10" i="55" s="1"/>
  <c r="C7" i="55"/>
  <c r="F1" i="55"/>
  <c r="J51" i="56" l="1"/>
  <c r="J54" i="56" s="1"/>
  <c r="L14" i="56"/>
  <c r="I41" i="56"/>
  <c r="H42" i="56"/>
  <c r="H14" i="56"/>
  <c r="H15" i="56" s="1"/>
  <c r="H51" i="56"/>
  <c r="K14" i="56"/>
  <c r="I37" i="55"/>
  <c r="L38" i="55"/>
  <c r="L39" i="55" s="1"/>
  <c r="K43" i="55"/>
  <c r="K45" i="55" s="1"/>
  <c r="K5" i="55"/>
  <c r="L5" i="55" s="1"/>
  <c r="G46" i="55"/>
  <c r="I32" i="55"/>
  <c r="I52" i="55" s="1"/>
  <c r="C52" i="55"/>
  <c r="C56" i="55" s="1"/>
  <c r="C30" i="55"/>
  <c r="H7" i="55" s="1"/>
  <c r="L40" i="55"/>
  <c r="M39" i="55"/>
  <c r="M38" i="55"/>
  <c r="L25" i="55"/>
  <c r="M25" i="55" s="1"/>
  <c r="M28" i="55" s="1"/>
  <c r="H39" i="55"/>
  <c r="L15" i="56" l="1"/>
  <c r="K55" i="56"/>
  <c r="L51" i="56"/>
  <c r="I42" i="56"/>
  <c r="H43" i="56"/>
  <c r="I43" i="56" s="1"/>
  <c r="I44" i="56" s="1"/>
  <c r="I33" i="55"/>
  <c r="H9" i="55"/>
  <c r="K9" i="55" s="1"/>
  <c r="K12" i="55" s="1"/>
  <c r="I39" i="55"/>
  <c r="H40" i="55"/>
  <c r="M40" i="55"/>
  <c r="L41" i="55"/>
  <c r="C58" i="55"/>
  <c r="C61" i="55" s="1"/>
  <c r="J7" i="55"/>
  <c r="I7" i="55"/>
  <c r="I14" i="55" s="1"/>
  <c r="I51" i="55" s="1"/>
  <c r="I54" i="55" s="1"/>
  <c r="G28" i="39" s="1"/>
  <c r="K52" i="55"/>
  <c r="M29" i="55"/>
  <c r="G17" i="39"/>
  <c r="G16" i="39"/>
  <c r="G15" i="39"/>
  <c r="G14" i="39"/>
  <c r="G13" i="39"/>
  <c r="G12" i="39"/>
  <c r="I45" i="56" l="1"/>
  <c r="H52" i="56"/>
  <c r="H12" i="55"/>
  <c r="H14" i="55" s="1"/>
  <c r="H15" i="55" s="1"/>
  <c r="L9" i="55"/>
  <c r="L12" i="55" s="1"/>
  <c r="J51" i="55" s="1"/>
  <c r="L42" i="55"/>
  <c r="M42" i="55" s="1"/>
  <c r="M41" i="55"/>
  <c r="M43" i="55" s="1"/>
  <c r="J15" i="55"/>
  <c r="J14" i="55"/>
  <c r="K51" i="55" s="1"/>
  <c r="K54" i="55" s="1"/>
  <c r="H51" i="55"/>
  <c r="K14" i="55"/>
  <c r="H41" i="55"/>
  <c r="I40" i="55"/>
  <c r="C50" i="54"/>
  <c r="C42" i="54"/>
  <c r="C15" i="54"/>
  <c r="C12" i="54"/>
  <c r="C18" i="54"/>
  <c r="C6" i="54"/>
  <c r="C21" i="54"/>
  <c r="L52" i="56" l="1"/>
  <c r="H54" i="56"/>
  <c r="F29" i="39" s="1"/>
  <c r="L14" i="55"/>
  <c r="L15" i="55" s="1"/>
  <c r="L51" i="55"/>
  <c r="M44" i="55"/>
  <c r="J52" i="55"/>
  <c r="J54" i="55" s="1"/>
  <c r="H42" i="55"/>
  <c r="I41" i="55"/>
  <c r="F27" i="41"/>
  <c r="C49" i="54"/>
  <c r="L54" i="56" l="1"/>
  <c r="K55" i="55"/>
  <c r="H43" i="55"/>
  <c r="I43" i="55" s="1"/>
  <c r="I42" i="55"/>
  <c r="I44" i="55" s="1"/>
  <c r="C7" i="54"/>
  <c r="C1483" i="54"/>
  <c r="G42" i="54"/>
  <c r="G44" i="54" s="1"/>
  <c r="C41" i="54"/>
  <c r="K40" i="54"/>
  <c r="K39" i="54"/>
  <c r="K43" i="54" s="1"/>
  <c r="K45" i="54" s="1"/>
  <c r="L37" i="54"/>
  <c r="L38" i="54" s="1"/>
  <c r="H37" i="54"/>
  <c r="H38" i="54" s="1"/>
  <c r="H39" i="54" s="1"/>
  <c r="M36" i="54"/>
  <c r="I36" i="54"/>
  <c r="G32" i="54"/>
  <c r="G34" i="54" s="1"/>
  <c r="I31" i="54"/>
  <c r="C31" i="54"/>
  <c r="C48" i="54" s="1"/>
  <c r="I30" i="54"/>
  <c r="I29" i="54"/>
  <c r="K28" i="54"/>
  <c r="K30" i="54" s="1"/>
  <c r="I28" i="54"/>
  <c r="M27" i="54"/>
  <c r="I27" i="54"/>
  <c r="C27" i="54"/>
  <c r="M26" i="54"/>
  <c r="I26" i="54"/>
  <c r="I25" i="54"/>
  <c r="L24" i="54"/>
  <c r="L25" i="54" s="1"/>
  <c r="M25" i="54" s="1"/>
  <c r="I24" i="54"/>
  <c r="M23" i="54"/>
  <c r="I23" i="54"/>
  <c r="I32" i="54" s="1"/>
  <c r="C22" i="54"/>
  <c r="C20" i="54"/>
  <c r="C17" i="54"/>
  <c r="C14" i="54"/>
  <c r="H11" i="54"/>
  <c r="L11" i="54" s="1"/>
  <c r="C11" i="54"/>
  <c r="H10" i="54"/>
  <c r="K10" i="54" s="1"/>
  <c r="F1" i="54"/>
  <c r="I45" i="55" l="1"/>
  <c r="H52" i="55"/>
  <c r="K5" i="54"/>
  <c r="L5" i="54" s="1"/>
  <c r="M24" i="54"/>
  <c r="M28" i="54" s="1"/>
  <c r="I37" i="54"/>
  <c r="C52" i="54"/>
  <c r="H9" i="54" s="1"/>
  <c r="C30" i="54"/>
  <c r="C32" i="54" s="1"/>
  <c r="H7" i="54" s="1"/>
  <c r="I52" i="54"/>
  <c r="I33" i="54"/>
  <c r="I39" i="54"/>
  <c r="H40" i="54"/>
  <c r="M38" i="54"/>
  <c r="L39" i="54"/>
  <c r="L40" i="54" s="1"/>
  <c r="M37" i="54"/>
  <c r="M39" i="54"/>
  <c r="I38" i="54"/>
  <c r="G46" i="54"/>
  <c r="F26" i="41"/>
  <c r="C50" i="53"/>
  <c r="C42" i="53"/>
  <c r="C15" i="53"/>
  <c r="C12" i="53"/>
  <c r="C18" i="53"/>
  <c r="C6" i="53"/>
  <c r="C21" i="53"/>
  <c r="L52" i="55" l="1"/>
  <c r="H54" i="55"/>
  <c r="F28" i="39" s="1"/>
  <c r="M29" i="54"/>
  <c r="K52" i="54"/>
  <c r="C56" i="54"/>
  <c r="C58" i="54" s="1"/>
  <c r="C61" i="54" s="1"/>
  <c r="J7" i="54"/>
  <c r="I7" i="54"/>
  <c r="I14" i="54" s="1"/>
  <c r="I51" i="54" s="1"/>
  <c r="I54" i="54" s="1"/>
  <c r="G27" i="39" s="1"/>
  <c r="I40" i="54"/>
  <c r="H41" i="54"/>
  <c r="L41" i="54"/>
  <c r="M40" i="54"/>
  <c r="H12" i="54"/>
  <c r="K9" i="54"/>
  <c r="K12" i="54" s="1"/>
  <c r="L9" i="54"/>
  <c r="L12" i="54" s="1"/>
  <c r="C1483" i="53"/>
  <c r="G42" i="53"/>
  <c r="G44" i="53" s="1"/>
  <c r="C41" i="53"/>
  <c r="K40" i="53"/>
  <c r="K39" i="53"/>
  <c r="K43" i="53" s="1"/>
  <c r="K45" i="53" s="1"/>
  <c r="L37" i="53"/>
  <c r="M37" i="53" s="1"/>
  <c r="H37" i="53"/>
  <c r="I37" i="53" s="1"/>
  <c r="M36" i="53"/>
  <c r="I36" i="53"/>
  <c r="G32" i="53"/>
  <c r="G34" i="53" s="1"/>
  <c r="I31" i="53"/>
  <c r="C31" i="53"/>
  <c r="C48" i="53" s="1"/>
  <c r="I30" i="53"/>
  <c r="I29" i="53"/>
  <c r="K28" i="53"/>
  <c r="K30" i="53" s="1"/>
  <c r="I28" i="53"/>
  <c r="M27" i="53"/>
  <c r="I27" i="53"/>
  <c r="C27" i="53"/>
  <c r="M26" i="53"/>
  <c r="I26" i="53"/>
  <c r="I25" i="53"/>
  <c r="L24" i="53"/>
  <c r="L25" i="53" s="1"/>
  <c r="M25" i="53" s="1"/>
  <c r="I24" i="53"/>
  <c r="M23" i="53"/>
  <c r="I23" i="53"/>
  <c r="C22" i="53"/>
  <c r="C20" i="53"/>
  <c r="C17" i="53"/>
  <c r="C14" i="53"/>
  <c r="H11" i="53"/>
  <c r="L11" i="53" s="1"/>
  <c r="C11" i="53"/>
  <c r="H10" i="53"/>
  <c r="K10" i="53" s="1"/>
  <c r="C7" i="53"/>
  <c r="F1" i="53"/>
  <c r="I55" i="55" l="1"/>
  <c r="H67" i="55" s="1"/>
  <c r="L54" i="55"/>
  <c r="M41" i="54"/>
  <c r="L42" i="54"/>
  <c r="M42" i="54" s="1"/>
  <c r="L14" i="54"/>
  <c r="J51" i="54"/>
  <c r="H14" i="54"/>
  <c r="H15" i="54" s="1"/>
  <c r="H42" i="54"/>
  <c r="I41" i="54"/>
  <c r="K14" i="54"/>
  <c r="H51" i="54"/>
  <c r="J14" i="54"/>
  <c r="K51" i="54" s="1"/>
  <c r="K54" i="54" s="1"/>
  <c r="J15" i="54"/>
  <c r="I32" i="53"/>
  <c r="I52" i="53" s="1"/>
  <c r="M24" i="53"/>
  <c r="H38" i="53"/>
  <c r="H39" i="53" s="1"/>
  <c r="I39" i="53"/>
  <c r="H40" i="53"/>
  <c r="M28" i="53"/>
  <c r="C52" i="53"/>
  <c r="C30" i="53"/>
  <c r="C32" i="53" s="1"/>
  <c r="H7" i="53" s="1"/>
  <c r="K5" i="53"/>
  <c r="L5" i="53" s="1"/>
  <c r="G46" i="53"/>
  <c r="I38" i="53"/>
  <c r="L38" i="53"/>
  <c r="F25" i="41"/>
  <c r="L15" i="54" l="1"/>
  <c r="I42" i="54"/>
  <c r="H43" i="54"/>
  <c r="I43" i="54" s="1"/>
  <c r="M43" i="54"/>
  <c r="L51" i="54"/>
  <c r="I33" i="53"/>
  <c r="J7" i="53"/>
  <c r="I7" i="53"/>
  <c r="I14" i="53" s="1"/>
  <c r="I51" i="53" s="1"/>
  <c r="I54" i="53" s="1"/>
  <c r="G26" i="39" s="1"/>
  <c r="H9" i="53"/>
  <c r="C56" i="53"/>
  <c r="C58" i="53" s="1"/>
  <c r="C61" i="53" s="1"/>
  <c r="L39" i="53"/>
  <c r="M38" i="53"/>
  <c r="K52" i="53"/>
  <c r="M29" i="53"/>
  <c r="H41" i="53"/>
  <c r="I40" i="53"/>
  <c r="C49" i="52"/>
  <c r="C50" i="52"/>
  <c r="C42" i="52"/>
  <c r="C21" i="52"/>
  <c r="C15" i="52"/>
  <c r="C12" i="52"/>
  <c r="C18" i="52"/>
  <c r="C6" i="52"/>
  <c r="I44" i="54" l="1"/>
  <c r="H52" i="54" s="1"/>
  <c r="M44" i="54"/>
  <c r="J52" i="54"/>
  <c r="J54" i="54" s="1"/>
  <c r="L40" i="53"/>
  <c r="M39" i="53"/>
  <c r="L9" i="53"/>
  <c r="L12" i="53" s="1"/>
  <c r="H12" i="53"/>
  <c r="K9" i="53"/>
  <c r="K12" i="53" s="1"/>
  <c r="H42" i="53"/>
  <c r="I41" i="53"/>
  <c r="J14" i="53"/>
  <c r="K51" i="53" s="1"/>
  <c r="K54" i="53" s="1"/>
  <c r="J15" i="53"/>
  <c r="C31" i="52"/>
  <c r="C48" i="52" s="1"/>
  <c r="B25" i="41"/>
  <c r="C1483" i="52"/>
  <c r="G42" i="52"/>
  <c r="C41" i="52"/>
  <c r="K40" i="52"/>
  <c r="K39" i="52"/>
  <c r="K43" i="52" s="1"/>
  <c r="K45" i="52" s="1"/>
  <c r="L37" i="52"/>
  <c r="M37" i="52" s="1"/>
  <c r="H37" i="52"/>
  <c r="H38" i="52" s="1"/>
  <c r="M36" i="52"/>
  <c r="I36" i="52"/>
  <c r="G32" i="52"/>
  <c r="G34" i="52" s="1"/>
  <c r="I31" i="52"/>
  <c r="I30" i="52"/>
  <c r="I29" i="52"/>
  <c r="K28" i="52"/>
  <c r="K30" i="52" s="1"/>
  <c r="I28" i="52"/>
  <c r="M27" i="52"/>
  <c r="I27" i="52"/>
  <c r="C27" i="52"/>
  <c r="M26" i="52"/>
  <c r="I26" i="52"/>
  <c r="I25" i="52"/>
  <c r="L24" i="52"/>
  <c r="M24" i="52" s="1"/>
  <c r="I24" i="52"/>
  <c r="M23" i="52"/>
  <c r="I23" i="52"/>
  <c r="C22" i="52"/>
  <c r="C20" i="52"/>
  <c r="C17" i="52"/>
  <c r="C14" i="52"/>
  <c r="H11" i="52"/>
  <c r="L11" i="52" s="1"/>
  <c r="C11" i="52"/>
  <c r="H10" i="52"/>
  <c r="K10" i="52" s="1"/>
  <c r="C7" i="52"/>
  <c r="F1" i="52"/>
  <c r="I45" i="54" l="1"/>
  <c r="K55" i="54"/>
  <c r="L52" i="54"/>
  <c r="H54" i="54"/>
  <c r="F27" i="39" s="1"/>
  <c r="H51" i="53"/>
  <c r="K14" i="53"/>
  <c r="L41" i="53"/>
  <c r="M40" i="53"/>
  <c r="H43" i="53"/>
  <c r="I43" i="53" s="1"/>
  <c r="I42" i="53"/>
  <c r="I44" i="53" s="1"/>
  <c r="H14" i="53"/>
  <c r="H15" i="53" s="1"/>
  <c r="L14" i="53"/>
  <c r="J51" i="53"/>
  <c r="I32" i="52"/>
  <c r="I52" i="52" s="1"/>
  <c r="L25" i="52"/>
  <c r="M25" i="52" s="1"/>
  <c r="M28" i="52" s="1"/>
  <c r="L38" i="52"/>
  <c r="L39" i="52" s="1"/>
  <c r="C52" i="52"/>
  <c r="H9" i="52" s="1"/>
  <c r="H39" i="52"/>
  <c r="I38" i="52"/>
  <c r="M39" i="52"/>
  <c r="L40" i="52"/>
  <c r="C30" i="52"/>
  <c r="C32" i="52" s="1"/>
  <c r="H7" i="52" s="1"/>
  <c r="I37" i="52"/>
  <c r="G44" i="52"/>
  <c r="M38" i="52"/>
  <c r="F24" i="41"/>
  <c r="C49" i="51"/>
  <c r="C47" i="51"/>
  <c r="C46" i="51"/>
  <c r="C50" i="51"/>
  <c r="C42" i="51"/>
  <c r="C15" i="51"/>
  <c r="C12" i="51"/>
  <c r="C18" i="51"/>
  <c r="C6" i="51"/>
  <c r="C21" i="51"/>
  <c r="L54" i="54" l="1"/>
  <c r="I55" i="54"/>
  <c r="H67" i="54" s="1"/>
  <c r="L15" i="53"/>
  <c r="H52" i="53"/>
  <c r="I45" i="53"/>
  <c r="L42" i="53"/>
  <c r="M42" i="53" s="1"/>
  <c r="M41" i="53"/>
  <c r="L51" i="53"/>
  <c r="I33" i="52"/>
  <c r="M29" i="52"/>
  <c r="K52" i="52"/>
  <c r="C56" i="52"/>
  <c r="C58" i="52" s="1"/>
  <c r="C61" i="52" s="1"/>
  <c r="L41" i="52"/>
  <c r="M40" i="52"/>
  <c r="G46" i="52"/>
  <c r="K5" i="52"/>
  <c r="L5" i="52" s="1"/>
  <c r="L9" i="52" s="1"/>
  <c r="L12" i="52" s="1"/>
  <c r="I39" i="52"/>
  <c r="H40" i="52"/>
  <c r="H12" i="52"/>
  <c r="J7" i="52"/>
  <c r="I7" i="52"/>
  <c r="I14" i="52" s="1"/>
  <c r="I51" i="52" s="1"/>
  <c r="I54" i="52" s="1"/>
  <c r="G25" i="39" s="1"/>
  <c r="B24" i="41"/>
  <c r="C1483" i="51"/>
  <c r="G42" i="51"/>
  <c r="G44" i="51" s="1"/>
  <c r="C41" i="51"/>
  <c r="K40" i="51"/>
  <c r="K39" i="51"/>
  <c r="L37" i="51"/>
  <c r="L38" i="51" s="1"/>
  <c r="H37" i="51"/>
  <c r="I37" i="51" s="1"/>
  <c r="M36" i="51"/>
  <c r="I36" i="51"/>
  <c r="G32" i="51"/>
  <c r="G34" i="51" s="1"/>
  <c r="I31" i="51"/>
  <c r="I30" i="51"/>
  <c r="I29" i="51"/>
  <c r="K28" i="51"/>
  <c r="K30" i="51" s="1"/>
  <c r="I28" i="51"/>
  <c r="M27" i="51"/>
  <c r="I27" i="51"/>
  <c r="C27" i="51"/>
  <c r="M26" i="51"/>
  <c r="I26" i="51"/>
  <c r="I25" i="51"/>
  <c r="L24" i="51"/>
  <c r="L25" i="51" s="1"/>
  <c r="M25" i="51" s="1"/>
  <c r="I24" i="51"/>
  <c r="M23" i="51"/>
  <c r="I23" i="51"/>
  <c r="C22" i="51"/>
  <c r="C20" i="51"/>
  <c r="C17" i="51"/>
  <c r="C14" i="51"/>
  <c r="H11" i="51"/>
  <c r="L11" i="51" s="1"/>
  <c r="C11" i="51"/>
  <c r="H10" i="51"/>
  <c r="K10" i="51" s="1"/>
  <c r="C7" i="51"/>
  <c r="F1" i="51"/>
  <c r="M43" i="53" l="1"/>
  <c r="J52" i="53" s="1"/>
  <c r="H54" i="53"/>
  <c r="F26" i="39" s="1"/>
  <c r="K9" i="52"/>
  <c r="K12" i="52" s="1"/>
  <c r="K14" i="52" s="1"/>
  <c r="H41" i="52"/>
  <c r="I40" i="52"/>
  <c r="L42" i="52"/>
  <c r="M42" i="52" s="1"/>
  <c r="M41" i="52"/>
  <c r="H14" i="52"/>
  <c r="H15" i="52" s="1"/>
  <c r="J51" i="52"/>
  <c r="L14" i="52"/>
  <c r="J15" i="52"/>
  <c r="J14" i="52"/>
  <c r="K51" i="52" s="1"/>
  <c r="K54" i="52" s="1"/>
  <c r="L39" i="51"/>
  <c r="L40" i="51" s="1"/>
  <c r="L41" i="51" s="1"/>
  <c r="M38" i="51"/>
  <c r="I32" i="51"/>
  <c r="I52" i="51" s="1"/>
  <c r="M37" i="51"/>
  <c r="H38" i="51"/>
  <c r="I38" i="51" s="1"/>
  <c r="K43" i="51"/>
  <c r="K45" i="51" s="1"/>
  <c r="C30" i="51"/>
  <c r="G46" i="51"/>
  <c r="C31" i="51"/>
  <c r="C48" i="51" s="1"/>
  <c r="C52" i="51" s="1"/>
  <c r="M24" i="51"/>
  <c r="M28" i="51" s="1"/>
  <c r="F23" i="41"/>
  <c r="C15" i="50"/>
  <c r="C12" i="50"/>
  <c r="C18" i="50"/>
  <c r="C6" i="50"/>
  <c r="C21" i="50"/>
  <c r="C5" i="50"/>
  <c r="M44" i="53" l="1"/>
  <c r="J54" i="53"/>
  <c r="K55" i="53" s="1"/>
  <c r="L52" i="53"/>
  <c r="I55" i="53"/>
  <c r="M43" i="52"/>
  <c r="M39" i="51"/>
  <c r="H39" i="51"/>
  <c r="H51" i="52"/>
  <c r="L51" i="52" s="1"/>
  <c r="L15" i="52"/>
  <c r="M44" i="52"/>
  <c r="J52" i="52"/>
  <c r="J54" i="52" s="1"/>
  <c r="H42" i="52"/>
  <c r="I41" i="52"/>
  <c r="K5" i="51"/>
  <c r="L5" i="51" s="1"/>
  <c r="I33" i="51"/>
  <c r="C32" i="51"/>
  <c r="H7" i="51" s="1"/>
  <c r="J7" i="51" s="1"/>
  <c r="M41" i="51"/>
  <c r="L42" i="51"/>
  <c r="M42" i="51" s="1"/>
  <c r="M29" i="51"/>
  <c r="K52" i="51"/>
  <c r="M40" i="51"/>
  <c r="H40" i="51"/>
  <c r="I39" i="51"/>
  <c r="H9" i="51"/>
  <c r="C56" i="51"/>
  <c r="B23" i="41"/>
  <c r="C1483" i="50"/>
  <c r="G42" i="50"/>
  <c r="C41" i="50"/>
  <c r="K40" i="50"/>
  <c r="K39" i="50"/>
  <c r="L37" i="50"/>
  <c r="L38" i="50" s="1"/>
  <c r="H37" i="50"/>
  <c r="H38" i="50" s="1"/>
  <c r="H39" i="50" s="1"/>
  <c r="I37" i="50"/>
  <c r="M36" i="50"/>
  <c r="G44" i="50"/>
  <c r="G32" i="50"/>
  <c r="G34" i="50" s="1"/>
  <c r="I31" i="50"/>
  <c r="C31" i="50"/>
  <c r="C48" i="50" s="1"/>
  <c r="I30" i="50"/>
  <c r="I29" i="50"/>
  <c r="K28" i="50"/>
  <c r="K30" i="50" s="1"/>
  <c r="I28" i="50"/>
  <c r="M27" i="50"/>
  <c r="I27" i="50"/>
  <c r="C27" i="50"/>
  <c r="M26" i="50"/>
  <c r="I26" i="50"/>
  <c r="I25" i="50"/>
  <c r="L24" i="50"/>
  <c r="L25" i="50" s="1"/>
  <c r="M25" i="50" s="1"/>
  <c r="I24" i="50"/>
  <c r="M23" i="50"/>
  <c r="I23" i="50"/>
  <c r="C22" i="50"/>
  <c r="C20" i="50"/>
  <c r="C17" i="50"/>
  <c r="C14" i="50"/>
  <c r="H11" i="50"/>
  <c r="L11" i="50" s="1"/>
  <c r="C11" i="50"/>
  <c r="H10" i="50"/>
  <c r="K10" i="50" s="1"/>
  <c r="C7" i="50"/>
  <c r="F1" i="50"/>
  <c r="L54" i="53" l="1"/>
  <c r="H67" i="53"/>
  <c r="K43" i="50"/>
  <c r="K45" i="50" s="1"/>
  <c r="K55" i="52"/>
  <c r="H43" i="52"/>
  <c r="I43" i="52" s="1"/>
  <c r="I42" i="52"/>
  <c r="I44" i="52" s="1"/>
  <c r="C58" i="51"/>
  <c r="C61" i="51" s="1"/>
  <c r="I7" i="51"/>
  <c r="I14" i="51" s="1"/>
  <c r="I51" i="51" s="1"/>
  <c r="I54" i="51" s="1"/>
  <c r="G24" i="39" s="1"/>
  <c r="K9" i="51"/>
  <c r="K12" i="51" s="1"/>
  <c r="H12" i="51"/>
  <c r="L9" i="51"/>
  <c r="L12" i="51" s="1"/>
  <c r="J14" i="51"/>
  <c r="K51" i="51" s="1"/>
  <c r="K54" i="51" s="1"/>
  <c r="I40" i="51"/>
  <c r="H41" i="51"/>
  <c r="M43" i="51"/>
  <c r="I32" i="50"/>
  <c r="I33" i="50" s="1"/>
  <c r="L39" i="50"/>
  <c r="L40" i="50" s="1"/>
  <c r="M40" i="50" s="1"/>
  <c r="M38" i="50"/>
  <c r="M24" i="50"/>
  <c r="M28" i="50" s="1"/>
  <c r="M37" i="50"/>
  <c r="I38" i="50"/>
  <c r="C52" i="50"/>
  <c r="C56" i="50" s="1"/>
  <c r="C30" i="50"/>
  <c r="C32" i="50" s="1"/>
  <c r="H7" i="50" s="1"/>
  <c r="I7" i="50" s="1"/>
  <c r="I14" i="50" s="1"/>
  <c r="I51" i="50" s="1"/>
  <c r="L41" i="50"/>
  <c r="I39" i="50"/>
  <c r="H40" i="50"/>
  <c r="H41" i="50" s="1"/>
  <c r="G46" i="50"/>
  <c r="K5" i="50"/>
  <c r="L5" i="50" s="1"/>
  <c r="I36" i="50"/>
  <c r="I62" i="49"/>
  <c r="H62" i="49"/>
  <c r="M39" i="50" l="1"/>
  <c r="H52" i="52"/>
  <c r="I45" i="52"/>
  <c r="J15" i="51"/>
  <c r="H14" i="51"/>
  <c r="H15" i="51" s="1"/>
  <c r="H51" i="51"/>
  <c r="K14" i="51"/>
  <c r="J52" i="51"/>
  <c r="M44" i="51"/>
  <c r="I41" i="51"/>
  <c r="H42" i="51"/>
  <c r="J51" i="51"/>
  <c r="L14" i="51"/>
  <c r="I52" i="50"/>
  <c r="I54" i="50" s="1"/>
  <c r="G23" i="39" s="1"/>
  <c r="K52" i="50"/>
  <c r="M29" i="50"/>
  <c r="I40" i="50"/>
  <c r="H9" i="50"/>
  <c r="L9" i="50" s="1"/>
  <c r="L12" i="50" s="1"/>
  <c r="J51" i="50" s="1"/>
  <c r="J7" i="50"/>
  <c r="J15" i="50" s="1"/>
  <c r="C58" i="50"/>
  <c r="C61" i="50" s="1"/>
  <c r="M41" i="50"/>
  <c r="L42" i="50"/>
  <c r="M42" i="50" s="1"/>
  <c r="I41" i="50"/>
  <c r="H42" i="50"/>
  <c r="H11" i="49"/>
  <c r="L52" i="52" l="1"/>
  <c r="H54" i="52"/>
  <c r="F25" i="39" s="1"/>
  <c r="L15" i="51"/>
  <c r="H43" i="51"/>
  <c r="I43" i="51" s="1"/>
  <c r="I42" i="51"/>
  <c r="L51" i="51"/>
  <c r="J54" i="51"/>
  <c r="M43" i="50"/>
  <c r="M44" i="50" s="1"/>
  <c r="H12" i="50"/>
  <c r="H14" i="50" s="1"/>
  <c r="H15" i="50" s="1"/>
  <c r="K9" i="50"/>
  <c r="K12" i="50" s="1"/>
  <c r="H51" i="50" s="1"/>
  <c r="J14" i="50"/>
  <c r="K51" i="50" s="1"/>
  <c r="K54" i="50" s="1"/>
  <c r="L14" i="50"/>
  <c r="H43" i="50"/>
  <c r="I43" i="50" s="1"/>
  <c r="I42" i="50"/>
  <c r="I44" i="50" s="1"/>
  <c r="J52" i="50"/>
  <c r="J54" i="50" s="1"/>
  <c r="F22" i="41"/>
  <c r="L54" i="52" l="1"/>
  <c r="I55" i="52"/>
  <c r="H67" i="52" s="1"/>
  <c r="I44" i="51"/>
  <c r="K55" i="51"/>
  <c r="H52" i="51"/>
  <c r="I45" i="51"/>
  <c r="K14" i="50"/>
  <c r="L15" i="50" s="1"/>
  <c r="L51" i="50"/>
  <c r="I45" i="50"/>
  <c r="H52" i="50"/>
  <c r="L52" i="50" s="1"/>
  <c r="C49" i="49"/>
  <c r="L52" i="51" l="1"/>
  <c r="H54" i="51"/>
  <c r="F24" i="39" s="1"/>
  <c r="H54" i="50"/>
  <c r="F23" i="39" s="1"/>
  <c r="K55" i="50"/>
  <c r="C50" i="49"/>
  <c r="C42" i="49"/>
  <c r="C15" i="49"/>
  <c r="C12" i="49"/>
  <c r="C18" i="49"/>
  <c r="C6" i="49"/>
  <c r="C21" i="49"/>
  <c r="L54" i="51" l="1"/>
  <c r="I55" i="51"/>
  <c r="H67" i="51" s="1"/>
  <c r="L54" i="50"/>
  <c r="I55" i="50"/>
  <c r="H67" i="50" s="1"/>
  <c r="B22" i="41"/>
  <c r="C7" i="49"/>
  <c r="C1483" i="49"/>
  <c r="G43" i="49"/>
  <c r="G42" i="49"/>
  <c r="G41" i="49"/>
  <c r="C41" i="49"/>
  <c r="K40" i="49"/>
  <c r="G40" i="49"/>
  <c r="K39" i="49"/>
  <c r="G39" i="49"/>
  <c r="G38" i="49"/>
  <c r="L37" i="49"/>
  <c r="L38" i="49" s="1"/>
  <c r="L39" i="49" s="1"/>
  <c r="M37" i="49"/>
  <c r="H37" i="49"/>
  <c r="H38" i="49" s="1"/>
  <c r="H39" i="49" s="1"/>
  <c r="G37" i="49"/>
  <c r="I37" i="49" s="1"/>
  <c r="G36" i="49"/>
  <c r="G32" i="49"/>
  <c r="G34" i="49" s="1"/>
  <c r="I31" i="49"/>
  <c r="C31" i="49"/>
  <c r="C48" i="49" s="1"/>
  <c r="I30" i="49"/>
  <c r="I29" i="49"/>
  <c r="K28" i="49"/>
  <c r="K30" i="49" s="1"/>
  <c r="I28" i="49"/>
  <c r="M27" i="49"/>
  <c r="I27" i="49"/>
  <c r="C27" i="49"/>
  <c r="M26" i="49"/>
  <c r="I26" i="49"/>
  <c r="I25" i="49"/>
  <c r="L24" i="49"/>
  <c r="L25" i="49" s="1"/>
  <c r="M25" i="49" s="1"/>
  <c r="I24" i="49"/>
  <c r="M23" i="49"/>
  <c r="I23" i="49"/>
  <c r="C22" i="49"/>
  <c r="C20" i="49"/>
  <c r="C17" i="49"/>
  <c r="C14" i="49"/>
  <c r="L11" i="49"/>
  <c r="C11" i="49"/>
  <c r="H10" i="49"/>
  <c r="K10" i="49" s="1"/>
  <c r="F1" i="49"/>
  <c r="K43" i="49" l="1"/>
  <c r="K45" i="49" s="1"/>
  <c r="G44" i="49"/>
  <c r="G46" i="49" s="1"/>
  <c r="C52" i="49"/>
  <c r="I32" i="49"/>
  <c r="I52" i="49" s="1"/>
  <c r="M24" i="49"/>
  <c r="M28" i="49" s="1"/>
  <c r="I36" i="49"/>
  <c r="I38" i="49"/>
  <c r="M38" i="49"/>
  <c r="C30" i="49"/>
  <c r="C32" i="49" s="1"/>
  <c r="L40" i="49"/>
  <c r="L41" i="49" s="1"/>
  <c r="M39" i="49"/>
  <c r="I39" i="49"/>
  <c r="H40" i="49"/>
  <c r="H41" i="49" s="1"/>
  <c r="H42" i="49" s="1"/>
  <c r="H43" i="49" s="1"/>
  <c r="I43" i="49" s="1"/>
  <c r="M36" i="49"/>
  <c r="H7" i="49" l="1"/>
  <c r="J7" i="49" s="1"/>
  <c r="J14" i="49" s="1"/>
  <c r="K51" i="49" s="1"/>
  <c r="C56" i="49"/>
  <c r="C58" i="49" s="1"/>
  <c r="C61" i="49" s="1"/>
  <c r="H9" i="49"/>
  <c r="I33" i="49"/>
  <c r="K5" i="49"/>
  <c r="L5" i="49" s="1"/>
  <c r="K52" i="49"/>
  <c r="M29" i="49"/>
  <c r="I41" i="49"/>
  <c r="M40" i="49"/>
  <c r="I40" i="49"/>
  <c r="I7" i="49"/>
  <c r="I14" i="49" s="1"/>
  <c r="I51" i="49" s="1"/>
  <c r="I54" i="49" s="1"/>
  <c r="G22" i="39" s="1"/>
  <c r="M41" i="49"/>
  <c r="L42" i="49"/>
  <c r="M42" i="49" s="1"/>
  <c r="I42" i="49"/>
  <c r="I44" i="49" s="1"/>
  <c r="N20" i="41"/>
  <c r="K20" i="41"/>
  <c r="K54" i="49" l="1"/>
  <c r="K9" i="49"/>
  <c r="K12" i="49" s="1"/>
  <c r="H51" i="49" s="1"/>
  <c r="H12" i="49"/>
  <c r="H14" i="49" s="1"/>
  <c r="H15" i="49" s="1"/>
  <c r="L9" i="49"/>
  <c r="M43" i="49"/>
  <c r="J52" i="49" s="1"/>
  <c r="J15" i="49"/>
  <c r="H52" i="49"/>
  <c r="I45" i="49"/>
  <c r="F21" i="41"/>
  <c r="L12" i="49" l="1"/>
  <c r="L14" i="49" s="1"/>
  <c r="K14" i="49"/>
  <c r="M44" i="49"/>
  <c r="J51" i="49"/>
  <c r="L51" i="49" s="1"/>
  <c r="L52" i="49"/>
  <c r="H54" i="49"/>
  <c r="F22" i="39" s="1"/>
  <c r="C15" i="48"/>
  <c r="C12" i="48"/>
  <c r="C18" i="48"/>
  <c r="C6" i="48"/>
  <c r="C21" i="48"/>
  <c r="L15" i="49" l="1"/>
  <c r="J54" i="49"/>
  <c r="K55" i="49" s="1"/>
  <c r="I55" i="49"/>
  <c r="G67" i="49" s="1"/>
  <c r="B21" i="41"/>
  <c r="C1482" i="48"/>
  <c r="G43" i="48"/>
  <c r="G42" i="48"/>
  <c r="G41" i="48"/>
  <c r="G40" i="48"/>
  <c r="C41" i="48"/>
  <c r="K40" i="48"/>
  <c r="G39" i="48"/>
  <c r="K39" i="48"/>
  <c r="G38" i="48"/>
  <c r="K38" i="48"/>
  <c r="H37" i="48"/>
  <c r="H38" i="48" s="1"/>
  <c r="H39" i="48" s="1"/>
  <c r="G37" i="48"/>
  <c r="L37" i="48"/>
  <c r="L38" i="48" s="1"/>
  <c r="K37" i="48"/>
  <c r="G36" i="48"/>
  <c r="I36" i="48" s="1"/>
  <c r="K36" i="48"/>
  <c r="M36" i="48" s="1"/>
  <c r="G32" i="48"/>
  <c r="G34" i="48" s="1"/>
  <c r="I31" i="48"/>
  <c r="I30" i="48"/>
  <c r="I29" i="48"/>
  <c r="K28" i="48"/>
  <c r="K30" i="48" s="1"/>
  <c r="I28" i="48"/>
  <c r="M27" i="48"/>
  <c r="I27" i="48"/>
  <c r="C27" i="48"/>
  <c r="M26" i="48"/>
  <c r="I26" i="48"/>
  <c r="I25" i="48"/>
  <c r="L24" i="48"/>
  <c r="L25" i="48" s="1"/>
  <c r="M25" i="48" s="1"/>
  <c r="I24" i="48"/>
  <c r="M23" i="48"/>
  <c r="I23" i="48"/>
  <c r="C22" i="48"/>
  <c r="C20" i="48"/>
  <c r="C17" i="48"/>
  <c r="C14" i="48"/>
  <c r="H11" i="48"/>
  <c r="L11" i="48" s="1"/>
  <c r="C11" i="48"/>
  <c r="H10" i="48"/>
  <c r="K10" i="48" s="1"/>
  <c r="C31" i="48"/>
  <c r="C48" i="48" s="1"/>
  <c r="C7" i="48"/>
  <c r="F1" i="48"/>
  <c r="L54" i="49" l="1"/>
  <c r="I38" i="48"/>
  <c r="M37" i="48"/>
  <c r="I39" i="48"/>
  <c r="I32" i="48"/>
  <c r="I33" i="48" s="1"/>
  <c r="G44" i="48"/>
  <c r="C52" i="48"/>
  <c r="H9" i="48" s="1"/>
  <c r="C30" i="48"/>
  <c r="C32" i="48" s="1"/>
  <c r="H7" i="48" s="1"/>
  <c r="M38" i="48"/>
  <c r="L39" i="48"/>
  <c r="L40" i="48" s="1"/>
  <c r="L41" i="48" s="1"/>
  <c r="M24" i="48"/>
  <c r="M28" i="48" s="1"/>
  <c r="K43" i="48"/>
  <c r="K45" i="48" s="1"/>
  <c r="I37" i="48"/>
  <c r="H40" i="48"/>
  <c r="C50" i="5"/>
  <c r="C42" i="5"/>
  <c r="I52" i="48" l="1"/>
  <c r="M40" i="48"/>
  <c r="K5" i="48"/>
  <c r="L5" i="48" s="1"/>
  <c r="L9" i="48" s="1"/>
  <c r="L12" i="48" s="1"/>
  <c r="G46" i="48"/>
  <c r="C55" i="48"/>
  <c r="C57" i="48" s="1"/>
  <c r="C60" i="48" s="1"/>
  <c r="K52" i="48"/>
  <c r="M29" i="48"/>
  <c r="H12" i="48"/>
  <c r="I7" i="48"/>
  <c r="I14" i="48" s="1"/>
  <c r="I51" i="48" s="1"/>
  <c r="J7" i="48"/>
  <c r="M41" i="48"/>
  <c r="L42" i="48"/>
  <c r="M42" i="48" s="1"/>
  <c r="I40" i="48"/>
  <c r="H41" i="48"/>
  <c r="M39" i="48"/>
  <c r="C49" i="5"/>
  <c r="C9" i="5"/>
  <c r="C15" i="5"/>
  <c r="C12" i="5"/>
  <c r="C18" i="5"/>
  <c r="C6" i="5"/>
  <c r="C21" i="5"/>
  <c r="I54" i="48" l="1"/>
  <c r="G21" i="39" s="1"/>
  <c r="K9" i="48"/>
  <c r="K12" i="48" s="1"/>
  <c r="K14" i="48" s="1"/>
  <c r="M43" i="48"/>
  <c r="M44" i="48" s="1"/>
  <c r="J14" i="48"/>
  <c r="K51" i="48" s="1"/>
  <c r="K54" i="48" s="1"/>
  <c r="J15" i="48"/>
  <c r="H14" i="48"/>
  <c r="H15" i="48" s="1"/>
  <c r="L14" i="48"/>
  <c r="J51" i="48"/>
  <c r="H42" i="48"/>
  <c r="I41" i="48"/>
  <c r="F19" i="39"/>
  <c r="F20" i="41"/>
  <c r="H20" i="41" s="1"/>
  <c r="H51" i="48" l="1"/>
  <c r="L51" i="48" s="1"/>
  <c r="J52" i="48"/>
  <c r="J54" i="48" s="1"/>
  <c r="K55" i="48" s="1"/>
  <c r="L15" i="48"/>
  <c r="H43" i="48"/>
  <c r="I43" i="48" s="1"/>
  <c r="I42" i="48"/>
  <c r="D32" i="41"/>
  <c r="B20" i="41"/>
  <c r="C30" i="41"/>
  <c r="N29" i="41"/>
  <c r="K29" i="41"/>
  <c r="K32" i="41" s="1"/>
  <c r="H29" i="41"/>
  <c r="H32" i="41" s="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32" i="41"/>
  <c r="I44" i="48" l="1"/>
  <c r="H52" i="48" s="1"/>
  <c r="A21" i="39"/>
  <c r="A22" i="39" s="1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I45" i="48" l="1"/>
  <c r="L52" i="48"/>
  <c r="H54" i="48"/>
  <c r="F21" i="39" s="1"/>
  <c r="M42" i="5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A23" i="39" l="1"/>
  <c r="I55" i="48"/>
  <c r="L54" i="48"/>
  <c r="M28" i="5"/>
  <c r="I32" i="5"/>
  <c r="H11" i="5"/>
  <c r="H10" i="5"/>
  <c r="C41" i="5"/>
  <c r="C31" i="5"/>
  <c r="C48" i="5" s="1"/>
  <c r="C27" i="5"/>
  <c r="G58" i="48" l="1"/>
  <c r="H67" i="48"/>
  <c r="A24" i="39"/>
  <c r="A25" i="39" l="1"/>
  <c r="A26" i="39" l="1"/>
  <c r="A27" i="39" l="1"/>
  <c r="A28" i="39" l="1"/>
  <c r="A29" i="39" l="1"/>
  <c r="A30" i="39" l="1"/>
  <c r="A31" i="39" s="1"/>
  <c r="H45" i="41" l="1"/>
  <c r="H19" i="41"/>
  <c r="I46" i="41" l="1"/>
  <c r="H18" i="41"/>
  <c r="N17" i="41" l="1"/>
  <c r="N9" i="41"/>
  <c r="N10" i="41"/>
  <c r="N11" i="41"/>
  <c r="N12" i="41"/>
  <c r="N13" i="41"/>
  <c r="N14" i="41"/>
  <c r="N15" i="41"/>
  <c r="N16" i="41"/>
  <c r="N8" i="41"/>
  <c r="K9" i="41"/>
  <c r="K10" i="41"/>
  <c r="K11" i="41"/>
  <c r="K12" i="41"/>
  <c r="K13" i="41"/>
  <c r="K14" i="41"/>
  <c r="K15" i="41"/>
  <c r="K16" i="41"/>
  <c r="K17" i="41"/>
  <c r="K8" i="41"/>
  <c r="F19" i="41" l="1"/>
  <c r="F18" i="41"/>
  <c r="F17" i="41"/>
  <c r="H17" i="41" s="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F7" i="41"/>
  <c r="H40" i="41" l="1"/>
  <c r="I40" i="41"/>
  <c r="H7" i="41"/>
  <c r="H7" i="39" l="1"/>
  <c r="I7" i="39" s="1"/>
  <c r="E8" i="39" s="1"/>
  <c r="A9" i="39" l="1"/>
  <c r="A10" i="39" l="1"/>
  <c r="A11" i="39" s="1"/>
  <c r="A12" i="39" s="1"/>
  <c r="A13" i="39" s="1"/>
  <c r="A14" i="39" s="1"/>
  <c r="A15" i="39" s="1"/>
  <c r="A16" i="39" s="1"/>
  <c r="A17" i="39" s="1"/>
  <c r="A18" i="39" s="1"/>
  <c r="A19" i="39" s="1"/>
  <c r="D32" i="39" l="1"/>
  <c r="L7" i="39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O7" i="41" l="1"/>
  <c r="P7" i="41" l="1"/>
  <c r="E8" i="41" s="1"/>
  <c r="O8" i="41" l="1"/>
  <c r="P8" i="41" s="1"/>
  <c r="S7" i="41"/>
  <c r="E9" i="41" l="1"/>
  <c r="O9" i="41" s="1"/>
  <c r="P9" i="41" s="1"/>
  <c r="S8" i="41"/>
  <c r="E10" i="41" l="1"/>
  <c r="O10" i="41" s="1"/>
  <c r="P10" i="41" s="1"/>
  <c r="S9" i="41"/>
  <c r="E11" i="41" l="1"/>
  <c r="O11" i="41" s="1"/>
  <c r="P11" i="41" s="1"/>
  <c r="S10" i="41"/>
  <c r="E12" i="41" l="1"/>
  <c r="O12" i="41" s="1"/>
  <c r="S11" i="41"/>
  <c r="P12" i="41" l="1"/>
  <c r="E13" i="41" l="1"/>
  <c r="O13" i="41" s="1"/>
  <c r="P13" i="41" s="1"/>
  <c r="S12" i="41"/>
  <c r="E14" i="41" l="1"/>
  <c r="O14" i="41" s="1"/>
  <c r="P14" i="41" s="1"/>
  <c r="S13" i="41"/>
  <c r="E15" i="41" l="1"/>
  <c r="O15" i="41" s="1"/>
  <c r="P15" i="41" s="1"/>
  <c r="S14" i="41"/>
  <c r="E16" i="41" l="1"/>
  <c r="O16" i="41" s="1"/>
  <c r="P16" i="41" s="1"/>
  <c r="S15" i="41"/>
  <c r="E17" i="41" l="1"/>
  <c r="S16" i="41"/>
  <c r="O17" i="41" l="1"/>
  <c r="P17" i="41" s="1"/>
  <c r="S17" i="41" s="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20" i="39" s="1"/>
  <c r="F32" i="39" s="1"/>
  <c r="I52" i="5"/>
  <c r="I55" i="5" s="1"/>
  <c r="J14" i="5"/>
  <c r="G20" i="39" l="1"/>
  <c r="G32" i="39" s="1"/>
  <c r="F40" i="39" s="1"/>
  <c r="I56" i="5"/>
  <c r="K52" i="5"/>
  <c r="J15" i="5"/>
  <c r="E40" i="39" l="1"/>
  <c r="K55" i="5"/>
  <c r="H67" i="5" s="1"/>
  <c r="L9" i="5"/>
  <c r="L12" i="5" s="1"/>
  <c r="J52" i="5" s="1"/>
  <c r="J55" i="5" l="1"/>
  <c r="L52" i="5"/>
  <c r="L14" i="5"/>
  <c r="K14" i="5"/>
  <c r="L55" i="5" l="1"/>
  <c r="K56" i="5"/>
  <c r="G59" i="5" s="1"/>
  <c r="L15" i="5"/>
  <c r="H8" i="39" l="1"/>
  <c r="I8" i="39" s="1"/>
  <c r="E9" i="39" s="1"/>
  <c r="L8" i="39" l="1"/>
  <c r="H9" i="39"/>
  <c r="I9" i="39" s="1"/>
  <c r="E10" i="39" s="1"/>
  <c r="L9" i="39" l="1"/>
  <c r="H10" i="39"/>
  <c r="I10" i="39" s="1"/>
  <c r="E11" i="39" s="1"/>
  <c r="L10" i="39" l="1"/>
  <c r="H11" i="39"/>
  <c r="I11" i="39" s="1"/>
  <c r="E12" i="39" s="1"/>
  <c r="L11" i="39" l="1"/>
  <c r="H12" i="39"/>
  <c r="I12" i="39" s="1"/>
  <c r="E13" i="39" s="1"/>
  <c r="L12" i="39" l="1"/>
  <c r="H13" i="39"/>
  <c r="I13" i="39" s="1"/>
  <c r="E14" i="39" s="1"/>
  <c r="L13" i="39" l="1"/>
  <c r="H14" i="39"/>
  <c r="I14" i="39" s="1"/>
  <c r="E15" i="39" s="1"/>
  <c r="H15" i="39" l="1"/>
  <c r="I15" i="39" s="1"/>
  <c r="E16" i="39" s="1"/>
  <c r="L14" i="39"/>
  <c r="L15" i="39" l="1"/>
  <c r="H16" i="39"/>
  <c r="I16" i="39" s="1"/>
  <c r="E17" i="39" s="1"/>
  <c r="L16" i="39" l="1"/>
  <c r="H17" i="39"/>
  <c r="I17" i="39" s="1"/>
  <c r="D18" i="39" s="1"/>
  <c r="E18" i="39" l="1"/>
  <c r="H18" i="39" s="1"/>
  <c r="L17" i="39"/>
  <c r="I18" i="39" l="1"/>
  <c r="E19" i="39" s="1"/>
  <c r="H19" i="39" s="1"/>
  <c r="C18" i="41"/>
  <c r="E18" i="41" s="1"/>
  <c r="O18" i="41" s="1"/>
  <c r="P18" i="41" l="1"/>
  <c r="E45" i="39"/>
  <c r="F46" i="39" s="1"/>
  <c r="I19" i="39"/>
  <c r="E20" i="39" s="1"/>
  <c r="H20" i="39" s="1"/>
  <c r="L18" i="39"/>
  <c r="E19" i="41" l="1"/>
  <c r="O19" i="41" s="1"/>
  <c r="P19" i="41" s="1"/>
  <c r="S18" i="41"/>
  <c r="L19" i="39"/>
  <c r="E20" i="41" l="1"/>
  <c r="O20" i="41" s="1"/>
  <c r="P20" i="41" s="1"/>
  <c r="S19" i="41"/>
  <c r="I20" i="39"/>
  <c r="E21" i="39" s="1"/>
  <c r="E21" i="41" l="1"/>
  <c r="O21" i="41" s="1"/>
  <c r="S20" i="41"/>
  <c r="H21" i="39"/>
  <c r="L20" i="39"/>
  <c r="I21" i="39" l="1"/>
  <c r="E22" i="39" s="1"/>
  <c r="H22" i="39" s="1"/>
  <c r="P21" i="41" l="1"/>
  <c r="L21" i="39"/>
  <c r="E22" i="41" l="1"/>
  <c r="O22" i="41" s="1"/>
  <c r="P22" i="41" s="1"/>
  <c r="S21" i="41"/>
  <c r="I22" i="39"/>
  <c r="E23" i="41" l="1"/>
  <c r="O23" i="41" s="1"/>
  <c r="S22" i="41"/>
  <c r="E23" i="39"/>
  <c r="H23" i="39" s="1"/>
  <c r="L22" i="39"/>
  <c r="I23" i="39" l="1"/>
  <c r="P23" i="41"/>
  <c r="E24" i="41" l="1"/>
  <c r="O24" i="41" s="1"/>
  <c r="S23" i="41"/>
  <c r="E24" i="39"/>
  <c r="H24" i="39" s="1"/>
  <c r="L23" i="39"/>
  <c r="I24" i="39" l="1"/>
  <c r="P24" i="41"/>
  <c r="E25" i="41" l="1"/>
  <c r="O25" i="41" s="1"/>
  <c r="S24" i="41"/>
  <c r="E25" i="39"/>
  <c r="H25" i="39" s="1"/>
  <c r="L24" i="39"/>
  <c r="P25" i="41" l="1"/>
  <c r="I25" i="39"/>
  <c r="E26" i="41" l="1"/>
  <c r="S25" i="41"/>
  <c r="E26" i="39"/>
  <c r="H26" i="39" s="1"/>
  <c r="L25" i="39"/>
  <c r="I26" i="39" l="1"/>
  <c r="O26" i="41"/>
  <c r="P26" i="41" l="1"/>
  <c r="E27" i="39"/>
  <c r="H27" i="39" s="1"/>
  <c r="L26" i="39"/>
  <c r="I27" i="39" l="1"/>
  <c r="E27" i="41"/>
  <c r="O27" i="41" s="1"/>
  <c r="S26" i="41"/>
  <c r="P27" i="41" l="1"/>
  <c r="E28" i="39"/>
  <c r="H28" i="39" s="1"/>
  <c r="L27" i="39"/>
  <c r="I28" i="39" l="1"/>
  <c r="E28" i="41"/>
  <c r="O28" i="41" s="1"/>
  <c r="S27" i="41"/>
  <c r="E29" i="39" l="1"/>
  <c r="H29" i="39" s="1"/>
  <c r="L28" i="39"/>
  <c r="P28" i="41"/>
  <c r="E29" i="41" l="1"/>
  <c r="O29" i="41" s="1"/>
  <c r="S28" i="41"/>
  <c r="I29" i="39"/>
  <c r="H32" i="39"/>
  <c r="P29" i="41" l="1"/>
  <c r="O32" i="41"/>
  <c r="F39" i="39"/>
  <c r="E39" i="39"/>
  <c r="E38" i="39"/>
  <c r="F37" i="39"/>
  <c r="E30" i="39"/>
  <c r="H30" i="39" s="1"/>
  <c r="I30" i="39" s="1"/>
  <c r="E31" i="39" s="1"/>
  <c r="H31" i="39" s="1"/>
  <c r="I31" i="39" s="1"/>
  <c r="L29" i="39"/>
  <c r="I37" i="41" l="1"/>
  <c r="I39" i="41"/>
  <c r="I60" i="55" s="1"/>
  <c r="I63" i="55" s="1"/>
  <c r="H39" i="41"/>
  <c r="H38" i="41"/>
  <c r="E30" i="41"/>
  <c r="O30" i="41" s="1"/>
  <c r="P30" i="41" s="1"/>
  <c r="E31" i="41" s="1"/>
  <c r="O31" i="41" s="1"/>
  <c r="P31" i="41" s="1"/>
  <c r="S29" i="41"/>
  <c r="I60" i="48"/>
  <c r="I60" i="49"/>
  <c r="I63" i="49" s="1"/>
  <c r="F42" i="39"/>
  <c r="I60" i="51" l="1"/>
  <c r="I61" i="5"/>
  <c r="I60" i="50"/>
  <c r="I42" i="41"/>
  <c r="I60" i="56"/>
  <c r="I60" i="52"/>
  <c r="I60" i="54"/>
  <c r="I60" i="53"/>
  <c r="H60" i="48"/>
  <c r="I61" i="48" s="1"/>
  <c r="H60" i="56"/>
  <c r="H60" i="51"/>
  <c r="H60" i="52"/>
  <c r="H60" i="53"/>
  <c r="H60" i="54"/>
  <c r="H60" i="55"/>
  <c r="H63" i="55" s="1"/>
  <c r="H61" i="5"/>
  <c r="H60" i="50"/>
  <c r="H60" i="49"/>
  <c r="H63" i="49" s="1"/>
  <c r="I62" i="5" l="1"/>
  <c r="I61" i="52"/>
  <c r="I61" i="51"/>
  <c r="I61" i="54"/>
  <c r="I61" i="50"/>
  <c r="I61" i="53"/>
  <c r="I61" i="56"/>
  <c r="I61" i="55"/>
  <c r="I61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0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3490FBF4-E252-48D6-97F8-F9F56B2ED11A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L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1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2" authorId="0" shapeId="0" xr:uid="{5AA0670E-CC82-4599-B9B1-ECA56FAF885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3" authorId="0" shapeId="0" xr:uid="{4A9A844C-BC62-4559-91FC-03893ACE70A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4" authorId="0" shapeId="0" xr:uid="{AB97AE2E-5CD3-4018-B365-A554A1AE399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4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5" authorId="0" shapeId="0" xr:uid="{F8DDF11C-CFA8-41E0-86D6-6BE3A5E7EC7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15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16" authorId="0" shapeId="0" xr:uid="{58D28E05-B647-4271-93B7-5425E1DFD57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G17" authorId="0" shapeId="0" xr:uid="{56E87D7C-D4DC-4C3E-9BC8-CA407427636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D18" authorId="0" shapeId="0" xr:uid="{7DB3A522-A52D-46C8-BD2C-35DEC2F8A6F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C18" authorId="0" shapeId="0" xr:uid="{5BA9E4AA-503F-45E9-8789-3FEE6FEF873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S1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1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2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3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4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5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58158C46-C190-4051-AB6C-DFA61BF6DA9B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C8B3005E-15EA-449C-9D1F-8C0757A661CE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88180A4B-CB75-4BFB-B7DE-245D269BA426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sharedStrings.xml><?xml version="1.0" encoding="utf-8"?>
<sst xmlns="http://schemas.openxmlformats.org/spreadsheetml/2006/main" count="1936" uniqueCount="215">
  <si>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</si>
  <si>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</si>
  <si>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</si>
  <si>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</si>
  <si>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</si>
  <si>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</si>
  <si>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</si>
  <si>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</si>
  <si>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</si>
  <si>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</si>
  <si>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</si>
  <si>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</si>
  <si>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</si>
  <si>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</si>
  <si>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</si>
  <si>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</si>
  <si>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</si>
  <si>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</si>
  <si>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</si>
  <si>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</si>
  <si>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</si>
  <si>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</si>
  <si>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</si>
  <si>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</si>
  <si>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</si>
  <si>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</si>
  <si>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</si>
  <si>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</si>
  <si>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</si>
  <si>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</si>
  <si>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</si>
  <si>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</si>
  <si>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</si>
  <si>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</si>
  <si>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</si>
  <si>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</si>
  <si>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</si>
  <si>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</si>
  <si>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</si>
  <si>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</si>
  <si>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</si>
  <si>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</si>
  <si>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</si>
  <si>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</si>
  <si>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</si>
  <si>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</si>
  <si>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</si>
  <si>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</si>
  <si>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</si>
  <si>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</si>
  <si>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</si>
  <si>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</si>
  <si>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</si>
  <si>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</si>
  <si>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</si>
  <si>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</si>
  <si>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</si>
  <si>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</si>
  <si>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</si>
  <si>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</si>
  <si>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</si>
  <si>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</si>
  <si>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</si>
  <si>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</si>
  <si>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</si>
  <si>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</si>
  <si>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</si>
  <si>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</si>
  <si>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</si>
  <si>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</si>
  <si>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</si>
  <si>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</si>
  <si>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</si>
  <si>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</si>
  <si>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</si>
  <si>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</si>
  <si>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</si>
  <si>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</si>
  <si>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</si>
  <si>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</si>
  <si>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</si>
  <si>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</si>
  <si>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</si>
  <si>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</si>
  <si>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</si>
  <si>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</si>
  <si>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</si>
  <si>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</si>
  <si>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</si>
  <si>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</si>
  <si>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</si>
  <si>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</si>
  <si>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</si>
  <si>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</si>
  <si>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</si>
  <si>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</si>
  <si>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</si>
  <si>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</si>
  <si>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</si>
  <si>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</si>
  <si>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</si>
  <si>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</si>
  <si>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</si>
  <si>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</si>
  <si>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</si>
  <si>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</si>
  <si>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</si>
  <si>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</si>
  <si>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</si>
  <si>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</si>
  <si>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</si>
  <si>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</si>
  <si>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</si>
  <si>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Accounts 191000</t>
  </si>
  <si>
    <t>Annual xfer of balance per PGA to 191000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</si>
  <si>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</si>
  <si>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</si>
  <si>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</si>
  <si>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</si>
  <si>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</si>
  <si>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</si>
  <si>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</si>
  <si>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</si>
  <si>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</si>
  <si>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</si>
  <si>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</si>
  <si>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</si>
  <si>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</si>
  <si>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</si>
  <si>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</si>
  <si>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</si>
  <si>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</si>
  <si>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</si>
  <si>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</si>
  <si>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</si>
  <si>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</si>
  <si>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</si>
  <si>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</si>
  <si>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</si>
  <si>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</si>
  <si>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</si>
  <si>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</si>
  <si>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</si>
  <si>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xferred 201807-201910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</si>
  <si>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</si>
  <si>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</si>
  <si>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</si>
  <si>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</si>
  <si>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</si>
  <si>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</si>
  <si>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</si>
  <si>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</si>
  <si>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</si>
  <si>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</si>
  <si>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</si>
  <si>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</si>
  <si>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</si>
  <si>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</si>
  <si>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</si>
  <si>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</si>
  <si>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</si>
  <si>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</si>
  <si>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</si>
  <si>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</si>
  <si>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</si>
  <si>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</si>
  <si>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</si>
  <si>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</si>
  <si>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</si>
  <si>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</si>
  <si>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</si>
  <si>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</si>
  <si>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</si>
  <si>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</si>
  <si>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</si>
  <si>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</si>
  <si>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</si>
  <si>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</si>
  <si>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</si>
  <si>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</si>
  <si>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</si>
  <si>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</si>
  <si>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</si>
  <si>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</si>
  <si>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</si>
  <si>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</si>
  <si>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</si>
  <si>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</si>
  <si>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</si>
  <si>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</si>
  <si>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</si>
  <si>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</si>
  <si>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</si>
  <si>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</si>
  <si>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</si>
  <si>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</si>
  <si>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</si>
  <si>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</si>
  <si>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</si>
  <si>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</si>
  <si>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</si>
  <si>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</si>
  <si>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</si>
  <si>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KM 4/3/2020 - OK - (addition of ID Entitlement Penalty is skewing this deferral check this month)</t>
  </si>
  <si>
    <t>CORRECTIONS ADDED TO JE</t>
  </si>
  <si>
    <t>FINAL JET ENTRY TOTALS</t>
  </si>
  <si>
    <t>"shoulder month" - weather unpredictable and this check is usually off in April due to this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</si>
  <si>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</si>
  <si>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</si>
  <si>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</si>
  <si>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</si>
  <si>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</si>
  <si>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</si>
  <si>
    <t>True ups</t>
  </si>
  <si>
    <t>TOTAL JET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</si>
</sst>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20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3" xfId="137" applyFont="1" applyBorder="1" applyAlignment="1">
      <alignment horizontal="center" wrapText="1"/>
    </xf>
    <xf numFmtId="0" fontId="27" fillId="0" borderId="22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2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2" xfId="63" applyNumberFormat="1" applyFont="1" applyFill="1" applyBorder="1" applyAlignment="1">
      <alignment horizontal="left"/>
    </xf>
    <xf numFmtId="40" fontId="26" fillId="12" borderId="22" xfId="1" applyFont="1" applyFill="1" applyBorder="1"/>
    <xf numFmtId="40" fontId="26" fillId="0" borderId="22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2" xfId="138" applyFont="1" applyFill="1" applyBorder="1"/>
    <xf numFmtId="43" fontId="35" fillId="0" borderId="0" xfId="138" applyFont="1" applyFill="1" applyBorder="1"/>
    <xf numFmtId="43" fontId="26" fillId="10" borderId="22" xfId="138" applyFont="1" applyFill="1" applyBorder="1"/>
    <xf numFmtId="43" fontId="27" fillId="10" borderId="22" xfId="138" applyFont="1" applyFill="1" applyBorder="1"/>
    <xf numFmtId="10" fontId="35" fillId="8" borderId="22" xfId="4" applyNumberFormat="1" applyFont="1" applyFill="1" applyBorder="1"/>
    <xf numFmtId="43" fontId="35" fillId="8" borderId="22" xfId="138" applyFont="1" applyFill="1" applyBorder="1"/>
    <xf numFmtId="10" fontId="35" fillId="8" borderId="26" xfId="4" applyNumberFormat="1" applyFont="1" applyFill="1" applyBorder="1"/>
    <xf numFmtId="43" fontId="35" fillId="8" borderId="26" xfId="138" applyFont="1" applyFill="1" applyBorder="1"/>
    <xf numFmtId="43" fontId="26" fillId="0" borderId="26" xfId="138" applyFont="1" applyFill="1" applyBorder="1"/>
    <xf numFmtId="43" fontId="26" fillId="10" borderId="26" xfId="138" applyFont="1" applyFill="1" applyBorder="1"/>
    <xf numFmtId="43" fontId="27" fillId="10" borderId="26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3" xfId="137" quotePrefix="1" applyFont="1" applyBorder="1" applyAlignment="1">
      <alignment horizontal="center" wrapText="1"/>
    </xf>
    <xf numFmtId="0" fontId="27" fillId="0" borderId="26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4" xfId="137" quotePrefix="1" applyFont="1" applyBorder="1" applyAlignment="1">
      <alignment horizontal="center" wrapText="1"/>
    </xf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10" fontId="35" fillId="8" borderId="27" xfId="4" applyNumberFormat="1" applyFont="1" applyFill="1" applyBorder="1"/>
    <xf numFmtId="43" fontId="35" fillId="8" borderId="27" xfId="138" applyFont="1" applyFill="1" applyBorder="1"/>
    <xf numFmtId="43" fontId="26" fillId="0" borderId="27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2" xfId="24" applyNumberFormat="1" applyFont="1" applyFill="1" applyBorder="1" applyAlignment="1">
      <alignment horizontal="left"/>
    </xf>
    <xf numFmtId="43" fontId="26" fillId="0" borderId="22" xfId="9" applyFont="1" applyFill="1" applyBorder="1"/>
    <xf numFmtId="0" fontId="33" fillId="0" borderId="0" xfId="24" applyFont="1" applyFill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6" xfId="137" quotePrefix="1" applyNumberFormat="1" applyFont="1" applyFill="1" applyBorder="1" applyAlignment="1">
      <alignment horizontal="right"/>
    </xf>
    <xf numFmtId="14" fontId="27" fillId="0" borderId="25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8" borderId="25" xfId="139" applyNumberFormat="1" applyFont="1" applyFill="1" applyBorder="1"/>
    <xf numFmtId="169" fontId="39" fillId="8" borderId="25" xfId="145" applyNumberFormat="1" applyFont="1" applyFill="1" applyBorder="1" applyAlignment="1">
      <alignment horizontal="center"/>
    </xf>
    <xf numFmtId="43" fontId="26" fillId="0" borderId="28" xfId="138" applyFont="1" applyFill="1" applyBorder="1"/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0" fontId="27" fillId="0" borderId="32" xfId="137" applyFont="1" applyBorder="1" applyAlignment="1">
      <alignment horizontal="center" wrapText="1"/>
    </xf>
    <xf numFmtId="43" fontId="35" fillId="8" borderId="34" xfId="138" applyFont="1" applyFill="1" applyBorder="1"/>
    <xf numFmtId="43" fontId="35" fillId="8" borderId="36" xfId="138" applyFont="1" applyFill="1" applyBorder="1"/>
    <xf numFmtId="43" fontId="26" fillId="0" borderId="29" xfId="138" applyFont="1" applyFill="1" applyBorder="1"/>
    <xf numFmtId="43" fontId="26" fillId="0" borderId="37" xfId="138" applyFont="1" applyFill="1" applyBorder="1"/>
    <xf numFmtId="173" fontId="35" fillId="8" borderId="33" xfId="138" applyNumberFormat="1" applyFont="1" applyFill="1" applyBorder="1"/>
    <xf numFmtId="38" fontId="35" fillId="8" borderId="33" xfId="138" applyNumberFormat="1" applyFont="1" applyFill="1" applyBorder="1"/>
    <xf numFmtId="0" fontId="27" fillId="0" borderId="38" xfId="137" applyFont="1" applyBorder="1" applyAlignment="1">
      <alignment horizontal="center" wrapText="1"/>
    </xf>
    <xf numFmtId="43" fontId="26" fillId="0" borderId="38" xfId="138" applyFont="1" applyFill="1" applyBorder="1"/>
    <xf numFmtId="43" fontId="26" fillId="0" borderId="34" xfId="138" applyFont="1" applyFill="1" applyBorder="1"/>
    <xf numFmtId="0" fontId="27" fillId="0" borderId="37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7" xfId="139" applyNumberFormat="1" applyFont="1" applyFill="1" applyBorder="1"/>
    <xf numFmtId="43" fontId="26" fillId="0" borderId="39" xfId="138" applyFont="1" applyFill="1" applyBorder="1"/>
    <xf numFmtId="173" fontId="35" fillId="8" borderId="35" xfId="138" applyNumberFormat="1" applyFont="1" applyFill="1" applyBorder="1"/>
    <xf numFmtId="38" fontId="35" fillId="8" borderId="35" xfId="138" applyNumberFormat="1" applyFont="1" applyFill="1" applyBorder="1"/>
    <xf numFmtId="43" fontId="26" fillId="0" borderId="40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41" xfId="138" applyFont="1" applyFill="1" applyBorder="1"/>
    <xf numFmtId="43" fontId="26" fillId="0" borderId="42" xfId="138" applyFont="1" applyFill="1" applyBorder="1"/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7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37" fontId="12" fillId="9" borderId="5" xfId="0" applyNumberFormat="1" applyFont="1" applyFill="1" applyBorder="1" applyProtection="1"/>
    <xf numFmtId="174" fontId="12" fillId="0" borderId="43" xfId="0" applyNumberFormat="1" applyFont="1" applyFill="1" applyBorder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5" xfId="137" quotePrefix="1" applyNumberFormat="1" applyFont="1" applyFill="1" applyBorder="1" applyAlignment="1">
      <alignment horizontal="right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12" fillId="0" borderId="0" xfId="2" applyNumberFormat="1" applyFont="1" applyFill="1" applyBorder="1"/>
    <xf numFmtId="174" fontId="12" fillId="0" borderId="44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5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8" xfId="138" applyFont="1" applyFill="1" applyBorder="1"/>
    <xf numFmtId="43" fontId="35" fillId="8" borderId="38" xfId="138" applyFont="1" applyFill="1" applyBorder="1"/>
    <xf numFmtId="43" fontId="35" fillId="8" borderId="39" xfId="138" applyFont="1" applyFill="1" applyBorder="1"/>
    <xf numFmtId="43" fontId="26" fillId="0" borderId="23" xfId="138" applyFont="1" applyFill="1" applyBorder="1"/>
    <xf numFmtId="43" fontId="42" fillId="8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 applyFill="1" applyBorder="1"/>
    <xf numFmtId="39" fontId="12" fillId="6" borderId="0" xfId="0" applyFont="1" applyFill="1"/>
    <xf numFmtId="39" fontId="12" fillId="6" borderId="0" xfId="0" applyFont="1" applyFill="1" applyAlignment="1">
      <alignment horizontal="right"/>
    </xf>
    <xf numFmtId="43" fontId="12" fillId="6" borderId="9" xfId="1" applyNumberFormat="1" applyFont="1" applyFill="1" applyBorder="1" applyProtection="1">
      <protection locked="0"/>
    </xf>
    <xf numFmtId="39" fontId="12" fillId="0" borderId="17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12" fillId="0" borderId="0" xfId="0" applyNumberFormat="1" applyFont="1" applyFill="1"/>
    <xf numFmtId="170" fontId="14" fillId="0" borderId="0" xfId="0" applyNumberFormat="1" applyFont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/>
    <xf numFmtId="43" fontId="42" fillId="6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5" fillId="6" borderId="22" xfId="138" applyFont="1" applyFill="1" applyBorder="1"/>
    <xf numFmtId="0" fontId="43" fillId="0" borderId="0" xfId="137" applyFont="1" applyFill="1" applyBorder="1"/>
    <xf numFmtId="39" fontId="14" fillId="0" borderId="0" xfId="0" applyFont="1" applyAlignment="1">
      <alignment horizontal="right"/>
    </xf>
    <xf numFmtId="39" fontId="14" fillId="0" borderId="0" xfId="0" applyFont="1" applyBorder="1"/>
    <xf numFmtId="39" fontId="44" fillId="0" borderId="0" xfId="0" applyFont="1" applyAlignment="1">
      <alignment horizontal="right"/>
    </xf>
    <xf numFmtId="39" fontId="44" fillId="0" borderId="0" xfId="0" applyFont="1" applyBorder="1"/>
    <xf numFmtId="0" fontId="43" fillId="0" borderId="0" xfId="137" applyFont="1" applyBorder="1"/>
    <xf numFmtId="0" fontId="37" fillId="0" borderId="0" xfId="137" applyFont="1" applyBorder="1"/>
    <xf numFmtId="43" fontId="43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3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U1482"/>
  <sheetViews>
    <sheetView showGridLines="0" topLeftCell="B46" zoomScale="70" zoomScaleNormal="7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9.5546875" style="87" bestFit="1" customWidth="1"/>
    <col min="7" max="7" width="16.44140625" style="87" bestFit="1" customWidth="1"/>
    <col min="8" max="9" width="18.33203125" style="87" bestFit="1" customWidth="1"/>
    <col min="10" max="10" width="21" style="87" bestFit="1" customWidth="1"/>
    <col min="11" max="11" width="18.33203125" style="87" bestFit="1" customWidth="1"/>
    <col min="12" max="12" width="19.5546875" style="87" bestFit="1" customWidth="1"/>
    <col min="13" max="13" width="17.5546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202001</v>
      </c>
      <c r="F1" s="92">
        <f>C1</f>
        <v>202001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31326.28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ROUND(G45/(G45+K43),4)</f>
        <v>0.68210000000000004</v>
      </c>
      <c r="L5" s="247">
        <f>1-K5</f>
        <v>0.31789999999999996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1387881.5099999998</v>
      </c>
      <c r="D7" s="17"/>
      <c r="F7" s="58" t="s">
        <v>175</v>
      </c>
      <c r="G7" s="58"/>
      <c r="H7" s="40">
        <f>C32</f>
        <v>2354378.3599999994</v>
      </c>
      <c r="I7" s="59">
        <f>H7*I5</f>
        <v>1616987.0576479996</v>
      </c>
      <c r="J7" s="59">
        <f>H7*J5</f>
        <v>737391.3023519998</v>
      </c>
      <c r="K7" s="59"/>
      <c r="L7" s="59"/>
      <c r="M7" s="88"/>
    </row>
    <row r="8" spans="1:13" ht="15.6" customHeight="1">
      <c r="A8" s="87" t="s">
        <v>39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f>12.08+9000.71</f>
        <v>9012.7899999999991</v>
      </c>
      <c r="D9" s="18"/>
      <c r="F9" s="58" t="s">
        <v>53</v>
      </c>
      <c r="G9" s="88"/>
      <c r="H9" s="248">
        <f>C52</f>
        <v>6964408.8299999963</v>
      </c>
      <c r="I9" s="59"/>
      <c r="J9" s="59"/>
      <c r="K9" s="250">
        <f>H9*K5</f>
        <v>4750423.2629429977</v>
      </c>
      <c r="L9" s="250">
        <f>H9*L5</f>
        <v>2213985.5670569986</v>
      </c>
      <c r="M9" s="88"/>
    </row>
    <row r="10" spans="1:13" ht="15.6" customHeight="1">
      <c r="A10" s="27" t="s">
        <v>41</v>
      </c>
      <c r="C10" s="237">
        <v>-2848.33</v>
      </c>
      <c r="D10" s="18"/>
      <c r="F10" s="61" t="s">
        <v>21</v>
      </c>
      <c r="G10" s="88"/>
      <c r="H10" s="248">
        <f>C53</f>
        <v>17497.73</v>
      </c>
      <c r="I10" s="59"/>
      <c r="J10" s="59"/>
      <c r="K10" s="250">
        <f>H10</f>
        <v>17497.73</v>
      </c>
      <c r="L10" s="250"/>
      <c r="M10" s="88"/>
    </row>
    <row r="11" spans="1:13" ht="15.6" customHeight="1">
      <c r="A11" s="30" t="s">
        <v>70</v>
      </c>
      <c r="C11" s="235">
        <f>SUM(C8:C10)</f>
        <v>216731.67</v>
      </c>
      <c r="D11" s="18"/>
      <c r="F11" s="61" t="s">
        <v>22</v>
      </c>
      <c r="G11" s="88"/>
      <c r="H11" s="249">
        <f>C54</f>
        <v>8209.7199999999993</v>
      </c>
      <c r="I11" s="59"/>
      <c r="J11" s="59"/>
      <c r="K11" s="251"/>
      <c r="L11" s="251">
        <f>H11</f>
        <v>8209.7199999999993</v>
      </c>
      <c r="M11" s="88"/>
    </row>
    <row r="12" spans="1:13" ht="15.6" customHeight="1">
      <c r="A12" s="87" t="s">
        <v>120</v>
      </c>
      <c r="C12" s="236">
        <f>-2959.06+231669.79</f>
        <v>228710.73</v>
      </c>
      <c r="D12" s="18"/>
      <c r="F12" s="61" t="s">
        <v>68</v>
      </c>
      <c r="G12" s="88"/>
      <c r="H12" s="234">
        <f>H9+H10+H11</f>
        <v>6990116.2799999965</v>
      </c>
      <c r="I12" s="59"/>
      <c r="J12" s="59"/>
      <c r="K12" s="59">
        <f>SUM(K9:K11)</f>
        <v>4767920.9929429982</v>
      </c>
      <c r="L12" s="59">
        <f>SUM(L9:L11)</f>
        <v>2222195.2870569988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228710.73</v>
      </c>
      <c r="D14" s="19"/>
      <c r="F14" s="88" t="s">
        <v>30</v>
      </c>
      <c r="G14" s="58"/>
      <c r="H14" s="40">
        <f>H12+H7</f>
        <v>9344494.6399999969</v>
      </c>
      <c r="I14" s="221">
        <f>SUM(I7:I13)</f>
        <v>1616987.0576479996</v>
      </c>
      <c r="J14" s="221">
        <f>SUM(J7:J13)</f>
        <v>737391.3023519998</v>
      </c>
      <c r="K14" s="221">
        <f>K12</f>
        <v>4767920.9929429982</v>
      </c>
      <c r="L14" s="221">
        <f>L12</f>
        <v>2222195.2870569988</v>
      </c>
      <c r="M14" s="88"/>
    </row>
    <row r="15" spans="1:13" ht="15.6" customHeight="1">
      <c r="A15" s="87" t="s">
        <v>92</v>
      </c>
      <c r="C15" s="236">
        <f>-5367.24+454549.89</f>
        <v>449182.65</v>
      </c>
      <c r="D15" s="18"/>
      <c r="F15" s="88"/>
      <c r="G15" s="30" t="s">
        <v>46</v>
      </c>
      <c r="H15" s="245">
        <f>H14-C57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449182.65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99088.53+9822.8-1795.34</f>
        <v>107115.99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>
        <v>-2031.07</v>
      </c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160" t="s">
        <v>10</v>
      </c>
    </row>
    <row r="20" spans="1:13" ht="15.6" customHeight="1" thickBot="1">
      <c r="A20" s="31" t="s">
        <v>123</v>
      </c>
      <c r="C20" s="235">
        <f>SUM(C18:C19)</f>
        <v>105084.92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3244.88+1850</f>
        <v>5094.88</v>
      </c>
      <c r="D21" s="18"/>
      <c r="F21" s="51"/>
      <c r="G21" s="159"/>
      <c r="H21" s="159"/>
      <c r="I21" s="160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5094.88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0">
        <v>0</v>
      </c>
      <c r="D23" s="18"/>
      <c r="F23" s="74" t="s">
        <v>14</v>
      </c>
      <c r="G23" s="93">
        <v>19882002</v>
      </c>
      <c r="H23" s="226">
        <v>9.6509999999999999E-2</v>
      </c>
      <c r="I23" s="256">
        <f t="shared" ref="I23:I31" si="0">G23*H23</f>
        <v>1918812.01302</v>
      </c>
      <c r="J23" s="74" t="s">
        <v>14</v>
      </c>
      <c r="K23" s="93">
        <v>9871600</v>
      </c>
      <c r="L23" s="226">
        <v>9.2950000000000005E-2</v>
      </c>
      <c r="M23" s="256">
        <f>K23*L23</f>
        <v>917565.22000000009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20223</v>
      </c>
      <c r="H24" s="226">
        <v>9.6509999999999999E-2</v>
      </c>
      <c r="I24" s="256">
        <f t="shared" si="0"/>
        <v>1951.72173</v>
      </c>
      <c r="J24" s="74" t="s">
        <v>15</v>
      </c>
      <c r="K24" s="93">
        <v>3247879</v>
      </c>
      <c r="L24" s="226">
        <f>L23</f>
        <v>9.2950000000000005E-2</v>
      </c>
      <c r="M24" s="256">
        <f>K24*L24</f>
        <v>301890.35305000003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7441465</v>
      </c>
      <c r="H25" s="226">
        <v>8.727E-2</v>
      </c>
      <c r="I25" s="256">
        <f t="shared" si="0"/>
        <v>649416.65055000002</v>
      </c>
      <c r="J25" s="74" t="s">
        <v>16</v>
      </c>
      <c r="K25" s="93">
        <v>980</v>
      </c>
      <c r="L25" s="226">
        <f t="shared" ref="L25" si="1">L24</f>
        <v>9.2950000000000005E-2</v>
      </c>
      <c r="M25" s="256">
        <f>K25*L25</f>
        <v>91.091000000000008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18232</v>
      </c>
      <c r="H26" s="226">
        <v>8.727E-2</v>
      </c>
      <c r="I26" s="256">
        <f t="shared" si="0"/>
        <v>1591.10664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176036</v>
      </c>
      <c r="H27" s="226">
        <v>8.727E-2</v>
      </c>
      <c r="I27" s="256">
        <f t="shared" si="0"/>
        <v>15362.66172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412402</v>
      </c>
      <c r="H28" s="226">
        <v>8.727E-2</v>
      </c>
      <c r="I28" s="256">
        <f t="shared" si="0"/>
        <v>35990.322540000001</v>
      </c>
      <c r="J28" s="73" t="s">
        <v>58</v>
      </c>
      <c r="K28" s="254">
        <f>SUM(K23:K27)</f>
        <v>13120459</v>
      </c>
      <c r="L28" s="255"/>
      <c r="M28" s="71">
        <f>SUM(M23:M27)</f>
        <v>1219546.6640500003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13120459</v>
      </c>
      <c r="L29" s="65"/>
      <c r="M29" s="257">
        <f>M28/K28</f>
        <v>9.2950000000000019E-2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2392686.3599999994</v>
      </c>
      <c r="D30" s="19"/>
      <c r="F30" s="74" t="s">
        <v>20</v>
      </c>
      <c r="G30" s="93">
        <v>199430</v>
      </c>
      <c r="H30" s="226">
        <v>5.5910000000000001E-2</v>
      </c>
      <c r="I30" s="256">
        <f t="shared" si="0"/>
        <v>11150.131300000001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-38308</v>
      </c>
      <c r="D31" s="20"/>
      <c r="F31" s="74" t="s">
        <v>35</v>
      </c>
      <c r="G31" s="93">
        <v>3311586</v>
      </c>
      <c r="H31" s="226">
        <v>5.4000000000000001E-4</v>
      </c>
      <c r="I31" s="256">
        <f t="shared" si="0"/>
        <v>1788.2564400000001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2354378.3599999994</v>
      </c>
      <c r="D32" s="21"/>
      <c r="F32" s="73" t="s">
        <v>58</v>
      </c>
      <c r="G32" s="254">
        <f>SUM(G23:G31)</f>
        <v>31461376</v>
      </c>
      <c r="H32" s="6"/>
      <c r="I32" s="71">
        <f>SUM(I23:I31)</f>
        <v>2636062.8639400005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31461376</v>
      </c>
      <c r="H33" s="65"/>
      <c r="I33" s="257">
        <f>I32/G32</f>
        <v>8.3787271858039539E-2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68"/>
      <c r="L34" s="4"/>
      <c r="M34" s="36"/>
    </row>
    <row r="35" spans="1:17" ht="15.6" customHeight="1">
      <c r="A35" s="4" t="s">
        <v>60</v>
      </c>
      <c r="B35" s="29" t="s">
        <v>51</v>
      </c>
      <c r="C35" s="236">
        <v>10478070.119999999</v>
      </c>
      <c r="D35" s="18"/>
      <c r="F35" s="51"/>
      <c r="G35" s="159"/>
      <c r="H35" s="159"/>
      <c r="I35" s="160"/>
      <c r="J35" s="73" t="s">
        <v>59</v>
      </c>
      <c r="K35" s="315"/>
      <c r="L35" s="315"/>
      <c r="M35" s="316"/>
    </row>
    <row r="36" spans="1:17" ht="15.6" customHeight="1">
      <c r="A36" s="47" t="s">
        <v>5</v>
      </c>
      <c r="B36" s="29" t="s">
        <v>51</v>
      </c>
      <c r="C36" s="236"/>
      <c r="D36" s="18"/>
      <c r="F36" s="73" t="s">
        <v>59</v>
      </c>
      <c r="G36" s="4"/>
      <c r="H36" s="4"/>
      <c r="I36" s="36"/>
      <c r="J36" s="74" t="s">
        <v>14</v>
      </c>
      <c r="K36" s="93">
        <f>K23</f>
        <v>9871600</v>
      </c>
      <c r="L36" s="226">
        <v>0.15198999999999999</v>
      </c>
      <c r="M36" s="256">
        <f t="shared" ref="M36:M42" si="2">K36*L36</f>
        <v>1500384.4839999999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-30385.64</v>
      </c>
      <c r="D37" s="18"/>
      <c r="F37" s="74" t="s">
        <v>14</v>
      </c>
      <c r="G37" s="93">
        <f t="shared" ref="G37:G44" si="3">G23</f>
        <v>19882002</v>
      </c>
      <c r="H37" s="226">
        <v>0.15284</v>
      </c>
      <c r="I37" s="256">
        <f t="shared" ref="I37:I44" si="4">G37*H37</f>
        <v>3038765.1856800001</v>
      </c>
      <c r="J37" s="74" t="s">
        <v>15</v>
      </c>
      <c r="K37" s="93">
        <f>K24</f>
        <v>3247879</v>
      </c>
      <c r="L37" s="226">
        <f>L36</f>
        <v>0.15198999999999999</v>
      </c>
      <c r="M37" s="256">
        <f t="shared" si="2"/>
        <v>493645.12920999993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-500504.75</v>
      </c>
      <c r="D38" s="18"/>
      <c r="F38" s="74" t="s">
        <v>105</v>
      </c>
      <c r="G38" s="93">
        <f t="shared" si="3"/>
        <v>20223</v>
      </c>
      <c r="H38" s="226">
        <f>H37</f>
        <v>0.15284</v>
      </c>
      <c r="I38" s="256">
        <f t="shared" si="4"/>
        <v>3090.8833199999999</v>
      </c>
      <c r="J38" s="74" t="s">
        <v>16</v>
      </c>
      <c r="K38" s="93">
        <f>K25</f>
        <v>980</v>
      </c>
      <c r="L38" s="226">
        <f t="shared" ref="L38:L42" si="5">L37</f>
        <v>0.15198999999999999</v>
      </c>
      <c r="M38" s="256">
        <f t="shared" si="2"/>
        <v>148.9502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116900.62</v>
      </c>
      <c r="D39" s="18"/>
      <c r="F39" s="74" t="s">
        <v>15</v>
      </c>
      <c r="G39" s="93">
        <f t="shared" si="3"/>
        <v>7441465</v>
      </c>
      <c r="H39" s="226">
        <f t="shared" ref="H39:H44" si="6">H38</f>
        <v>0.15284</v>
      </c>
      <c r="I39" s="256">
        <f t="shared" si="4"/>
        <v>1137353.5105999999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2"/>
        <v>0</v>
      </c>
      <c r="P39" s="81"/>
      <c r="Q39" s="81"/>
    </row>
    <row r="40" spans="1:17" ht="15.6" customHeight="1" thickBot="1">
      <c r="A40" s="4" t="s">
        <v>87</v>
      </c>
      <c r="B40" s="29" t="s">
        <v>88</v>
      </c>
      <c r="C40" s="236">
        <v>1348322.43</v>
      </c>
      <c r="D40" s="18"/>
      <c r="F40" s="74" t="s">
        <v>16</v>
      </c>
      <c r="G40" s="93">
        <f t="shared" si="3"/>
        <v>18232</v>
      </c>
      <c r="H40" s="226">
        <f t="shared" si="6"/>
        <v>0.15284</v>
      </c>
      <c r="I40" s="256">
        <f t="shared" si="4"/>
        <v>2786.57888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2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11412402.779999997</v>
      </c>
      <c r="D41" s="18"/>
      <c r="F41" s="74" t="s">
        <v>17</v>
      </c>
      <c r="G41" s="93">
        <f t="shared" si="3"/>
        <v>176036</v>
      </c>
      <c r="H41" s="226">
        <f t="shared" si="6"/>
        <v>0.15284</v>
      </c>
      <c r="I41" s="256">
        <f t="shared" si="4"/>
        <v>26905.342240000002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2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4267253.61-353110.41+0.01</f>
        <v>3914143.21</v>
      </c>
      <c r="D42" s="19"/>
      <c r="F42" s="74" t="s">
        <v>18</v>
      </c>
      <c r="G42" s="93">
        <f t="shared" si="3"/>
        <v>412402</v>
      </c>
      <c r="H42" s="226">
        <f t="shared" si="6"/>
        <v>0.15284</v>
      </c>
      <c r="I42" s="256">
        <f t="shared" si="4"/>
        <v>63031.521679999998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2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0">
        <v>0</v>
      </c>
      <c r="D43" s="18"/>
      <c r="F43" s="74" t="s">
        <v>19</v>
      </c>
      <c r="G43" s="93">
        <f t="shared" si="3"/>
        <v>0</v>
      </c>
      <c r="H43" s="226">
        <f t="shared" si="6"/>
        <v>0.15284</v>
      </c>
      <c r="I43" s="256">
        <f t="shared" si="4"/>
        <v>0</v>
      </c>
      <c r="J43" s="73" t="s">
        <v>63</v>
      </c>
      <c r="K43" s="254">
        <f>SUM(K36:K42)</f>
        <v>13120459</v>
      </c>
      <c r="L43" s="255"/>
      <c r="M43" s="71">
        <f>SUM(M36:M42)</f>
        <v>1994178.5634099999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4" t="s">
        <v>20</v>
      </c>
      <c r="G44" s="93">
        <f t="shared" si="3"/>
        <v>199430</v>
      </c>
      <c r="H44" s="226">
        <f t="shared" si="6"/>
        <v>0.15284</v>
      </c>
      <c r="I44" s="256">
        <f t="shared" si="4"/>
        <v>30480.8812</v>
      </c>
      <c r="J44" s="66"/>
      <c r="K44" s="258">
        <v>13120459</v>
      </c>
      <c r="L44" s="67"/>
      <c r="M44" s="260">
        <f>M43/K43</f>
        <v>0.15198999999999999</v>
      </c>
    </row>
    <row r="45" spans="1:17" ht="15.6" customHeight="1" thickBot="1">
      <c r="A45" s="4" t="s">
        <v>195</v>
      </c>
      <c r="B45" s="29" t="s">
        <v>74</v>
      </c>
      <c r="C45" s="236">
        <v>18454.84</v>
      </c>
      <c r="D45" s="20"/>
      <c r="F45" s="73" t="s">
        <v>63</v>
      </c>
      <c r="G45" s="254">
        <f>SUM(G37:G44)</f>
        <v>28149790</v>
      </c>
      <c r="H45" s="255"/>
      <c r="I45" s="71">
        <f>SUM(I37:I44)</f>
        <v>4302413.9035999998</v>
      </c>
      <c r="J45" s="39"/>
      <c r="K45" s="245">
        <f>K43-K44</f>
        <v>0</v>
      </c>
      <c r="L45" s="65" t="s">
        <v>46</v>
      </c>
      <c r="M45" s="39"/>
    </row>
    <row r="46" spans="1:17" ht="15.6" customHeight="1" thickTop="1" thickBot="1">
      <c r="A46" s="4" t="s">
        <v>98</v>
      </c>
      <c r="B46" s="29" t="s">
        <v>74</v>
      </c>
      <c r="C46" s="236">
        <v>2978.03</v>
      </c>
      <c r="D46" s="21"/>
      <c r="F46" s="66"/>
      <c r="G46" s="259">
        <v>28149790</v>
      </c>
      <c r="H46" s="67"/>
      <c r="I46" s="260">
        <f>I45/G45</f>
        <v>0.15284</v>
      </c>
      <c r="J46" s="39"/>
      <c r="K46" s="95"/>
      <c r="L46" s="88"/>
      <c r="M46" s="39"/>
    </row>
    <row r="47" spans="1:17" ht="15.6" customHeight="1">
      <c r="A47" s="4" t="s">
        <v>106</v>
      </c>
      <c r="B47" s="29" t="s">
        <v>74</v>
      </c>
      <c r="C47" s="236">
        <v>3620.94</v>
      </c>
      <c r="D47" s="18"/>
      <c r="F47" s="88"/>
      <c r="G47" s="245">
        <f>G45-G46</f>
        <v>0</v>
      </c>
      <c r="H47" s="65" t="s">
        <v>46</v>
      </c>
      <c r="I47" s="88"/>
      <c r="J47" s="39"/>
      <c r="K47" s="95"/>
      <c r="L47" s="88"/>
      <c r="M47" s="39"/>
    </row>
    <row r="48" spans="1:17" ht="15.6" customHeight="1" thickBot="1">
      <c r="A48" s="10" t="s">
        <v>52</v>
      </c>
      <c r="B48" s="8"/>
      <c r="C48" s="240">
        <f>-C31</f>
        <v>38308</v>
      </c>
      <c r="D48" s="18"/>
      <c r="F48" s="88"/>
      <c r="G48" s="88"/>
      <c r="H48" s="88"/>
      <c r="I48" s="88"/>
      <c r="J48" s="39"/>
      <c r="K48" s="38"/>
      <c r="L48" s="88"/>
      <c r="M48" s="68"/>
    </row>
    <row r="49" spans="1:20" ht="15.6" customHeight="1">
      <c r="A49" s="88" t="s">
        <v>196</v>
      </c>
      <c r="B49" s="29" t="s">
        <v>109</v>
      </c>
      <c r="C49" s="236">
        <f>8220.36+4906.75</f>
        <v>13127.11</v>
      </c>
      <c r="D49" s="18"/>
      <c r="F49" s="88"/>
      <c r="G49" s="38"/>
      <c r="H49" s="44" t="s">
        <v>12</v>
      </c>
      <c r="I49" s="7" t="s">
        <v>12</v>
      </c>
      <c r="J49" s="7" t="s">
        <v>24</v>
      </c>
      <c r="K49" s="42" t="s">
        <v>31</v>
      </c>
      <c r="L49" s="39"/>
      <c r="M49" s="88"/>
    </row>
    <row r="50" spans="1:20" ht="15.6" customHeight="1" thickBot="1">
      <c r="A50" s="86" t="s">
        <v>56</v>
      </c>
      <c r="B50" s="94" t="s">
        <v>102</v>
      </c>
      <c r="C50" s="236">
        <f>707278.06-5504996.25-3272907.89</f>
        <v>-8070626.0800000001</v>
      </c>
      <c r="D50" s="19"/>
      <c r="F50" s="28" t="s">
        <v>34</v>
      </c>
      <c r="G50" s="88"/>
      <c r="H50" s="45" t="s">
        <v>1</v>
      </c>
      <c r="I50" s="46" t="s">
        <v>2</v>
      </c>
      <c r="J50" s="46" t="s">
        <v>1</v>
      </c>
      <c r="K50" s="43" t="s">
        <v>2</v>
      </c>
      <c r="L50" s="88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/>
      <c r="G51" s="88"/>
      <c r="H51" s="49"/>
      <c r="I51" s="50"/>
      <c r="J51" s="50"/>
      <c r="K51" s="50"/>
      <c r="L51" s="214"/>
      <c r="M51" s="88"/>
    </row>
    <row r="52" spans="1:20" ht="15.6" customHeight="1" thickBot="1">
      <c r="A52" s="32" t="s">
        <v>53</v>
      </c>
      <c r="B52" s="246"/>
      <c r="C52" s="53">
        <f>SUM(C41:C51)</f>
        <v>6964408.8299999963</v>
      </c>
      <c r="D52" s="217"/>
      <c r="F52" s="88" t="s">
        <v>66</v>
      </c>
      <c r="G52" s="88"/>
      <c r="H52" s="227">
        <f>K12</f>
        <v>4767920.9929429982</v>
      </c>
      <c r="I52" s="228">
        <f>I14</f>
        <v>1616987.0576479996</v>
      </c>
      <c r="J52" s="228">
        <f>L12</f>
        <v>2222195.2870569988</v>
      </c>
      <c r="K52" s="228">
        <f>J14</f>
        <v>737391.3023519998</v>
      </c>
      <c r="L52" s="229">
        <f>SUM(H52:K52)</f>
        <v>9344494.6399999969</v>
      </c>
      <c r="M52" s="88"/>
    </row>
    <row r="53" spans="1:20" ht="15.6" customHeight="1" thickTop="1" thickBot="1">
      <c r="A53" s="87" t="s">
        <v>193</v>
      </c>
      <c r="B53" s="8" t="s">
        <v>115</v>
      </c>
      <c r="C53" s="236">
        <v>17497.73</v>
      </c>
      <c r="D53" s="18"/>
      <c r="F53" s="87" t="s">
        <v>48</v>
      </c>
      <c r="H53" s="227">
        <f>-I45</f>
        <v>-4302413.9035999998</v>
      </c>
      <c r="I53" s="228">
        <f>-I32</f>
        <v>-2636062.8639400005</v>
      </c>
      <c r="J53" s="228">
        <f>-M43</f>
        <v>-1994178.5634099999</v>
      </c>
      <c r="K53" s="228">
        <f>-M28</f>
        <v>-1219546.6640500003</v>
      </c>
      <c r="L53" s="230">
        <f>SUM(H53:K53)</f>
        <v>-10152201.994999999</v>
      </c>
    </row>
    <row r="54" spans="1:20" ht="15.6" customHeight="1" thickBot="1">
      <c r="A54" s="87" t="s">
        <v>194</v>
      </c>
      <c r="B54" s="8" t="s">
        <v>116</v>
      </c>
      <c r="C54" s="236">
        <v>8209.7199999999993</v>
      </c>
      <c r="D54" s="18"/>
      <c r="F54" s="87" t="s">
        <v>37</v>
      </c>
      <c r="H54" s="231">
        <v>0</v>
      </c>
      <c r="I54" s="232">
        <v>0</v>
      </c>
      <c r="J54" s="232">
        <v>0</v>
      </c>
      <c r="K54" s="233">
        <v>0</v>
      </c>
      <c r="L54" s="80"/>
    </row>
    <row r="55" spans="1:20" ht="15.6" customHeight="1" thickBot="1">
      <c r="A55" s="1" t="s">
        <v>177</v>
      </c>
      <c r="C55" s="53">
        <f>SUM(C52:C54)</f>
        <v>6990116.2799999965</v>
      </c>
      <c r="D55" s="18"/>
      <c r="F55" s="1" t="s">
        <v>32</v>
      </c>
      <c r="H55" s="262">
        <f>H52+H53+H54</f>
        <v>465507.08934299834</v>
      </c>
      <c r="I55" s="262">
        <f>I52+I53+I54</f>
        <v>-1019075.8062920009</v>
      </c>
      <c r="J55" s="262">
        <f>J52+J53+J54</f>
        <v>228016.72364699887</v>
      </c>
      <c r="K55" s="262">
        <f>K52+K53+K54</f>
        <v>-482155.36169800046</v>
      </c>
      <c r="L55" s="26">
        <f>SUM(H55:K55)</f>
        <v>-807707.35500000417</v>
      </c>
    </row>
    <row r="56" spans="1:20" ht="15.6" customHeight="1" thickTop="1" thickBot="1">
      <c r="C56" s="243"/>
      <c r="D56" s="18"/>
      <c r="F56" s="87" t="s">
        <v>90</v>
      </c>
      <c r="H56" s="87" t="s">
        <v>82</v>
      </c>
      <c r="I56" s="2">
        <f>SUM(H55:I55)</f>
        <v>-553568.71694900258</v>
      </c>
      <c r="J56" s="8" t="s">
        <v>83</v>
      </c>
      <c r="K56" s="87">
        <f>SUM(J55:K55)</f>
        <v>-254138.63805100159</v>
      </c>
      <c r="L56"/>
      <c r="T56" s="22"/>
    </row>
    <row r="57" spans="1:20" ht="15.6" customHeight="1" thickBot="1">
      <c r="A57" s="8"/>
      <c r="B57" s="8" t="s">
        <v>43</v>
      </c>
      <c r="C57" s="40">
        <f>C55+C32</f>
        <v>9344494.6399999969</v>
      </c>
      <c r="D57" s="18"/>
      <c r="F57" s="208" t="s">
        <v>91</v>
      </c>
      <c r="H57" s="35"/>
    </row>
    <row r="58" spans="1:20" ht="15.6" customHeight="1" thickBot="1">
      <c r="A58" s="30"/>
      <c r="B58" s="30"/>
      <c r="C58" s="238"/>
      <c r="D58" s="18"/>
      <c r="F58" s="208"/>
      <c r="H58" s="52"/>
      <c r="I58" s="209"/>
      <c r="J58" s="209"/>
      <c r="K58" s="75"/>
      <c r="L58" s="209"/>
    </row>
    <row r="59" spans="1:20" ht="15.6" customHeight="1">
      <c r="B59" s="8" t="s">
        <v>176</v>
      </c>
      <c r="C59" s="236">
        <v>9344494.6400000006</v>
      </c>
      <c r="D59" s="18"/>
      <c r="F59" s="210" t="s">
        <v>103</v>
      </c>
      <c r="G59" s="87" t="str">
        <f>IF(OR(AND(I56&gt;0,K56&gt;0),AND(I56&lt;0,K56&lt;0)),"OK","ERROR")</f>
        <v>OK</v>
      </c>
      <c r="H59" s="89" t="s">
        <v>101</v>
      </c>
      <c r="I59" s="90"/>
    </row>
    <row r="60" spans="1:20" ht="15.6" customHeight="1" thickBot="1">
      <c r="A60" s="8"/>
      <c r="B60" s="8" t="s">
        <v>77</v>
      </c>
      <c r="C60" s="245">
        <f>ROUND(C57-C59,2)</f>
        <v>0</v>
      </c>
      <c r="D60" s="18"/>
      <c r="H60" s="82" t="s">
        <v>84</v>
      </c>
      <c r="I60" s="83" t="s">
        <v>85</v>
      </c>
      <c r="J60" s="2"/>
    </row>
    <row r="61" spans="1:20" ht="15.6" customHeight="1" thickBot="1">
      <c r="C61" s="85"/>
      <c r="D61" s="19"/>
      <c r="H61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1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2" spans="1:20" ht="15.6" customHeight="1">
      <c r="C62" s="5"/>
      <c r="G62" s="2"/>
      <c r="I62" s="261" t="e">
        <f>H61-I61</f>
        <v>#REF!</v>
      </c>
      <c r="N62" s="2"/>
      <c r="O62" s="2"/>
      <c r="P62" s="211"/>
    </row>
    <row r="63" spans="1:20" ht="15.6" customHeight="1">
      <c r="C63" s="5"/>
      <c r="D63" s="18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N65" s="10"/>
      <c r="S65" s="12"/>
    </row>
    <row r="66" spans="4:21" ht="15.6" customHeight="1">
      <c r="D66" s="18"/>
      <c r="H66" s="35"/>
      <c r="N66" s="10"/>
      <c r="S66" s="12"/>
    </row>
    <row r="67" spans="4:21" ht="15.6" customHeight="1">
      <c r="D67" s="18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N70" s="10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383" priority="57" stopIfTrue="1" operator="equal">
      <formula>0</formula>
    </cfRule>
    <cfRule type="cellIs" dxfId="382" priority="58" stopIfTrue="1" operator="notEqual">
      <formula>0</formula>
    </cfRule>
  </conditionalFormatting>
  <conditionalFormatting sqref="K46:K47">
    <cfRule type="cellIs" dxfId="381" priority="50" operator="notEqual">
      <formula>0</formula>
    </cfRule>
  </conditionalFormatting>
  <conditionalFormatting sqref="C60">
    <cfRule type="cellIs" dxfId="380" priority="44" stopIfTrue="1" operator="equal">
      <formula>0</formula>
    </cfRule>
    <cfRule type="cellIs" dxfId="379" priority="45" stopIfTrue="1" operator="notEqual">
      <formula>0</formula>
    </cfRule>
  </conditionalFormatting>
  <conditionalFormatting sqref="G59">
    <cfRule type="cellIs" dxfId="378" priority="32" operator="equal">
      <formula>"ERROR"</formula>
    </cfRule>
  </conditionalFormatting>
  <conditionalFormatting sqref="G59">
    <cfRule type="cellIs" dxfId="377" priority="31" operator="equal">
      <formula>"ERROR"</formula>
    </cfRule>
  </conditionalFormatting>
  <conditionalFormatting sqref="H15">
    <cfRule type="cellIs" dxfId="376" priority="29" stopIfTrue="1" operator="equal">
      <formula>0</formula>
    </cfRule>
    <cfRule type="cellIs" dxfId="375" priority="30" stopIfTrue="1" operator="notEqual">
      <formula>0</formula>
    </cfRule>
  </conditionalFormatting>
  <conditionalFormatting sqref="H15">
    <cfRule type="cellIs" dxfId="374" priority="27" stopIfTrue="1" operator="equal">
      <formula>0</formula>
    </cfRule>
    <cfRule type="cellIs" dxfId="373" priority="28" stopIfTrue="1" operator="notEqual">
      <formula>0</formula>
    </cfRule>
  </conditionalFormatting>
  <conditionalFormatting sqref="J15">
    <cfRule type="cellIs" dxfId="372" priority="25" stopIfTrue="1" operator="equal">
      <formula>0</formula>
    </cfRule>
    <cfRule type="cellIs" dxfId="371" priority="26" stopIfTrue="1" operator="notEqual">
      <formula>0</formula>
    </cfRule>
  </conditionalFormatting>
  <conditionalFormatting sqref="J15">
    <cfRule type="cellIs" dxfId="370" priority="23" stopIfTrue="1" operator="equal">
      <formula>0</formula>
    </cfRule>
    <cfRule type="cellIs" dxfId="369" priority="24" stopIfTrue="1" operator="notEqual">
      <formula>0</formula>
    </cfRule>
  </conditionalFormatting>
  <conditionalFormatting sqref="L15">
    <cfRule type="cellIs" dxfId="368" priority="21" stopIfTrue="1" operator="equal">
      <formula>0</formula>
    </cfRule>
    <cfRule type="cellIs" dxfId="367" priority="22" stopIfTrue="1" operator="notEqual">
      <formula>0</formula>
    </cfRule>
  </conditionalFormatting>
  <conditionalFormatting sqref="L15">
    <cfRule type="cellIs" dxfId="366" priority="19" stopIfTrue="1" operator="equal">
      <formula>0</formula>
    </cfRule>
    <cfRule type="cellIs" dxfId="365" priority="20" stopIfTrue="1" operator="notEqual">
      <formula>0</formula>
    </cfRule>
  </conditionalFormatting>
  <conditionalFormatting sqref="G34">
    <cfRule type="cellIs" dxfId="364" priority="17" stopIfTrue="1" operator="equal">
      <formula>0</formula>
    </cfRule>
    <cfRule type="cellIs" dxfId="363" priority="18" stopIfTrue="1" operator="notEqual">
      <formula>0</formula>
    </cfRule>
  </conditionalFormatting>
  <conditionalFormatting sqref="G34">
    <cfRule type="cellIs" dxfId="362" priority="15" stopIfTrue="1" operator="equal">
      <formula>0</formula>
    </cfRule>
    <cfRule type="cellIs" dxfId="361" priority="16" stopIfTrue="1" operator="notEqual">
      <formula>0</formula>
    </cfRule>
  </conditionalFormatting>
  <conditionalFormatting sqref="G47">
    <cfRule type="cellIs" dxfId="360" priority="13" stopIfTrue="1" operator="equal">
      <formula>0</formula>
    </cfRule>
    <cfRule type="cellIs" dxfId="359" priority="14" stopIfTrue="1" operator="notEqual">
      <formula>0</formula>
    </cfRule>
  </conditionalFormatting>
  <conditionalFormatting sqref="G47">
    <cfRule type="cellIs" dxfId="358" priority="11" stopIfTrue="1" operator="equal">
      <formula>0</formula>
    </cfRule>
    <cfRule type="cellIs" dxfId="357" priority="12" stopIfTrue="1" operator="notEqual">
      <formula>0</formula>
    </cfRule>
  </conditionalFormatting>
  <conditionalFormatting sqref="K30">
    <cfRule type="cellIs" dxfId="356" priority="9" stopIfTrue="1" operator="equal">
      <formula>0</formula>
    </cfRule>
    <cfRule type="cellIs" dxfId="355" priority="10" stopIfTrue="1" operator="notEqual">
      <formula>0</formula>
    </cfRule>
  </conditionalFormatting>
  <conditionalFormatting sqref="K30">
    <cfRule type="cellIs" dxfId="354" priority="7" stopIfTrue="1" operator="equal">
      <formula>0</formula>
    </cfRule>
    <cfRule type="cellIs" dxfId="353" priority="8" stopIfTrue="1" operator="notEqual">
      <formula>0</formula>
    </cfRule>
  </conditionalFormatting>
  <conditionalFormatting sqref="K45">
    <cfRule type="cellIs" dxfId="352" priority="5" stopIfTrue="1" operator="equal">
      <formula>0</formula>
    </cfRule>
    <cfRule type="cellIs" dxfId="351" priority="6" stopIfTrue="1" operator="notEqual">
      <formula>0</formula>
    </cfRule>
  </conditionalFormatting>
  <conditionalFormatting sqref="K45">
    <cfRule type="cellIs" dxfId="350" priority="3" stopIfTrue="1" operator="equal">
      <formula>0</formula>
    </cfRule>
    <cfRule type="cellIs" dxfId="349" priority="4" stopIfTrue="1" operator="notEqual">
      <formula>0</formula>
    </cfRule>
  </conditionalFormatting>
  <conditionalFormatting sqref="H67">
    <cfRule type="cellIs" dxfId="348" priority="2" operator="equal">
      <formula>"ERROR"</formula>
    </cfRule>
  </conditionalFormatting>
  <conditionalFormatting sqref="H67">
    <cfRule type="cellIs" dxfId="347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BC752-98D6-4FEE-AC61-3240D96C8DA9}">
  <sheetPr transitionEvaluation="1">
    <pageSetUpPr fitToPage="1"/>
  </sheetPr>
  <dimension ref="A1:U1483"/>
  <sheetViews>
    <sheetView showGridLines="0" tabSelected="1" zoomScale="60" zoomScaleNormal="60" workbookViewId="0">
      <selection activeCell="H8" sqref="H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8" style="87" bestFit="1" customWidth="1"/>
    <col min="8" max="8" width="24" style="87" bestFit="1" customWidth="1"/>
    <col min="9" max="9" width="23.44140625" style="87" bestFit="1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2.5546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202010</v>
      </c>
      <c r="F1" s="92">
        <f>C1</f>
        <v>202010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16291.74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0.64970000000000006</v>
      </c>
      <c r="L5" s="247">
        <f>1-K5</f>
        <v>0.35029999999999994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1372846.9700000002</v>
      </c>
      <c r="D7" s="17"/>
      <c r="F7" s="58" t="s">
        <v>175</v>
      </c>
      <c r="G7" s="58"/>
      <c r="H7" s="40">
        <f>C32</f>
        <v>2281712.9799999995</v>
      </c>
      <c r="I7" s="59">
        <f>H7*I5</f>
        <v>1567080.4746639996</v>
      </c>
      <c r="J7" s="59">
        <f>H7*J5</f>
        <v>714632.50533599977</v>
      </c>
      <c r="K7" s="59"/>
      <c r="L7" s="59"/>
      <c r="M7" s="88"/>
    </row>
    <row r="8" spans="1:13" ht="15.6" customHeight="1">
      <c r="A8" s="87" t="s">
        <v>207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-48.35+7043.36-1922.46</f>
        <v>5072.5499999999993</v>
      </c>
      <c r="D9" s="18"/>
      <c r="F9" s="58" t="s">
        <v>53</v>
      </c>
      <c r="G9" s="88"/>
      <c r="H9" s="248">
        <f>C52</f>
        <v>3171496.16</v>
      </c>
      <c r="I9" s="59"/>
      <c r="J9" s="59"/>
      <c r="K9" s="250">
        <f>H9*K5</f>
        <v>2060521.0551520002</v>
      </c>
      <c r="L9" s="250">
        <f>H9*L5</f>
        <v>1110975.104848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-82552.160000000003</v>
      </c>
      <c r="I10" s="59"/>
      <c r="J10" s="59"/>
      <c r="K10" s="250">
        <f>H10</f>
        <v>-82552.160000000003</v>
      </c>
      <c r="L10" s="250"/>
      <c r="M10" s="88"/>
    </row>
    <row r="11" spans="1:13" ht="15.6" customHeight="1">
      <c r="A11" s="30" t="s">
        <v>70</v>
      </c>
      <c r="C11" s="235">
        <f>SUM(C8:C10)</f>
        <v>212791.43</v>
      </c>
      <c r="D11" s="18"/>
      <c r="F11" s="61" t="s">
        <v>22</v>
      </c>
      <c r="G11" s="88"/>
      <c r="H11" s="249">
        <f>C55+C53</f>
        <v>-45068.1</v>
      </c>
      <c r="I11" s="59"/>
      <c r="J11" s="59"/>
      <c r="K11" s="251"/>
      <c r="L11" s="251">
        <f>H11</f>
        <v>-45068.1</v>
      </c>
      <c r="M11" s="88"/>
    </row>
    <row r="12" spans="1:13" ht="15.6" customHeight="1">
      <c r="A12" s="87" t="s">
        <v>120</v>
      </c>
      <c r="C12" s="236">
        <f>2537.63+208156.8</f>
        <v>210694.43</v>
      </c>
      <c r="D12" s="18"/>
      <c r="F12" s="61" t="s">
        <v>68</v>
      </c>
      <c r="G12" s="88"/>
      <c r="H12" s="234">
        <f>H9+H10+H11</f>
        <v>3043875.9</v>
      </c>
      <c r="I12" s="59"/>
      <c r="J12" s="59"/>
      <c r="K12" s="59">
        <f>SUM(K9:K11)</f>
        <v>1977968.8951520002</v>
      </c>
      <c r="L12" s="59">
        <f>SUM(L9:L11)</f>
        <v>1065907.0048479999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210694.43</v>
      </c>
      <c r="D14" s="19"/>
      <c r="F14" s="88" t="s">
        <v>30</v>
      </c>
      <c r="G14" s="58"/>
      <c r="H14" s="40">
        <f>H12+H7</f>
        <v>5325588.879999999</v>
      </c>
      <c r="I14" s="221">
        <f>SUM(I7:I13)</f>
        <v>1567080.4746639996</v>
      </c>
      <c r="J14" s="221">
        <f>SUM(J7:J13)</f>
        <v>714632.50533599977</v>
      </c>
      <c r="K14" s="221">
        <f>K12</f>
        <v>1977968.8951520002</v>
      </c>
      <c r="L14" s="221">
        <f>L12</f>
        <v>1065907.0048479999</v>
      </c>
      <c r="M14" s="88"/>
    </row>
    <row r="15" spans="1:13" ht="15.6" customHeight="1">
      <c r="A15" s="87" t="s">
        <v>211</v>
      </c>
      <c r="C15" s="236">
        <f>395610.71+4822.88</f>
        <v>400433.59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400433.59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-5859.77+94264.11+15016+1352.75</f>
        <v>104773.09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05" t="s">
        <v>10</v>
      </c>
    </row>
    <row r="20" spans="1:13" ht="15.6" customHeight="1" thickBot="1">
      <c r="A20" s="31" t="s">
        <v>123</v>
      </c>
      <c r="C20" s="235">
        <f>SUM(C18:C19)</f>
        <v>104773.09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1850-312.24</f>
        <v>1537.76</v>
      </c>
      <c r="D21" s="18"/>
      <c r="F21" s="51"/>
      <c r="G21" s="304"/>
      <c r="H21" s="304"/>
      <c r="I21" s="305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1537.76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8963780</v>
      </c>
      <c r="H23" s="226">
        <v>9.6509999999999999E-2</v>
      </c>
      <c r="I23" s="256">
        <f t="shared" ref="I23:I31" si="0">G23*H23</f>
        <v>865094.40780000004</v>
      </c>
      <c r="J23" s="74" t="s">
        <v>14</v>
      </c>
      <c r="K23" s="93">
        <v>5103355</v>
      </c>
      <c r="L23" s="226">
        <v>9.2950000000000005E-2</v>
      </c>
      <c r="M23" s="256">
        <f>K23*L23</f>
        <v>474356.84725000005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13468</v>
      </c>
      <c r="H24" s="226">
        <v>9.6509999999999999E-2</v>
      </c>
      <c r="I24" s="256">
        <f t="shared" si="0"/>
        <v>1299.7966799999999</v>
      </c>
      <c r="J24" s="74" t="s">
        <v>15</v>
      </c>
      <c r="K24" s="93">
        <v>2385498</v>
      </c>
      <c r="L24" s="226">
        <f>L23</f>
        <v>9.2950000000000005E-2</v>
      </c>
      <c r="M24" s="256">
        <f>K24*L24</f>
        <v>221732.03910000002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4850551</v>
      </c>
      <c r="H25" s="226">
        <v>8.727E-2</v>
      </c>
      <c r="I25" s="256">
        <f t="shared" si="0"/>
        <v>423307.58577000001</v>
      </c>
      <c r="J25" s="74" t="s">
        <v>16</v>
      </c>
      <c r="K25" s="93">
        <v>68915</v>
      </c>
      <c r="L25" s="226">
        <f t="shared" ref="L25" si="1">L24</f>
        <v>9.2950000000000005E-2</v>
      </c>
      <c r="M25" s="256">
        <f>K25*L25</f>
        <v>6405.6492500000004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137574</v>
      </c>
      <c r="H26" s="226">
        <v>8.727E-2</v>
      </c>
      <c r="I26" s="256">
        <f t="shared" si="0"/>
        <v>12006.082979999999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7557768</v>
      </c>
      <c r="L28" s="255"/>
      <c r="M28" s="71">
        <f>SUM(M23:M27)</f>
        <v>702494.53560000006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7557768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2303077.2699999996</v>
      </c>
      <c r="D30" s="19"/>
      <c r="F30" s="74" t="s">
        <v>20</v>
      </c>
      <c r="G30" s="93">
        <v>54977</v>
      </c>
      <c r="H30" s="226">
        <v>5.5910000000000001E-2</v>
      </c>
      <c r="I30" s="256">
        <f t="shared" si="0"/>
        <v>3073.7640700000002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-21364.29</v>
      </c>
      <c r="D31" s="20"/>
      <c r="F31" s="74" t="s">
        <v>35</v>
      </c>
      <c r="G31" s="93">
        <v>2859736</v>
      </c>
      <c r="H31" s="226">
        <v>5.4000000000000001E-4</v>
      </c>
      <c r="I31" s="256">
        <f t="shared" si="0"/>
        <v>1544.2574400000001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2281712.9799999995</v>
      </c>
      <c r="D32" s="21"/>
      <c r="F32" s="73" t="s">
        <v>58</v>
      </c>
      <c r="G32" s="254">
        <f>SUM(G23:G31)</f>
        <v>16880086</v>
      </c>
      <c r="H32" s="6"/>
      <c r="I32" s="71">
        <f>SUM(I23:I31)</f>
        <v>1306325.8947400001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16880086</v>
      </c>
      <c r="H33" s="65"/>
      <c r="I33" s="257">
        <f>I32/G32</f>
        <v>7.7388580528558931E-2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9510356.3499999996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8963780</v>
      </c>
      <c r="H36" s="226">
        <v>0.15284</v>
      </c>
      <c r="I36" s="256">
        <f t="shared" ref="I36:I43" si="2">G36*H36</f>
        <v>1370024.1352000001</v>
      </c>
      <c r="J36" s="74" t="s">
        <v>14</v>
      </c>
      <c r="K36" s="93">
        <v>5103355</v>
      </c>
      <c r="L36" s="226">
        <v>0.15198999999999999</v>
      </c>
      <c r="M36" s="256">
        <f t="shared" ref="M36:M42" si="3">K36*L36</f>
        <v>775658.92644999991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-17162.45</v>
      </c>
      <c r="D37" s="18"/>
      <c r="F37" s="74" t="s">
        <v>105</v>
      </c>
      <c r="G37" s="93">
        <v>13468</v>
      </c>
      <c r="H37" s="226">
        <f>H36</f>
        <v>0.15284</v>
      </c>
      <c r="I37" s="256">
        <f t="shared" si="2"/>
        <v>2058.4491200000002</v>
      </c>
      <c r="J37" s="74" t="s">
        <v>15</v>
      </c>
      <c r="K37" s="93">
        <v>2385498</v>
      </c>
      <c r="L37" s="226">
        <f>L36</f>
        <v>0.15198999999999999</v>
      </c>
      <c r="M37" s="256">
        <f t="shared" si="3"/>
        <v>362571.84101999999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-854440.99</v>
      </c>
      <c r="D38" s="18"/>
      <c r="F38" s="74" t="s">
        <v>15</v>
      </c>
      <c r="G38" s="93">
        <v>4850551</v>
      </c>
      <c r="H38" s="226">
        <f t="shared" ref="H38:H43" si="4">H37</f>
        <v>0.15284</v>
      </c>
      <c r="I38" s="256">
        <f t="shared" si="2"/>
        <v>741358.21484000003</v>
      </c>
      <c r="J38" s="74" t="s">
        <v>16</v>
      </c>
      <c r="K38" s="93">
        <v>68915</v>
      </c>
      <c r="L38" s="226">
        <f t="shared" ref="L38:L42" si="5">L37</f>
        <v>0.15198999999999999</v>
      </c>
      <c r="M38" s="256">
        <f t="shared" si="3"/>
        <v>10474.39085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13784.65</v>
      </c>
      <c r="D39" s="18"/>
      <c r="F39" s="74" t="s">
        <v>16</v>
      </c>
      <c r="G39" s="93">
        <v>137574</v>
      </c>
      <c r="H39" s="226">
        <f t="shared" si="4"/>
        <v>0.15284</v>
      </c>
      <c r="I39" s="256">
        <f t="shared" si="2"/>
        <v>21026.810160000001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539712.66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9192250.2200000007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983455.96-376426.59</f>
        <v>607029.36999999988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54977</v>
      </c>
      <c r="H43" s="226">
        <f t="shared" si="4"/>
        <v>0.15284</v>
      </c>
      <c r="I43" s="266">
        <f t="shared" si="2"/>
        <v>8402.6846800000003</v>
      </c>
      <c r="J43" s="73" t="s">
        <v>63</v>
      </c>
      <c r="K43" s="254">
        <f>SUM(K36:K42)</f>
        <v>7557768</v>
      </c>
      <c r="L43" s="255"/>
      <c r="M43" s="71">
        <f>SUM(M36:M42)</f>
        <v>1148705.1583199999</v>
      </c>
    </row>
    <row r="44" spans="1:17" ht="15.6" customHeight="1" thickTop="1" thickBot="1">
      <c r="A44" s="290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14020350</v>
      </c>
      <c r="H44" s="255"/>
      <c r="I44" s="270">
        <f>SUM(I36:I43)</f>
        <v>2142870.2939999998</v>
      </c>
      <c r="J44" s="73"/>
      <c r="K44" s="258">
        <v>7557768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26894.07</v>
      </c>
      <c r="D45" s="20"/>
      <c r="F45" s="64"/>
      <c r="G45" s="258">
        <v>14020350</v>
      </c>
      <c r="H45" s="65"/>
      <c r="I45" s="271">
        <f>I44/G44</f>
        <v>0.15283999999999998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3087.92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2426.21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21364.29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9787.92-2194.08</f>
        <v>7593.84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139743.23-3367424.04-3093468.95</f>
        <v>-6321149.7599999998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1977968.8951520002</v>
      </c>
      <c r="I51" s="228">
        <f>I14</f>
        <v>1567080.4746639996</v>
      </c>
      <c r="J51" s="228">
        <f>L12</f>
        <v>1065907.0048479999</v>
      </c>
      <c r="K51" s="228">
        <f>J14</f>
        <v>714632.50533599977</v>
      </c>
      <c r="L51" s="229">
        <f>SUM(H51:K51)</f>
        <v>5325588.879999999</v>
      </c>
      <c r="M51" s="88"/>
    </row>
    <row r="52" spans="1:20" ht="15.6" customHeight="1" thickBot="1">
      <c r="A52" s="32" t="s">
        <v>53</v>
      </c>
      <c r="B52" s="246"/>
      <c r="C52" s="53">
        <f>SUM(C41:C51)</f>
        <v>3171496.16</v>
      </c>
      <c r="D52" s="217"/>
      <c r="F52" s="87" t="s">
        <v>48</v>
      </c>
      <c r="H52" s="227">
        <f>-I44</f>
        <v>-2142870.2939999998</v>
      </c>
      <c r="I52" s="228">
        <f>-I32</f>
        <v>-1306325.8947400001</v>
      </c>
      <c r="J52" s="228">
        <f>-M43</f>
        <v>-1148705.1583199999</v>
      </c>
      <c r="K52" s="228">
        <f>-M28</f>
        <v>-702494.53560000006</v>
      </c>
      <c r="L52" s="230">
        <f>SUM(H52:K52)</f>
        <v>-5300395.8826600006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-82552.160000000003</v>
      </c>
      <c r="D54" s="18"/>
      <c r="F54" s="1" t="s">
        <v>32</v>
      </c>
      <c r="H54" s="262">
        <f>H51+H52+H53</f>
        <v>-164901.39884799952</v>
      </c>
      <c r="I54" s="262">
        <f>I51+I52+I53</f>
        <v>260754.5799239995</v>
      </c>
      <c r="J54" s="262">
        <f>J51+J52+J53</f>
        <v>-82798.153472000035</v>
      </c>
      <c r="K54" s="262">
        <f>K51+K52+K53</f>
        <v>12137.969735999708</v>
      </c>
      <c r="L54" s="26">
        <f>SUM(H54:K54)</f>
        <v>25192.997339999652</v>
      </c>
    </row>
    <row r="55" spans="1:20" ht="15.6" customHeight="1">
      <c r="A55" s="87" t="s">
        <v>194</v>
      </c>
      <c r="B55" s="8" t="s">
        <v>116</v>
      </c>
      <c r="C55" s="236">
        <v>-45068.1</v>
      </c>
      <c r="D55" s="18"/>
      <c r="F55" s="87" t="s">
        <v>90</v>
      </c>
      <c r="H55" s="87" t="s">
        <v>82</v>
      </c>
      <c r="I55" s="2">
        <f>SUM(H54:I54)</f>
        <v>95853.181075999979</v>
      </c>
      <c r="J55" s="8" t="s">
        <v>83</v>
      </c>
      <c r="K55" s="87">
        <f>SUM(J54:K54)</f>
        <v>-70660.183736000326</v>
      </c>
      <c r="L55"/>
    </row>
    <row r="56" spans="1:20" ht="15.6" customHeight="1" thickBot="1">
      <c r="A56" s="1" t="s">
        <v>177</v>
      </c>
      <c r="C56" s="53">
        <f>SUM(C52:C55)</f>
        <v>3043875.9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5325588.879999999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5325588.88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G62" s="308"/>
      <c r="H62" s="309"/>
      <c r="I62" s="309"/>
      <c r="J62" s="2"/>
      <c r="O62" s="2"/>
      <c r="P62" s="211"/>
    </row>
    <row r="63" spans="1:20" ht="15.6" customHeight="1">
      <c r="C63" s="5"/>
      <c r="D63" s="18"/>
      <c r="G63" s="310"/>
      <c r="H63" s="311"/>
      <c r="I63" s="311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1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/>
      <c r="H67" s="88"/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K46">
    <cfRule type="cellIs" dxfId="36" priority="37" operator="notEqual">
      <formula>0</formula>
    </cfRule>
  </conditionalFormatting>
  <conditionalFormatting sqref="C61">
    <cfRule type="cellIs" dxfId="35" priority="35" stopIfTrue="1" operator="equal">
      <formula>0</formula>
    </cfRule>
    <cfRule type="cellIs" dxfId="34" priority="36" stopIfTrue="1" operator="notEqual">
      <formula>0</formula>
    </cfRule>
  </conditionalFormatting>
  <conditionalFormatting sqref="H15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H15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J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J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L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L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G3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G34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46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46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K30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K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45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45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G58">
    <cfRule type="cellIs" dxfId="5" priority="6" operator="equal">
      <formula>"ERROR"</formula>
    </cfRule>
  </conditionalFormatting>
  <conditionalFormatting sqref="G58">
    <cfRule type="cellIs" dxfId="4" priority="5" operator="equal">
      <formula>"ERROR"</formula>
    </cfRule>
  </conditionalFormatting>
  <conditionalFormatting sqref="G65">
    <cfRule type="cellIs" dxfId="3" priority="4" operator="equal">
      <formula>"ERROR"</formula>
    </cfRule>
  </conditionalFormatting>
  <conditionalFormatting sqref="G65">
    <cfRule type="cellIs" dxfId="2" priority="3" operator="equal">
      <formula>"ERROR"</formula>
    </cfRule>
  </conditionalFormatting>
  <conditionalFormatting sqref="H67">
    <cfRule type="cellIs" dxfId="1" priority="2" operator="equal">
      <formula>"ERROR"</formula>
    </cfRule>
  </conditionalFormatting>
  <conditionalFormatting sqref="H67">
    <cfRule type="cellIs" dxfId="0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6"/>
  <sheetViews>
    <sheetView zoomScale="90" zoomScaleNormal="90" workbookViewId="0">
      <pane ySplit="6" topLeftCell="A7" activePane="bottomLeft" state="frozen"/>
      <selection pane="bottomLeft"/>
    </sheetView>
  </sheetViews>
  <sheetFormatPr defaultColWidth="8.88671875" defaultRowHeight="14.4"/>
  <cols>
    <col min="1" max="1" width="9.109375" style="96" customWidth="1"/>
    <col min="2" max="2" width="8.88671875" style="96"/>
    <col min="3" max="3" width="1.6640625" style="97" customWidth="1"/>
    <col min="4" max="4" width="13.6640625" style="96" customWidth="1"/>
    <col min="5" max="6" width="14.33203125" style="96" customWidth="1"/>
    <col min="7" max="7" width="14.6640625" style="96" bestFit="1" customWidth="1"/>
    <col min="8" max="8" width="12.109375" style="96" customWidth="1"/>
    <col min="9" max="9" width="15.33203125" style="96" bestFit="1" customWidth="1"/>
    <col min="10" max="10" width="1.6640625" style="97" customWidth="1"/>
    <col min="11" max="11" width="14.33203125" style="96" bestFit="1" customWidth="1"/>
    <col min="12" max="12" width="13.88671875" style="96" bestFit="1" customWidth="1"/>
    <col min="13" max="13" width="6.109375" style="140" customWidth="1"/>
    <col min="14" max="16" width="8.88671875" style="96"/>
    <col min="17" max="17" width="12.6640625" style="96" customWidth="1"/>
    <col min="18" max="19" width="13.109375" style="96" bestFit="1" customWidth="1"/>
    <col min="20" max="16384" width="8.88671875" style="96"/>
  </cols>
  <sheetData>
    <row r="1" spans="1:13" s="100" customFormat="1" ht="15.6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6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6">
      <c r="A3" s="98" t="s">
        <v>169</v>
      </c>
      <c r="B3" s="99"/>
      <c r="C3" s="99"/>
      <c r="D3" s="99"/>
      <c r="E3" s="99"/>
      <c r="F3" s="99"/>
      <c r="G3" s="99"/>
    </row>
    <row r="4" spans="1:13" s="100" customFormat="1" ht="15.6">
      <c r="A4" s="98" t="s">
        <v>170</v>
      </c>
      <c r="B4" s="99"/>
      <c r="C4" s="99"/>
      <c r="D4" s="99"/>
      <c r="E4" s="99"/>
      <c r="F4" s="99"/>
      <c r="G4" s="99"/>
    </row>
    <row r="5" spans="1:13" s="103" customFormat="1" ht="18">
      <c r="A5" s="101"/>
      <c r="B5" s="102"/>
      <c r="C5" s="102"/>
      <c r="D5" s="102"/>
      <c r="E5" s="102"/>
      <c r="F5" s="102"/>
      <c r="G5" s="102"/>
    </row>
    <row r="6" spans="1:13" s="104" customFormat="1" ht="56.4" customHeight="1">
      <c r="A6" s="105" t="s">
        <v>110</v>
      </c>
      <c r="B6" s="106" t="s">
        <v>100</v>
      </c>
      <c r="C6" s="107"/>
      <c r="D6" s="106" t="s">
        <v>114</v>
      </c>
      <c r="E6" s="106" t="s">
        <v>99</v>
      </c>
      <c r="F6" s="106" t="s">
        <v>1</v>
      </c>
      <c r="G6" s="106" t="s">
        <v>2</v>
      </c>
      <c r="H6" s="106" t="s">
        <v>3</v>
      </c>
      <c r="I6" s="106" t="s">
        <v>23</v>
      </c>
      <c r="J6" s="107"/>
      <c r="K6" s="108" t="s">
        <v>111</v>
      </c>
      <c r="L6" s="108" t="s">
        <v>112</v>
      </c>
      <c r="M6" s="107"/>
    </row>
    <row r="7" spans="1:13" s="104" customFormat="1" ht="16.2" thickBot="1">
      <c r="A7" s="142" t="s">
        <v>136</v>
      </c>
      <c r="B7" s="151">
        <v>4.9599999999999998E-2</v>
      </c>
      <c r="C7" s="143"/>
      <c r="D7" s="152"/>
      <c r="E7" s="130">
        <v>-11298837.789999999</v>
      </c>
      <c r="F7" s="152">
        <v>63791.75</v>
      </c>
      <c r="G7" s="152">
        <v>-1317734.47</v>
      </c>
      <c r="H7" s="153">
        <f t="shared" ref="H7:H17" si="0">ROUND(((E7)*(B7/12))+((SUM(F7:G7)/2)*(B7/12)),2)</f>
        <v>-49293.34</v>
      </c>
      <c r="I7" s="153">
        <f>SUM(E7:H7)</f>
        <v>-12602073.85</v>
      </c>
      <c r="J7" s="144"/>
      <c r="K7" s="131">
        <v>-12602073.85</v>
      </c>
      <c r="L7" s="132">
        <f t="shared" ref="L7" si="1">K7-I7</f>
        <v>0</v>
      </c>
      <c r="M7" s="139"/>
    </row>
    <row r="8" spans="1:13" s="104" customFormat="1" ht="15.6">
      <c r="A8" s="145">
        <v>201901</v>
      </c>
      <c r="B8" s="146">
        <v>5.1799999999999999E-2</v>
      </c>
      <c r="C8" s="121"/>
      <c r="D8" s="147">
        <v>0</v>
      </c>
      <c r="E8" s="148">
        <f t="shared" ref="E8:E17" si="2">I7+D8</f>
        <v>-12602073.85</v>
      </c>
      <c r="F8" s="147">
        <v>873899.58</v>
      </c>
      <c r="G8" s="147">
        <v>-1334486.6000000001</v>
      </c>
      <c r="H8" s="148">
        <f t="shared" si="0"/>
        <v>-55393.05</v>
      </c>
      <c r="I8" s="148">
        <f>SUM(E8:H8)</f>
        <v>-13118053.92</v>
      </c>
      <c r="J8" s="123"/>
      <c r="K8" s="149">
        <v>-13118053.93</v>
      </c>
      <c r="L8" s="150">
        <f>K8-I8</f>
        <v>-9.9999997764825821E-3</v>
      </c>
      <c r="M8" s="139"/>
    </row>
    <row r="9" spans="1:13" s="104" customFormat="1" ht="15.6">
      <c r="A9" s="141">
        <f>A8+1</f>
        <v>201902</v>
      </c>
      <c r="B9" s="126">
        <v>5.1799999999999999E-2</v>
      </c>
      <c r="C9" s="121"/>
      <c r="D9" s="127">
        <v>0</v>
      </c>
      <c r="E9" s="148">
        <f t="shared" si="2"/>
        <v>-13118053.92</v>
      </c>
      <c r="F9" s="127">
        <v>7465399.5499999998</v>
      </c>
      <c r="G9" s="127">
        <v>-1785534.75</v>
      </c>
      <c r="H9" s="122">
        <f t="shared" si="0"/>
        <v>-44367.22</v>
      </c>
      <c r="I9" s="122">
        <f t="shared" ref="I9:I19" si="3">SUM(E9:H9)</f>
        <v>-7482556.3399999999</v>
      </c>
      <c r="J9" s="123"/>
      <c r="K9" s="124">
        <v>-7482556.3499999996</v>
      </c>
      <c r="L9" s="125">
        <f t="shared" ref="L9:L19" si="4">K9-I9</f>
        <v>-9.9999997764825821E-3</v>
      </c>
      <c r="M9" s="139"/>
    </row>
    <row r="10" spans="1:13" s="104" customFormat="1" ht="15.6">
      <c r="A10" s="141">
        <f t="shared" ref="A10:A19" si="5">A9+1</f>
        <v>201903</v>
      </c>
      <c r="B10" s="126">
        <v>5.1799999999999999E-2</v>
      </c>
      <c r="C10" s="121"/>
      <c r="D10" s="127">
        <v>0</v>
      </c>
      <c r="E10" s="148">
        <f t="shared" si="2"/>
        <v>-7482556.3399999999</v>
      </c>
      <c r="F10" s="127">
        <v>11814911.9</v>
      </c>
      <c r="G10" s="127">
        <v>-985772.65448000049</v>
      </c>
      <c r="H10" s="122">
        <f t="shared" si="0"/>
        <v>-8926.81</v>
      </c>
      <c r="I10" s="122">
        <f t="shared" si="3"/>
        <v>3337656.09552</v>
      </c>
      <c r="J10" s="123"/>
      <c r="K10" s="124">
        <v>4374910.7699999996</v>
      </c>
      <c r="L10" s="125">
        <f t="shared" si="4"/>
        <v>1037254.6744799996</v>
      </c>
      <c r="M10" s="139"/>
    </row>
    <row r="11" spans="1:13" s="104" customFormat="1" ht="15.6">
      <c r="A11" s="141">
        <f t="shared" si="5"/>
        <v>201904</v>
      </c>
      <c r="B11" s="126">
        <v>5.45E-2</v>
      </c>
      <c r="C11" s="121"/>
      <c r="D11" s="127">
        <v>0</v>
      </c>
      <c r="E11" s="148">
        <f t="shared" si="2"/>
        <v>3337656.09552</v>
      </c>
      <c r="F11" s="127">
        <v>-11480.7391099995</v>
      </c>
      <c r="G11" s="127">
        <v>186719.40449999948</v>
      </c>
      <c r="H11" s="122">
        <f t="shared" si="0"/>
        <v>15556.46</v>
      </c>
      <c r="I11" s="122">
        <f t="shared" si="3"/>
        <v>3528451.2209099997</v>
      </c>
      <c r="J11" s="123"/>
      <c r="K11" s="124">
        <v>4570416.76</v>
      </c>
      <c r="L11" s="125">
        <f t="shared" si="4"/>
        <v>1041965.5390900001</v>
      </c>
      <c r="M11" s="139"/>
    </row>
    <row r="12" spans="1:13" s="104" customFormat="1" ht="15.6">
      <c r="A12" s="141">
        <f t="shared" si="5"/>
        <v>201905</v>
      </c>
      <c r="B12" s="126">
        <v>5.45E-2</v>
      </c>
      <c r="C12" s="121"/>
      <c r="D12" s="127">
        <v>0</v>
      </c>
      <c r="E12" s="148">
        <f t="shared" si="2"/>
        <v>3528451.2209099997</v>
      </c>
      <c r="F12" s="127">
        <v>-952607.0659879999</v>
      </c>
      <c r="G12" s="301">
        <f>818163.245846+868.98</f>
        <v>819032.22584600002</v>
      </c>
      <c r="H12" s="122">
        <f t="shared" si="0"/>
        <v>15721.72</v>
      </c>
      <c r="I12" s="122">
        <f t="shared" si="3"/>
        <v>3410598.1007679999</v>
      </c>
      <c r="J12" s="123"/>
      <c r="K12" s="124">
        <v>3844456.24</v>
      </c>
      <c r="L12" s="125">
        <f t="shared" si="4"/>
        <v>433858.13923200034</v>
      </c>
      <c r="M12" s="139"/>
    </row>
    <row r="13" spans="1:13" s="104" customFormat="1" ht="15.6">
      <c r="A13" s="141">
        <f t="shared" si="5"/>
        <v>201906</v>
      </c>
      <c r="B13" s="126">
        <v>5.45E-2</v>
      </c>
      <c r="C13" s="121"/>
      <c r="D13" s="127">
        <v>0</v>
      </c>
      <c r="E13" s="148">
        <f t="shared" si="2"/>
        <v>3410598.1007679999</v>
      </c>
      <c r="F13" s="127">
        <v>-1677072.7479539998</v>
      </c>
      <c r="G13" s="301">
        <f>1035638.279372+876.48</f>
        <v>1036514.759372</v>
      </c>
      <c r="H13" s="122">
        <f t="shared" si="0"/>
        <v>14035.2</v>
      </c>
      <c r="I13" s="122">
        <f t="shared" si="3"/>
        <v>2784075.3121860004</v>
      </c>
      <c r="J13" s="123"/>
      <c r="K13" s="124">
        <v>3833773.49</v>
      </c>
      <c r="L13" s="125">
        <f t="shared" si="4"/>
        <v>1049698.1778139998</v>
      </c>
      <c r="M13" s="139"/>
    </row>
    <row r="14" spans="1:13" s="104" customFormat="1" ht="15.6">
      <c r="A14" s="141">
        <f t="shared" si="5"/>
        <v>201907</v>
      </c>
      <c r="B14" s="126">
        <v>5.5E-2</v>
      </c>
      <c r="C14" s="121"/>
      <c r="D14" s="127">
        <v>0</v>
      </c>
      <c r="E14" s="148">
        <f t="shared" si="2"/>
        <v>2784075.3121860004</v>
      </c>
      <c r="F14" s="127">
        <v>-2084272.6869100002</v>
      </c>
      <c r="G14" s="301">
        <f>1097771.349772+886.25</f>
        <v>1098657.599772</v>
      </c>
      <c r="H14" s="122">
        <f t="shared" si="0"/>
        <v>10501.64</v>
      </c>
      <c r="I14" s="122">
        <f>SUM(E14:H14)</f>
        <v>1808961.8650480001</v>
      </c>
      <c r="J14" s="123"/>
      <c r="K14" s="124">
        <v>2862582.88</v>
      </c>
      <c r="L14" s="125">
        <f t="shared" si="4"/>
        <v>1053621.0149519998</v>
      </c>
      <c r="M14" s="139"/>
    </row>
    <row r="15" spans="1:13" s="104" customFormat="1" ht="15.6">
      <c r="A15" s="141">
        <f t="shared" si="5"/>
        <v>201908</v>
      </c>
      <c r="B15" s="126">
        <v>5.5E-2</v>
      </c>
      <c r="C15" s="121"/>
      <c r="D15" s="127">
        <v>0</v>
      </c>
      <c r="E15" s="148">
        <f t="shared" si="2"/>
        <v>1808961.8650480001</v>
      </c>
      <c r="F15" s="127">
        <v>-2084597.87659</v>
      </c>
      <c r="G15" s="301">
        <f>1090213.99854+871.91</f>
        <v>1091085.90854</v>
      </c>
      <c r="H15" s="122">
        <f t="shared" si="0"/>
        <v>6014.28</v>
      </c>
      <c r="I15" s="122">
        <f>SUM(E15:H15)</f>
        <v>821464.17699800013</v>
      </c>
      <c r="J15" s="123"/>
      <c r="K15" s="124">
        <v>1879040.38</v>
      </c>
      <c r="L15" s="125">
        <f t="shared" si="4"/>
        <v>1057576.2030019998</v>
      </c>
      <c r="M15" s="139"/>
    </row>
    <row r="16" spans="1:13" s="104" customFormat="1" ht="15.6">
      <c r="A16" s="141">
        <f t="shared" si="5"/>
        <v>201909</v>
      </c>
      <c r="B16" s="126">
        <v>5.5E-2</v>
      </c>
      <c r="C16" s="121"/>
      <c r="D16" s="127">
        <v>0</v>
      </c>
      <c r="E16" s="148">
        <f t="shared" si="2"/>
        <v>821464.17699800013</v>
      </c>
      <c r="F16" s="127">
        <v>-2896604.7876560003</v>
      </c>
      <c r="G16" s="301">
        <f>822291.113625999+855.8</f>
        <v>823146.913625999</v>
      </c>
      <c r="H16" s="122">
        <f t="shared" si="0"/>
        <v>-986.63</v>
      </c>
      <c r="I16" s="122">
        <f t="shared" si="3"/>
        <v>-1252980.3270320012</v>
      </c>
      <c r="J16" s="123"/>
      <c r="K16" s="124">
        <v>-1257390.06</v>
      </c>
      <c r="L16" s="125">
        <f t="shared" si="4"/>
        <v>-4409.7329679988325</v>
      </c>
      <c r="M16" s="139"/>
    </row>
    <row r="17" spans="1:23" s="104" customFormat="1" ht="15.6">
      <c r="A17" s="141">
        <f t="shared" si="5"/>
        <v>201910</v>
      </c>
      <c r="B17" s="126">
        <v>5.4199999999999998E-2</v>
      </c>
      <c r="C17" s="121"/>
      <c r="D17" s="127">
        <v>0</v>
      </c>
      <c r="E17" s="148">
        <f t="shared" si="2"/>
        <v>-1252980.3270320012</v>
      </c>
      <c r="F17" s="127">
        <v>-678463.68177200016</v>
      </c>
      <c r="G17" s="301">
        <f>+-250377.664344+913.21</f>
        <v>-249464.454344</v>
      </c>
      <c r="H17" s="122">
        <f t="shared" si="0"/>
        <v>-7754.87</v>
      </c>
      <c r="I17" s="122">
        <f t="shared" si="3"/>
        <v>-2188663.3331480017</v>
      </c>
      <c r="J17" s="123"/>
      <c r="K17" s="124">
        <v>-2194008.27</v>
      </c>
      <c r="L17" s="125">
        <f t="shared" si="4"/>
        <v>-5344.9368519983254</v>
      </c>
      <c r="M17" s="139"/>
    </row>
    <row r="18" spans="1:23" s="104" customFormat="1" ht="15.6">
      <c r="A18" s="141">
        <f t="shared" si="5"/>
        <v>201911</v>
      </c>
      <c r="B18" s="126">
        <v>5.4199999999999998E-2</v>
      </c>
      <c r="C18" s="121"/>
      <c r="D18" s="306">
        <f>-I17</f>
        <v>2188663.3331480017</v>
      </c>
      <c r="E18" s="148">
        <f>I17+D18</f>
        <v>0</v>
      </c>
      <c r="F18" s="127">
        <v>149111.48603400169</v>
      </c>
      <c r="G18" s="127">
        <v>-807237.82280400023</v>
      </c>
      <c r="H18" s="122">
        <f>ROUND((E18*(B18/12))+((SUM(F18:G18)/2)*(B18/12)),2)</f>
        <v>-1486.27</v>
      </c>
      <c r="I18" s="122">
        <f>SUM(E18:H18)</f>
        <v>-659612.60676999856</v>
      </c>
      <c r="J18" s="123"/>
      <c r="K18" s="124">
        <v>-659612.62</v>
      </c>
      <c r="L18" s="125">
        <f t="shared" si="4"/>
        <v>-1.3230001437477767E-2</v>
      </c>
      <c r="M18" s="110" t="s">
        <v>143</v>
      </c>
    </row>
    <row r="19" spans="1:23" s="104" customFormat="1" ht="16.2" thickBot="1">
      <c r="A19" s="142">
        <f t="shared" si="5"/>
        <v>201912</v>
      </c>
      <c r="B19" s="128">
        <v>5.4199999999999998E-2</v>
      </c>
      <c r="C19" s="143"/>
      <c r="D19" s="129">
        <v>0</v>
      </c>
      <c r="E19" s="130">
        <f>I18+D19</f>
        <v>-659612.60676999856</v>
      </c>
      <c r="F19" s="129">
        <f>821729.862943999-0.02</f>
        <v>821729.84294399898</v>
      </c>
      <c r="G19" s="129">
        <v>-964290.51430800045</v>
      </c>
      <c r="H19" s="130">
        <f>ROUND(((E19)*(B19/12))+((SUM(F19:G19)/2)*(B19/12)),2)</f>
        <v>-3301.2</v>
      </c>
      <c r="I19" s="130">
        <f t="shared" si="3"/>
        <v>-805474.47813399998</v>
      </c>
      <c r="J19" s="144"/>
      <c r="K19" s="131">
        <v>-805474.48</v>
      </c>
      <c r="L19" s="132">
        <f t="shared" si="4"/>
        <v>-1.8660000059753656E-3</v>
      </c>
      <c r="M19" s="139"/>
    </row>
    <row r="20" spans="1:23" s="104" customFormat="1" ht="15.6">
      <c r="A20" s="145">
        <v>202001</v>
      </c>
      <c r="B20" s="146">
        <v>4.9599999999999998E-2</v>
      </c>
      <c r="C20" s="121"/>
      <c r="D20" s="147">
        <v>0</v>
      </c>
      <c r="E20" s="148">
        <f>I19+D20</f>
        <v>-805474.47813399998</v>
      </c>
      <c r="F20" s="147">
        <f>Jan!$H$55</f>
        <v>465507.08934299834</v>
      </c>
      <c r="G20" s="147">
        <f>Jan!$I$55</f>
        <v>-1019075.8062920009</v>
      </c>
      <c r="H20" s="279">
        <f t="shared" ref="H20:H31" si="6">ROUND(((E20)*(B20/12))+((SUM(F20:G20)/2)*(B20/12)),2)</f>
        <v>-4473.34</v>
      </c>
      <c r="I20" s="148">
        <f>SUM(E20:H20)</f>
        <v>-1363516.5350830026</v>
      </c>
      <c r="J20" s="123"/>
      <c r="K20" s="149">
        <v>-1363516.54</v>
      </c>
      <c r="L20" s="150">
        <f t="shared" ref="L20:L25" si="7">K20-I20</f>
        <v>-4.9169973935931921E-3</v>
      </c>
      <c r="M20" s="139"/>
    </row>
    <row r="21" spans="1:23" s="104" customFormat="1" ht="15.6">
      <c r="A21" s="141">
        <f>A20+1</f>
        <v>202002</v>
      </c>
      <c r="B21" s="146">
        <v>4.9599999999999998E-2</v>
      </c>
      <c r="C21" s="121"/>
      <c r="D21" s="127">
        <v>0</v>
      </c>
      <c r="E21" s="148">
        <f>I20+D21</f>
        <v>-1363516.5350830026</v>
      </c>
      <c r="F21" s="147">
        <f>Feb!$H$54</f>
        <v>357241.75332700042</v>
      </c>
      <c r="G21" s="276">
        <f>Feb!$I$54</f>
        <v>-930160.93573400006</v>
      </c>
      <c r="H21" s="122">
        <f t="shared" si="6"/>
        <v>-6819.9</v>
      </c>
      <c r="I21" s="176">
        <f t="shared" ref="I21:I25" si="8">SUM(E21:H21)</f>
        <v>-1943255.6174900022</v>
      </c>
      <c r="J21" s="123"/>
      <c r="K21" s="149">
        <v>-1943255.62</v>
      </c>
      <c r="L21" s="150">
        <f t="shared" si="7"/>
        <v>-2.5099979247897863E-3</v>
      </c>
      <c r="M21" s="139"/>
    </row>
    <row r="22" spans="1:23" s="104" customFormat="1" ht="15.6">
      <c r="A22" s="141">
        <f t="shared" ref="A22:A31" si="9">A21+1</f>
        <v>202003</v>
      </c>
      <c r="B22" s="146">
        <v>4.9599999999999998E-2</v>
      </c>
      <c r="C22" s="121"/>
      <c r="D22" s="127">
        <v>0</v>
      </c>
      <c r="E22" s="148">
        <f>I21+D22</f>
        <v>-1943255.6174900022</v>
      </c>
      <c r="F22" s="147">
        <f>Mar!$H$54</f>
        <v>-16044.36190700205</v>
      </c>
      <c r="G22" s="276">
        <f>Mar!$I$54</f>
        <v>-702834.43791600014</v>
      </c>
      <c r="H22" s="122">
        <f>ROUND(((E22)*(B22/12))+((SUM(F22:G22)/2)*(B22/12)),2)</f>
        <v>-9517.81</v>
      </c>
      <c r="I22" s="176">
        <f t="shared" si="8"/>
        <v>-2671652.2273130044</v>
      </c>
      <c r="J22" s="123"/>
      <c r="K22" s="149">
        <v>-2671652.23</v>
      </c>
      <c r="L22" s="150">
        <f t="shared" si="7"/>
        <v>-2.6869955472648144E-3</v>
      </c>
      <c r="M22" s="139"/>
    </row>
    <row r="23" spans="1:23" s="104" customFormat="1" ht="15.6">
      <c r="A23" s="141">
        <f t="shared" si="9"/>
        <v>202004</v>
      </c>
      <c r="B23" s="146">
        <v>4.7500000000000001E-2</v>
      </c>
      <c r="C23" s="121"/>
      <c r="D23" s="127">
        <v>0</v>
      </c>
      <c r="E23" s="148">
        <f t="shared" ref="E23:E31" si="10">I22+D23</f>
        <v>-2671652.2273130044</v>
      </c>
      <c r="F23" s="147">
        <f>Apr!$H$54</f>
        <v>-286572.46695799823</v>
      </c>
      <c r="G23" s="276">
        <f>Apr!$I$54</f>
        <v>354965.17556600017</v>
      </c>
      <c r="H23" s="122">
        <f t="shared" si="6"/>
        <v>-10439.93</v>
      </c>
      <c r="I23" s="176">
        <f t="shared" si="8"/>
        <v>-2613699.4487050031</v>
      </c>
      <c r="J23" s="123"/>
      <c r="K23" s="149">
        <v>-2613699.4500000002</v>
      </c>
      <c r="L23" s="150">
        <f t="shared" si="7"/>
        <v>-1.2949970550835133E-3</v>
      </c>
      <c r="M23" s="139"/>
    </row>
    <row r="24" spans="1:23" s="104" customFormat="1" ht="15.6">
      <c r="A24" s="141">
        <f t="shared" si="9"/>
        <v>202005</v>
      </c>
      <c r="B24" s="146">
        <v>4.7500000000000001E-2</v>
      </c>
      <c r="C24" s="121"/>
      <c r="D24" s="127">
        <v>0</v>
      </c>
      <c r="E24" s="148">
        <f t="shared" si="10"/>
        <v>-2613699.4487050031</v>
      </c>
      <c r="F24" s="147">
        <f>May!$H$54</f>
        <v>-349533.46451799979</v>
      </c>
      <c r="G24" s="276">
        <f>May!$I$54</f>
        <v>790807.96102399973</v>
      </c>
      <c r="H24" s="122">
        <f t="shared" si="6"/>
        <v>-9472.5400000000009</v>
      </c>
      <c r="I24" s="176">
        <f t="shared" si="8"/>
        <v>-2181897.4921990032</v>
      </c>
      <c r="J24" s="123"/>
      <c r="K24" s="149">
        <v>-2181897.4900000002</v>
      </c>
      <c r="L24" s="150">
        <f t="shared" si="7"/>
        <v>2.1990030072629452E-3</v>
      </c>
      <c r="M24" s="139"/>
    </row>
    <row r="25" spans="1:23" s="104" customFormat="1" ht="15.6">
      <c r="A25" s="141">
        <f t="shared" si="9"/>
        <v>202006</v>
      </c>
      <c r="B25" s="146">
        <v>4.7500000000000001E-2</v>
      </c>
      <c r="C25" s="121"/>
      <c r="D25" s="127">
        <v>0</v>
      </c>
      <c r="E25" s="148">
        <f t="shared" si="10"/>
        <v>-2181897.4921990032</v>
      </c>
      <c r="F25" s="147">
        <f>June!$H$54</f>
        <v>-221914.22001199971</v>
      </c>
      <c r="G25" s="276">
        <f>June!$I$54</f>
        <v>995442.01104200003</v>
      </c>
      <c r="H25" s="122">
        <f t="shared" si="6"/>
        <v>-7105.74</v>
      </c>
      <c r="I25" s="176">
        <f t="shared" si="8"/>
        <v>-1415475.441169003</v>
      </c>
      <c r="J25" s="123"/>
      <c r="K25" s="149">
        <v>-1415475.44</v>
      </c>
      <c r="L25" s="150">
        <f t="shared" si="7"/>
        <v>1.1690030805766582E-3</v>
      </c>
      <c r="M25" s="139"/>
    </row>
    <row r="26" spans="1:23" s="104" customFormat="1" ht="15.6">
      <c r="A26" s="141">
        <f t="shared" si="9"/>
        <v>202007</v>
      </c>
      <c r="B26" s="126">
        <v>3.4299999999999997E-2</v>
      </c>
      <c r="C26" s="121"/>
      <c r="D26" s="127">
        <v>0</v>
      </c>
      <c r="E26" s="148">
        <f t="shared" si="10"/>
        <v>-1415475.441169003</v>
      </c>
      <c r="F26" s="147">
        <f>July!$H$54</f>
        <v>-286329.88624400063</v>
      </c>
      <c r="G26" s="276">
        <f>July!$I$54</f>
        <v>1119731.3959779998</v>
      </c>
      <c r="H26" s="122">
        <f t="shared" si="6"/>
        <v>-2854.83</v>
      </c>
      <c r="I26" s="176">
        <f>SUM(E26:H26)</f>
        <v>-584928.76143500383</v>
      </c>
      <c r="J26" s="123"/>
      <c r="K26" s="149">
        <v>-584928.76</v>
      </c>
      <c r="L26" s="150">
        <f t="shared" ref="L26" si="11">K26-I26</f>
        <v>1.4350038254633546E-3</v>
      </c>
      <c r="M26" s="139"/>
    </row>
    <row r="27" spans="1:23" s="104" customFormat="1" ht="15.6">
      <c r="A27" s="141">
        <f t="shared" si="9"/>
        <v>202008</v>
      </c>
      <c r="B27" s="126">
        <v>3.4299999999999997E-2</v>
      </c>
      <c r="C27" s="121"/>
      <c r="D27" s="127">
        <v>0</v>
      </c>
      <c r="E27" s="148">
        <f t="shared" si="10"/>
        <v>-584928.76143500383</v>
      </c>
      <c r="F27" s="147">
        <f>Aug!$H$54</f>
        <v>-475108.5041119997</v>
      </c>
      <c r="G27" s="276">
        <f>Aug!$I$54</f>
        <v>1175024.5782880005</v>
      </c>
      <c r="H27" s="122">
        <f t="shared" si="6"/>
        <v>-671.62</v>
      </c>
      <c r="I27" s="176">
        <f>SUM(E27:H27)</f>
        <v>114315.69274099695</v>
      </c>
      <c r="J27" s="123"/>
      <c r="K27" s="149">
        <v>114315.69</v>
      </c>
      <c r="L27" s="150">
        <f t="shared" ref="L27" si="12">K27-I27</f>
        <v>-2.7409969479776919E-3</v>
      </c>
      <c r="M27" s="139"/>
    </row>
    <row r="28" spans="1:23" s="104" customFormat="1" ht="15.6">
      <c r="A28" s="141">
        <f t="shared" si="9"/>
        <v>202009</v>
      </c>
      <c r="B28" s="126">
        <v>3.4299999999999997E-2</v>
      </c>
      <c r="C28" s="121"/>
      <c r="D28" s="127">
        <v>0</v>
      </c>
      <c r="E28" s="148">
        <f t="shared" si="10"/>
        <v>114315.69274099695</v>
      </c>
      <c r="F28" s="147">
        <f>Sept!$H$54</f>
        <v>-412609.49763799895</v>
      </c>
      <c r="G28" s="276">
        <f>Sept!$I$54</f>
        <v>1016420.835708</v>
      </c>
      <c r="H28" s="122">
        <f t="shared" si="6"/>
        <v>1189.7</v>
      </c>
      <c r="I28" s="176">
        <f t="shared" ref="I28:I29" si="13">SUM(E28:H28)</f>
        <v>719316.73081099801</v>
      </c>
      <c r="J28" s="123"/>
      <c r="K28" s="149">
        <v>719316.73</v>
      </c>
      <c r="L28" s="150">
        <f t="shared" ref="L28" si="14">K28-I28</f>
        <v>-8.1099802628159523E-4</v>
      </c>
      <c r="M28" s="139"/>
    </row>
    <row r="29" spans="1:23" s="104" customFormat="1" ht="15.6">
      <c r="A29" s="141">
        <f t="shared" si="9"/>
        <v>202010</v>
      </c>
      <c r="B29" s="126">
        <v>3.2500000000000001E-2</v>
      </c>
      <c r="C29" s="121"/>
      <c r="D29" s="127">
        <v>0</v>
      </c>
      <c r="E29" s="148">
        <f t="shared" si="10"/>
        <v>719316.73081099801</v>
      </c>
      <c r="F29" s="147">
        <f>Oct!$H$54</f>
        <v>-164901.39884799952</v>
      </c>
      <c r="G29" s="276">
        <f>Oct!$I$54</f>
        <v>260754.5799239995</v>
      </c>
      <c r="H29" s="122">
        <f t="shared" si="6"/>
        <v>2077.9499999999998</v>
      </c>
      <c r="I29" s="176">
        <f t="shared" si="13"/>
        <v>817247.86188699794</v>
      </c>
      <c r="J29" s="123"/>
      <c r="K29" s="149">
        <v>719316.73</v>
      </c>
      <c r="L29" s="150">
        <f t="shared" ref="L29" si="15">K29-I29</f>
        <v>-97931.131886997959</v>
      </c>
      <c r="M29" s="139"/>
    </row>
    <row r="30" spans="1:23" s="104" customFormat="1" ht="15.6">
      <c r="A30" s="141">
        <f t="shared" si="9"/>
        <v>202011</v>
      </c>
      <c r="B30" s="126"/>
      <c r="C30" s="121"/>
      <c r="D30" s="127"/>
      <c r="E30" s="148">
        <f t="shared" si="10"/>
        <v>817247.86188699794</v>
      </c>
      <c r="F30" s="127"/>
      <c r="G30" s="277"/>
      <c r="H30" s="122">
        <f t="shared" si="6"/>
        <v>0</v>
      </c>
      <c r="I30" s="176">
        <f>SUM(E30:H30)</f>
        <v>817247.86188699794</v>
      </c>
      <c r="J30" s="123"/>
      <c r="K30" s="124"/>
      <c r="L30" s="125"/>
      <c r="M30" s="110"/>
    </row>
    <row r="31" spans="1:23" s="104" customFormat="1" ht="16.2" thickBot="1">
      <c r="A31" s="142">
        <f t="shared" si="9"/>
        <v>202012</v>
      </c>
      <c r="B31" s="128"/>
      <c r="C31" s="143"/>
      <c r="D31" s="129">
        <v>0</v>
      </c>
      <c r="E31" s="130">
        <f t="shared" si="10"/>
        <v>817247.86188699794</v>
      </c>
      <c r="F31" s="129"/>
      <c r="G31" s="278"/>
      <c r="H31" s="130">
        <f t="shared" si="6"/>
        <v>0</v>
      </c>
      <c r="I31" s="189">
        <f t="shared" ref="I31" si="16">SUM(E31:H31)</f>
        <v>817247.86188699794</v>
      </c>
      <c r="J31" s="144"/>
      <c r="K31" s="131"/>
      <c r="L31" s="132"/>
      <c r="M31" s="139"/>
    </row>
    <row r="32" spans="1:23" ht="15.6">
      <c r="A32" s="119"/>
      <c r="B32" s="119"/>
      <c r="C32" s="120"/>
      <c r="D32" s="133">
        <f>SUMIF($A$8:$A$31,$D35,D$8:D$31)</f>
        <v>0</v>
      </c>
      <c r="E32" s="119"/>
      <c r="F32" s="133">
        <f>SUMIF($A$8:$A$31,$D35,F$8:F$31)</f>
        <v>-164901.39884799952</v>
      </c>
      <c r="G32" s="133">
        <f>SUMIF($A$8:$A$31,$D35,G$8:G$31)</f>
        <v>260754.5799239995</v>
      </c>
      <c r="H32" s="133">
        <f>SUMIF($A$8:$A$31,$D35,H$8:H$31)</f>
        <v>2077.9499999999998</v>
      </c>
      <c r="I32" s="134" t="s">
        <v>125</v>
      </c>
      <c r="J32" s="120"/>
      <c r="K32" s="119"/>
      <c r="L32" s="119"/>
      <c r="M32" s="138"/>
      <c r="Q32" s="109"/>
      <c r="R32" s="110"/>
      <c r="S32" s="110"/>
      <c r="T32" s="111"/>
      <c r="U32" s="97"/>
      <c r="V32" s="97"/>
      <c r="W32" s="97"/>
    </row>
    <row r="33" spans="1:23" s="194" customFormat="1">
      <c r="A33" s="137"/>
      <c r="B33" s="137"/>
      <c r="C33" s="191"/>
      <c r="D33" s="192" t="s">
        <v>145</v>
      </c>
      <c r="E33" s="137"/>
      <c r="F33" s="192" t="s">
        <v>137</v>
      </c>
      <c r="G33" s="192" t="s">
        <v>138</v>
      </c>
      <c r="H33" s="192" t="s">
        <v>139</v>
      </c>
      <c r="I33" s="137"/>
      <c r="J33" s="191"/>
      <c r="K33" s="137"/>
      <c r="L33" s="137"/>
      <c r="M33" s="193"/>
      <c r="Q33" s="195"/>
      <c r="R33" s="195"/>
      <c r="S33" s="195"/>
      <c r="T33" s="195"/>
      <c r="U33" s="195"/>
      <c r="V33" s="195"/>
      <c r="W33" s="195"/>
    </row>
    <row r="34" spans="1:23">
      <c r="A34" s="119"/>
      <c r="B34" s="119"/>
      <c r="C34" s="120"/>
      <c r="D34" s="119"/>
      <c r="E34" s="119"/>
      <c r="F34" s="119"/>
      <c r="G34" s="119"/>
      <c r="H34" s="119"/>
      <c r="I34" s="119"/>
      <c r="J34" s="120"/>
      <c r="K34" s="119"/>
      <c r="L34" s="119"/>
      <c r="M34" s="138"/>
      <c r="Q34" s="97"/>
      <c r="R34" s="97"/>
      <c r="S34" s="97"/>
      <c r="T34" s="97"/>
      <c r="U34" s="97"/>
      <c r="V34" s="97"/>
      <c r="W34" s="97"/>
    </row>
    <row r="35" spans="1:23">
      <c r="A35" s="119"/>
      <c r="B35" s="119"/>
      <c r="C35" s="120"/>
      <c r="D35" s="112">
        <v>202010</v>
      </c>
      <c r="E35" s="113" t="s">
        <v>126</v>
      </c>
      <c r="F35" s="114"/>
      <c r="G35" s="119"/>
      <c r="H35" s="119"/>
      <c r="I35" s="119"/>
      <c r="J35" s="120"/>
      <c r="K35" s="119"/>
      <c r="L35" s="119"/>
      <c r="M35" s="138"/>
    </row>
    <row r="36" spans="1:23">
      <c r="A36" s="119"/>
      <c r="B36" s="119"/>
      <c r="C36" s="120"/>
      <c r="D36" s="115" t="s">
        <v>127</v>
      </c>
      <c r="E36" s="115" t="s">
        <v>128</v>
      </c>
      <c r="F36" s="115" t="s">
        <v>129</v>
      </c>
      <c r="G36" s="119"/>
      <c r="H36" s="119"/>
      <c r="I36" s="119"/>
      <c r="J36" s="120"/>
      <c r="K36" s="119"/>
      <c r="L36" s="119"/>
      <c r="M36" s="138"/>
    </row>
    <row r="37" spans="1:23">
      <c r="A37" s="119"/>
      <c r="B37" s="119"/>
      <c r="C37" s="135" t="s">
        <v>36</v>
      </c>
      <c r="D37" s="116" t="s">
        <v>130</v>
      </c>
      <c r="E37" s="117"/>
      <c r="F37" s="118">
        <f>IF($H$32&gt;0,ABS($H$32),"")</f>
        <v>2077.9499999999998</v>
      </c>
      <c r="G37" s="137" t="s">
        <v>139</v>
      </c>
      <c r="H37" s="119"/>
      <c r="I37" s="119"/>
      <c r="J37" s="120"/>
      <c r="K37" s="119"/>
      <c r="L37" s="119"/>
      <c r="M37" s="138"/>
    </row>
    <row r="38" spans="1:23">
      <c r="A38" s="119"/>
      <c r="B38" s="119"/>
      <c r="C38" s="135" t="s">
        <v>134</v>
      </c>
      <c r="D38" s="116" t="s">
        <v>131</v>
      </c>
      <c r="E38" s="118" t="str">
        <f>IF($H$32&lt;0,ABS($H$32),"")</f>
        <v/>
      </c>
      <c r="F38" s="117"/>
      <c r="G38" s="137" t="s">
        <v>139</v>
      </c>
      <c r="H38" s="119"/>
      <c r="I38" s="119"/>
      <c r="J38" s="120"/>
      <c r="K38" s="119"/>
      <c r="L38" s="119"/>
      <c r="M38" s="138"/>
    </row>
    <row r="39" spans="1:23">
      <c r="A39" s="119"/>
      <c r="B39" s="119"/>
      <c r="C39" s="135" t="s">
        <v>172</v>
      </c>
      <c r="D39" s="116" t="s">
        <v>132</v>
      </c>
      <c r="E39" s="118">
        <f>IF($F$32+$G$32+H32&gt;0,ABS($F$32+$G$32+H32),"")</f>
        <v>97931.131075999976</v>
      </c>
      <c r="F39" s="118" t="str">
        <f>IF($F$32+$G$32+H32&lt;0,ABS($F$32+$G$32+H32),"")</f>
        <v/>
      </c>
      <c r="G39" s="137" t="s">
        <v>140</v>
      </c>
      <c r="H39" s="119"/>
      <c r="I39" s="119"/>
      <c r="J39" s="120"/>
      <c r="K39" s="119"/>
      <c r="L39" s="119"/>
      <c r="M39" s="138"/>
    </row>
    <row r="40" spans="1:23">
      <c r="A40" s="119"/>
      <c r="B40" s="119"/>
      <c r="C40" s="135" t="s">
        <v>135</v>
      </c>
      <c r="D40" s="116" t="s">
        <v>133</v>
      </c>
      <c r="E40" s="118" t="str">
        <f>IF($F$32+$G$32&lt;0,ABS($F$32+$G$32),"")</f>
        <v/>
      </c>
      <c r="F40" s="118">
        <f>IF($F$32+$G$32&gt;0,ABS($F$32+$G$32),"")</f>
        <v>95853.181075999979</v>
      </c>
      <c r="G40" s="137" t="s">
        <v>141</v>
      </c>
      <c r="H40" s="119"/>
      <c r="I40" s="119"/>
      <c r="J40" s="120"/>
      <c r="K40" s="119"/>
      <c r="L40" s="119"/>
      <c r="M40" s="138"/>
    </row>
    <row r="41" spans="1:23">
      <c r="A41" s="119"/>
      <c r="B41" s="119"/>
      <c r="C41" s="120"/>
      <c r="D41" s="119"/>
      <c r="E41" s="119"/>
      <c r="F41" s="119"/>
      <c r="G41" s="137"/>
      <c r="H41" s="119"/>
      <c r="I41" s="119"/>
      <c r="J41" s="120"/>
      <c r="K41" s="119"/>
      <c r="L41" s="119"/>
      <c r="M41" s="138"/>
    </row>
    <row r="42" spans="1:23">
      <c r="A42" s="119"/>
      <c r="B42" s="119"/>
      <c r="C42" s="120"/>
      <c r="D42" s="119"/>
      <c r="E42" s="119"/>
      <c r="F42" s="136">
        <f>SUM(E37:E40)-SUM(F37:F40)</f>
        <v>0</v>
      </c>
      <c r="G42" s="137" t="s">
        <v>142</v>
      </c>
      <c r="H42" s="119"/>
      <c r="I42" s="119"/>
      <c r="J42" s="120"/>
      <c r="K42" s="119"/>
      <c r="L42" s="119"/>
      <c r="M42" s="138"/>
    </row>
    <row r="43" spans="1:23">
      <c r="G43" s="194"/>
    </row>
    <row r="44" spans="1:23" ht="15.6">
      <c r="D44" s="115" t="s">
        <v>144</v>
      </c>
      <c r="E44" s="154"/>
      <c r="F44" s="155"/>
      <c r="G44" s="196"/>
    </row>
    <row r="45" spans="1:23">
      <c r="D45" s="116" t="s">
        <v>132</v>
      </c>
      <c r="E45" s="118" t="str">
        <f>IF($D$32&gt;0,ABS($D$32),"")</f>
        <v/>
      </c>
      <c r="F45" s="157"/>
      <c r="G45" s="137" t="s">
        <v>145</v>
      </c>
    </row>
    <row r="46" spans="1:23">
      <c r="D46" s="156" t="s">
        <v>146</v>
      </c>
      <c r="E46" s="157"/>
      <c r="F46" s="118" t="str">
        <f>E45</f>
        <v/>
      </c>
      <c r="G46" s="158"/>
    </row>
  </sheetData>
  <pageMargins left="1" right="0" top="0.75" bottom="0.75" header="0.3" footer="0.3"/>
  <pageSetup scale="73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48"/>
  <sheetViews>
    <sheetView zoomScale="90" zoomScaleNormal="90" workbookViewId="0">
      <pane ySplit="6" topLeftCell="A7" activePane="bottomLeft" state="frozen"/>
      <selection pane="bottomLeft"/>
    </sheetView>
  </sheetViews>
  <sheetFormatPr defaultColWidth="8.88671875" defaultRowHeight="13.8"/>
  <cols>
    <col min="1" max="1" width="9.109375" style="119" customWidth="1"/>
    <col min="2" max="2" width="9" style="119" bestFit="1" customWidth="1"/>
    <col min="3" max="3" width="14.109375" style="119" bestFit="1" customWidth="1"/>
    <col min="4" max="4" width="12.88671875" style="119" bestFit="1" customWidth="1"/>
    <col min="5" max="5" width="14.109375" style="119" bestFit="1" customWidth="1"/>
    <col min="6" max="6" width="14.33203125" style="119" bestFit="1" customWidth="1"/>
    <col min="7" max="7" width="12.44140625" style="119" customWidth="1"/>
    <col min="8" max="8" width="13.109375" style="119" bestFit="1" customWidth="1"/>
    <col min="9" max="9" width="11.5546875" style="119" bestFit="1" customWidth="1"/>
    <col min="10" max="10" width="10.109375" style="119" bestFit="1" customWidth="1"/>
    <col min="11" max="11" width="12.44140625" style="119" bestFit="1" customWidth="1"/>
    <col min="12" max="12" width="11.5546875" style="119" bestFit="1" customWidth="1"/>
    <col min="13" max="13" width="11" style="119" bestFit="1" customWidth="1"/>
    <col min="14" max="14" width="11.5546875" style="119" bestFit="1" customWidth="1"/>
    <col min="15" max="15" width="11.33203125" style="119" bestFit="1" customWidth="1"/>
    <col min="16" max="16" width="14.109375" style="119" bestFit="1" customWidth="1"/>
    <col min="17" max="17" width="1.6640625" style="184" customWidth="1"/>
    <col min="18" max="18" width="14.109375" style="119" bestFit="1" customWidth="1"/>
    <col min="19" max="19" width="11.109375" style="120" bestFit="1" customWidth="1"/>
    <col min="20" max="20" width="13.5546875" style="119" customWidth="1"/>
    <col min="21" max="21" width="13.88671875" style="119" bestFit="1" customWidth="1"/>
    <col min="22" max="24" width="8.88671875" style="119"/>
    <col min="25" max="25" width="12.6640625" style="119" customWidth="1"/>
    <col min="26" max="27" width="13.109375" style="119" bestFit="1" customWidth="1"/>
    <col min="28" max="16384" width="8.88671875" style="119"/>
  </cols>
  <sheetData>
    <row r="1" spans="1:19" s="100" customFormat="1" ht="15.6">
      <c r="A1" s="166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9" s="100" customFormat="1" ht="15.6">
      <c r="A2" s="166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9" s="100" customFormat="1" ht="15.6">
      <c r="A3" s="166" t="s">
        <v>171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9" s="100" customFormat="1" ht="15.6">
      <c r="A4" s="166" t="s">
        <v>113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9" s="103" customFormat="1" ht="14.4" thickBot="1">
      <c r="A5" s="16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9" s="165" customFormat="1" ht="56.4" customHeight="1">
      <c r="A6" s="106" t="s">
        <v>110</v>
      </c>
      <c r="B6" s="106" t="s">
        <v>100</v>
      </c>
      <c r="C6" s="106" t="s">
        <v>147</v>
      </c>
      <c r="D6" s="106" t="s">
        <v>150</v>
      </c>
      <c r="E6" s="179" t="s">
        <v>99</v>
      </c>
      <c r="F6" s="170" t="s">
        <v>166</v>
      </c>
      <c r="G6" s="171" t="s">
        <v>148</v>
      </c>
      <c r="H6" s="172" t="s">
        <v>118</v>
      </c>
      <c r="I6" s="170" t="s">
        <v>167</v>
      </c>
      <c r="J6" s="171" t="s">
        <v>148</v>
      </c>
      <c r="K6" s="172" t="s">
        <v>118</v>
      </c>
      <c r="L6" s="170" t="s">
        <v>168</v>
      </c>
      <c r="M6" s="171" t="s">
        <v>148</v>
      </c>
      <c r="N6" s="172" t="s">
        <v>118</v>
      </c>
      <c r="O6" s="182" t="s">
        <v>3</v>
      </c>
      <c r="P6" s="106" t="s">
        <v>23</v>
      </c>
      <c r="Q6" s="183"/>
      <c r="R6" s="108" t="s">
        <v>111</v>
      </c>
      <c r="S6" s="108" t="s">
        <v>112</v>
      </c>
    </row>
    <row r="7" spans="1:19" ht="14.4" thickBot="1">
      <c r="A7" s="162" t="s">
        <v>136</v>
      </c>
      <c r="B7" s="185">
        <v>4.9599999999999998E-2</v>
      </c>
      <c r="C7" s="130">
        <v>0</v>
      </c>
      <c r="D7" s="130">
        <v>0</v>
      </c>
      <c r="E7" s="186">
        <v>-11755837.77358</v>
      </c>
      <c r="F7" s="187">
        <f>20570424+21435</f>
        <v>20591859</v>
      </c>
      <c r="G7" s="152" t="s">
        <v>149</v>
      </c>
      <c r="H7" s="174">
        <f>1881352+1961</f>
        <v>1883313</v>
      </c>
      <c r="I7" s="188">
        <v>18064862</v>
      </c>
      <c r="J7" s="152" t="s">
        <v>149</v>
      </c>
      <c r="K7" s="174">
        <v>1229205</v>
      </c>
      <c r="L7" s="188">
        <v>-10914823</v>
      </c>
      <c r="M7" s="152" t="s">
        <v>149</v>
      </c>
      <c r="N7" s="174">
        <v>-399712</v>
      </c>
      <c r="O7" s="189">
        <f t="shared" ref="O7:O17" si="0">ROUND(((E7*B7/12)+(D7+H7+K7+N7)/2*B7/12),2)</f>
        <v>-42984.33</v>
      </c>
      <c r="P7" s="130">
        <f t="shared" ref="P7:P16" si="1">E7+D7+H7+K7+N7+O7</f>
        <v>-9086016.1035799999</v>
      </c>
      <c r="Q7" s="190"/>
      <c r="R7" s="131">
        <v>-9086016.0999999996</v>
      </c>
      <c r="S7" s="132">
        <f t="shared" ref="S7" si="2">R7-P7</f>
        <v>3.580000251531601E-3</v>
      </c>
    </row>
    <row r="8" spans="1:19">
      <c r="A8" s="163" t="s">
        <v>151</v>
      </c>
      <c r="B8" s="167">
        <v>5.1799999999999999E-2</v>
      </c>
      <c r="C8" s="148">
        <v>0</v>
      </c>
      <c r="D8" s="148">
        <v>0</v>
      </c>
      <c r="E8" s="169">
        <f t="shared" ref="E8:E17" si="3">P7+C8</f>
        <v>-9086016.1035799999</v>
      </c>
      <c r="F8" s="177">
        <f>21076213+21566</f>
        <v>21097779</v>
      </c>
      <c r="G8" s="168">
        <v>9.1660000000000005E-2</v>
      </c>
      <c r="H8" s="181">
        <f>F8*G8</f>
        <v>1933822.4231400001</v>
      </c>
      <c r="I8" s="178">
        <v>4326716</v>
      </c>
      <c r="J8" s="168">
        <v>7.6249999999999998E-2</v>
      </c>
      <c r="K8" s="181">
        <f>I8*J8</f>
        <v>329912.09499999997</v>
      </c>
      <c r="L8" s="178">
        <v>3809625</v>
      </c>
      <c r="M8" s="168">
        <v>4.7800000000000002E-2</v>
      </c>
      <c r="N8" s="181">
        <f>L8*M8</f>
        <v>182100.07500000001</v>
      </c>
      <c r="O8" s="175">
        <f t="shared" si="0"/>
        <v>-33942.379999999997</v>
      </c>
      <c r="P8" s="148">
        <f t="shared" si="1"/>
        <v>-6674123.8904399993</v>
      </c>
      <c r="Q8" s="110"/>
      <c r="R8" s="149">
        <v>-6674123.8799999999</v>
      </c>
      <c r="S8" s="150">
        <f t="shared" ref="S8:S15" si="4">R8-P8</f>
        <v>1.0439999401569366E-2</v>
      </c>
    </row>
    <row r="9" spans="1:19">
      <c r="A9" s="161" t="s">
        <v>152</v>
      </c>
      <c r="B9" s="167">
        <v>5.1799999999999999E-2</v>
      </c>
      <c r="C9" s="122">
        <v>0</v>
      </c>
      <c r="D9" s="122">
        <v>0</v>
      </c>
      <c r="E9" s="180">
        <f t="shared" si="3"/>
        <v>-6674123.8904399993</v>
      </c>
      <c r="F9" s="177">
        <f>23394682+23936</f>
        <v>23418618</v>
      </c>
      <c r="G9" s="168">
        <v>9.1660000000000005E-2</v>
      </c>
      <c r="H9" s="181">
        <f t="shared" ref="H9:H17" si="5">F9*G9</f>
        <v>2146550.5258800001</v>
      </c>
      <c r="I9" s="178">
        <v>8977809</v>
      </c>
      <c r="J9" s="168">
        <v>7.6249999999999998E-2</v>
      </c>
      <c r="K9" s="181">
        <f t="shared" ref="K9:K17" si="6">I9*J9</f>
        <v>684557.93625000003</v>
      </c>
      <c r="L9" s="178">
        <v>177522</v>
      </c>
      <c r="M9" s="168">
        <v>4.7800000000000002E-2</v>
      </c>
      <c r="N9" s="181">
        <f t="shared" ref="N9:N17" si="7">L9*M9</f>
        <v>8485.5516000000007</v>
      </c>
      <c r="O9" s="176">
        <f t="shared" si="0"/>
        <v>-22681.18</v>
      </c>
      <c r="P9" s="122">
        <f t="shared" si="1"/>
        <v>-3857211.0567099988</v>
      </c>
      <c r="Q9" s="110"/>
      <c r="R9" s="124">
        <v>-3857211.04</v>
      </c>
      <c r="S9" s="125">
        <f t="shared" si="4"/>
        <v>1.6709998715668917E-2</v>
      </c>
    </row>
    <row r="10" spans="1:19">
      <c r="A10" s="161" t="s">
        <v>153</v>
      </c>
      <c r="B10" s="167">
        <v>5.1799999999999999E-2</v>
      </c>
      <c r="C10" s="122">
        <v>0</v>
      </c>
      <c r="D10" s="122">
        <v>0</v>
      </c>
      <c r="E10" s="180">
        <f t="shared" si="3"/>
        <v>-3857211.0567099988</v>
      </c>
      <c r="F10" s="177">
        <f>18476572+18913</f>
        <v>18495485</v>
      </c>
      <c r="G10" s="168">
        <v>9.1660000000000005E-2</v>
      </c>
      <c r="H10" s="181">
        <f t="shared" si="5"/>
        <v>1695296.1551000001</v>
      </c>
      <c r="I10" s="178">
        <v>6826624</v>
      </c>
      <c r="J10" s="168">
        <v>7.6249999999999998E-2</v>
      </c>
      <c r="K10" s="181">
        <f t="shared" si="6"/>
        <v>520530.08</v>
      </c>
      <c r="L10" s="178">
        <v>115935</v>
      </c>
      <c r="M10" s="168">
        <v>4.7800000000000002E-2</v>
      </c>
      <c r="N10" s="181">
        <f t="shared" si="7"/>
        <v>5541.6930000000002</v>
      </c>
      <c r="O10" s="176">
        <f t="shared" si="0"/>
        <v>-11855.84</v>
      </c>
      <c r="P10" s="122">
        <f t="shared" si="1"/>
        <v>-1647698.9686099987</v>
      </c>
      <c r="Q10" s="110"/>
      <c r="R10" s="124">
        <v>-1647698.95</v>
      </c>
      <c r="S10" s="125">
        <f t="shared" si="4"/>
        <v>1.8609998747706413E-2</v>
      </c>
    </row>
    <row r="11" spans="1:19">
      <c r="A11" s="161" t="s">
        <v>154</v>
      </c>
      <c r="B11" s="167">
        <v>5.45E-2</v>
      </c>
      <c r="C11" s="122">
        <v>0</v>
      </c>
      <c r="D11" s="122">
        <v>0</v>
      </c>
      <c r="E11" s="180">
        <f t="shared" si="3"/>
        <v>-1647698.9686099987</v>
      </c>
      <c r="F11" s="177">
        <f>8678511+9640</f>
        <v>8688151</v>
      </c>
      <c r="G11" s="168">
        <v>9.1660000000000005E-2</v>
      </c>
      <c r="H11" s="181">
        <f t="shared" si="5"/>
        <v>796355.92066000006</v>
      </c>
      <c r="I11" s="178">
        <v>4528915</v>
      </c>
      <c r="J11" s="168">
        <v>7.6249999999999998E-2</v>
      </c>
      <c r="K11" s="181">
        <f t="shared" si="6"/>
        <v>345329.76874999999</v>
      </c>
      <c r="L11" s="178">
        <v>108923</v>
      </c>
      <c r="M11" s="168">
        <v>4.7800000000000002E-2</v>
      </c>
      <c r="N11" s="181">
        <f t="shared" si="7"/>
        <v>5206.5194000000001</v>
      </c>
      <c r="O11" s="176">
        <f t="shared" si="0"/>
        <v>-4878.8999999999996</v>
      </c>
      <c r="P11" s="122">
        <f t="shared" si="1"/>
        <v>-505685.65979999868</v>
      </c>
      <c r="Q11" s="110"/>
      <c r="R11" s="124">
        <v>-505685.64</v>
      </c>
      <c r="S11" s="125">
        <f t="shared" si="4"/>
        <v>1.979999867035076E-2</v>
      </c>
    </row>
    <row r="12" spans="1:19">
      <c r="A12" s="161" t="s">
        <v>117</v>
      </c>
      <c r="B12" s="167">
        <v>5.45E-2</v>
      </c>
      <c r="C12" s="122">
        <v>0</v>
      </c>
      <c r="D12" s="122">
        <v>0</v>
      </c>
      <c r="E12" s="180">
        <f t="shared" si="3"/>
        <v>-505685.65979999868</v>
      </c>
      <c r="F12" s="177">
        <f>4312435+4874</f>
        <v>4317309</v>
      </c>
      <c r="G12" s="168">
        <v>9.1660000000000005E-2</v>
      </c>
      <c r="H12" s="181">
        <f t="shared" si="5"/>
        <v>395724.54294000001</v>
      </c>
      <c r="I12" s="178">
        <v>2394969</v>
      </c>
      <c r="J12" s="168">
        <v>7.6249999999999998E-2</v>
      </c>
      <c r="K12" s="181">
        <f t="shared" si="6"/>
        <v>182616.38625000001</v>
      </c>
      <c r="L12" s="178">
        <v>97867</v>
      </c>
      <c r="M12" s="168">
        <v>4.7800000000000002E-2</v>
      </c>
      <c r="N12" s="181">
        <f t="shared" si="7"/>
        <v>4678.0425999999998</v>
      </c>
      <c r="O12" s="176">
        <f t="shared" si="0"/>
        <v>-972.72</v>
      </c>
      <c r="P12" s="122">
        <f t="shared" si="1"/>
        <v>76360.59199000134</v>
      </c>
      <c r="Q12" s="110"/>
      <c r="R12" s="124">
        <v>76360.62</v>
      </c>
      <c r="S12" s="125">
        <f t="shared" si="4"/>
        <v>2.8009998655761592E-2</v>
      </c>
    </row>
    <row r="13" spans="1:19">
      <c r="A13" s="161" t="s">
        <v>155</v>
      </c>
      <c r="B13" s="167">
        <v>5.45E-2</v>
      </c>
      <c r="C13" s="122">
        <v>0</v>
      </c>
      <c r="D13" s="122">
        <v>0</v>
      </c>
      <c r="E13" s="180">
        <f t="shared" si="3"/>
        <v>76360.59199000134</v>
      </c>
      <c r="F13" s="177">
        <f>2497712+2253</f>
        <v>2499965</v>
      </c>
      <c r="G13" s="168">
        <v>9.1660000000000005E-2</v>
      </c>
      <c r="H13" s="181">
        <f t="shared" si="5"/>
        <v>229146.79190000001</v>
      </c>
      <c r="I13" s="178">
        <v>2410231</v>
      </c>
      <c r="J13" s="168">
        <v>7.6249999999999998E-2</v>
      </c>
      <c r="K13" s="181">
        <f t="shared" si="6"/>
        <v>183780.11374999999</v>
      </c>
      <c r="L13" s="178">
        <v>-90738</v>
      </c>
      <c r="M13" s="168">
        <v>4.7800000000000002E-2</v>
      </c>
      <c r="N13" s="181">
        <f t="shared" si="7"/>
        <v>-4337.2764000000006</v>
      </c>
      <c r="O13" s="176">
        <f t="shared" si="0"/>
        <v>1274.6400000000001</v>
      </c>
      <c r="P13" s="122">
        <f t="shared" si="1"/>
        <v>486224.8612400014</v>
      </c>
      <c r="Q13" s="110"/>
      <c r="R13" s="124">
        <v>486224.89</v>
      </c>
      <c r="S13" s="125">
        <f t="shared" si="4"/>
        <v>2.8759998618625104E-2</v>
      </c>
    </row>
    <row r="14" spans="1:19">
      <c r="A14" s="161" t="s">
        <v>156</v>
      </c>
      <c r="B14" s="167">
        <v>5.5E-2</v>
      </c>
      <c r="C14" s="122">
        <v>0</v>
      </c>
      <c r="D14" s="122">
        <v>0</v>
      </c>
      <c r="E14" s="180">
        <f t="shared" si="3"/>
        <v>486224.8612400014</v>
      </c>
      <c r="F14" s="177">
        <f>2393172+1928</f>
        <v>2395100</v>
      </c>
      <c r="G14" s="168">
        <v>9.1660000000000005E-2</v>
      </c>
      <c r="H14" s="181">
        <f t="shared" si="5"/>
        <v>219534.86600000001</v>
      </c>
      <c r="I14" s="178">
        <v>1815710</v>
      </c>
      <c r="J14" s="168">
        <v>7.6249999999999998E-2</v>
      </c>
      <c r="K14" s="181">
        <f t="shared" si="6"/>
        <v>138447.88749999998</v>
      </c>
      <c r="L14" s="178">
        <v>133593</v>
      </c>
      <c r="M14" s="168">
        <v>4.7800000000000002E-2</v>
      </c>
      <c r="N14" s="181">
        <f t="shared" si="7"/>
        <v>6385.7454000000007</v>
      </c>
      <c r="O14" s="176">
        <f t="shared" si="0"/>
        <v>3063.54</v>
      </c>
      <c r="P14" s="122">
        <f t="shared" si="1"/>
        <v>853656.90014000144</v>
      </c>
      <c r="Q14" s="110"/>
      <c r="R14" s="124">
        <v>853656.93</v>
      </c>
      <c r="S14" s="125">
        <f t="shared" si="4"/>
        <v>2.985999861266464E-2</v>
      </c>
    </row>
    <row r="15" spans="1:19">
      <c r="A15" s="161" t="s">
        <v>157</v>
      </c>
      <c r="B15" s="167">
        <v>5.5E-2</v>
      </c>
      <c r="C15" s="122">
        <v>0</v>
      </c>
      <c r="D15" s="122">
        <v>0</v>
      </c>
      <c r="E15" s="180">
        <f t="shared" si="3"/>
        <v>853656.90014000144</v>
      </c>
      <c r="F15" s="177">
        <f>2217255+1943</f>
        <v>2219198</v>
      </c>
      <c r="G15" s="168">
        <v>9.1660000000000005E-2</v>
      </c>
      <c r="H15" s="181">
        <f t="shared" si="5"/>
        <v>203411.68868000002</v>
      </c>
      <c r="I15" s="178">
        <v>1827018</v>
      </c>
      <c r="J15" s="168">
        <v>7.6249999999999998E-2</v>
      </c>
      <c r="K15" s="181">
        <f t="shared" si="6"/>
        <v>139310.1225</v>
      </c>
      <c r="L15" s="178">
        <v>137205</v>
      </c>
      <c r="M15" s="168">
        <v>4.7800000000000002E-2</v>
      </c>
      <c r="N15" s="181">
        <f t="shared" si="7"/>
        <v>6558.3990000000003</v>
      </c>
      <c r="O15" s="176">
        <f t="shared" si="0"/>
        <v>4713.03</v>
      </c>
      <c r="P15" s="122">
        <f t="shared" si="1"/>
        <v>1207650.1403200016</v>
      </c>
      <c r="Q15" s="110"/>
      <c r="R15" s="124">
        <v>1207650.17</v>
      </c>
      <c r="S15" s="125">
        <f t="shared" si="4"/>
        <v>2.967999828979373E-2</v>
      </c>
    </row>
    <row r="16" spans="1:19">
      <c r="A16" s="161" t="s">
        <v>158</v>
      </c>
      <c r="B16" s="167">
        <v>5.5E-2</v>
      </c>
      <c r="C16" s="122">
        <v>0</v>
      </c>
      <c r="D16" s="122">
        <v>0</v>
      </c>
      <c r="E16" s="180">
        <f t="shared" si="3"/>
        <v>1207650.1403200016</v>
      </c>
      <c r="F16" s="177">
        <f>3669449+3444</f>
        <v>3672893</v>
      </c>
      <c r="G16" s="168">
        <v>9.1660000000000005E-2</v>
      </c>
      <c r="H16" s="181">
        <f t="shared" si="5"/>
        <v>336657.37238000002</v>
      </c>
      <c r="I16" s="178">
        <v>2844010</v>
      </c>
      <c r="J16" s="168">
        <v>7.6249999999999998E-2</v>
      </c>
      <c r="K16" s="181">
        <f t="shared" si="6"/>
        <v>216855.76249999998</v>
      </c>
      <c r="L16" s="178">
        <v>110085</v>
      </c>
      <c r="M16" s="168">
        <v>4.7800000000000002E-2</v>
      </c>
      <c r="N16" s="181">
        <f t="shared" si="7"/>
        <v>5262.0630000000001</v>
      </c>
      <c r="O16" s="176">
        <f t="shared" si="0"/>
        <v>6815.59</v>
      </c>
      <c r="P16" s="122">
        <f t="shared" si="1"/>
        <v>1773240.9282000018</v>
      </c>
      <c r="Q16" s="110"/>
      <c r="R16" s="124">
        <v>1773240.96</v>
      </c>
      <c r="S16" s="125">
        <f t="shared" ref="S16:S22" si="8">R16-P16</f>
        <v>3.1799998134374619E-2</v>
      </c>
    </row>
    <row r="17" spans="1:23">
      <c r="A17" s="161" t="s">
        <v>159</v>
      </c>
      <c r="B17" s="167">
        <v>5.4199999999999998E-2</v>
      </c>
      <c r="C17" s="122">
        <v>0</v>
      </c>
      <c r="D17" s="122">
        <v>0</v>
      </c>
      <c r="E17" s="180">
        <f t="shared" si="3"/>
        <v>1773240.9282000018</v>
      </c>
      <c r="F17" s="177">
        <f>12751665+10264</f>
        <v>12761929</v>
      </c>
      <c r="G17" s="168">
        <v>9.1660000000000005E-2</v>
      </c>
      <c r="H17" s="181">
        <f t="shared" si="5"/>
        <v>1169758.4121400001</v>
      </c>
      <c r="I17" s="178">
        <v>5304408</v>
      </c>
      <c r="J17" s="168">
        <v>7.6249999999999998E-2</v>
      </c>
      <c r="K17" s="181">
        <f t="shared" si="6"/>
        <v>404461.11</v>
      </c>
      <c r="L17" s="178">
        <v>187475</v>
      </c>
      <c r="M17" s="168">
        <v>4.7800000000000002E-2</v>
      </c>
      <c r="N17" s="181">
        <f t="shared" si="7"/>
        <v>8961.3050000000003</v>
      </c>
      <c r="O17" s="176">
        <f t="shared" si="0"/>
        <v>11584.49</v>
      </c>
      <c r="P17" s="122">
        <f>E17+D17+H17+K17+N17+O17</f>
        <v>3368006.2453400022</v>
      </c>
      <c r="Q17" s="110"/>
      <c r="R17" s="124">
        <v>3368006.27</v>
      </c>
      <c r="S17" s="125">
        <f t="shared" si="8"/>
        <v>2.4659997783601284E-2</v>
      </c>
    </row>
    <row r="18" spans="1:23">
      <c r="A18" s="161" t="s">
        <v>160</v>
      </c>
      <c r="B18" s="167">
        <v>5.4199999999999998E-2</v>
      </c>
      <c r="C18" s="301">
        <f>-'191010 WA DEF'!D18</f>
        <v>-2188663.3331480017</v>
      </c>
      <c r="D18" s="280">
        <v>121937.23</v>
      </c>
      <c r="E18" s="180">
        <f>P17+C18+D18</f>
        <v>1301280.1421920005</v>
      </c>
      <c r="F18" s="177">
        <f>17314620+14846</f>
        <v>17329466</v>
      </c>
      <c r="G18" s="147" t="s">
        <v>149</v>
      </c>
      <c r="H18" s="173">
        <f>-74799-51</f>
        <v>-74850</v>
      </c>
      <c r="I18" s="178">
        <v>6504463</v>
      </c>
      <c r="J18" s="147" t="s">
        <v>149</v>
      </c>
      <c r="K18" s="173">
        <v>-104887</v>
      </c>
      <c r="L18" s="178">
        <v>195352</v>
      </c>
      <c r="M18" s="147" t="s">
        <v>149</v>
      </c>
      <c r="N18" s="173">
        <v>-7404</v>
      </c>
      <c r="O18" s="176">
        <f>ROUND(((E18*(B18/12))+(H18+K18+N18)/2*(B18/12)),2)</f>
        <v>5454.82</v>
      </c>
      <c r="P18" s="122">
        <f>E18+H18+K18+N18+O18</f>
        <v>1119593.9621920006</v>
      </c>
      <c r="Q18" s="110"/>
      <c r="R18" s="124">
        <v>1113949.54</v>
      </c>
      <c r="S18" s="125">
        <f t="shared" si="8"/>
        <v>-5644.4221920005511</v>
      </c>
    </row>
    <row r="19" spans="1:23" ht="14.4" thickBot="1">
      <c r="A19" s="162" t="s">
        <v>161</v>
      </c>
      <c r="B19" s="185">
        <v>5.4199999999999998E-2</v>
      </c>
      <c r="C19" s="130">
        <v>0</v>
      </c>
      <c r="D19" s="130">
        <v>0</v>
      </c>
      <c r="E19" s="201">
        <f t="shared" ref="E19:E31" si="9">P18+C19+D19</f>
        <v>1119593.9621920006</v>
      </c>
      <c r="F19" s="187">
        <f>19606500+18755</f>
        <v>19625255</v>
      </c>
      <c r="G19" s="152" t="s">
        <v>149</v>
      </c>
      <c r="H19" s="174">
        <f>-73713-65</f>
        <v>-73778</v>
      </c>
      <c r="I19" s="188">
        <v>7275662</v>
      </c>
      <c r="J19" s="152" t="s">
        <v>149</v>
      </c>
      <c r="K19" s="174">
        <v>-63487</v>
      </c>
      <c r="L19" s="188">
        <v>161699</v>
      </c>
      <c r="M19" s="152" t="s">
        <v>149</v>
      </c>
      <c r="N19" s="174">
        <v>-1668</v>
      </c>
      <c r="O19" s="202">
        <f>ROUND(((E19*(B19/12))+(H19+K19+N19)/2*(B19/12)),2)</f>
        <v>4743.08</v>
      </c>
      <c r="P19" s="130">
        <f t="shared" ref="P19:P31" si="10">E19+H19+K19+N19+O19</f>
        <v>985404.04219200055</v>
      </c>
      <c r="Q19" s="190"/>
      <c r="R19" s="131">
        <v>979734.12</v>
      </c>
      <c r="S19" s="132">
        <f t="shared" si="8"/>
        <v>-5669.9221920005511</v>
      </c>
    </row>
    <row r="20" spans="1:23">
      <c r="A20" s="263" t="s">
        <v>179</v>
      </c>
      <c r="B20" s="167">
        <f>'191010 WA DEF'!B20</f>
        <v>4.9599999999999998E-2</v>
      </c>
      <c r="C20" s="148">
        <v>0</v>
      </c>
      <c r="D20" s="148">
        <v>0</v>
      </c>
      <c r="E20" s="169">
        <f t="shared" si="9"/>
        <v>985404.04219200055</v>
      </c>
      <c r="F20" s="177">
        <f>19882002+20223</f>
        <v>19902225</v>
      </c>
      <c r="G20" s="168">
        <v>-4.0899999999999999E-3</v>
      </c>
      <c r="H20" s="181">
        <f>F20*G20</f>
        <v>-81400.100250000003</v>
      </c>
      <c r="I20" s="178">
        <v>7441465</v>
      </c>
      <c r="J20" s="168">
        <v>-1.035E-2</v>
      </c>
      <c r="K20" s="181">
        <f>I20*J20</f>
        <v>-77019.162750000003</v>
      </c>
      <c r="L20" s="178">
        <v>176036</v>
      </c>
      <c r="M20" s="168">
        <v>-1.035E-2</v>
      </c>
      <c r="N20" s="181">
        <f>L20*M20</f>
        <v>-1821.9726000000001</v>
      </c>
      <c r="O20" s="175">
        <f t="shared" ref="O20:O31" si="11">ROUND(((E20*(B20/12))+(H20+K20+N20)/2*(B20/12)),2)</f>
        <v>3741.84</v>
      </c>
      <c r="P20" s="148">
        <f t="shared" si="10"/>
        <v>828904.6465920005</v>
      </c>
      <c r="Q20" s="110"/>
      <c r="R20" s="149">
        <v>823211.28</v>
      </c>
      <c r="S20" s="150">
        <f t="shared" si="8"/>
        <v>-5693.3665920004714</v>
      </c>
    </row>
    <row r="21" spans="1:23">
      <c r="A21" s="263" t="s">
        <v>180</v>
      </c>
      <c r="B21" s="167">
        <f>'191010 WA DEF'!B21</f>
        <v>4.9599999999999998E-2</v>
      </c>
      <c r="C21" s="122">
        <v>0</v>
      </c>
      <c r="D21" s="122">
        <v>0</v>
      </c>
      <c r="E21" s="180">
        <f t="shared" si="9"/>
        <v>828904.6465920005</v>
      </c>
      <c r="F21" s="177">
        <f>18132989+23546</f>
        <v>18156535</v>
      </c>
      <c r="G21" s="168">
        <v>-4.0899999999999999E-3</v>
      </c>
      <c r="H21" s="181">
        <f t="shared" ref="H21:H29" si="12">F21*G21</f>
        <v>-74260.228149999995</v>
      </c>
      <c r="I21" s="178">
        <v>7239397</v>
      </c>
      <c r="J21" s="168">
        <v>-1.035E-2</v>
      </c>
      <c r="K21" s="181">
        <f t="shared" ref="K21:K29" si="13">I21*J21</f>
        <v>-74927.758950000003</v>
      </c>
      <c r="L21" s="178">
        <v>155563</v>
      </c>
      <c r="M21" s="168">
        <v>-1.035E-2</v>
      </c>
      <c r="N21" s="181">
        <f t="shared" ref="N21:N29" si="14">L21*M21</f>
        <v>-1610.0770499999999</v>
      </c>
      <c r="O21" s="176">
        <f t="shared" si="11"/>
        <v>3114.49</v>
      </c>
      <c r="P21" s="122">
        <f t="shared" si="10"/>
        <v>681221.0724420005</v>
      </c>
      <c r="Q21" s="110"/>
      <c r="R21" s="149">
        <v>675504.18</v>
      </c>
      <c r="S21" s="150">
        <f t="shared" si="8"/>
        <v>-5716.8924420004478</v>
      </c>
    </row>
    <row r="22" spans="1:23">
      <c r="A22" s="263" t="s">
        <v>181</v>
      </c>
      <c r="B22" s="167">
        <f>'191010 WA DEF'!B22</f>
        <v>4.9599999999999998E-2</v>
      </c>
      <c r="C22" s="122">
        <v>0</v>
      </c>
      <c r="D22" s="122">
        <v>0</v>
      </c>
      <c r="E22" s="180">
        <f t="shared" si="9"/>
        <v>681221.0724420005</v>
      </c>
      <c r="F22" s="177">
        <f>16716589+20495</f>
        <v>16737084</v>
      </c>
      <c r="G22" s="168">
        <v>-4.0899999999999999E-3</v>
      </c>
      <c r="H22" s="181">
        <f t="shared" si="12"/>
        <v>-68454.673559999996</v>
      </c>
      <c r="I22" s="178">
        <v>6588074</v>
      </c>
      <c r="J22" s="168">
        <v>-1.035E-2</v>
      </c>
      <c r="K22" s="181">
        <f t="shared" si="13"/>
        <v>-68186.565900000001</v>
      </c>
      <c r="L22" s="178">
        <v>135456</v>
      </c>
      <c r="M22" s="168">
        <v>-1.035E-2</v>
      </c>
      <c r="N22" s="181">
        <f t="shared" si="14"/>
        <v>-1401.9695999999999</v>
      </c>
      <c r="O22" s="176">
        <f t="shared" si="11"/>
        <v>2530.42</v>
      </c>
      <c r="P22" s="122">
        <f t="shared" si="10"/>
        <v>545708.28338200052</v>
      </c>
      <c r="Q22" s="110"/>
      <c r="R22" s="149">
        <v>540247.84</v>
      </c>
      <c r="S22" s="150">
        <f t="shared" si="8"/>
        <v>-5460.4433820005506</v>
      </c>
    </row>
    <row r="23" spans="1:23">
      <c r="A23" s="263" t="s">
        <v>182</v>
      </c>
      <c r="B23" s="167">
        <f>'191010 WA DEF'!B23</f>
        <v>4.7500000000000001E-2</v>
      </c>
      <c r="C23" s="122">
        <v>0</v>
      </c>
      <c r="D23" s="122">
        <v>0</v>
      </c>
      <c r="E23" s="180">
        <f t="shared" si="9"/>
        <v>545708.28338200052</v>
      </c>
      <c r="F23" s="177">
        <f>8669321+11194</f>
        <v>8680515</v>
      </c>
      <c r="G23" s="168">
        <v>-4.0899999999999999E-3</v>
      </c>
      <c r="H23" s="181">
        <f t="shared" si="12"/>
        <v>-35503.306349999999</v>
      </c>
      <c r="I23" s="178">
        <v>3389688</v>
      </c>
      <c r="J23" s="168">
        <v>-1.035E-2</v>
      </c>
      <c r="K23" s="181">
        <f t="shared" si="13"/>
        <v>-35083.270799999998</v>
      </c>
      <c r="L23" s="178">
        <v>-28206</v>
      </c>
      <c r="M23" s="168">
        <v>-1.035E-2</v>
      </c>
      <c r="N23" s="181">
        <f t="shared" si="14"/>
        <v>291.93209999999999</v>
      </c>
      <c r="O23" s="176">
        <f t="shared" si="11"/>
        <v>2020.97</v>
      </c>
      <c r="P23" s="122">
        <f t="shared" si="10"/>
        <v>477434.6083320005</v>
      </c>
      <c r="Q23" s="110"/>
      <c r="R23" s="149">
        <v>471952.55</v>
      </c>
      <c r="S23" s="150">
        <f t="shared" ref="S23" si="15">R23-P23</f>
        <v>-5482.0583320005098</v>
      </c>
    </row>
    <row r="24" spans="1:23">
      <c r="A24" s="263" t="s">
        <v>183</v>
      </c>
      <c r="B24" s="167">
        <f>'191010 WA DEF'!B24</f>
        <v>4.7500000000000001E-2</v>
      </c>
      <c r="C24" s="122">
        <v>0</v>
      </c>
      <c r="D24" s="122">
        <v>0</v>
      </c>
      <c r="E24" s="180">
        <f t="shared" si="9"/>
        <v>477434.6083320005</v>
      </c>
      <c r="F24" s="177">
        <f>5170311+6951</f>
        <v>5177262</v>
      </c>
      <c r="G24" s="168">
        <v>-4.0899999999999999E-3</v>
      </c>
      <c r="H24" s="181">
        <f t="shared" si="12"/>
        <v>-21175.00158</v>
      </c>
      <c r="I24" s="178">
        <v>2662302</v>
      </c>
      <c r="J24" s="168">
        <v>-1.035E-2</v>
      </c>
      <c r="K24" s="181">
        <f t="shared" si="13"/>
        <v>-27554.825700000001</v>
      </c>
      <c r="L24" s="178">
        <v>-100434</v>
      </c>
      <c r="M24" s="168">
        <v>-1.035E-2</v>
      </c>
      <c r="N24" s="181">
        <f t="shared" si="14"/>
        <v>1039.4919</v>
      </c>
      <c r="O24" s="176">
        <f t="shared" si="11"/>
        <v>1795.46</v>
      </c>
      <c r="P24" s="122">
        <f t="shared" si="10"/>
        <v>431539.73295200057</v>
      </c>
      <c r="Q24" s="110"/>
      <c r="R24" s="149">
        <v>426035.97</v>
      </c>
      <c r="S24" s="150">
        <f t="shared" ref="S24" si="16">R24-P24</f>
        <v>-5503.7629520006012</v>
      </c>
    </row>
    <row r="25" spans="1:23">
      <c r="A25" s="263" t="s">
        <v>184</v>
      </c>
      <c r="B25" s="167">
        <f>'191010 WA DEF'!B25</f>
        <v>4.7500000000000001E-2</v>
      </c>
      <c r="C25" s="122">
        <v>0</v>
      </c>
      <c r="D25" s="122">
        <v>0</v>
      </c>
      <c r="E25" s="180">
        <f t="shared" si="9"/>
        <v>431539.73295200057</v>
      </c>
      <c r="F25" s="177">
        <f>3317015+4575</f>
        <v>3321590</v>
      </c>
      <c r="G25" s="168">
        <v>-4.0899999999999999E-3</v>
      </c>
      <c r="H25" s="181">
        <f t="shared" si="12"/>
        <v>-13585.303099999999</v>
      </c>
      <c r="I25" s="178">
        <v>1746909</v>
      </c>
      <c r="J25" s="168">
        <v>-1.035E-2</v>
      </c>
      <c r="K25" s="181">
        <f t="shared" si="13"/>
        <v>-18080.508150000001</v>
      </c>
      <c r="L25" s="178">
        <v>0</v>
      </c>
      <c r="M25" s="168">
        <v>-1.035E-2</v>
      </c>
      <c r="N25" s="181">
        <f t="shared" si="14"/>
        <v>0</v>
      </c>
      <c r="O25" s="176">
        <f>ROUND(((E25*(B25/12))+(H25+K25+N25)/2*(B25/12)),2)</f>
        <v>1645.51</v>
      </c>
      <c r="P25" s="122">
        <f t="shared" si="10"/>
        <v>401519.43170200055</v>
      </c>
      <c r="Q25" s="110"/>
      <c r="R25" s="149">
        <v>395993.88</v>
      </c>
      <c r="S25" s="150">
        <f t="shared" ref="S25" si="17">R25-P25</f>
        <v>-5525.55170200055</v>
      </c>
    </row>
    <row r="26" spans="1:23">
      <c r="A26" s="263" t="s">
        <v>185</v>
      </c>
      <c r="B26" s="167">
        <v>3.4299999999999997E-2</v>
      </c>
      <c r="C26" s="122">
        <v>0</v>
      </c>
      <c r="D26" s="122">
        <v>0</v>
      </c>
      <c r="E26" s="180">
        <f t="shared" si="9"/>
        <v>401519.43170200055</v>
      </c>
      <c r="F26" s="177">
        <f>2630458+2800</f>
        <v>2633258</v>
      </c>
      <c r="G26" s="168">
        <v>-4.0899999999999999E-3</v>
      </c>
      <c r="H26" s="181">
        <f t="shared" si="12"/>
        <v>-10770.02522</v>
      </c>
      <c r="I26" s="178">
        <v>1745062</v>
      </c>
      <c r="J26" s="168">
        <v>-1.035E-2</v>
      </c>
      <c r="K26" s="181">
        <f t="shared" si="13"/>
        <v>-18061.3917</v>
      </c>
      <c r="L26" s="178">
        <v>0</v>
      </c>
      <c r="M26" s="168">
        <v>-1.035E-2</v>
      </c>
      <c r="N26" s="181">
        <f t="shared" si="14"/>
        <v>0</v>
      </c>
      <c r="O26" s="176">
        <f t="shared" si="11"/>
        <v>1106.47</v>
      </c>
      <c r="P26" s="122">
        <f t="shared" si="10"/>
        <v>373794.48478200054</v>
      </c>
      <c r="Q26" s="110"/>
      <c r="R26" s="149">
        <v>368253.14</v>
      </c>
      <c r="S26" s="150">
        <f t="shared" ref="S26" si="18">R26-P26</f>
        <v>-5541.344782000524</v>
      </c>
    </row>
    <row r="27" spans="1:23">
      <c r="A27" s="263" t="s">
        <v>186</v>
      </c>
      <c r="B27" s="167">
        <v>3.4299999999999997E-2</v>
      </c>
      <c r="C27" s="122">
        <v>0</v>
      </c>
      <c r="D27" s="122">
        <v>0</v>
      </c>
      <c r="E27" s="180">
        <f t="shared" si="9"/>
        <v>373794.48478200054</v>
      </c>
      <c r="F27" s="177">
        <f>2236586+2515</f>
        <v>2239101</v>
      </c>
      <c r="G27" s="168">
        <v>-4.0899999999999999E-3</v>
      </c>
      <c r="H27" s="181">
        <f t="shared" si="12"/>
        <v>-9157.9230900000002</v>
      </c>
      <c r="I27" s="178">
        <v>1621230</v>
      </c>
      <c r="J27" s="168">
        <v>-1.035E-2</v>
      </c>
      <c r="K27" s="181">
        <f t="shared" si="13"/>
        <v>-16779.730500000001</v>
      </c>
      <c r="L27" s="178">
        <v>0</v>
      </c>
      <c r="M27" s="168">
        <v>-1.035E-2</v>
      </c>
      <c r="N27" s="181">
        <f t="shared" si="14"/>
        <v>0</v>
      </c>
      <c r="O27" s="176">
        <f t="shared" si="11"/>
        <v>1031.3599999999999</v>
      </c>
      <c r="P27" s="122">
        <f t="shared" si="10"/>
        <v>348888.19119200052</v>
      </c>
      <c r="Q27" s="110"/>
      <c r="R27" s="149">
        <v>343331.01</v>
      </c>
      <c r="S27" s="150">
        <f t="shared" ref="S27" si="19">R27-P27</f>
        <v>-5557.181192000513</v>
      </c>
      <c r="U27" s="300"/>
    </row>
    <row r="28" spans="1:23">
      <c r="A28" s="263" t="s">
        <v>187</v>
      </c>
      <c r="B28" s="167">
        <v>3.4299999999999997E-2</v>
      </c>
      <c r="C28" s="122">
        <v>0</v>
      </c>
      <c r="D28" s="122">
        <v>0</v>
      </c>
      <c r="E28" s="180">
        <f t="shared" si="9"/>
        <v>348888.19119200052</v>
      </c>
      <c r="F28" s="177">
        <f>2843331+3965</f>
        <v>2847296</v>
      </c>
      <c r="G28" s="168">
        <v>-4.0899999999999999E-3</v>
      </c>
      <c r="H28" s="181">
        <f t="shared" si="12"/>
        <v>-11645.440639999999</v>
      </c>
      <c r="I28" s="178">
        <v>2009009</v>
      </c>
      <c r="J28" s="168">
        <v>-1.035E-2</v>
      </c>
      <c r="K28" s="181">
        <f t="shared" si="13"/>
        <v>-20793.243149999998</v>
      </c>
      <c r="L28" s="178">
        <v>0</v>
      </c>
      <c r="M28" s="168">
        <v>-1.035E-2</v>
      </c>
      <c r="N28" s="181">
        <f t="shared" si="14"/>
        <v>0</v>
      </c>
      <c r="O28" s="176">
        <f t="shared" si="11"/>
        <v>950.88</v>
      </c>
      <c r="P28" s="122">
        <f t="shared" si="10"/>
        <v>317400.38740200055</v>
      </c>
      <c r="Q28" s="110"/>
      <c r="R28" s="149">
        <v>317400.40999999997</v>
      </c>
      <c r="S28" s="150">
        <f t="shared" ref="S28" si="20">R28-P28</f>
        <v>2.2597999428398907E-2</v>
      </c>
    </row>
    <row r="29" spans="1:23">
      <c r="A29" s="263" t="s">
        <v>188</v>
      </c>
      <c r="B29" s="167">
        <v>3.2500000000000001E-2</v>
      </c>
      <c r="C29" s="122">
        <v>0</v>
      </c>
      <c r="D29" s="122">
        <v>0</v>
      </c>
      <c r="E29" s="180">
        <f t="shared" si="9"/>
        <v>317400.38740200055</v>
      </c>
      <c r="F29" s="177">
        <f>8963780+13468</f>
        <v>8977248</v>
      </c>
      <c r="G29" s="168">
        <v>-4.0899999999999999E-3</v>
      </c>
      <c r="H29" s="181">
        <f t="shared" si="12"/>
        <v>-36716.944320000002</v>
      </c>
      <c r="I29" s="178">
        <v>4850551</v>
      </c>
      <c r="J29" s="168">
        <v>-1.035E-2</v>
      </c>
      <c r="K29" s="181">
        <f t="shared" si="13"/>
        <v>-50203.202850000001</v>
      </c>
      <c r="L29" s="178">
        <v>0</v>
      </c>
      <c r="M29" s="168">
        <v>-1.035E-2</v>
      </c>
      <c r="N29" s="181">
        <f t="shared" si="14"/>
        <v>0</v>
      </c>
      <c r="O29" s="176">
        <f t="shared" si="11"/>
        <v>741.92</v>
      </c>
      <c r="P29" s="122">
        <f t="shared" si="10"/>
        <v>231222.16023200055</v>
      </c>
      <c r="Q29" s="110"/>
      <c r="R29" s="149">
        <v>317400.40999999997</v>
      </c>
      <c r="S29" s="150">
        <f t="shared" ref="S29" si="21">R29-P29</f>
        <v>86178.249767999427</v>
      </c>
    </row>
    <row r="30" spans="1:23">
      <c r="A30" s="263" t="s">
        <v>189</v>
      </c>
      <c r="B30" s="167"/>
      <c r="C30" s="127">
        <f>-'191010 WA DEF'!D30</f>
        <v>0</v>
      </c>
      <c r="D30" s="127"/>
      <c r="E30" s="180">
        <f t="shared" si="9"/>
        <v>231222.16023200055</v>
      </c>
      <c r="F30" s="177"/>
      <c r="G30" s="147" t="s">
        <v>149</v>
      </c>
      <c r="H30" s="173"/>
      <c r="I30" s="178"/>
      <c r="J30" s="147" t="s">
        <v>149</v>
      </c>
      <c r="K30" s="173"/>
      <c r="L30" s="178"/>
      <c r="M30" s="147" t="s">
        <v>149</v>
      </c>
      <c r="N30" s="173"/>
      <c r="O30" s="176">
        <f t="shared" si="11"/>
        <v>0</v>
      </c>
      <c r="P30" s="122">
        <f t="shared" si="10"/>
        <v>231222.16023200055</v>
      </c>
      <c r="Q30" s="110"/>
      <c r="R30" s="124"/>
      <c r="S30" s="125"/>
    </row>
    <row r="31" spans="1:23">
      <c r="A31" s="263" t="s">
        <v>190</v>
      </c>
      <c r="B31" s="167"/>
      <c r="C31" s="122">
        <v>0</v>
      </c>
      <c r="D31" s="122">
        <v>0</v>
      </c>
      <c r="E31" s="180">
        <f t="shared" si="9"/>
        <v>231222.16023200055</v>
      </c>
      <c r="F31" s="177"/>
      <c r="G31" s="147" t="s">
        <v>149</v>
      </c>
      <c r="H31" s="173"/>
      <c r="I31" s="178"/>
      <c r="J31" s="147" t="s">
        <v>149</v>
      </c>
      <c r="K31" s="173"/>
      <c r="L31" s="178"/>
      <c r="M31" s="147" t="s">
        <v>149</v>
      </c>
      <c r="N31" s="173"/>
      <c r="O31" s="176">
        <f t="shared" si="11"/>
        <v>0</v>
      </c>
      <c r="P31" s="122">
        <f t="shared" si="10"/>
        <v>231222.16023200055</v>
      </c>
      <c r="Q31" s="110"/>
      <c r="R31" s="124"/>
      <c r="S31" s="125"/>
    </row>
    <row r="32" spans="1:23" s="194" customFormat="1" ht="15.6">
      <c r="A32" s="137"/>
      <c r="B32" s="137"/>
      <c r="C32" s="191"/>
      <c r="D32" s="133">
        <f>SUMIF($A$8:$A$31,$G35,D$8:D$31)</f>
        <v>0</v>
      </c>
      <c r="E32" s="133"/>
      <c r="F32" s="133"/>
      <c r="G32" s="133"/>
      <c r="H32" s="133">
        <f>SUMIF($A$8:$A$31,$G35,H$8:H$31)</f>
        <v>-36716.944320000002</v>
      </c>
      <c r="I32" s="134"/>
      <c r="J32" s="191"/>
      <c r="K32" s="133">
        <f>SUMIF($A$8:$A$31,$G35,K$8:K$31)</f>
        <v>-50203.202850000001</v>
      </c>
      <c r="L32" s="137"/>
      <c r="M32" s="193"/>
      <c r="N32" s="133">
        <f>SUMIF($A$8:$A$31,$G35,N$8:N$31)</f>
        <v>0</v>
      </c>
      <c r="O32" s="133">
        <f>SUMIF($A$8:$A$31,$G35,O$8:O$31)</f>
        <v>741.92</v>
      </c>
      <c r="P32" s="134" t="s">
        <v>125</v>
      </c>
      <c r="Q32" s="197"/>
      <c r="R32" s="198"/>
      <c r="S32" s="198"/>
      <c r="T32" s="199"/>
      <c r="U32" s="195"/>
      <c r="V32" s="195"/>
      <c r="W32" s="195"/>
    </row>
    <row r="33" spans="1:26" s="194" customFormat="1" ht="14.4">
      <c r="A33" s="137"/>
      <c r="B33" s="137"/>
      <c r="C33" s="191"/>
      <c r="D33" s="192" t="s">
        <v>139</v>
      </c>
      <c r="E33" s="192"/>
      <c r="F33" s="192"/>
      <c r="G33" s="192"/>
      <c r="H33" s="192" t="s">
        <v>137</v>
      </c>
      <c r="I33" s="137"/>
      <c r="J33" s="191"/>
      <c r="K33" s="192" t="s">
        <v>137</v>
      </c>
      <c r="L33" s="192"/>
      <c r="M33" s="200"/>
      <c r="N33" s="192" t="s">
        <v>137</v>
      </c>
      <c r="O33" s="192" t="s">
        <v>138</v>
      </c>
      <c r="Q33" s="195"/>
      <c r="R33" s="195"/>
      <c r="S33" s="195"/>
      <c r="T33" s="195"/>
      <c r="U33" s="195"/>
      <c r="V33" s="195"/>
      <c r="W33" s="195"/>
    </row>
    <row r="34" spans="1:26" s="96" customFormat="1" ht="14.4">
      <c r="D34" s="119"/>
      <c r="E34" s="119"/>
      <c r="F34" s="120"/>
      <c r="G34" s="119"/>
      <c r="H34" s="119"/>
      <c r="I34" s="119"/>
      <c r="J34" s="119"/>
      <c r="K34" s="119"/>
      <c r="L34" s="119"/>
      <c r="M34" s="120"/>
      <c r="N34" s="119"/>
      <c r="O34" s="119"/>
      <c r="P34" s="138"/>
      <c r="T34" s="97"/>
      <c r="U34" s="97"/>
      <c r="V34" s="97"/>
      <c r="W34" s="97"/>
      <c r="X34" s="97"/>
      <c r="Y34" s="97"/>
      <c r="Z34" s="97"/>
    </row>
    <row r="35" spans="1:26" s="96" customFormat="1" ht="14.4">
      <c r="D35" s="119"/>
      <c r="E35" s="119"/>
      <c r="F35" s="120"/>
      <c r="G35" s="112">
        <v>202010</v>
      </c>
      <c r="H35" s="113" t="s">
        <v>126</v>
      </c>
      <c r="I35" s="114"/>
      <c r="J35" s="119"/>
      <c r="K35" s="119"/>
      <c r="L35" s="119"/>
      <c r="M35" s="120"/>
      <c r="N35" s="119"/>
      <c r="O35" s="119"/>
      <c r="P35" s="138"/>
    </row>
    <row r="36" spans="1:26" s="96" customFormat="1" ht="14.4">
      <c r="D36" s="119"/>
      <c r="E36" s="119"/>
      <c r="F36" s="120"/>
      <c r="G36" s="115" t="s">
        <v>127</v>
      </c>
      <c r="H36" s="115" t="s">
        <v>128</v>
      </c>
      <c r="I36" s="115" t="s">
        <v>129</v>
      </c>
      <c r="J36" s="119"/>
      <c r="K36" s="119"/>
      <c r="L36" s="119"/>
      <c r="M36" s="120"/>
      <c r="N36" s="119"/>
      <c r="O36" s="119"/>
      <c r="P36" s="138"/>
    </row>
    <row r="37" spans="1:26" s="96" customFormat="1" ht="14.4">
      <c r="D37" s="119"/>
      <c r="E37" s="119"/>
      <c r="F37" s="135" t="s">
        <v>36</v>
      </c>
      <c r="G37" s="116" t="s">
        <v>130</v>
      </c>
      <c r="H37" s="117"/>
      <c r="I37" s="118">
        <f>IF($O$32&gt;0,ABS($O$32),"")</f>
        <v>741.92</v>
      </c>
      <c r="J37" s="137" t="s">
        <v>138</v>
      </c>
      <c r="K37" s="119"/>
      <c r="L37" s="119"/>
      <c r="M37" s="283"/>
      <c r="N37" s="110"/>
      <c r="O37" s="119"/>
      <c r="P37" s="138"/>
    </row>
    <row r="38" spans="1:26" s="96" customFormat="1" ht="14.4">
      <c r="D38" s="119"/>
      <c r="E38" s="119"/>
      <c r="F38" s="135" t="s">
        <v>134</v>
      </c>
      <c r="G38" s="116" t="s">
        <v>131</v>
      </c>
      <c r="H38" s="118" t="str">
        <f>IF($O$32&lt;0,ABS($O$32),"")</f>
        <v/>
      </c>
      <c r="I38" s="117"/>
      <c r="J38" s="137" t="s">
        <v>191</v>
      </c>
      <c r="K38" s="119"/>
      <c r="L38" s="312"/>
      <c r="M38" s="307"/>
      <c r="N38" s="313"/>
      <c r="O38" s="119"/>
      <c r="P38" s="138"/>
    </row>
    <row r="39" spans="1:26" s="96" customFormat="1" ht="14.4">
      <c r="D39" s="119"/>
      <c r="E39" s="119"/>
      <c r="F39" s="135" t="s">
        <v>6</v>
      </c>
      <c r="G39" s="116" t="s">
        <v>146</v>
      </c>
      <c r="H39" s="118" t="str">
        <f>IF(H32+$K$32+$N$32+O32&gt;0,ABS(H32+$K$32+$N$32+O32),"")</f>
        <v/>
      </c>
      <c r="I39" s="118">
        <f>IF(H32+$K$32+$N$32+O32&lt;0,ABS(H32+$K$32+$N$32+O32),"")</f>
        <v>86178.227170000013</v>
      </c>
      <c r="J39" s="137" t="s">
        <v>164</v>
      </c>
      <c r="K39" s="119"/>
      <c r="L39" s="314"/>
      <c r="M39" s="307"/>
      <c r="N39" s="313"/>
      <c r="O39" s="119"/>
      <c r="P39" s="138"/>
    </row>
    <row r="40" spans="1:26" s="96" customFormat="1" ht="14.4">
      <c r="D40" s="119"/>
      <c r="E40" s="119"/>
      <c r="F40" s="135" t="s">
        <v>165</v>
      </c>
      <c r="G40" s="116" t="s">
        <v>162</v>
      </c>
      <c r="H40" s="118">
        <f>IF(H32+$K$32+$N$32&lt;0,ABS(H32+$K$32+$N$32),"")</f>
        <v>86920.147170000011</v>
      </c>
      <c r="I40" s="118" t="str">
        <f>IF(H32+$K$32+$N$32&gt;0,ABS(H32+$K$32+$N$32),"")</f>
        <v/>
      </c>
      <c r="J40" s="137" t="s">
        <v>137</v>
      </c>
      <c r="K40" s="119"/>
      <c r="L40" s="314"/>
      <c r="M40" s="307"/>
      <c r="N40" s="313"/>
      <c r="O40" s="119"/>
      <c r="P40" s="138"/>
    </row>
    <row r="41" spans="1:26" s="96" customFormat="1" ht="14.4">
      <c r="D41" s="119"/>
      <c r="E41" s="119"/>
      <c r="F41" s="120"/>
      <c r="G41" s="119"/>
      <c r="H41" s="119"/>
      <c r="I41" s="119"/>
      <c r="J41" s="137"/>
      <c r="K41" s="119"/>
      <c r="L41" s="314"/>
      <c r="M41" s="307"/>
      <c r="N41" s="312"/>
      <c r="O41" s="119"/>
      <c r="P41" s="138"/>
    </row>
    <row r="42" spans="1:26" s="96" customFormat="1" ht="14.4">
      <c r="D42" s="119"/>
      <c r="E42" s="119"/>
      <c r="F42" s="120"/>
      <c r="G42" s="119"/>
      <c r="H42" s="119"/>
      <c r="I42" s="136">
        <f>SUM(H37:H40)-SUM(I37:I40)</f>
        <v>0</v>
      </c>
      <c r="J42" s="137" t="s">
        <v>142</v>
      </c>
      <c r="K42" s="119"/>
      <c r="L42" s="119"/>
      <c r="M42" s="120"/>
      <c r="N42" s="119"/>
      <c r="O42" s="119"/>
      <c r="P42" s="138"/>
    </row>
    <row r="43" spans="1:26" s="96" customFormat="1" ht="14.4">
      <c r="F43" s="97"/>
      <c r="J43" s="194"/>
      <c r="M43" s="97"/>
      <c r="P43" s="140"/>
    </row>
    <row r="44" spans="1:26" s="96" customFormat="1" ht="15.6">
      <c r="F44" s="97"/>
      <c r="G44" s="115" t="s">
        <v>163</v>
      </c>
      <c r="H44" s="154"/>
      <c r="I44" s="155"/>
      <c r="J44" s="196"/>
      <c r="M44" s="97"/>
      <c r="P44" s="140"/>
    </row>
    <row r="45" spans="1:26" s="96" customFormat="1" ht="14.4">
      <c r="F45" s="97"/>
      <c r="G45" s="156" t="s">
        <v>146</v>
      </c>
      <c r="H45" s="118" t="str">
        <f>IF($D$32&gt;0,ABS($D$32),"")</f>
        <v/>
      </c>
      <c r="I45" s="157"/>
      <c r="J45" s="137" t="s">
        <v>139</v>
      </c>
      <c r="M45" s="97"/>
      <c r="P45" s="140"/>
    </row>
    <row r="46" spans="1:26" s="96" customFormat="1" ht="14.4">
      <c r="F46" s="97"/>
      <c r="G46" s="156" t="s">
        <v>162</v>
      </c>
      <c r="H46" s="157"/>
      <c r="I46" s="118" t="str">
        <f>H45</f>
        <v/>
      </c>
      <c r="J46" s="158"/>
      <c r="M46" s="97"/>
      <c r="P46" s="140"/>
    </row>
    <row r="47" spans="1:26">
      <c r="Q47" s="119"/>
      <c r="S47" s="184"/>
      <c r="U47" s="120"/>
    </row>
    <row r="48" spans="1:26">
      <c r="P48" s="184"/>
      <c r="Q48" s="119"/>
      <c r="R48" s="120"/>
      <c r="S48" s="119"/>
    </row>
  </sheetData>
  <pageMargins left="0.5" right="0" top="0.75" bottom="0.75" header="0.3" footer="0.3"/>
  <pageSetup scale="61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U1482"/>
  <sheetViews>
    <sheetView showGridLines="0" topLeftCell="A34" zoomScale="70" zoomScaleNormal="7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9.5546875" style="87" bestFit="1" customWidth="1"/>
    <col min="7" max="7" width="16.44140625" style="87" bestFit="1" customWidth="1"/>
    <col min="8" max="9" width="18.33203125" style="87" bestFit="1" customWidth="1"/>
    <col min="10" max="10" width="21" style="87" bestFit="1" customWidth="1"/>
    <col min="11" max="12" width="18.33203125" style="87" bestFit="1" customWidth="1"/>
    <col min="13" max="13" width="17.5546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202002</v>
      </c>
      <c r="F1" s="92">
        <f>C1</f>
        <v>202002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3388075.13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25791.77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0.68510000000000004</v>
      </c>
      <c r="L5" s="247">
        <f>1-K5</f>
        <v>0.31489999999999996</v>
      </c>
      <c r="M5" s="88"/>
    </row>
    <row r="6" spans="1:13" ht="15.6" customHeight="1" thickBot="1">
      <c r="A6" s="27" t="s">
        <v>7</v>
      </c>
      <c r="C6" s="237">
        <f>-1385216.75-395098.89-112885.4-134898.06-90940.48</f>
        <v>-2119039.58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1294827.3199999998</v>
      </c>
      <c r="D7" s="17"/>
      <c r="F7" s="58" t="s">
        <v>175</v>
      </c>
      <c r="G7" s="58"/>
      <c r="H7" s="40">
        <f>C32</f>
        <v>2210964.1699999995</v>
      </c>
      <c r="I7" s="59">
        <f>H7*I5</f>
        <v>1518490.1919559995</v>
      </c>
      <c r="J7" s="59">
        <f>H7*J5</f>
        <v>692473.97804399976</v>
      </c>
      <c r="K7" s="59"/>
      <c r="L7" s="59"/>
      <c r="M7" s="88"/>
    </row>
    <row r="8" spans="1:13" ht="15.6" customHeight="1">
      <c r="A8" s="87" t="s">
        <v>39</v>
      </c>
      <c r="C8" s="236">
        <v>196982.21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8135.76</v>
      </c>
      <c r="D9" s="18"/>
      <c r="F9" s="58" t="s">
        <v>53</v>
      </c>
      <c r="G9" s="88"/>
      <c r="H9" s="248">
        <f>C52</f>
        <v>6405227.9699999997</v>
      </c>
      <c r="I9" s="59"/>
      <c r="J9" s="59"/>
      <c r="K9" s="250">
        <f>H9*K5</f>
        <v>4388221.6822469998</v>
      </c>
      <c r="L9" s="250">
        <f>H9*L5</f>
        <v>2017006.2877529997</v>
      </c>
      <c r="M9" s="88"/>
    </row>
    <row r="10" spans="1:13" ht="15.6" customHeight="1">
      <c r="A10" s="27" t="s">
        <v>41</v>
      </c>
      <c r="C10" s="237">
        <v>-2664.55</v>
      </c>
      <c r="D10" s="18"/>
      <c r="F10" s="61" t="s">
        <v>21</v>
      </c>
      <c r="G10" s="88"/>
      <c r="H10" s="248">
        <f>C53</f>
        <v>-33019.79</v>
      </c>
      <c r="I10" s="59"/>
      <c r="J10" s="59"/>
      <c r="K10" s="250">
        <f>H10</f>
        <v>-33019.79</v>
      </c>
      <c r="L10" s="250"/>
      <c r="M10" s="88"/>
    </row>
    <row r="11" spans="1:13" ht="15.6" customHeight="1">
      <c r="A11" s="30" t="s">
        <v>70</v>
      </c>
      <c r="C11" s="235">
        <f>SUM(C8:C10)</f>
        <v>202453.42</v>
      </c>
      <c r="D11" s="18"/>
      <c r="F11" s="61" t="s">
        <v>22</v>
      </c>
      <c r="G11" s="88"/>
      <c r="H11" s="249">
        <f>C54</f>
        <v>-15158.07</v>
      </c>
      <c r="I11" s="59"/>
      <c r="J11" s="59"/>
      <c r="K11" s="251"/>
      <c r="L11" s="251">
        <f>H11</f>
        <v>-15158.07</v>
      </c>
      <c r="M11" s="88"/>
    </row>
    <row r="12" spans="1:13" ht="15.6" customHeight="1">
      <c r="A12" s="87" t="s">
        <v>120</v>
      </c>
      <c r="C12" s="236">
        <f>206687.39-21885.68+876.03</f>
        <v>185677.74000000002</v>
      </c>
      <c r="D12" s="18"/>
      <c r="F12" s="61" t="s">
        <v>68</v>
      </c>
      <c r="G12" s="88"/>
      <c r="H12" s="234">
        <f>H9+H10+H11</f>
        <v>6357050.1099999994</v>
      </c>
      <c r="I12" s="59"/>
      <c r="J12" s="59"/>
      <c r="K12" s="59">
        <f>SUM(K9:K11)</f>
        <v>4355201.8922469998</v>
      </c>
      <c r="L12" s="59">
        <f>SUM(L9:L11)</f>
        <v>2001848.2177529996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185677.74000000002</v>
      </c>
      <c r="D14" s="19"/>
      <c r="F14" s="88" t="s">
        <v>30</v>
      </c>
      <c r="G14" s="58"/>
      <c r="H14" s="40">
        <f>H12+H7</f>
        <v>8568014.2799999993</v>
      </c>
      <c r="I14" s="221">
        <f>SUM(I7:I13)</f>
        <v>1518490.1919559995</v>
      </c>
      <c r="J14" s="221">
        <f>SUM(J7:J13)</f>
        <v>692473.97804399976</v>
      </c>
      <c r="K14" s="221">
        <f>K12</f>
        <v>4355201.8922469998</v>
      </c>
      <c r="L14" s="221">
        <f>L12</f>
        <v>2001848.2177529996</v>
      </c>
      <c r="M14" s="88"/>
    </row>
    <row r="15" spans="1:13" ht="15.6" customHeight="1">
      <c r="A15" s="87" t="s">
        <v>92</v>
      </c>
      <c r="C15" s="236">
        <f>448473.99+1037.72</f>
        <v>449511.70999999996</v>
      </c>
      <c r="D15" s="18"/>
      <c r="F15" s="88"/>
      <c r="G15" s="30" t="s">
        <v>46</v>
      </c>
      <c r="H15" s="245">
        <f>H14-C57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449511.70999999996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248.64+9691.5+97764.03</f>
        <v>107704.17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>
        <v>5881.28</v>
      </c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65" t="s">
        <v>10</v>
      </c>
    </row>
    <row r="20" spans="1:13" ht="15.6" customHeight="1" thickBot="1">
      <c r="A20" s="31" t="s">
        <v>123</v>
      </c>
      <c r="C20" s="235">
        <f>SUM(C18:C19)</f>
        <v>113585.45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2867.34+1850</f>
        <v>4717.34</v>
      </c>
      <c r="D21" s="18"/>
      <c r="F21" s="51"/>
      <c r="G21" s="264"/>
      <c r="H21" s="264"/>
      <c r="I21" s="265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4717.34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0">
        <v>0</v>
      </c>
      <c r="D23" s="18"/>
      <c r="F23" s="74" t="s">
        <v>14</v>
      </c>
      <c r="G23" s="93">
        <v>18132989</v>
      </c>
      <c r="H23" s="226">
        <v>9.6509999999999999E-2</v>
      </c>
      <c r="I23" s="256">
        <f t="shared" ref="I23:I31" si="0">G23*H23</f>
        <v>1750014.7683899999</v>
      </c>
      <c r="J23" s="74" t="s">
        <v>14</v>
      </c>
      <c r="K23" s="93">
        <v>9052000</v>
      </c>
      <c r="L23" s="226">
        <v>9.2950000000000005E-2</v>
      </c>
      <c r="M23" s="256">
        <f>K23*L23</f>
        <v>841383.4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23546</v>
      </c>
      <c r="H24" s="226">
        <v>9.6509999999999999E-2</v>
      </c>
      <c r="I24" s="256">
        <f t="shared" si="0"/>
        <v>2272.4244600000002</v>
      </c>
      <c r="J24" s="74" t="s">
        <v>15</v>
      </c>
      <c r="K24" s="93">
        <v>2971899</v>
      </c>
      <c r="L24" s="226">
        <f>L23</f>
        <v>9.2950000000000005E-2</v>
      </c>
      <c r="M24" s="256">
        <f>K24*L24</f>
        <v>276238.01205000002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7239397</v>
      </c>
      <c r="H25" s="226">
        <v>8.727E-2</v>
      </c>
      <c r="I25" s="256">
        <f t="shared" si="0"/>
        <v>631782.17619000003</v>
      </c>
      <c r="J25" s="74" t="s">
        <v>16</v>
      </c>
      <c r="K25" s="93">
        <v>815</v>
      </c>
      <c r="L25" s="226">
        <f t="shared" ref="L25" si="1">L24</f>
        <v>9.2950000000000005E-2</v>
      </c>
      <c r="M25" s="256">
        <f>K25*L25</f>
        <v>75.754249999999999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17022</v>
      </c>
      <c r="H26" s="226">
        <v>8.727E-2</v>
      </c>
      <c r="I26" s="256">
        <f t="shared" si="0"/>
        <v>1485.5099399999999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155563</v>
      </c>
      <c r="H27" s="226">
        <v>8.727E-2</v>
      </c>
      <c r="I27" s="256">
        <f t="shared" si="0"/>
        <v>13575.98301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474268</v>
      </c>
      <c r="H28" s="226">
        <v>8.727E-2</v>
      </c>
      <c r="I28" s="256">
        <f t="shared" si="0"/>
        <v>41389.36836</v>
      </c>
      <c r="J28" s="73" t="s">
        <v>58</v>
      </c>
      <c r="K28" s="254">
        <f>SUM(K23:K27)</f>
        <v>12024714</v>
      </c>
      <c r="L28" s="255"/>
      <c r="M28" s="71">
        <f>SUM(M23:M27)</f>
        <v>1117697.1662999999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12024714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2250772.9799999995</v>
      </c>
      <c r="D30" s="19"/>
      <c r="F30" s="74" t="s">
        <v>20</v>
      </c>
      <c r="G30" s="93">
        <v>115028</v>
      </c>
      <c r="H30" s="226">
        <v>5.5910000000000001E-2</v>
      </c>
      <c r="I30" s="256">
        <f t="shared" si="0"/>
        <v>6431.2154799999998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-39808.81</v>
      </c>
      <c r="D31" s="20"/>
      <c r="F31" s="74" t="s">
        <v>35</v>
      </c>
      <c r="G31" s="93">
        <v>3147559</v>
      </c>
      <c r="H31" s="226">
        <v>5.4000000000000001E-4</v>
      </c>
      <c r="I31" s="256">
        <f t="shared" si="0"/>
        <v>1699.6818599999999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2210964.1699999995</v>
      </c>
      <c r="D32" s="21"/>
      <c r="F32" s="73" t="s">
        <v>58</v>
      </c>
      <c r="G32" s="254">
        <f>SUM(G23:G31)</f>
        <v>29305372</v>
      </c>
      <c r="H32" s="6"/>
      <c r="I32" s="71">
        <f>SUM(I23:I31)</f>
        <v>2448651.1276899995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29305372</v>
      </c>
      <c r="H33" s="65"/>
      <c r="I33" s="257">
        <f>I32/G32</f>
        <v>8.3556391220353715E-2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7194740.5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f t="shared" ref="G36:G43" si="2">G23</f>
        <v>18132989</v>
      </c>
      <c r="H36" s="226">
        <v>0.15284</v>
      </c>
      <c r="I36" s="256">
        <f t="shared" ref="I36:I43" si="3">G36*H36</f>
        <v>2771446.0387599999</v>
      </c>
      <c r="J36" s="74" t="s">
        <v>14</v>
      </c>
      <c r="K36" s="93">
        <f>K23</f>
        <v>9052000</v>
      </c>
      <c r="L36" s="226">
        <v>0.15198999999999999</v>
      </c>
      <c r="M36" s="256">
        <f t="shared" ref="M36:M42" si="4">K36*L36</f>
        <v>1375813.48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-27718.82</v>
      </c>
      <c r="D37" s="18"/>
      <c r="F37" s="74" t="s">
        <v>105</v>
      </c>
      <c r="G37" s="93">
        <f t="shared" si="2"/>
        <v>23546</v>
      </c>
      <c r="H37" s="226">
        <f>H36</f>
        <v>0.15284</v>
      </c>
      <c r="I37" s="256">
        <f t="shared" si="3"/>
        <v>3598.7706400000002</v>
      </c>
      <c r="J37" s="74" t="s">
        <v>15</v>
      </c>
      <c r="K37" s="93">
        <f>K24</f>
        <v>2971899</v>
      </c>
      <c r="L37" s="226">
        <f>L36</f>
        <v>0.15198999999999999</v>
      </c>
      <c r="M37" s="256">
        <f t="shared" si="4"/>
        <v>451698.92900999996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532999.37</v>
      </c>
      <c r="D38" s="18"/>
      <c r="F38" s="74" t="s">
        <v>15</v>
      </c>
      <c r="G38" s="93">
        <f t="shared" si="2"/>
        <v>7239397</v>
      </c>
      <c r="H38" s="226">
        <f t="shared" ref="H38:H43" si="5">H37</f>
        <v>0.15284</v>
      </c>
      <c r="I38" s="256">
        <f t="shared" si="3"/>
        <v>1106469.4374800001</v>
      </c>
      <c r="J38" s="74" t="s">
        <v>16</v>
      </c>
      <c r="K38" s="93">
        <f>K25</f>
        <v>815</v>
      </c>
      <c r="L38" s="226">
        <f t="shared" ref="L38:L42" si="6">L37</f>
        <v>0.15198999999999999</v>
      </c>
      <c r="M38" s="256">
        <f t="shared" si="4"/>
        <v>123.87184999999999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-28257.52</v>
      </c>
      <c r="D39" s="18"/>
      <c r="F39" s="74" t="s">
        <v>16</v>
      </c>
      <c r="G39" s="93">
        <f t="shared" si="2"/>
        <v>17022</v>
      </c>
      <c r="H39" s="226">
        <f t="shared" si="5"/>
        <v>0.15284</v>
      </c>
      <c r="I39" s="256">
        <f t="shared" si="3"/>
        <v>2601.64248</v>
      </c>
      <c r="J39" s="74" t="s">
        <v>17</v>
      </c>
      <c r="K39" s="93">
        <f>K26</f>
        <v>0</v>
      </c>
      <c r="L39" s="226">
        <f t="shared" si="6"/>
        <v>0.15198999999999999</v>
      </c>
      <c r="M39" s="256">
        <f t="shared" si="4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285815.55</v>
      </c>
      <c r="D40" s="18"/>
      <c r="F40" s="74" t="s">
        <v>17</v>
      </c>
      <c r="G40" s="93">
        <f t="shared" si="2"/>
        <v>155563</v>
      </c>
      <c r="H40" s="226">
        <f t="shared" si="5"/>
        <v>0.15284</v>
      </c>
      <c r="I40" s="256">
        <f t="shared" si="3"/>
        <v>23776.248920000002</v>
      </c>
      <c r="J40" s="74" t="s">
        <v>18</v>
      </c>
      <c r="K40" s="93">
        <f>K27</f>
        <v>0</v>
      </c>
      <c r="L40" s="226">
        <f t="shared" si="6"/>
        <v>0.15198999999999999</v>
      </c>
      <c r="M40" s="256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7957579.0800000001</v>
      </c>
      <c r="D41" s="18"/>
      <c r="F41" s="74" t="s">
        <v>18</v>
      </c>
      <c r="G41" s="93">
        <f t="shared" si="2"/>
        <v>474268</v>
      </c>
      <c r="H41" s="226">
        <f t="shared" si="5"/>
        <v>0.15284</v>
      </c>
      <c r="I41" s="256">
        <f t="shared" si="3"/>
        <v>72487.121119999996</v>
      </c>
      <c r="J41" s="74" t="s">
        <v>19</v>
      </c>
      <c r="K41" s="93">
        <v>0</v>
      </c>
      <c r="L41" s="226">
        <f t="shared" si="6"/>
        <v>0.15198999999999999</v>
      </c>
      <c r="M41" s="256">
        <f t="shared" si="4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v>4384558.7699999996</v>
      </c>
      <c r="D42" s="19"/>
      <c r="F42" s="74" t="s">
        <v>19</v>
      </c>
      <c r="G42" s="93">
        <f t="shared" si="2"/>
        <v>0</v>
      </c>
      <c r="H42" s="226">
        <f t="shared" si="5"/>
        <v>0.15284</v>
      </c>
      <c r="I42" s="256">
        <f t="shared" si="3"/>
        <v>0</v>
      </c>
      <c r="J42" s="74" t="s">
        <v>20</v>
      </c>
      <c r="K42" s="93">
        <v>0</v>
      </c>
      <c r="L42" s="226">
        <f t="shared" si="6"/>
        <v>0.15198999999999999</v>
      </c>
      <c r="M42" s="256">
        <f t="shared" si="4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0">
        <v>0</v>
      </c>
      <c r="D43" s="18"/>
      <c r="F43" s="74" t="s">
        <v>20</v>
      </c>
      <c r="G43" s="93">
        <f t="shared" si="2"/>
        <v>115028</v>
      </c>
      <c r="H43" s="226">
        <f t="shared" si="5"/>
        <v>0.15284</v>
      </c>
      <c r="I43" s="266">
        <f t="shared" si="3"/>
        <v>17580.879520000002</v>
      </c>
      <c r="J43" s="73" t="s">
        <v>63</v>
      </c>
      <c r="K43" s="254">
        <f>SUM(K36:K42)</f>
        <v>12024714</v>
      </c>
      <c r="L43" s="255"/>
      <c r="M43" s="71">
        <f>SUM(M36:M42)</f>
        <v>1827636.2808600001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26157813</v>
      </c>
      <c r="H44" s="255"/>
      <c r="I44" s="270">
        <f>SUM(I36:I43)</f>
        <v>3997960.1389199994</v>
      </c>
      <c r="J44" s="73"/>
      <c r="K44" s="258">
        <v>12024714</v>
      </c>
      <c r="L44" s="65"/>
      <c r="M44" s="267">
        <f>M43/K43</f>
        <v>0.15199000000000001</v>
      </c>
    </row>
    <row r="45" spans="1:17" ht="15.6" customHeight="1" thickTop="1">
      <c r="A45" s="4" t="s">
        <v>195</v>
      </c>
      <c r="B45" s="29" t="s">
        <v>74</v>
      </c>
      <c r="C45" s="236">
        <v>18426.669999999998</v>
      </c>
      <c r="D45" s="20"/>
      <c r="F45" s="64"/>
      <c r="G45" s="258">
        <v>26157813</v>
      </c>
      <c r="H45" s="65"/>
      <c r="I45" s="271">
        <f>I44/G44</f>
        <v>0.15283999999999998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98</v>
      </c>
      <c r="B46" s="29" t="s">
        <v>74</v>
      </c>
      <c r="C46" s="236">
        <v>3881.55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106</v>
      </c>
      <c r="B47" s="29" t="s">
        <v>74</v>
      </c>
      <c r="C47" s="236">
        <v>1855.29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39808.81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6252.27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v>-5639134.4699999997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4355201.8922469998</v>
      </c>
      <c r="I51" s="228">
        <f>I14</f>
        <v>1518490.1919559995</v>
      </c>
      <c r="J51" s="228">
        <f>L12</f>
        <v>2001848.2177529996</v>
      </c>
      <c r="K51" s="228">
        <f>J14</f>
        <v>692473.97804399976</v>
      </c>
      <c r="L51" s="229">
        <f>SUM(H51:K51)</f>
        <v>8568014.2799999993</v>
      </c>
      <c r="M51" s="88"/>
    </row>
    <row r="52" spans="1:20" ht="15.6" customHeight="1" thickBot="1">
      <c r="A52" s="32" t="s">
        <v>53</v>
      </c>
      <c r="B52" s="246"/>
      <c r="C52" s="53">
        <f>SUM(C41:C51)</f>
        <v>6405227.9699999997</v>
      </c>
      <c r="D52" s="217"/>
      <c r="F52" s="87" t="s">
        <v>48</v>
      </c>
      <c r="H52" s="227">
        <f>-I44</f>
        <v>-3997960.1389199994</v>
      </c>
      <c r="I52" s="228">
        <f>-I32</f>
        <v>-2448651.1276899995</v>
      </c>
      <c r="J52" s="228">
        <f>-M43</f>
        <v>-1827636.2808600001</v>
      </c>
      <c r="K52" s="228">
        <f>-M28</f>
        <v>-1117697.1662999999</v>
      </c>
      <c r="L52" s="230">
        <f>SUM(H52:K52)</f>
        <v>-9391944.7137699984</v>
      </c>
    </row>
    <row r="53" spans="1:20" ht="15.6" customHeight="1" thickTop="1" thickBot="1">
      <c r="A53" s="87" t="s">
        <v>193</v>
      </c>
      <c r="B53" s="8" t="s">
        <v>115</v>
      </c>
      <c r="C53" s="236">
        <v>-33019.79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194</v>
      </c>
      <c r="B54" s="8" t="s">
        <v>116</v>
      </c>
      <c r="C54" s="236">
        <v>-15158.07</v>
      </c>
      <c r="D54" s="18"/>
      <c r="F54" s="1" t="s">
        <v>32</v>
      </c>
      <c r="H54" s="262">
        <f>H51+H52+H53</f>
        <v>357241.75332700042</v>
      </c>
      <c r="I54" s="262">
        <f>I51+I52+I53</f>
        <v>-930160.93573400006</v>
      </c>
      <c r="J54" s="262">
        <f>J51+J52+J53</f>
        <v>174211.93689299957</v>
      </c>
      <c r="K54" s="262">
        <f>K51+K52+K53</f>
        <v>-425223.18825600017</v>
      </c>
      <c r="L54" s="26">
        <f>SUM(H54:K54)</f>
        <v>-823930.43377000024</v>
      </c>
    </row>
    <row r="55" spans="1:20" ht="15.6" customHeight="1" thickBot="1">
      <c r="A55" s="1" t="s">
        <v>177</v>
      </c>
      <c r="C55" s="53">
        <f>SUM(C52:C54)</f>
        <v>6357050.1099999994</v>
      </c>
      <c r="D55" s="18"/>
      <c r="F55" s="87" t="s">
        <v>90</v>
      </c>
      <c r="H55" s="87" t="s">
        <v>82</v>
      </c>
      <c r="I55" s="2">
        <f>SUM(H54:I54)</f>
        <v>-572919.18240699964</v>
      </c>
      <c r="J55" s="8" t="s">
        <v>83</v>
      </c>
      <c r="K55" s="87">
        <f>SUM(J54:K54)</f>
        <v>-251011.2513630006</v>
      </c>
      <c r="L55"/>
    </row>
    <row r="56" spans="1:20" ht="15.6" customHeight="1" thickTop="1" thickBot="1">
      <c r="C56" s="243"/>
      <c r="D56" s="18"/>
      <c r="F56" s="208" t="s">
        <v>91</v>
      </c>
      <c r="H56" s="35"/>
      <c r="T56" s="22"/>
    </row>
    <row r="57" spans="1:20" ht="15.6" customHeight="1" thickBot="1">
      <c r="A57" s="8"/>
      <c r="B57" s="8" t="s">
        <v>43</v>
      </c>
      <c r="C57" s="40">
        <f>C55+C32</f>
        <v>8568014.2799999993</v>
      </c>
      <c r="D57" s="18"/>
      <c r="F57" s="208"/>
      <c r="H57" s="52"/>
      <c r="I57" s="209"/>
      <c r="J57" s="209"/>
      <c r="K57" s="75"/>
      <c r="L57" s="209"/>
    </row>
    <row r="58" spans="1:20" ht="15.6" customHeight="1">
      <c r="A58" s="30"/>
      <c r="B58" s="30"/>
      <c r="C58" s="238"/>
      <c r="D58" s="18"/>
      <c r="F58" s="210" t="s">
        <v>103</v>
      </c>
      <c r="G58" s="87" t="str">
        <f>IF(OR(AND(I55&gt;0,K55&gt;0),AND(I55&lt;0,K55&lt;0)),"OK","ERROR")</f>
        <v>OK</v>
      </c>
      <c r="H58" s="89" t="s">
        <v>101</v>
      </c>
      <c r="I58" s="90"/>
    </row>
    <row r="59" spans="1:20" ht="15.6" customHeight="1" thickBot="1">
      <c r="B59" s="8" t="s">
        <v>176</v>
      </c>
      <c r="C59" s="236">
        <v>8568014.2799999993</v>
      </c>
      <c r="D59" s="18"/>
      <c r="H59" s="82" t="s">
        <v>84</v>
      </c>
      <c r="I59" s="83" t="s">
        <v>85</v>
      </c>
      <c r="J59" s="2"/>
    </row>
    <row r="60" spans="1:20" ht="15.6" customHeight="1" thickBot="1">
      <c r="A60" s="8"/>
      <c r="B60" s="8" t="s">
        <v>77</v>
      </c>
      <c r="C60" s="245">
        <f>ROUND(C57-C59,2)</f>
        <v>0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C61" s="85"/>
      <c r="D61" s="19"/>
      <c r="G61" s="2"/>
      <c r="I61" s="261" t="e">
        <f>H60-I60</f>
        <v>#REF!</v>
      </c>
      <c r="N61" s="2"/>
    </row>
    <row r="62" spans="1:20" ht="15.6" customHeight="1">
      <c r="C62" s="5"/>
      <c r="O62" s="2"/>
      <c r="P62" s="211"/>
    </row>
    <row r="63" spans="1:20" ht="15.6" customHeight="1">
      <c r="C63" s="5"/>
      <c r="D63" s="18"/>
      <c r="N63" s="10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H65" s="35"/>
      <c r="N65" s="10"/>
      <c r="S65" s="12"/>
    </row>
    <row r="66" spans="4:21" ht="15.6" customHeight="1">
      <c r="D66" s="18"/>
      <c r="N66" s="10"/>
      <c r="S66" s="12"/>
    </row>
    <row r="67" spans="4:21" ht="15.6" customHeight="1">
      <c r="D67" s="18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2">
    <mergeCell ref="F18:I18"/>
    <mergeCell ref="J18:M18"/>
  </mergeCells>
  <conditionalFormatting sqref="C60 I61">
    <cfRule type="cellIs" dxfId="346" priority="36" stopIfTrue="1" operator="equal">
      <formula>0</formula>
    </cfRule>
    <cfRule type="cellIs" dxfId="345" priority="37" stopIfTrue="1" operator="notEqual">
      <formula>0</formula>
    </cfRule>
  </conditionalFormatting>
  <conditionalFormatting sqref="K46">
    <cfRule type="cellIs" dxfId="344" priority="35" operator="notEqual">
      <formula>0</formula>
    </cfRule>
  </conditionalFormatting>
  <conditionalFormatting sqref="C60">
    <cfRule type="cellIs" dxfId="343" priority="33" stopIfTrue="1" operator="equal">
      <formula>0</formula>
    </cfRule>
    <cfRule type="cellIs" dxfId="342" priority="34" stopIfTrue="1" operator="notEqual">
      <formula>0</formula>
    </cfRule>
  </conditionalFormatting>
  <conditionalFormatting sqref="G58">
    <cfRule type="cellIs" dxfId="341" priority="32" operator="equal">
      <formula>"ERROR"</formula>
    </cfRule>
  </conditionalFormatting>
  <conditionalFormatting sqref="G58">
    <cfRule type="cellIs" dxfId="340" priority="31" operator="equal">
      <formula>"ERROR"</formula>
    </cfRule>
  </conditionalFormatting>
  <conditionalFormatting sqref="H15">
    <cfRule type="cellIs" dxfId="339" priority="29" stopIfTrue="1" operator="equal">
      <formula>0</formula>
    </cfRule>
    <cfRule type="cellIs" dxfId="338" priority="30" stopIfTrue="1" operator="notEqual">
      <formula>0</formula>
    </cfRule>
  </conditionalFormatting>
  <conditionalFormatting sqref="H15">
    <cfRule type="cellIs" dxfId="337" priority="27" stopIfTrue="1" operator="equal">
      <formula>0</formula>
    </cfRule>
    <cfRule type="cellIs" dxfId="336" priority="28" stopIfTrue="1" operator="notEqual">
      <formula>0</formula>
    </cfRule>
  </conditionalFormatting>
  <conditionalFormatting sqref="J15">
    <cfRule type="cellIs" dxfId="335" priority="25" stopIfTrue="1" operator="equal">
      <formula>0</formula>
    </cfRule>
    <cfRule type="cellIs" dxfId="334" priority="26" stopIfTrue="1" operator="notEqual">
      <formula>0</formula>
    </cfRule>
  </conditionalFormatting>
  <conditionalFormatting sqref="J15">
    <cfRule type="cellIs" dxfId="333" priority="23" stopIfTrue="1" operator="equal">
      <formula>0</formula>
    </cfRule>
    <cfRule type="cellIs" dxfId="332" priority="24" stopIfTrue="1" operator="notEqual">
      <formula>0</formula>
    </cfRule>
  </conditionalFormatting>
  <conditionalFormatting sqref="L15">
    <cfRule type="cellIs" dxfId="331" priority="21" stopIfTrue="1" operator="equal">
      <formula>0</formula>
    </cfRule>
    <cfRule type="cellIs" dxfId="330" priority="22" stopIfTrue="1" operator="notEqual">
      <formula>0</formula>
    </cfRule>
  </conditionalFormatting>
  <conditionalFormatting sqref="L15">
    <cfRule type="cellIs" dxfId="329" priority="19" stopIfTrue="1" operator="equal">
      <formula>0</formula>
    </cfRule>
    <cfRule type="cellIs" dxfId="328" priority="20" stopIfTrue="1" operator="notEqual">
      <formula>0</formula>
    </cfRule>
  </conditionalFormatting>
  <conditionalFormatting sqref="G34">
    <cfRule type="cellIs" dxfId="327" priority="17" stopIfTrue="1" operator="equal">
      <formula>0</formula>
    </cfRule>
    <cfRule type="cellIs" dxfId="326" priority="18" stopIfTrue="1" operator="notEqual">
      <formula>0</formula>
    </cfRule>
  </conditionalFormatting>
  <conditionalFormatting sqref="G34">
    <cfRule type="cellIs" dxfId="325" priority="15" stopIfTrue="1" operator="equal">
      <formula>0</formula>
    </cfRule>
    <cfRule type="cellIs" dxfId="324" priority="16" stopIfTrue="1" operator="notEqual">
      <formula>0</formula>
    </cfRule>
  </conditionalFormatting>
  <conditionalFormatting sqref="G46">
    <cfRule type="cellIs" dxfId="323" priority="13" stopIfTrue="1" operator="equal">
      <formula>0</formula>
    </cfRule>
    <cfRule type="cellIs" dxfId="322" priority="14" stopIfTrue="1" operator="notEqual">
      <formula>0</formula>
    </cfRule>
  </conditionalFormatting>
  <conditionalFormatting sqref="G46">
    <cfRule type="cellIs" dxfId="321" priority="11" stopIfTrue="1" operator="equal">
      <formula>0</formula>
    </cfRule>
    <cfRule type="cellIs" dxfId="320" priority="12" stopIfTrue="1" operator="notEqual">
      <formula>0</formula>
    </cfRule>
  </conditionalFormatting>
  <conditionalFormatting sqref="K30">
    <cfRule type="cellIs" dxfId="319" priority="9" stopIfTrue="1" operator="equal">
      <formula>0</formula>
    </cfRule>
    <cfRule type="cellIs" dxfId="318" priority="10" stopIfTrue="1" operator="notEqual">
      <formula>0</formula>
    </cfRule>
  </conditionalFormatting>
  <conditionalFormatting sqref="K30">
    <cfRule type="cellIs" dxfId="317" priority="7" stopIfTrue="1" operator="equal">
      <formula>0</formula>
    </cfRule>
    <cfRule type="cellIs" dxfId="316" priority="8" stopIfTrue="1" operator="notEqual">
      <formula>0</formula>
    </cfRule>
  </conditionalFormatting>
  <conditionalFormatting sqref="K45">
    <cfRule type="cellIs" dxfId="315" priority="5" stopIfTrue="1" operator="equal">
      <formula>0</formula>
    </cfRule>
    <cfRule type="cellIs" dxfId="314" priority="6" stopIfTrue="1" operator="notEqual">
      <formula>0</formula>
    </cfRule>
  </conditionalFormatting>
  <conditionalFormatting sqref="K45">
    <cfRule type="cellIs" dxfId="313" priority="3" stopIfTrue="1" operator="equal">
      <formula>0</formula>
    </cfRule>
    <cfRule type="cellIs" dxfId="312" priority="4" stopIfTrue="1" operator="notEqual">
      <formula>0</formula>
    </cfRule>
  </conditionalFormatting>
  <conditionalFormatting sqref="H67">
    <cfRule type="cellIs" dxfId="311" priority="2" operator="equal">
      <formula>"ERROR"</formula>
    </cfRule>
  </conditionalFormatting>
  <conditionalFormatting sqref="H67">
    <cfRule type="cellIs" dxfId="310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U1483"/>
  <sheetViews>
    <sheetView showGridLines="0" topLeftCell="A40" zoomScale="70" zoomScaleNormal="7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9.5546875" style="87" bestFit="1" customWidth="1"/>
    <col min="7" max="7" width="13.5546875" style="87" bestFit="1" customWidth="1"/>
    <col min="8" max="8" width="98.6640625" style="87" bestFit="1" customWidth="1"/>
    <col min="9" max="9" width="18.33203125" style="87" bestFit="1" customWidth="1"/>
    <col min="10" max="10" width="34.33203125" style="87" bestFit="1" customWidth="1"/>
    <col min="11" max="11" width="17.5546875" style="87" bestFit="1" customWidth="1"/>
    <col min="12" max="12" width="18.33203125" style="87" bestFit="1" customWidth="1"/>
    <col min="13" max="13" width="17.5546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202003</v>
      </c>
      <c r="F1" s="92">
        <f>C1</f>
        <v>202003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25725.64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0.69569999999999999</v>
      </c>
      <c r="L5" s="247">
        <f>1-K5</f>
        <v>0.30430000000000001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1382280.87</v>
      </c>
      <c r="D7" s="17"/>
      <c r="F7" s="58" t="s">
        <v>175</v>
      </c>
      <c r="G7" s="58"/>
      <c r="H7" s="40">
        <f>C32</f>
        <v>2251525.13</v>
      </c>
      <c r="I7" s="59">
        <f>H7*I5</f>
        <v>1546347.4592839999</v>
      </c>
      <c r="J7" s="59">
        <f>H7*J5</f>
        <v>705177.67071599991</v>
      </c>
      <c r="K7" s="59"/>
      <c r="L7" s="59"/>
      <c r="M7" s="88"/>
    </row>
    <row r="8" spans="1:13" ht="15.6" customHeight="1">
      <c r="A8" s="87" t="s">
        <v>39</v>
      </c>
      <c r="C8" s="236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8850.2099999999991</v>
      </c>
      <c r="D9" s="18"/>
      <c r="F9" s="58" t="s">
        <v>53</v>
      </c>
      <c r="G9" s="88"/>
      <c r="H9" s="248">
        <f>C52</f>
        <v>5262986.089999998</v>
      </c>
      <c r="I9" s="59"/>
      <c r="J9" s="59"/>
      <c r="K9" s="250">
        <f>H9*K5</f>
        <v>3661459.4228129983</v>
      </c>
      <c r="L9" s="250">
        <f>H9*L5</f>
        <v>1601526.6671869995</v>
      </c>
      <c r="M9" s="88"/>
    </row>
    <row r="10" spans="1:13" ht="15.6" customHeight="1">
      <c r="A10" s="27" t="s">
        <v>41</v>
      </c>
      <c r="C10" s="237">
        <v>-2848.33</v>
      </c>
      <c r="D10" s="18"/>
      <c r="F10" s="61" t="s">
        <v>21</v>
      </c>
      <c r="G10" s="88"/>
      <c r="H10" s="248">
        <f>C54</f>
        <v>-5743.18</v>
      </c>
      <c r="I10" s="59"/>
      <c r="J10" s="59"/>
      <c r="K10" s="250">
        <f>H10</f>
        <v>-5743.18</v>
      </c>
      <c r="L10" s="250"/>
      <c r="M10" s="88"/>
    </row>
    <row r="11" spans="1:13" ht="15.6" customHeight="1">
      <c r="A11" s="30" t="s">
        <v>70</v>
      </c>
      <c r="C11" s="235">
        <f>SUM(C8:C10)</f>
        <v>216569.09</v>
      </c>
      <c r="D11" s="18"/>
      <c r="F11" s="61" t="s">
        <v>22</v>
      </c>
      <c r="G11" s="88"/>
      <c r="H11" s="286">
        <f>C55+C53</f>
        <v>423683.98</v>
      </c>
      <c r="I11" s="59"/>
      <c r="J11" s="59"/>
      <c r="K11" s="251"/>
      <c r="L11" s="251">
        <f>H11</f>
        <v>423683.98</v>
      </c>
      <c r="M11" s="88"/>
    </row>
    <row r="12" spans="1:13" ht="15.6" customHeight="1">
      <c r="A12" s="87" t="s">
        <v>120</v>
      </c>
      <c r="C12" s="236">
        <f>197011.5-14184</f>
        <v>182827.5</v>
      </c>
      <c r="D12" s="18"/>
      <c r="F12" s="61" t="s">
        <v>68</v>
      </c>
      <c r="G12" s="88"/>
      <c r="H12" s="234">
        <f>H9+H10+H11</f>
        <v>5680926.8899999987</v>
      </c>
      <c r="I12" s="59"/>
      <c r="J12" s="59"/>
      <c r="K12" s="59">
        <f>SUM(K9:K11)</f>
        <v>3655716.2428129981</v>
      </c>
      <c r="L12" s="59">
        <f>SUM(L9:L11)</f>
        <v>2025210.6471869994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182827.5</v>
      </c>
      <c r="D14" s="19"/>
      <c r="F14" s="88" t="s">
        <v>30</v>
      </c>
      <c r="G14" s="58"/>
      <c r="H14" s="40">
        <f>H12+H7</f>
        <v>7932452.0199999986</v>
      </c>
      <c r="I14" s="221">
        <f>SUM(I7:I13)</f>
        <v>1546347.4592839999</v>
      </c>
      <c r="J14" s="221">
        <f>SUM(J7:J13)</f>
        <v>705177.67071599991</v>
      </c>
      <c r="K14" s="221">
        <f>K12</f>
        <v>3655716.2428129981</v>
      </c>
      <c r="L14" s="221">
        <f>L12</f>
        <v>2025210.6471869994</v>
      </c>
      <c r="M14" s="88"/>
    </row>
    <row r="15" spans="1:13" ht="15.6" customHeight="1">
      <c r="A15" s="87" t="s">
        <v>92</v>
      </c>
      <c r="C15" s="236">
        <f>427479.04-29270.23</f>
        <v>398208.81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398208.81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9237.8-1425.9+93187.28</f>
        <v>100999.18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82" t="s">
        <v>10</v>
      </c>
    </row>
    <row r="20" spans="1:13" ht="15.6" customHeight="1" thickBot="1">
      <c r="A20" s="31" t="s">
        <v>123</v>
      </c>
      <c r="C20" s="235">
        <f>SUM(C18:C19)</f>
        <v>100999.18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3365.53+1850</f>
        <v>5215.5300000000007</v>
      </c>
      <c r="D21" s="18"/>
      <c r="F21" s="51"/>
      <c r="G21" s="281"/>
      <c r="H21" s="281"/>
      <c r="I21" s="282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5215.5300000000007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>
        <v>0</v>
      </c>
      <c r="D23" s="18"/>
      <c r="F23" s="74" t="s">
        <v>14</v>
      </c>
      <c r="G23" s="93">
        <v>16716589</v>
      </c>
      <c r="H23" s="226">
        <v>9.6509999999999999E-2</v>
      </c>
      <c r="I23" s="256">
        <f t="shared" ref="I23:I31" si="0">G23*H23</f>
        <v>1613318.0043899999</v>
      </c>
      <c r="J23" s="74" t="s">
        <v>14</v>
      </c>
      <c r="K23" s="93">
        <v>7773497</v>
      </c>
      <c r="L23" s="226">
        <v>9.2950000000000005E-2</v>
      </c>
      <c r="M23" s="256">
        <f>K23*L23</f>
        <v>722546.54615000007</v>
      </c>
    </row>
    <row r="24" spans="1:13" ht="15.6" customHeight="1">
      <c r="A24" s="77" t="s">
        <v>95</v>
      </c>
      <c r="C24" s="240">
        <v>0</v>
      </c>
      <c r="D24" s="18"/>
      <c r="F24" s="74" t="s">
        <v>105</v>
      </c>
      <c r="G24" s="93">
        <v>20495</v>
      </c>
      <c r="H24" s="226">
        <v>9.6509999999999999E-2</v>
      </c>
      <c r="I24" s="256">
        <f t="shared" si="0"/>
        <v>1977.97245</v>
      </c>
      <c r="J24" s="74" t="s">
        <v>15</v>
      </c>
      <c r="K24" s="93">
        <v>2732609</v>
      </c>
      <c r="L24" s="226">
        <f>L23</f>
        <v>9.2950000000000005E-2</v>
      </c>
      <c r="M24" s="256">
        <f>K24*L24</f>
        <v>253996.00655000002</v>
      </c>
    </row>
    <row r="25" spans="1:13" ht="15.6" customHeight="1">
      <c r="A25" s="77" t="s">
        <v>96</v>
      </c>
      <c r="C25" s="240">
        <v>0</v>
      </c>
      <c r="D25" s="18"/>
      <c r="F25" s="74" t="s">
        <v>15</v>
      </c>
      <c r="G25" s="93">
        <v>6588074</v>
      </c>
      <c r="H25" s="226">
        <v>8.727E-2</v>
      </c>
      <c r="I25" s="256">
        <f t="shared" si="0"/>
        <v>574941.21797999996</v>
      </c>
      <c r="J25" s="74" t="s">
        <v>16</v>
      </c>
      <c r="K25" s="93">
        <v>828</v>
      </c>
      <c r="L25" s="226">
        <f t="shared" ref="L25" si="1">L24</f>
        <v>9.2950000000000005E-2</v>
      </c>
      <c r="M25" s="256">
        <f>K25*L25</f>
        <v>76.962600000000009</v>
      </c>
    </row>
    <row r="26" spans="1:13" ht="15.6" customHeight="1">
      <c r="A26" s="78" t="s">
        <v>108</v>
      </c>
      <c r="C26" s="240">
        <v>0</v>
      </c>
      <c r="D26" s="18"/>
      <c r="F26" s="74" t="s">
        <v>16</v>
      </c>
      <c r="G26" s="93">
        <v>14942</v>
      </c>
      <c r="H26" s="226">
        <v>8.727E-2</v>
      </c>
      <c r="I26" s="256">
        <f t="shared" si="0"/>
        <v>1303.9883400000001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41">
        <f>SUM(C23:C26)</f>
        <v>0</v>
      </c>
      <c r="D27" s="18"/>
      <c r="F27" s="74" t="s">
        <v>17</v>
      </c>
      <c r="G27" s="93">
        <v>135456</v>
      </c>
      <c r="H27" s="226">
        <v>8.727E-2</v>
      </c>
      <c r="I27" s="256">
        <f t="shared" si="0"/>
        <v>11821.24512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42">
        <v>0</v>
      </c>
      <c r="D28" s="19"/>
      <c r="F28" s="74" t="s">
        <v>18</v>
      </c>
      <c r="G28" s="93">
        <v>429840</v>
      </c>
      <c r="H28" s="226">
        <v>8.727E-2</v>
      </c>
      <c r="I28" s="256">
        <f t="shared" si="0"/>
        <v>37512.1368</v>
      </c>
      <c r="J28" s="73" t="s">
        <v>58</v>
      </c>
      <c r="K28" s="254">
        <f>SUM(K23:K27)</f>
        <v>10506934</v>
      </c>
      <c r="L28" s="255"/>
      <c r="M28" s="71">
        <f>SUM(M23:M27)</f>
        <v>976619.51530000009</v>
      </c>
    </row>
    <row r="29" spans="1:13" ht="15.6" customHeight="1" thickTop="1" thickBot="1">
      <c r="A29" s="79" t="s">
        <v>81</v>
      </c>
      <c r="B29" s="88"/>
      <c r="C29" s="242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10506934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2286100.98</v>
      </c>
      <c r="D30" s="19"/>
      <c r="F30" s="74" t="s">
        <v>20</v>
      </c>
      <c r="G30" s="93">
        <v>118162</v>
      </c>
      <c r="H30" s="226">
        <v>5.5910000000000001E-2</v>
      </c>
      <c r="I30" s="256">
        <f t="shared" si="0"/>
        <v>6606.4374200000002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-34575.85</v>
      </c>
      <c r="D31" s="20"/>
      <c r="F31" s="74" t="s">
        <v>35</v>
      </c>
      <c r="G31" s="93">
        <v>3149805</v>
      </c>
      <c r="H31" s="226">
        <v>5.4000000000000001E-4</v>
      </c>
      <c r="I31" s="256">
        <f t="shared" si="0"/>
        <v>1700.8947000000001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2251525.13</v>
      </c>
      <c r="D32" s="21"/>
      <c r="F32" s="73" t="s">
        <v>58</v>
      </c>
      <c r="G32" s="254">
        <f>SUM(G23:G31)</f>
        <v>27173363</v>
      </c>
      <c r="H32" s="6"/>
      <c r="I32" s="71">
        <f>SUM(I23:I31)</f>
        <v>2249181.8972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27173363</v>
      </c>
      <c r="H33" s="65"/>
      <c r="I33" s="257">
        <f>I32/G32</f>
        <v>8.277156924595605E-2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8030050.8499999996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f t="shared" ref="G36:G43" si="2">G23</f>
        <v>16716589</v>
      </c>
      <c r="H36" s="226">
        <v>0.15284</v>
      </c>
      <c r="I36" s="256">
        <f t="shared" ref="I36:I43" si="3">G36*H36</f>
        <v>2554963.46276</v>
      </c>
      <c r="J36" s="74" t="s">
        <v>14</v>
      </c>
      <c r="K36" s="93">
        <v>7773497</v>
      </c>
      <c r="L36" s="226">
        <v>0.15198999999999999</v>
      </c>
      <c r="M36" s="256">
        <f t="shared" ref="M36:M42" si="4">K36*L36</f>
        <v>1181493.8090299999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-21973.119999999999</v>
      </c>
      <c r="D37" s="18"/>
      <c r="F37" s="74" t="s">
        <v>105</v>
      </c>
      <c r="G37" s="93">
        <f t="shared" si="2"/>
        <v>20495</v>
      </c>
      <c r="H37" s="226">
        <f>H36</f>
        <v>0.15284</v>
      </c>
      <c r="I37" s="256">
        <f t="shared" si="3"/>
        <v>3132.4558000000002</v>
      </c>
      <c r="J37" s="74" t="s">
        <v>15</v>
      </c>
      <c r="K37" s="93">
        <v>2732609</v>
      </c>
      <c r="L37" s="226">
        <f>L36</f>
        <v>0.15198999999999999</v>
      </c>
      <c r="M37" s="256">
        <f t="shared" si="4"/>
        <v>415329.24190999998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1011648.33</v>
      </c>
      <c r="D38" s="18"/>
      <c r="F38" s="74" t="s">
        <v>15</v>
      </c>
      <c r="G38" s="93">
        <f t="shared" si="2"/>
        <v>6588074</v>
      </c>
      <c r="H38" s="226">
        <f t="shared" ref="H38:H43" si="5">H37</f>
        <v>0.15284</v>
      </c>
      <c r="I38" s="256">
        <f t="shared" si="3"/>
        <v>1006921.23016</v>
      </c>
      <c r="J38" s="74" t="s">
        <v>16</v>
      </c>
      <c r="K38" s="93">
        <v>828</v>
      </c>
      <c r="L38" s="226">
        <f t="shared" ref="L38:L42" si="6">L37</f>
        <v>0.15198999999999999</v>
      </c>
      <c r="M38" s="256">
        <f t="shared" si="4"/>
        <v>125.84772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8984.9500000000007</v>
      </c>
      <c r="D39" s="18"/>
      <c r="F39" s="74" t="s">
        <v>16</v>
      </c>
      <c r="G39" s="93">
        <f t="shared" si="2"/>
        <v>14942</v>
      </c>
      <c r="H39" s="226">
        <f t="shared" si="5"/>
        <v>0.15284</v>
      </c>
      <c r="I39" s="256">
        <f t="shared" si="3"/>
        <v>2283.7352799999999</v>
      </c>
      <c r="J39" s="74" t="s">
        <v>17</v>
      </c>
      <c r="K39" s="93">
        <f>K26</f>
        <v>0</v>
      </c>
      <c r="L39" s="226">
        <f t="shared" si="6"/>
        <v>0.15198999999999999</v>
      </c>
      <c r="M39" s="256">
        <f t="shared" si="4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765529.58</v>
      </c>
      <c r="D40" s="18"/>
      <c r="F40" s="74" t="s">
        <v>17</v>
      </c>
      <c r="G40" s="93">
        <f t="shared" si="2"/>
        <v>135456</v>
      </c>
      <c r="H40" s="226">
        <f t="shared" si="5"/>
        <v>0.15284</v>
      </c>
      <c r="I40" s="256">
        <f t="shared" si="3"/>
        <v>20703.09504</v>
      </c>
      <c r="J40" s="74" t="s">
        <v>18</v>
      </c>
      <c r="K40" s="93">
        <f>K27</f>
        <v>0</v>
      </c>
      <c r="L40" s="226">
        <f t="shared" si="6"/>
        <v>0.15198999999999999</v>
      </c>
      <c r="M40" s="256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9794240.589999998</v>
      </c>
      <c r="D41" s="18"/>
      <c r="F41" s="74" t="s">
        <v>18</v>
      </c>
      <c r="G41" s="93">
        <f t="shared" si="2"/>
        <v>429840</v>
      </c>
      <c r="H41" s="226">
        <f t="shared" si="5"/>
        <v>0.15284</v>
      </c>
      <c r="I41" s="256">
        <f t="shared" si="3"/>
        <v>65696.745599999995</v>
      </c>
      <c r="J41" s="74" t="s">
        <v>19</v>
      </c>
      <c r="K41" s="93">
        <v>0</v>
      </c>
      <c r="L41" s="226">
        <f t="shared" si="6"/>
        <v>0.15198999999999999</v>
      </c>
      <c r="M41" s="256">
        <f t="shared" si="4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1940486.11-80424.68</f>
        <v>1860061.4300000002</v>
      </c>
      <c r="D42" s="19"/>
      <c r="F42" s="74" t="s">
        <v>19</v>
      </c>
      <c r="G42" s="93">
        <f t="shared" si="2"/>
        <v>0</v>
      </c>
      <c r="H42" s="226">
        <f t="shared" si="5"/>
        <v>0.15284</v>
      </c>
      <c r="I42" s="256">
        <f t="shared" si="3"/>
        <v>0</v>
      </c>
      <c r="J42" s="74" t="s">
        <v>20</v>
      </c>
      <c r="K42" s="93">
        <v>0</v>
      </c>
      <c r="L42" s="226">
        <f t="shared" si="6"/>
        <v>0.15198999999999999</v>
      </c>
      <c r="M42" s="256">
        <f t="shared" si="4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14428.21</v>
      </c>
      <c r="D43" s="18"/>
      <c r="F43" s="74" t="s">
        <v>20</v>
      </c>
      <c r="G43" s="93">
        <f t="shared" si="2"/>
        <v>118162</v>
      </c>
      <c r="H43" s="226">
        <f t="shared" si="5"/>
        <v>0.15284</v>
      </c>
      <c r="I43" s="266">
        <f t="shared" si="3"/>
        <v>18059.880079999999</v>
      </c>
      <c r="J43" s="73" t="s">
        <v>63</v>
      </c>
      <c r="K43" s="254">
        <f>SUM(K36:K42)</f>
        <v>10506934</v>
      </c>
      <c r="L43" s="255"/>
      <c r="M43" s="71">
        <f>SUM(M36:M42)</f>
        <v>1596948.8986599999</v>
      </c>
    </row>
    <row r="44" spans="1:17" ht="15.6" customHeight="1" thickTop="1" thickBot="1">
      <c r="A44" s="47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24023558</v>
      </c>
      <c r="H44" s="255"/>
      <c r="I44" s="270">
        <f>SUM(I36:I43)</f>
        <v>3671760.6047200002</v>
      </c>
      <c r="J44" s="73"/>
      <c r="K44" s="258">
        <v>10506934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22333.57</v>
      </c>
      <c r="D45" s="20"/>
      <c r="F45" s="64"/>
      <c r="G45" s="258">
        <v>24023558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4072.61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4166.1099999999997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34575.85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7665.89-2381.17</f>
        <v>5284.72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-1147589.76-1409196.46-3551390.78</f>
        <v>-6108177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3655716.2428129981</v>
      </c>
      <c r="I51" s="228">
        <f>I14</f>
        <v>1546347.4592839999</v>
      </c>
      <c r="J51" s="228">
        <f>L12</f>
        <v>2025210.6471869994</v>
      </c>
      <c r="K51" s="228">
        <f>J14</f>
        <v>705177.67071599991</v>
      </c>
      <c r="L51" s="229">
        <f>SUM(H51:K51)</f>
        <v>7932452.0199999968</v>
      </c>
      <c r="M51" s="88"/>
    </row>
    <row r="52" spans="1:20" ht="15.6" customHeight="1" thickBot="1">
      <c r="A52" s="32" t="s">
        <v>53</v>
      </c>
      <c r="B52" s="246"/>
      <c r="C52" s="53">
        <f>SUM(C41:C51)</f>
        <v>5262986.089999998</v>
      </c>
      <c r="D52" s="217"/>
      <c r="F52" s="87" t="s">
        <v>48</v>
      </c>
      <c r="H52" s="227">
        <f>-I44</f>
        <v>-3671760.6047200002</v>
      </c>
      <c r="I52" s="228">
        <f>-I32</f>
        <v>-2249181.8972</v>
      </c>
      <c r="J52" s="228">
        <f>-M43</f>
        <v>-1596948.8986599999</v>
      </c>
      <c r="K52" s="228">
        <f>-M28</f>
        <v>-976619.51530000009</v>
      </c>
      <c r="L52" s="230">
        <f>SUM(H52:K52)</f>
        <v>-8494510.9158800002</v>
      </c>
    </row>
    <row r="53" spans="1:20" ht="15.6" customHeight="1" thickTop="1" thickBot="1">
      <c r="A53" s="284" t="s">
        <v>201</v>
      </c>
      <c r="B53" s="285" t="s">
        <v>202</v>
      </c>
      <c r="C53" s="236">
        <v>426202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-5743.18</v>
      </c>
      <c r="D54" s="18"/>
      <c r="F54" s="1" t="s">
        <v>32</v>
      </c>
      <c r="H54" s="262">
        <f>H51+H52+H53</f>
        <v>-16044.36190700205</v>
      </c>
      <c r="I54" s="262">
        <f>I51+I52+I53</f>
        <v>-702834.43791600014</v>
      </c>
      <c r="J54" s="262">
        <f>J51+J52+J53</f>
        <v>428261.74852699949</v>
      </c>
      <c r="K54" s="262">
        <f>K51+K52+K53</f>
        <v>-271441.84458400018</v>
      </c>
      <c r="L54" s="26">
        <f>SUM(H54:K54)</f>
        <v>-562058.89588000288</v>
      </c>
    </row>
    <row r="55" spans="1:20" ht="15.6" customHeight="1">
      <c r="A55" s="87" t="s">
        <v>194</v>
      </c>
      <c r="B55" s="8" t="s">
        <v>116</v>
      </c>
      <c r="C55" s="236">
        <v>-2518.02</v>
      </c>
      <c r="D55" s="18"/>
      <c r="F55" s="87" t="s">
        <v>90</v>
      </c>
      <c r="H55" s="87" t="s">
        <v>82</v>
      </c>
      <c r="I55" s="2">
        <f>SUM(H54:I54)</f>
        <v>-718878.79982300219</v>
      </c>
      <c r="J55" s="8" t="s">
        <v>83</v>
      </c>
      <c r="K55" s="87">
        <f>SUM(J54:K54)</f>
        <v>156819.90394299931</v>
      </c>
      <c r="L55"/>
    </row>
    <row r="56" spans="1:20" ht="15.6" customHeight="1" thickBot="1">
      <c r="A56" s="1" t="s">
        <v>177</v>
      </c>
      <c r="C56" s="53">
        <f>SUM(C52:C55)</f>
        <v>5680926.8899999987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7932452.0199999986</v>
      </c>
      <c r="D58" s="18"/>
      <c r="F58" s="210"/>
      <c r="G58" s="88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7932452.0199999996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87">
        <f>855+4.99+278.92</f>
        <v>1138.9100000000001</v>
      </c>
      <c r="I62" s="87">
        <f>859.99+278.92</f>
        <v>1138.9100000000001</v>
      </c>
      <c r="J62" s="87" t="s">
        <v>204</v>
      </c>
      <c r="O62" s="2"/>
      <c r="P62" s="211"/>
    </row>
    <row r="63" spans="1:20" ht="15.6" customHeight="1" thickBot="1">
      <c r="C63" s="5"/>
      <c r="D63" s="18"/>
      <c r="H63" s="287" t="e">
        <f>H60+H62</f>
        <v>#REF!</v>
      </c>
      <c r="I63" s="287" t="e">
        <f>I60+I62</f>
        <v>#REF!</v>
      </c>
      <c r="J63" s="87" t="s">
        <v>205</v>
      </c>
      <c r="N63" s="10"/>
      <c r="S63" s="3"/>
    </row>
    <row r="64" spans="1:20" ht="15.6" customHeight="1" thickTop="1">
      <c r="C64" s="5"/>
      <c r="D64" s="23"/>
      <c r="N64" s="10"/>
    </row>
    <row r="65" spans="3:21" ht="15.6" customHeight="1">
      <c r="C65" s="37"/>
      <c r="D65" s="18"/>
      <c r="H65" s="35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 t="s">
        <v>103</v>
      </c>
      <c r="G67" s="88" t="str">
        <f>IF(OR(AND(I55&gt;0,K55&gt;0),AND(I55&lt;0,K55&lt;0)),"OK","ERROR")</f>
        <v>ERROR</v>
      </c>
      <c r="H67" s="87" t="s">
        <v>203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09" priority="36" stopIfTrue="1" operator="equal">
      <formula>0</formula>
    </cfRule>
    <cfRule type="cellIs" dxfId="308" priority="37" stopIfTrue="1" operator="notEqual">
      <formula>0</formula>
    </cfRule>
  </conditionalFormatting>
  <conditionalFormatting sqref="K46">
    <cfRule type="cellIs" dxfId="307" priority="35" operator="notEqual">
      <formula>0</formula>
    </cfRule>
  </conditionalFormatting>
  <conditionalFormatting sqref="C61">
    <cfRule type="cellIs" dxfId="306" priority="33" stopIfTrue="1" operator="equal">
      <formula>0</formula>
    </cfRule>
    <cfRule type="cellIs" dxfId="305" priority="34" stopIfTrue="1" operator="notEqual">
      <formula>0</formula>
    </cfRule>
  </conditionalFormatting>
  <conditionalFormatting sqref="G58">
    <cfRule type="cellIs" dxfId="304" priority="32" operator="equal">
      <formula>"ERROR"</formula>
    </cfRule>
  </conditionalFormatting>
  <conditionalFormatting sqref="G58">
    <cfRule type="cellIs" dxfId="303" priority="31" operator="equal">
      <formula>"ERROR"</formula>
    </cfRule>
  </conditionalFormatting>
  <conditionalFormatting sqref="H15">
    <cfRule type="cellIs" dxfId="302" priority="29" stopIfTrue="1" operator="equal">
      <formula>0</formula>
    </cfRule>
    <cfRule type="cellIs" dxfId="301" priority="30" stopIfTrue="1" operator="notEqual">
      <formula>0</formula>
    </cfRule>
  </conditionalFormatting>
  <conditionalFormatting sqref="H15">
    <cfRule type="cellIs" dxfId="300" priority="27" stopIfTrue="1" operator="equal">
      <formula>0</formula>
    </cfRule>
    <cfRule type="cellIs" dxfId="299" priority="28" stopIfTrue="1" operator="notEqual">
      <formula>0</formula>
    </cfRule>
  </conditionalFormatting>
  <conditionalFormatting sqref="J15">
    <cfRule type="cellIs" dxfId="298" priority="25" stopIfTrue="1" operator="equal">
      <formula>0</formula>
    </cfRule>
    <cfRule type="cellIs" dxfId="297" priority="26" stopIfTrue="1" operator="notEqual">
      <formula>0</formula>
    </cfRule>
  </conditionalFormatting>
  <conditionalFormatting sqref="J15">
    <cfRule type="cellIs" dxfId="296" priority="23" stopIfTrue="1" operator="equal">
      <formula>0</formula>
    </cfRule>
    <cfRule type="cellIs" dxfId="295" priority="24" stopIfTrue="1" operator="notEqual">
      <formula>0</formula>
    </cfRule>
  </conditionalFormatting>
  <conditionalFormatting sqref="L15">
    <cfRule type="cellIs" dxfId="294" priority="21" stopIfTrue="1" operator="equal">
      <formula>0</formula>
    </cfRule>
    <cfRule type="cellIs" dxfId="293" priority="22" stopIfTrue="1" operator="notEqual">
      <formula>0</formula>
    </cfRule>
  </conditionalFormatting>
  <conditionalFormatting sqref="L15">
    <cfRule type="cellIs" dxfId="292" priority="19" stopIfTrue="1" operator="equal">
      <formula>0</formula>
    </cfRule>
    <cfRule type="cellIs" dxfId="291" priority="20" stopIfTrue="1" operator="notEqual">
      <formula>0</formula>
    </cfRule>
  </conditionalFormatting>
  <conditionalFormatting sqref="G34">
    <cfRule type="cellIs" dxfId="290" priority="17" stopIfTrue="1" operator="equal">
      <formula>0</formula>
    </cfRule>
    <cfRule type="cellIs" dxfId="289" priority="18" stopIfTrue="1" operator="notEqual">
      <formula>0</formula>
    </cfRule>
  </conditionalFormatting>
  <conditionalFormatting sqref="G34">
    <cfRule type="cellIs" dxfId="288" priority="15" stopIfTrue="1" operator="equal">
      <formula>0</formula>
    </cfRule>
    <cfRule type="cellIs" dxfId="287" priority="16" stopIfTrue="1" operator="notEqual">
      <formula>0</formula>
    </cfRule>
  </conditionalFormatting>
  <conditionalFormatting sqref="G46">
    <cfRule type="cellIs" dxfId="286" priority="13" stopIfTrue="1" operator="equal">
      <formula>0</formula>
    </cfRule>
    <cfRule type="cellIs" dxfId="285" priority="14" stopIfTrue="1" operator="notEqual">
      <formula>0</formula>
    </cfRule>
  </conditionalFormatting>
  <conditionalFormatting sqref="G46">
    <cfRule type="cellIs" dxfId="284" priority="11" stopIfTrue="1" operator="equal">
      <formula>0</formula>
    </cfRule>
    <cfRule type="cellIs" dxfId="283" priority="12" stopIfTrue="1" operator="notEqual">
      <formula>0</formula>
    </cfRule>
  </conditionalFormatting>
  <conditionalFormatting sqref="K30">
    <cfRule type="cellIs" dxfId="282" priority="9" stopIfTrue="1" operator="equal">
      <formula>0</formula>
    </cfRule>
    <cfRule type="cellIs" dxfId="281" priority="10" stopIfTrue="1" operator="notEqual">
      <formula>0</formula>
    </cfRule>
  </conditionalFormatting>
  <conditionalFormatting sqref="K30">
    <cfRule type="cellIs" dxfId="280" priority="7" stopIfTrue="1" operator="equal">
      <formula>0</formula>
    </cfRule>
    <cfRule type="cellIs" dxfId="279" priority="8" stopIfTrue="1" operator="notEqual">
      <formula>0</formula>
    </cfRule>
  </conditionalFormatting>
  <conditionalFormatting sqref="K45">
    <cfRule type="cellIs" dxfId="278" priority="5" stopIfTrue="1" operator="equal">
      <formula>0</formula>
    </cfRule>
    <cfRule type="cellIs" dxfId="277" priority="6" stopIfTrue="1" operator="notEqual">
      <formula>0</formula>
    </cfRule>
  </conditionalFormatting>
  <conditionalFormatting sqref="K45">
    <cfRule type="cellIs" dxfId="276" priority="3" stopIfTrue="1" operator="equal">
      <formula>0</formula>
    </cfRule>
    <cfRule type="cellIs" dxfId="275" priority="4" stopIfTrue="1" operator="notEqual">
      <formula>0</formula>
    </cfRule>
  </conditionalFormatting>
  <conditionalFormatting sqref="G67">
    <cfRule type="cellIs" dxfId="274" priority="2" operator="equal">
      <formula>"ERROR"</formula>
    </cfRule>
  </conditionalFormatting>
  <conditionalFormatting sqref="G67">
    <cfRule type="cellIs" dxfId="273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U1483"/>
  <sheetViews>
    <sheetView showGridLines="0" topLeftCell="A34" zoomScale="70" zoomScaleNormal="7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9.5546875" style="87" bestFit="1" customWidth="1"/>
    <col min="7" max="7" width="16.44140625" style="87" bestFit="1" customWidth="1"/>
    <col min="8" max="8" width="18.33203125" style="87" bestFit="1" customWidth="1"/>
    <col min="9" max="9" width="92.5546875" style="87" bestFit="1" customWidth="1"/>
    <col min="10" max="10" width="21" style="87" bestFit="1" customWidth="1"/>
    <col min="11" max="11" width="17.5546875" style="87" bestFit="1" customWidth="1"/>
    <col min="12" max="12" width="18.33203125" style="87" bestFit="1" customWidth="1"/>
    <col min="13" max="13" width="17.5546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202004</v>
      </c>
      <c r="F1" s="92">
        <f>C1</f>
        <v>202004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f>23175.23-97.75</f>
        <v>23077.48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0.64929999999999999</v>
      </c>
      <c r="L5" s="247">
        <f>1-K5</f>
        <v>0.35070000000000001</v>
      </c>
      <c r="M5" s="88"/>
    </row>
    <row r="6" spans="1:13" ht="15.6" customHeight="1" thickBot="1">
      <c r="A6" s="27" t="s">
        <v>7</v>
      </c>
      <c r="C6" s="237">
        <f>-1432982.84-408723-116778-139549.71-94076.36</f>
        <v>-2192109.91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1335872.8599999999</v>
      </c>
      <c r="D7" s="17"/>
      <c r="F7" s="58" t="s">
        <v>175</v>
      </c>
      <c r="G7" s="58"/>
      <c r="H7" s="40">
        <f>C32</f>
        <v>2208501.87</v>
      </c>
      <c r="I7" s="59">
        <f>H7*I5</f>
        <v>1516799.0843160001</v>
      </c>
      <c r="J7" s="59">
        <f>H7*J5</f>
        <v>691702.785684</v>
      </c>
      <c r="K7" s="59"/>
      <c r="L7" s="59"/>
      <c r="M7" s="88"/>
    </row>
    <row r="8" spans="1:13" ht="15.6" customHeight="1">
      <c r="A8" s="87" t="s">
        <v>39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6">
        <v>6297.17</v>
      </c>
      <c r="D9" s="18"/>
      <c r="F9" s="58" t="s">
        <v>53</v>
      </c>
      <c r="G9" s="88"/>
      <c r="H9" s="248">
        <f>C52</f>
        <v>2475800.3400000026</v>
      </c>
      <c r="I9" s="59"/>
      <c r="J9" s="59"/>
      <c r="K9" s="250">
        <f>H9*K5</f>
        <v>1607537.1607620018</v>
      </c>
      <c r="L9" s="250">
        <f>H9*L5</f>
        <v>868263.179238001</v>
      </c>
      <c r="M9" s="88"/>
    </row>
    <row r="10" spans="1:13" ht="15.6" customHeight="1">
      <c r="A10" s="27" t="s">
        <v>41</v>
      </c>
      <c r="C10" s="237">
        <v>-2756.43</v>
      </c>
      <c r="D10" s="18"/>
      <c r="F10" s="61" t="s">
        <v>21</v>
      </c>
      <c r="G10" s="88"/>
      <c r="H10" s="248">
        <f>C54</f>
        <v>3266.46</v>
      </c>
      <c r="I10" s="59"/>
      <c r="J10" s="59"/>
      <c r="K10" s="250">
        <f>H10</f>
        <v>3266.46</v>
      </c>
      <c r="L10" s="250"/>
      <c r="M10" s="88"/>
    </row>
    <row r="11" spans="1:13" ht="15.6" customHeight="1">
      <c r="A11" s="30" t="s">
        <v>70</v>
      </c>
      <c r="C11" s="235">
        <f>SUM(C8:C10)</f>
        <v>157957.76000000001</v>
      </c>
      <c r="D11" s="18"/>
      <c r="F11" s="61" t="s">
        <v>22</v>
      </c>
      <c r="G11" s="88"/>
      <c r="H11" s="249">
        <f>C55+C53</f>
        <v>1205.6099999999999</v>
      </c>
      <c r="I11" s="59"/>
      <c r="J11" s="59"/>
      <c r="K11" s="251"/>
      <c r="L11" s="251">
        <f>H11</f>
        <v>1205.6099999999999</v>
      </c>
      <c r="M11" s="88"/>
    </row>
    <row r="12" spans="1:13" ht="15.6" customHeight="1">
      <c r="A12" s="87" t="s">
        <v>120</v>
      </c>
      <c r="C12" s="236">
        <f>-1711.73+199146.29</f>
        <v>197434.56</v>
      </c>
      <c r="D12" s="18"/>
      <c r="F12" s="61" t="s">
        <v>68</v>
      </c>
      <c r="G12" s="88"/>
      <c r="H12" s="234">
        <f>H9+H10+H11</f>
        <v>2480272.4100000025</v>
      </c>
      <c r="I12" s="59"/>
      <c r="J12" s="59"/>
      <c r="K12" s="59">
        <f>SUM(K9:K11)</f>
        <v>1610803.6207620017</v>
      </c>
      <c r="L12" s="59">
        <f>SUM(L9:L11)</f>
        <v>869468.78923800099</v>
      </c>
      <c r="M12" s="88"/>
    </row>
    <row r="13" spans="1:13" ht="15.6" customHeight="1" thickBot="1">
      <c r="A13" s="27" t="s">
        <v>121</v>
      </c>
      <c r="C13" s="239">
        <v>0</v>
      </c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197434.56</v>
      </c>
      <c r="D14" s="19"/>
      <c r="F14" s="88" t="s">
        <v>30</v>
      </c>
      <c r="G14" s="58"/>
      <c r="H14" s="40">
        <f>H12+H7</f>
        <v>4688774.2800000031</v>
      </c>
      <c r="I14" s="221">
        <f>SUM(I7:I13)</f>
        <v>1516799.0843160001</v>
      </c>
      <c r="J14" s="221">
        <f>SUM(J7:J13)</f>
        <v>691702.785684</v>
      </c>
      <c r="K14" s="221">
        <f>K12</f>
        <v>1610803.6207620017</v>
      </c>
      <c r="L14" s="221">
        <f>L12</f>
        <v>869468.78923800099</v>
      </c>
      <c r="M14" s="88"/>
    </row>
    <row r="15" spans="1:13" ht="15.6" customHeight="1">
      <c r="A15" s="87" t="s">
        <v>92</v>
      </c>
      <c r="C15" s="236">
        <f>-3714.13+432111.14</f>
        <v>428397.01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93</v>
      </c>
      <c r="C16" s="239">
        <v>0</v>
      </c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428397.01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14366+94197.05+5835.43</f>
        <v>114398.48000000001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89" t="s">
        <v>10</v>
      </c>
    </row>
    <row r="20" spans="1:13" ht="15.6" customHeight="1" thickBot="1">
      <c r="A20" s="31" t="s">
        <v>123</v>
      </c>
      <c r="C20" s="235">
        <f>SUM(C18:C19)</f>
        <v>114398.48000000001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119</v>
      </c>
      <c r="C21" s="237">
        <f>1965.85+1850</f>
        <v>3815.85</v>
      </c>
      <c r="D21" s="18"/>
      <c r="F21" s="51"/>
      <c r="G21" s="288"/>
      <c r="H21" s="288"/>
      <c r="I21" s="289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3815.85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8669321</v>
      </c>
      <c r="H23" s="226">
        <v>9.6509999999999999E-2</v>
      </c>
      <c r="I23" s="256">
        <f t="shared" ref="I23:I31" si="0">G23*H23</f>
        <v>836676.16971000005</v>
      </c>
      <c r="J23" s="74" t="s">
        <v>14</v>
      </c>
      <c r="K23" s="93">
        <v>5024136</v>
      </c>
      <c r="L23" s="226">
        <v>9.2950000000000005E-2</v>
      </c>
      <c r="M23" s="256">
        <f>K23*L23</f>
        <v>466993.4412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11194</v>
      </c>
      <c r="H24" s="226">
        <v>9.6509999999999999E-2</v>
      </c>
      <c r="I24" s="256">
        <f t="shared" si="0"/>
        <v>1080.33294</v>
      </c>
      <c r="J24" s="74" t="s">
        <v>15</v>
      </c>
      <c r="K24" s="93">
        <v>1669164</v>
      </c>
      <c r="L24" s="226">
        <f>L23</f>
        <v>9.2950000000000005E-2</v>
      </c>
      <c r="M24" s="256">
        <f>K24*L24</f>
        <v>155148.79380000001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3389688</v>
      </c>
      <c r="H25" s="226">
        <v>8.727E-2</v>
      </c>
      <c r="I25" s="256">
        <f t="shared" si="0"/>
        <v>295818.07176000002</v>
      </c>
      <c r="J25" s="74" t="s">
        <v>16</v>
      </c>
      <c r="K25" s="93">
        <v>11671</v>
      </c>
      <c r="L25" s="226">
        <f t="shared" ref="L25" si="1">L24</f>
        <v>9.2950000000000005E-2</v>
      </c>
      <c r="M25" s="256">
        <f>K25*L25</f>
        <v>1084.81945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57592</v>
      </c>
      <c r="H26" s="226">
        <v>8.727E-2</v>
      </c>
      <c r="I26" s="256">
        <f t="shared" si="0"/>
        <v>5026.0538399999996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-28206</v>
      </c>
      <c r="H27" s="226">
        <v>8.727E-2</v>
      </c>
      <c r="I27" s="256">
        <f t="shared" si="0"/>
        <v>-2461.5376200000001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215308</v>
      </c>
      <c r="H28" s="226">
        <v>8.727E-2</v>
      </c>
      <c r="I28" s="256">
        <f t="shared" si="0"/>
        <v>18789.92916</v>
      </c>
      <c r="J28" s="73" t="s">
        <v>58</v>
      </c>
      <c r="K28" s="254">
        <f>SUM(K23:K27)</f>
        <v>6704971</v>
      </c>
      <c r="L28" s="255"/>
      <c r="M28" s="71">
        <f>SUM(M23:M27)</f>
        <v>623227.05444999994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6704971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2237876.52</v>
      </c>
      <c r="D30" s="19"/>
      <c r="F30" s="74" t="s">
        <v>20</v>
      </c>
      <c r="G30" s="93">
        <v>99236</v>
      </c>
      <c r="H30" s="226">
        <v>5.5910000000000001E-2</v>
      </c>
      <c r="I30" s="256">
        <f t="shared" si="0"/>
        <v>5548.2847600000005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-29374.65</v>
      </c>
      <c r="D31" s="20"/>
      <c r="F31" s="74" t="s">
        <v>35</v>
      </c>
      <c r="G31" s="93">
        <v>2512230</v>
      </c>
      <c r="H31" s="226">
        <v>5.4000000000000001E-4</v>
      </c>
      <c r="I31" s="256">
        <f t="shared" si="0"/>
        <v>1356.6042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2208501.87</v>
      </c>
      <c r="D32" s="21"/>
      <c r="F32" s="73" t="s">
        <v>58</v>
      </c>
      <c r="G32" s="254">
        <f>SUM(G23:G31)</f>
        <v>14926363</v>
      </c>
      <c r="H32" s="6"/>
      <c r="I32" s="71">
        <f>SUM(I23:I31)</f>
        <v>1161833.9087499999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14926363</v>
      </c>
      <c r="H33" s="65"/>
      <c r="I33" s="257">
        <f>I32/G32</f>
        <v>7.7837709611510847E-2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8142563.4500000002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8669321</v>
      </c>
      <c r="H36" s="226">
        <v>0.15284</v>
      </c>
      <c r="I36" s="256">
        <f t="shared" ref="I36:I43" si="2">G36*H36</f>
        <v>1325019.0216399999</v>
      </c>
      <c r="J36" s="74" t="s">
        <v>14</v>
      </c>
      <c r="K36" s="93">
        <v>5024136</v>
      </c>
      <c r="L36" s="226">
        <v>0.15198999999999999</v>
      </c>
      <c r="M36" s="256">
        <f t="shared" ref="M36:M42" si="3">K36*L36</f>
        <v>763618.43063999992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-9512.27</v>
      </c>
      <c r="D37" s="18"/>
      <c r="F37" s="74" t="s">
        <v>105</v>
      </c>
      <c r="G37" s="93">
        <v>11194</v>
      </c>
      <c r="H37" s="226">
        <f>H36</f>
        <v>0.15284</v>
      </c>
      <c r="I37" s="256">
        <f t="shared" si="2"/>
        <v>1710.89096</v>
      </c>
      <c r="J37" s="74" t="s">
        <v>15</v>
      </c>
      <c r="K37" s="93">
        <v>1669164</v>
      </c>
      <c r="L37" s="226">
        <f>L36</f>
        <v>0.15198999999999999</v>
      </c>
      <c r="M37" s="256">
        <f t="shared" si="3"/>
        <v>253696.23635999998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181696.44</v>
      </c>
      <c r="D38" s="18"/>
      <c r="F38" s="74" t="s">
        <v>15</v>
      </c>
      <c r="G38" s="93">
        <v>3389688</v>
      </c>
      <c r="H38" s="226">
        <f t="shared" ref="H38:H43" si="4">H37</f>
        <v>0.15284</v>
      </c>
      <c r="I38" s="256">
        <f t="shared" si="2"/>
        <v>518079.91392000002</v>
      </c>
      <c r="J38" s="74" t="s">
        <v>16</v>
      </c>
      <c r="K38" s="93">
        <v>11671</v>
      </c>
      <c r="L38" s="226">
        <f t="shared" ref="L38:L42" si="5">L37</f>
        <v>0.15198999999999999</v>
      </c>
      <c r="M38" s="256">
        <f t="shared" si="3"/>
        <v>1773.8752899999999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-84719.4</v>
      </c>
      <c r="D39" s="18"/>
      <c r="F39" s="74" t="s">
        <v>16</v>
      </c>
      <c r="G39" s="93">
        <v>57592</v>
      </c>
      <c r="H39" s="226">
        <f t="shared" si="4"/>
        <v>0.15284</v>
      </c>
      <c r="I39" s="256">
        <f t="shared" si="2"/>
        <v>8802.361280000001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1002844.98</v>
      </c>
      <c r="D40" s="18"/>
      <c r="F40" s="74" t="s">
        <v>17</v>
      </c>
      <c r="G40" s="93">
        <v>-28206</v>
      </c>
      <c r="H40" s="226">
        <f t="shared" si="4"/>
        <v>0.15284</v>
      </c>
      <c r="I40" s="256">
        <f t="shared" si="2"/>
        <v>-4311.00504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9232873.2000000011</v>
      </c>
      <c r="D41" s="18"/>
      <c r="F41" s="74" t="s">
        <v>18</v>
      </c>
      <c r="G41" s="93">
        <v>215308</v>
      </c>
      <c r="H41" s="226">
        <f t="shared" si="4"/>
        <v>0.15284</v>
      </c>
      <c r="I41" s="256">
        <f t="shared" si="2"/>
        <v>32907.674720000003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v>-1237411.94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/>
      <c r="D43" s="18"/>
      <c r="F43" s="74" t="s">
        <v>20</v>
      </c>
      <c r="G43" s="93">
        <v>99236</v>
      </c>
      <c r="H43" s="226">
        <f t="shared" si="4"/>
        <v>0.15284</v>
      </c>
      <c r="I43" s="266">
        <f t="shared" si="2"/>
        <v>15167.230240000001</v>
      </c>
      <c r="J43" s="73" t="s">
        <v>63</v>
      </c>
      <c r="K43" s="254">
        <f>SUM(K36:K42)</f>
        <v>6704971</v>
      </c>
      <c r="L43" s="255"/>
      <c r="M43" s="71">
        <f>SUM(M36:M42)</f>
        <v>1019088.5422899999</v>
      </c>
    </row>
    <row r="44" spans="1:17" ht="15.6" customHeight="1" thickTop="1" thickBot="1">
      <c r="A44" s="290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12414133</v>
      </c>
      <c r="H44" s="255"/>
      <c r="I44" s="270">
        <f>SUM(I36:I43)</f>
        <v>1897376.08772</v>
      </c>
      <c r="J44" s="73"/>
      <c r="K44" s="258">
        <v>6704971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28331.96</v>
      </c>
      <c r="D45" s="20"/>
      <c r="F45" s="64"/>
      <c r="G45" s="258">
        <v>12414133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9320.98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4902.74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29374.65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7665.61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v>-5231256.8600000003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1610803.6207620017</v>
      </c>
      <c r="I51" s="228">
        <f>I14</f>
        <v>1516799.0843160001</v>
      </c>
      <c r="J51" s="228">
        <f>L12</f>
        <v>869468.78923800099</v>
      </c>
      <c r="K51" s="228">
        <f>J14</f>
        <v>691702.785684</v>
      </c>
      <c r="L51" s="229">
        <f>SUM(H51:K51)</f>
        <v>4688774.2800000031</v>
      </c>
      <c r="M51" s="88"/>
    </row>
    <row r="52" spans="1:20" ht="15.6" customHeight="1" thickBot="1">
      <c r="A52" s="32" t="s">
        <v>53</v>
      </c>
      <c r="B52" s="246"/>
      <c r="C52" s="53">
        <f>SUM(C41:C51)</f>
        <v>2475800.3400000026</v>
      </c>
      <c r="D52" s="217"/>
      <c r="F52" s="87" t="s">
        <v>48</v>
      </c>
      <c r="H52" s="227">
        <f>-I44</f>
        <v>-1897376.08772</v>
      </c>
      <c r="I52" s="228">
        <f>-I32</f>
        <v>-1161833.9087499999</v>
      </c>
      <c r="J52" s="228">
        <f>-M43</f>
        <v>-1019088.5422899999</v>
      </c>
      <c r="K52" s="228">
        <f>-M28</f>
        <v>-623227.05444999994</v>
      </c>
      <c r="L52" s="230">
        <f>SUM(H52:K52)</f>
        <v>-4701525.5932099996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3266.46</v>
      </c>
      <c r="D54" s="18"/>
      <c r="F54" s="1" t="s">
        <v>32</v>
      </c>
      <c r="H54" s="262">
        <f>H51+H52+H53</f>
        <v>-286572.46695799823</v>
      </c>
      <c r="I54" s="262">
        <f>I51+I52+I53</f>
        <v>354965.17556600017</v>
      </c>
      <c r="J54" s="262">
        <f>J51+J52+J53</f>
        <v>-149619.75305199891</v>
      </c>
      <c r="K54" s="262">
        <f>K51+K52+K53</f>
        <v>68475.731234000064</v>
      </c>
      <c r="L54" s="26">
        <f>SUM(H54:K54)</f>
        <v>-12751.313209996908</v>
      </c>
    </row>
    <row r="55" spans="1:20" ht="15.6" customHeight="1">
      <c r="A55" s="87" t="s">
        <v>194</v>
      </c>
      <c r="B55" s="8" t="s">
        <v>116</v>
      </c>
      <c r="C55" s="236">
        <v>1205.6099999999999</v>
      </c>
      <c r="D55" s="18"/>
      <c r="F55" s="87" t="s">
        <v>90</v>
      </c>
      <c r="H55" s="87" t="s">
        <v>82</v>
      </c>
      <c r="I55" s="2">
        <f>SUM(H54:I54)</f>
        <v>68392.708608001936</v>
      </c>
      <c r="J55" s="8" t="s">
        <v>83</v>
      </c>
      <c r="K55" s="87">
        <f>SUM(J54:K54)</f>
        <v>-81144.021817998844</v>
      </c>
      <c r="L55"/>
    </row>
    <row r="56" spans="1:20" ht="15.6" customHeight="1" thickBot="1">
      <c r="A56" s="1" t="s">
        <v>177</v>
      </c>
      <c r="C56" s="53">
        <f>SUM(C52:C55)</f>
        <v>2480272.4100000025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4688774.2800000031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4688774.28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1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ERROR</v>
      </c>
      <c r="I67" s="87" t="s">
        <v>206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272" priority="42" stopIfTrue="1" operator="equal">
      <formula>0</formula>
    </cfRule>
    <cfRule type="cellIs" dxfId="271" priority="43" stopIfTrue="1" operator="notEqual">
      <formula>0</formula>
    </cfRule>
  </conditionalFormatting>
  <conditionalFormatting sqref="K46">
    <cfRule type="cellIs" dxfId="270" priority="41" operator="notEqual">
      <formula>0</formula>
    </cfRule>
  </conditionalFormatting>
  <conditionalFormatting sqref="C61">
    <cfRule type="cellIs" dxfId="269" priority="39" stopIfTrue="1" operator="equal">
      <formula>0</formula>
    </cfRule>
    <cfRule type="cellIs" dxfId="268" priority="40" stopIfTrue="1" operator="notEqual">
      <formula>0</formula>
    </cfRule>
  </conditionalFormatting>
  <conditionalFormatting sqref="H15">
    <cfRule type="cellIs" dxfId="267" priority="35" stopIfTrue="1" operator="equal">
      <formula>0</formula>
    </cfRule>
    <cfRule type="cellIs" dxfId="266" priority="36" stopIfTrue="1" operator="notEqual">
      <formula>0</formula>
    </cfRule>
  </conditionalFormatting>
  <conditionalFormatting sqref="H15">
    <cfRule type="cellIs" dxfId="265" priority="33" stopIfTrue="1" operator="equal">
      <formula>0</formula>
    </cfRule>
    <cfRule type="cellIs" dxfId="264" priority="34" stopIfTrue="1" operator="notEqual">
      <formula>0</formula>
    </cfRule>
  </conditionalFormatting>
  <conditionalFormatting sqref="J15">
    <cfRule type="cellIs" dxfId="263" priority="31" stopIfTrue="1" operator="equal">
      <formula>0</formula>
    </cfRule>
    <cfRule type="cellIs" dxfId="262" priority="32" stopIfTrue="1" operator="notEqual">
      <formula>0</formula>
    </cfRule>
  </conditionalFormatting>
  <conditionalFormatting sqref="J15">
    <cfRule type="cellIs" dxfId="261" priority="29" stopIfTrue="1" operator="equal">
      <formula>0</formula>
    </cfRule>
    <cfRule type="cellIs" dxfId="260" priority="30" stopIfTrue="1" operator="notEqual">
      <formula>0</formula>
    </cfRule>
  </conditionalFormatting>
  <conditionalFormatting sqref="L15">
    <cfRule type="cellIs" dxfId="259" priority="27" stopIfTrue="1" operator="equal">
      <formula>0</formula>
    </cfRule>
    <cfRule type="cellIs" dxfId="258" priority="28" stopIfTrue="1" operator="notEqual">
      <formula>0</formula>
    </cfRule>
  </conditionalFormatting>
  <conditionalFormatting sqref="L15">
    <cfRule type="cellIs" dxfId="257" priority="25" stopIfTrue="1" operator="equal">
      <formula>0</formula>
    </cfRule>
    <cfRule type="cellIs" dxfId="256" priority="26" stopIfTrue="1" operator="notEqual">
      <formula>0</formula>
    </cfRule>
  </conditionalFormatting>
  <conditionalFormatting sqref="G34">
    <cfRule type="cellIs" dxfId="255" priority="23" stopIfTrue="1" operator="equal">
      <formula>0</formula>
    </cfRule>
    <cfRule type="cellIs" dxfId="254" priority="24" stopIfTrue="1" operator="notEqual">
      <formula>0</formula>
    </cfRule>
  </conditionalFormatting>
  <conditionalFormatting sqref="G34">
    <cfRule type="cellIs" dxfId="253" priority="21" stopIfTrue="1" operator="equal">
      <formula>0</formula>
    </cfRule>
    <cfRule type="cellIs" dxfId="252" priority="22" stopIfTrue="1" operator="notEqual">
      <formula>0</formula>
    </cfRule>
  </conditionalFormatting>
  <conditionalFormatting sqref="G46">
    <cfRule type="cellIs" dxfId="251" priority="19" stopIfTrue="1" operator="equal">
      <formula>0</formula>
    </cfRule>
    <cfRule type="cellIs" dxfId="250" priority="20" stopIfTrue="1" operator="notEqual">
      <formula>0</formula>
    </cfRule>
  </conditionalFormatting>
  <conditionalFormatting sqref="G46">
    <cfRule type="cellIs" dxfId="249" priority="17" stopIfTrue="1" operator="equal">
      <formula>0</formula>
    </cfRule>
    <cfRule type="cellIs" dxfId="248" priority="18" stopIfTrue="1" operator="notEqual">
      <formula>0</formula>
    </cfRule>
  </conditionalFormatting>
  <conditionalFormatting sqref="K30">
    <cfRule type="cellIs" dxfId="247" priority="15" stopIfTrue="1" operator="equal">
      <formula>0</formula>
    </cfRule>
    <cfRule type="cellIs" dxfId="246" priority="16" stopIfTrue="1" operator="notEqual">
      <formula>0</formula>
    </cfRule>
  </conditionalFormatting>
  <conditionalFormatting sqref="K30">
    <cfRule type="cellIs" dxfId="245" priority="13" stopIfTrue="1" operator="equal">
      <formula>0</formula>
    </cfRule>
    <cfRule type="cellIs" dxfId="244" priority="14" stopIfTrue="1" operator="notEqual">
      <formula>0</formula>
    </cfRule>
  </conditionalFormatting>
  <conditionalFormatting sqref="K45">
    <cfRule type="cellIs" dxfId="243" priority="11" stopIfTrue="1" operator="equal">
      <formula>0</formula>
    </cfRule>
    <cfRule type="cellIs" dxfId="242" priority="12" stopIfTrue="1" operator="notEqual">
      <formula>0</formula>
    </cfRule>
  </conditionalFormatting>
  <conditionalFormatting sqref="K45">
    <cfRule type="cellIs" dxfId="241" priority="9" stopIfTrue="1" operator="equal">
      <formula>0</formula>
    </cfRule>
    <cfRule type="cellIs" dxfId="240" priority="10" stopIfTrue="1" operator="notEqual">
      <formula>0</formula>
    </cfRule>
  </conditionalFormatting>
  <conditionalFormatting sqref="G58">
    <cfRule type="cellIs" dxfId="239" priority="6" operator="equal">
      <formula>"ERROR"</formula>
    </cfRule>
  </conditionalFormatting>
  <conditionalFormatting sqref="G58">
    <cfRule type="cellIs" dxfId="238" priority="5" operator="equal">
      <formula>"ERROR"</formula>
    </cfRule>
  </conditionalFormatting>
  <conditionalFormatting sqref="G65">
    <cfRule type="cellIs" dxfId="237" priority="4" operator="equal">
      <formula>"ERROR"</formula>
    </cfRule>
  </conditionalFormatting>
  <conditionalFormatting sqref="G65">
    <cfRule type="cellIs" dxfId="236" priority="3" operator="equal">
      <formula>"ERROR"</formula>
    </cfRule>
  </conditionalFormatting>
  <conditionalFormatting sqref="H67">
    <cfRule type="cellIs" dxfId="235" priority="2" operator="equal">
      <formula>"ERROR"</formula>
    </cfRule>
  </conditionalFormatting>
  <conditionalFormatting sqref="H67">
    <cfRule type="cellIs" dxfId="234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U1483"/>
  <sheetViews>
    <sheetView showGridLines="0" topLeftCell="A37" zoomScale="70" zoomScaleNormal="7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9.5546875" style="87" bestFit="1" customWidth="1"/>
    <col min="7" max="7" width="16.44140625" style="87" bestFit="1" customWidth="1"/>
    <col min="8" max="8" width="18.33203125" style="87" bestFit="1" customWidth="1"/>
    <col min="9" max="9" width="17.5546875" style="87" bestFit="1" customWidth="1"/>
    <col min="10" max="10" width="21" style="87" bestFit="1" customWidth="1"/>
    <col min="11" max="11" width="16.33203125" style="87" bestFit="1" customWidth="1"/>
    <col min="12" max="12" width="18.33203125" style="87" bestFit="1" customWidth="1"/>
    <col min="13" max="13" width="15.5546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202005</v>
      </c>
      <c r="F1" s="92">
        <f>C1</f>
        <v>202005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26555.11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0.66820000000000002</v>
      </c>
      <c r="L5" s="247">
        <f>1-K5</f>
        <v>0.33179999999999998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1383110.3399999999</v>
      </c>
      <c r="D7" s="17"/>
      <c r="F7" s="58" t="s">
        <v>175</v>
      </c>
      <c r="G7" s="58"/>
      <c r="H7" s="40">
        <f>C32</f>
        <v>2255483.0799999996</v>
      </c>
      <c r="I7" s="59">
        <f>H7*I5</f>
        <v>1549065.7793439997</v>
      </c>
      <c r="J7" s="59">
        <f>H7*J5</f>
        <v>706417.3006559998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4546.21</v>
      </c>
      <c r="D9" s="18"/>
      <c r="F9" s="58" t="s">
        <v>53</v>
      </c>
      <c r="G9" s="88"/>
      <c r="H9" s="248">
        <f>C52</f>
        <v>1269023.2100000004</v>
      </c>
      <c r="I9" s="59"/>
      <c r="J9" s="59"/>
      <c r="K9" s="250">
        <f>H9*K5</f>
        <v>847961.30892200035</v>
      </c>
      <c r="L9" s="250">
        <f>H9*L5</f>
        <v>421061.90107800014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49101.279999999999</v>
      </c>
      <c r="I10" s="59"/>
      <c r="J10" s="59"/>
      <c r="K10" s="250">
        <f>H10</f>
        <v>49101.279999999999</v>
      </c>
      <c r="L10" s="250"/>
      <c r="M10" s="88"/>
    </row>
    <row r="11" spans="1:13" ht="15.6" customHeight="1">
      <c r="A11" s="30" t="s">
        <v>70</v>
      </c>
      <c r="C11" s="235">
        <f>SUM(C8:C10)</f>
        <v>161262.16</v>
      </c>
      <c r="D11" s="18"/>
      <c r="F11" s="61" t="s">
        <v>22</v>
      </c>
      <c r="G11" s="88"/>
      <c r="H11" s="249">
        <f>C55+C53</f>
        <v>24331.65</v>
      </c>
      <c r="I11" s="59"/>
      <c r="J11" s="59"/>
      <c r="K11" s="251"/>
      <c r="L11" s="251">
        <f>H11</f>
        <v>24331.65</v>
      </c>
      <c r="M11" s="88"/>
    </row>
    <row r="12" spans="1:13" ht="15.6" customHeight="1">
      <c r="A12" s="87" t="s">
        <v>120</v>
      </c>
      <c r="C12" s="236">
        <f>201308.8-502.1</f>
        <v>200806.69999999998</v>
      </c>
      <c r="D12" s="18"/>
      <c r="F12" s="61" t="s">
        <v>68</v>
      </c>
      <c r="G12" s="88"/>
      <c r="H12" s="234">
        <f>H9+H10+H11</f>
        <v>1342456.1400000004</v>
      </c>
      <c r="I12" s="59"/>
      <c r="J12" s="59"/>
      <c r="K12" s="59">
        <f>SUM(K9:K11)</f>
        <v>897062.58892200037</v>
      </c>
      <c r="L12" s="59">
        <f>SUM(L9:L11)</f>
        <v>445393.55107800016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200806.69999999998</v>
      </c>
      <c r="D14" s="19"/>
      <c r="F14" s="88" t="s">
        <v>30</v>
      </c>
      <c r="G14" s="58"/>
      <c r="H14" s="40">
        <f>H12+H7</f>
        <v>3597939.2199999997</v>
      </c>
      <c r="I14" s="221">
        <f>SUM(I7:I13)</f>
        <v>1549065.7793439997</v>
      </c>
      <c r="J14" s="221">
        <f>SUM(J7:J13)</f>
        <v>706417.3006559998</v>
      </c>
      <c r="K14" s="221">
        <f>K12</f>
        <v>897062.58892200037</v>
      </c>
      <c r="L14" s="221">
        <f>L12</f>
        <v>445393.55107800016</v>
      </c>
      <c r="M14" s="88"/>
    </row>
    <row r="15" spans="1:13" ht="15.6" customHeight="1">
      <c r="A15" s="87" t="s">
        <v>211</v>
      </c>
      <c r="C15" s="236">
        <f>-1089.44+436803.43</f>
        <v>435713.99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435713.99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95219.93-7562.93+14522</f>
        <v>102179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3" t="s">
        <v>10</v>
      </c>
    </row>
    <row r="20" spans="1:13" ht="15.6" customHeight="1" thickBot="1">
      <c r="A20" s="31" t="s">
        <v>123</v>
      </c>
      <c r="C20" s="235">
        <f>SUM(C18:C19)</f>
        <v>102179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1662.21+1850</f>
        <v>3512.21</v>
      </c>
      <c r="D21" s="18"/>
      <c r="F21" s="51"/>
      <c r="G21" s="292"/>
      <c r="H21" s="292"/>
      <c r="I21" s="293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3512.21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5170311</v>
      </c>
      <c r="H23" s="226">
        <v>9.6509999999999999E-2</v>
      </c>
      <c r="I23" s="256">
        <f t="shared" ref="I23:I31" si="0">G23*H23</f>
        <v>498986.71460999997</v>
      </c>
      <c r="J23" s="74" t="s">
        <v>14</v>
      </c>
      <c r="K23" s="93">
        <v>2757628</v>
      </c>
      <c r="L23" s="226">
        <v>9.2950000000000005E-2</v>
      </c>
      <c r="M23" s="256">
        <f>K23*L23</f>
        <v>256321.52260000003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6951</v>
      </c>
      <c r="H24" s="226">
        <v>9.6509999999999999E-2</v>
      </c>
      <c r="I24" s="256">
        <f t="shared" si="0"/>
        <v>670.84100999999998</v>
      </c>
      <c r="J24" s="74" t="s">
        <v>15</v>
      </c>
      <c r="K24" s="93">
        <v>1225202</v>
      </c>
      <c r="L24" s="226">
        <f>L23</f>
        <v>9.2950000000000005E-2</v>
      </c>
      <c r="M24" s="256">
        <f>K24*L24</f>
        <v>113882.52590000001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2662302</v>
      </c>
      <c r="H25" s="226">
        <v>8.727E-2</v>
      </c>
      <c r="I25" s="256">
        <f t="shared" si="0"/>
        <v>232339.09554000001</v>
      </c>
      <c r="J25" s="74" t="s">
        <v>16</v>
      </c>
      <c r="K25" s="93">
        <v>67372</v>
      </c>
      <c r="L25" s="226">
        <f t="shared" ref="L25" si="1">L24</f>
        <v>9.2950000000000005E-2</v>
      </c>
      <c r="M25" s="256">
        <f>K25*L25</f>
        <v>6262.2274000000007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352537</v>
      </c>
      <c r="H26" s="226">
        <v>8.727E-2</v>
      </c>
      <c r="I26" s="256">
        <f t="shared" si="0"/>
        <v>30765.903989999999</v>
      </c>
      <c r="J26" s="74" t="s">
        <v>17</v>
      </c>
      <c r="K26" s="93"/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-9438</v>
      </c>
      <c r="H27" s="226">
        <v>8.727E-2</v>
      </c>
      <c r="I27" s="256">
        <f t="shared" si="0"/>
        <v>-823.65426000000002</v>
      </c>
      <c r="J27" s="74" t="s">
        <v>18</v>
      </c>
      <c r="K27" s="93"/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-100434</v>
      </c>
      <c r="H28" s="226">
        <v>8.727E-2</v>
      </c>
      <c r="I28" s="256">
        <f t="shared" si="0"/>
        <v>-8764.8751800000009</v>
      </c>
      <c r="J28" s="73" t="s">
        <v>58</v>
      </c>
      <c r="K28" s="254">
        <f>SUM(K23:K27)</f>
        <v>4050202</v>
      </c>
      <c r="L28" s="255"/>
      <c r="M28" s="71">
        <f>SUM(M23:M27)</f>
        <v>376466.27590000001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4050202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2286584.3999999994</v>
      </c>
      <c r="D30" s="19"/>
      <c r="F30" s="74" t="s">
        <v>20</v>
      </c>
      <c r="G30" s="93">
        <v>73987</v>
      </c>
      <c r="H30" s="226">
        <v>5.5910000000000001E-2</v>
      </c>
      <c r="I30" s="256">
        <f t="shared" si="0"/>
        <v>4136.6131700000005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-31101.32</v>
      </c>
      <c r="D31" s="20"/>
      <c r="F31" s="74" t="s">
        <v>35</v>
      </c>
      <c r="G31" s="93">
        <v>1754036</v>
      </c>
      <c r="H31" s="226">
        <v>5.4000000000000001E-4</v>
      </c>
      <c r="I31" s="256">
        <f t="shared" si="0"/>
        <v>947.17944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2255483.0799999996</v>
      </c>
      <c r="D32" s="21"/>
      <c r="F32" s="73" t="s">
        <v>58</v>
      </c>
      <c r="G32" s="254">
        <f>SUM(G23:G31)</f>
        <v>9910252</v>
      </c>
      <c r="H32" s="6"/>
      <c r="I32" s="71">
        <f>SUM(I23:I31)</f>
        <v>758257.81831999996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9910252</v>
      </c>
      <c r="H33" s="65"/>
      <c r="I33" s="257">
        <f>I32/G32</f>
        <v>7.6512465911058564E-2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8140463.8300000001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5170311</v>
      </c>
      <c r="H36" s="226">
        <v>0.15284</v>
      </c>
      <c r="I36" s="256">
        <f t="shared" ref="I36:I43" si="2">G36*H36</f>
        <v>790230.33324000007</v>
      </c>
      <c r="J36" s="74" t="s">
        <v>14</v>
      </c>
      <c r="K36" s="93">
        <v>2757628</v>
      </c>
      <c r="L36" s="226">
        <v>0.15198999999999999</v>
      </c>
      <c r="M36" s="256">
        <f t="shared" ref="M36:M42" si="3">K36*L36</f>
        <v>419131.87971999997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-7965.46</v>
      </c>
      <c r="D37" s="18"/>
      <c r="F37" s="74" t="s">
        <v>105</v>
      </c>
      <c r="G37" s="93">
        <v>6951</v>
      </c>
      <c r="H37" s="226">
        <f>H36</f>
        <v>0.15284</v>
      </c>
      <c r="I37" s="256">
        <f t="shared" si="2"/>
        <v>1062.39084</v>
      </c>
      <c r="J37" s="74" t="s">
        <v>15</v>
      </c>
      <c r="K37" s="93">
        <v>1225202</v>
      </c>
      <c r="L37" s="226">
        <f>L36</f>
        <v>0.15198999999999999</v>
      </c>
      <c r="M37" s="256">
        <f t="shared" si="3"/>
        <v>186218.45197999998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-150549.56</v>
      </c>
      <c r="D38" s="18"/>
      <c r="F38" s="74" t="s">
        <v>15</v>
      </c>
      <c r="G38" s="93">
        <v>2662302</v>
      </c>
      <c r="H38" s="226">
        <f t="shared" ref="H38:H43" si="4">H37</f>
        <v>0.15284</v>
      </c>
      <c r="I38" s="256">
        <f t="shared" si="2"/>
        <v>406906.23768000002</v>
      </c>
      <c r="J38" s="74" t="s">
        <v>16</v>
      </c>
      <c r="K38" s="93">
        <v>67372</v>
      </c>
      <c r="L38" s="226">
        <f t="shared" ref="L38:L42" si="5">L37</f>
        <v>0.15198999999999999</v>
      </c>
      <c r="M38" s="256">
        <f t="shared" si="3"/>
        <v>10239.870279999999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-20913.009999999998</v>
      </c>
      <c r="D39" s="18"/>
      <c r="F39" s="74" t="s">
        <v>16</v>
      </c>
      <c r="G39" s="93">
        <v>352537</v>
      </c>
      <c r="H39" s="226">
        <f t="shared" si="4"/>
        <v>0.15284</v>
      </c>
      <c r="I39" s="256">
        <f t="shared" si="2"/>
        <v>53881.755080000003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855354.43</v>
      </c>
      <c r="D40" s="18"/>
      <c r="F40" s="74" t="s">
        <v>17</v>
      </c>
      <c r="G40" s="93">
        <v>-9438</v>
      </c>
      <c r="H40" s="226">
        <f t="shared" si="4"/>
        <v>0.15284</v>
      </c>
      <c r="I40" s="256">
        <f t="shared" si="2"/>
        <v>-1442.5039200000001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8816390.2300000004</v>
      </c>
      <c r="D41" s="18"/>
      <c r="F41" s="74" t="s">
        <v>18</v>
      </c>
      <c r="G41" s="93">
        <v>-100434</v>
      </c>
      <c r="H41" s="226">
        <f t="shared" si="4"/>
        <v>0.15284</v>
      </c>
      <c r="I41" s="256">
        <f t="shared" si="2"/>
        <v>-15350.332560000001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58145.67-4081731.4</f>
        <v>-4023585.73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73987</v>
      </c>
      <c r="H43" s="226">
        <f t="shared" si="4"/>
        <v>0.15284</v>
      </c>
      <c r="I43" s="266">
        <f t="shared" si="2"/>
        <v>11308.17308</v>
      </c>
      <c r="J43" s="73" t="s">
        <v>63</v>
      </c>
      <c r="K43" s="254">
        <f>SUM(K36:K42)</f>
        <v>4050202</v>
      </c>
      <c r="L43" s="255"/>
      <c r="M43" s="71">
        <f>SUM(M36:M42)</f>
        <v>615590.20198000001</v>
      </c>
    </row>
    <row r="44" spans="1:17" ht="15.6" customHeight="1" thickTop="1" thickBot="1">
      <c r="A44" s="290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8156216</v>
      </c>
      <c r="H44" s="255"/>
      <c r="I44" s="270">
        <f>SUM(I36:I43)</f>
        <v>1246596.0534400002</v>
      </c>
      <c r="J44" s="73"/>
      <c r="K44" s="258">
        <v>4050202</v>
      </c>
      <c r="L44" s="65"/>
      <c r="M44" s="267">
        <f>M43/K43</f>
        <v>0.15199000000000001</v>
      </c>
    </row>
    <row r="45" spans="1:17" ht="15.6" customHeight="1" thickTop="1">
      <c r="A45" s="4" t="s">
        <v>195</v>
      </c>
      <c r="B45" s="29" t="s">
        <v>74</v>
      </c>
      <c r="C45" s="236">
        <v>24008.240000000002</v>
      </c>
      <c r="D45" s="20"/>
      <c r="F45" s="64"/>
      <c r="G45" s="258">
        <v>8156216</v>
      </c>
      <c r="H45" s="65"/>
      <c r="I45" s="271">
        <f>I44/G44</f>
        <v>0.15284000000000003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f>3250.5</f>
        <v>3250.5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f>2964.04</f>
        <v>2964.04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31101.32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8095.45+2695.35</f>
        <v>10790.8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-41954.62-179823.93-3006117.64</f>
        <v>-3227896.19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897062.58892200037</v>
      </c>
      <c r="I51" s="228">
        <f>I14</f>
        <v>1549065.7793439997</v>
      </c>
      <c r="J51" s="228">
        <f>L12</f>
        <v>445393.55107800016</v>
      </c>
      <c r="K51" s="228">
        <f>J14</f>
        <v>706417.3006559998</v>
      </c>
      <c r="L51" s="229">
        <f>SUM(H51:K51)</f>
        <v>3597939.2199999997</v>
      </c>
      <c r="M51" s="88"/>
    </row>
    <row r="52" spans="1:20" ht="15.6" customHeight="1" thickBot="1">
      <c r="A52" s="32" t="s">
        <v>53</v>
      </c>
      <c r="B52" s="246"/>
      <c r="C52" s="53">
        <f>SUM(C41:C51)</f>
        <v>1269023.2100000004</v>
      </c>
      <c r="D52" s="217"/>
      <c r="F52" s="87" t="s">
        <v>48</v>
      </c>
      <c r="H52" s="227">
        <f>-I44</f>
        <v>-1246596.0534400002</v>
      </c>
      <c r="I52" s="228">
        <f>-I32</f>
        <v>-758257.81831999996</v>
      </c>
      <c r="J52" s="228">
        <f>-M43</f>
        <v>-615590.20198000001</v>
      </c>
      <c r="K52" s="228">
        <f>-M28</f>
        <v>-376466.27590000001</v>
      </c>
      <c r="L52" s="230">
        <f>SUM(H52:K52)</f>
        <v>-2996910.3496399997</v>
      </c>
    </row>
    <row r="53" spans="1:20" ht="15.6" customHeight="1" thickTop="1" thickBot="1">
      <c r="A53" s="88" t="s">
        <v>201</v>
      </c>
      <c r="B53" s="30" t="s">
        <v>202</v>
      </c>
      <c r="C53" s="236">
        <v>0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49101.279999999999</v>
      </c>
      <c r="D54" s="18"/>
      <c r="F54" s="1" t="s">
        <v>32</v>
      </c>
      <c r="H54" s="262">
        <f>H51+H52+H53</f>
        <v>-349533.46451799979</v>
      </c>
      <c r="I54" s="262">
        <f>I51+I52+I53</f>
        <v>790807.96102399973</v>
      </c>
      <c r="J54" s="262">
        <f>J51+J52+J53</f>
        <v>-170196.65090199985</v>
      </c>
      <c r="K54" s="262">
        <f>K51+K52+K53</f>
        <v>329951.0247559998</v>
      </c>
      <c r="L54" s="26">
        <f>SUM(H54:K54)</f>
        <v>601028.87035999983</v>
      </c>
    </row>
    <row r="55" spans="1:20" ht="15.6" customHeight="1">
      <c r="A55" s="87" t="s">
        <v>194</v>
      </c>
      <c r="B55" s="8" t="s">
        <v>116</v>
      </c>
      <c r="C55" s="236">
        <v>24331.65</v>
      </c>
      <c r="D55" s="18"/>
      <c r="F55" s="87" t="s">
        <v>90</v>
      </c>
      <c r="H55" s="87" t="s">
        <v>82</v>
      </c>
      <c r="I55" s="2">
        <f>SUM(H54:I54)</f>
        <v>441274.49650599994</v>
      </c>
      <c r="J55" s="8" t="s">
        <v>83</v>
      </c>
      <c r="K55" s="87">
        <f>SUM(J54:K54)</f>
        <v>159754.37385399995</v>
      </c>
      <c r="L55"/>
    </row>
    <row r="56" spans="1:20" ht="15.6" customHeight="1" thickBot="1">
      <c r="A56" s="1" t="s">
        <v>177</v>
      </c>
      <c r="C56" s="53">
        <f>SUM(C52:C55)</f>
        <v>1342456.1400000004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3597939.2199999997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3597939.22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1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233" priority="38" stopIfTrue="1" operator="equal">
      <formula>0</formula>
    </cfRule>
    <cfRule type="cellIs" dxfId="232" priority="39" stopIfTrue="1" operator="notEqual">
      <formula>0</formula>
    </cfRule>
  </conditionalFormatting>
  <conditionalFormatting sqref="K46">
    <cfRule type="cellIs" dxfId="231" priority="37" operator="notEqual">
      <formula>0</formula>
    </cfRule>
  </conditionalFormatting>
  <conditionalFormatting sqref="C61">
    <cfRule type="cellIs" dxfId="230" priority="35" stopIfTrue="1" operator="equal">
      <formula>0</formula>
    </cfRule>
    <cfRule type="cellIs" dxfId="229" priority="36" stopIfTrue="1" operator="notEqual">
      <formula>0</formula>
    </cfRule>
  </conditionalFormatting>
  <conditionalFormatting sqref="H15">
    <cfRule type="cellIs" dxfId="228" priority="33" stopIfTrue="1" operator="equal">
      <formula>0</formula>
    </cfRule>
    <cfRule type="cellIs" dxfId="227" priority="34" stopIfTrue="1" operator="notEqual">
      <formula>0</formula>
    </cfRule>
  </conditionalFormatting>
  <conditionalFormatting sqref="H15">
    <cfRule type="cellIs" dxfId="226" priority="31" stopIfTrue="1" operator="equal">
      <formula>0</formula>
    </cfRule>
    <cfRule type="cellIs" dxfId="225" priority="32" stopIfTrue="1" operator="notEqual">
      <formula>0</formula>
    </cfRule>
  </conditionalFormatting>
  <conditionalFormatting sqref="J15">
    <cfRule type="cellIs" dxfId="224" priority="29" stopIfTrue="1" operator="equal">
      <formula>0</formula>
    </cfRule>
    <cfRule type="cellIs" dxfId="223" priority="30" stopIfTrue="1" operator="notEqual">
      <formula>0</formula>
    </cfRule>
  </conditionalFormatting>
  <conditionalFormatting sqref="J15">
    <cfRule type="cellIs" dxfId="222" priority="27" stopIfTrue="1" operator="equal">
      <formula>0</formula>
    </cfRule>
    <cfRule type="cellIs" dxfId="221" priority="28" stopIfTrue="1" operator="notEqual">
      <formula>0</formula>
    </cfRule>
  </conditionalFormatting>
  <conditionalFormatting sqref="L15">
    <cfRule type="cellIs" dxfId="220" priority="25" stopIfTrue="1" operator="equal">
      <formula>0</formula>
    </cfRule>
    <cfRule type="cellIs" dxfId="219" priority="26" stopIfTrue="1" operator="notEqual">
      <formula>0</formula>
    </cfRule>
  </conditionalFormatting>
  <conditionalFormatting sqref="L15">
    <cfRule type="cellIs" dxfId="218" priority="23" stopIfTrue="1" operator="equal">
      <formula>0</formula>
    </cfRule>
    <cfRule type="cellIs" dxfId="217" priority="24" stopIfTrue="1" operator="notEqual">
      <formula>0</formula>
    </cfRule>
  </conditionalFormatting>
  <conditionalFormatting sqref="G34">
    <cfRule type="cellIs" dxfId="216" priority="21" stopIfTrue="1" operator="equal">
      <formula>0</formula>
    </cfRule>
    <cfRule type="cellIs" dxfId="215" priority="22" stopIfTrue="1" operator="notEqual">
      <formula>0</formula>
    </cfRule>
  </conditionalFormatting>
  <conditionalFormatting sqref="G34">
    <cfRule type="cellIs" dxfId="214" priority="19" stopIfTrue="1" operator="equal">
      <formula>0</formula>
    </cfRule>
    <cfRule type="cellIs" dxfId="213" priority="20" stopIfTrue="1" operator="notEqual">
      <formula>0</formula>
    </cfRule>
  </conditionalFormatting>
  <conditionalFormatting sqref="G46">
    <cfRule type="cellIs" dxfId="212" priority="17" stopIfTrue="1" operator="equal">
      <formula>0</formula>
    </cfRule>
    <cfRule type="cellIs" dxfId="211" priority="18" stopIfTrue="1" operator="notEqual">
      <formula>0</formula>
    </cfRule>
  </conditionalFormatting>
  <conditionalFormatting sqref="G46">
    <cfRule type="cellIs" dxfId="210" priority="15" stopIfTrue="1" operator="equal">
      <formula>0</formula>
    </cfRule>
    <cfRule type="cellIs" dxfId="209" priority="16" stopIfTrue="1" operator="notEqual">
      <formula>0</formula>
    </cfRule>
  </conditionalFormatting>
  <conditionalFormatting sqref="K30">
    <cfRule type="cellIs" dxfId="208" priority="13" stopIfTrue="1" operator="equal">
      <formula>0</formula>
    </cfRule>
    <cfRule type="cellIs" dxfId="207" priority="14" stopIfTrue="1" operator="notEqual">
      <formula>0</formula>
    </cfRule>
  </conditionalFormatting>
  <conditionalFormatting sqref="K30">
    <cfRule type="cellIs" dxfId="206" priority="11" stopIfTrue="1" operator="equal">
      <formula>0</formula>
    </cfRule>
    <cfRule type="cellIs" dxfId="205" priority="12" stopIfTrue="1" operator="notEqual">
      <formula>0</formula>
    </cfRule>
  </conditionalFormatting>
  <conditionalFormatting sqref="K45">
    <cfRule type="cellIs" dxfId="204" priority="9" stopIfTrue="1" operator="equal">
      <formula>0</formula>
    </cfRule>
    <cfRule type="cellIs" dxfId="203" priority="10" stopIfTrue="1" operator="notEqual">
      <formula>0</formula>
    </cfRule>
  </conditionalFormatting>
  <conditionalFormatting sqref="K45">
    <cfRule type="cellIs" dxfId="202" priority="7" stopIfTrue="1" operator="equal">
      <formula>0</formula>
    </cfRule>
    <cfRule type="cellIs" dxfId="201" priority="8" stopIfTrue="1" operator="notEqual">
      <formula>0</formula>
    </cfRule>
  </conditionalFormatting>
  <conditionalFormatting sqref="G58">
    <cfRule type="cellIs" dxfId="200" priority="6" operator="equal">
      <formula>"ERROR"</formula>
    </cfRule>
  </conditionalFormatting>
  <conditionalFormatting sqref="G58">
    <cfRule type="cellIs" dxfId="199" priority="5" operator="equal">
      <formula>"ERROR"</formula>
    </cfRule>
  </conditionalFormatting>
  <conditionalFormatting sqref="G65">
    <cfRule type="cellIs" dxfId="198" priority="4" operator="equal">
      <formula>"ERROR"</formula>
    </cfRule>
  </conditionalFormatting>
  <conditionalFormatting sqref="G65">
    <cfRule type="cellIs" dxfId="197" priority="3" operator="equal">
      <formula>"ERROR"</formula>
    </cfRule>
  </conditionalFormatting>
  <conditionalFormatting sqref="H67">
    <cfRule type="cellIs" dxfId="196" priority="2" operator="equal">
      <formula>"ERROR"</formula>
    </cfRule>
  </conditionalFormatting>
  <conditionalFormatting sqref="H67">
    <cfRule type="cellIs" dxfId="195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U1483"/>
  <sheetViews>
    <sheetView showGridLines="0" topLeftCell="A37" zoomScale="70" zoomScaleNormal="7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9.5546875" style="87" bestFit="1" customWidth="1"/>
    <col min="7" max="7" width="16.44140625" style="87" bestFit="1" customWidth="1"/>
    <col min="8" max="9" width="17.5546875" style="87" bestFit="1" customWidth="1"/>
    <col min="10" max="10" width="21" style="87" bestFit="1" customWidth="1"/>
    <col min="11" max="11" width="16.33203125" style="87" bestFit="1" customWidth="1"/>
    <col min="12" max="12" width="18.33203125" style="87" bestFit="1" customWidth="1"/>
    <col min="13" max="13" width="15.5546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202006</v>
      </c>
      <c r="F1" s="92">
        <f>C1</f>
        <v>202006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26703.06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0.61170000000000002</v>
      </c>
      <c r="L5" s="247">
        <f>1-K5</f>
        <v>0.38829999999999998</v>
      </c>
      <c r="M5" s="88"/>
    </row>
    <row r="6" spans="1:13" ht="15.6" customHeight="1" thickBot="1">
      <c r="A6" s="27" t="s">
        <v>7</v>
      </c>
      <c r="C6" s="237">
        <f>-1432982.84-408723-116778-139549.71-94076.36</f>
        <v>-2192109.91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1339498.44</v>
      </c>
      <c r="D7" s="17"/>
      <c r="F7" s="58" t="s">
        <v>175</v>
      </c>
      <c r="G7" s="58"/>
      <c r="H7" s="40">
        <f>C32</f>
        <v>2161601.79</v>
      </c>
      <c r="I7" s="59">
        <f>H7*I5</f>
        <v>1484588.109372</v>
      </c>
      <c r="J7" s="59">
        <f>H7*J5</f>
        <v>677013.68062799994</v>
      </c>
      <c r="K7" s="59"/>
      <c r="L7" s="59"/>
      <c r="M7" s="88"/>
    </row>
    <row r="8" spans="1:13" ht="15.6" customHeight="1">
      <c r="A8" s="87" t="s">
        <v>207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3692.67</v>
      </c>
      <c r="D9" s="18"/>
      <c r="F9" s="58" t="s">
        <v>53</v>
      </c>
      <c r="G9" s="88"/>
      <c r="H9" s="248">
        <f>C52</f>
        <v>993986.84000000032</v>
      </c>
      <c r="I9" s="59"/>
      <c r="J9" s="59"/>
      <c r="K9" s="250">
        <f>H9*K5</f>
        <v>608021.75002800021</v>
      </c>
      <c r="L9" s="250">
        <f>H9*L5</f>
        <v>385965.0899720001</v>
      </c>
      <c r="M9" s="88"/>
    </row>
    <row r="10" spans="1:13" ht="15.6" customHeight="1">
      <c r="A10" s="27" t="s">
        <v>209</v>
      </c>
      <c r="C10" s="237">
        <v>-2756.43</v>
      </c>
      <c r="D10" s="18"/>
      <c r="F10" s="61" t="s">
        <v>21</v>
      </c>
      <c r="G10" s="88"/>
      <c r="H10" s="248">
        <f>C54</f>
        <v>-25488.46</v>
      </c>
      <c r="I10" s="59"/>
      <c r="J10" s="59"/>
      <c r="K10" s="250">
        <f>H10</f>
        <v>-25488.46</v>
      </c>
      <c r="L10" s="250"/>
      <c r="M10" s="88"/>
    </row>
    <row r="11" spans="1:13" ht="15.6" customHeight="1">
      <c r="A11" s="30" t="s">
        <v>70</v>
      </c>
      <c r="C11" s="235">
        <f>SUM(C8:C10)</f>
        <v>155353.26</v>
      </c>
      <c r="D11" s="18"/>
      <c r="F11" s="61" t="s">
        <v>22</v>
      </c>
      <c r="G11" s="88"/>
      <c r="H11" s="249">
        <f>C55+C53</f>
        <v>-11153.87</v>
      </c>
      <c r="I11" s="59"/>
      <c r="J11" s="59"/>
      <c r="K11" s="251"/>
      <c r="L11" s="251">
        <f>H11</f>
        <v>-11153.87</v>
      </c>
      <c r="M11" s="88"/>
    </row>
    <row r="12" spans="1:13" ht="15.6" customHeight="1">
      <c r="A12" s="87" t="s">
        <v>120</v>
      </c>
      <c r="C12" s="236">
        <f>202584.14+2997.33</f>
        <v>205581.47</v>
      </c>
      <c r="D12" s="18"/>
      <c r="F12" s="61" t="s">
        <v>68</v>
      </c>
      <c r="G12" s="88"/>
      <c r="H12" s="234">
        <f>H9+H10+H11</f>
        <v>957344.51000000036</v>
      </c>
      <c r="I12" s="59"/>
      <c r="J12" s="59"/>
      <c r="K12" s="59">
        <f>SUM(K9:K11)</f>
        <v>582533.29002800025</v>
      </c>
      <c r="L12" s="59">
        <f>SUM(L9:L11)</f>
        <v>374811.21997200011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205581.47</v>
      </c>
      <c r="D14" s="19"/>
      <c r="F14" s="88" t="s">
        <v>30</v>
      </c>
      <c r="G14" s="58"/>
      <c r="H14" s="40">
        <f>H12+H7</f>
        <v>3118946.3000000003</v>
      </c>
      <c r="I14" s="221">
        <f>SUM(I7:I13)</f>
        <v>1484588.109372</v>
      </c>
      <c r="J14" s="221">
        <f>SUM(J7:J13)</f>
        <v>677013.68062799994</v>
      </c>
      <c r="K14" s="221">
        <f>K12</f>
        <v>582533.29002800025</v>
      </c>
      <c r="L14" s="221">
        <f>L12</f>
        <v>374811.21997200011</v>
      </c>
      <c r="M14" s="88"/>
    </row>
    <row r="15" spans="1:13" ht="15.6" customHeight="1">
      <c r="A15" s="87" t="s">
        <v>211</v>
      </c>
      <c r="C15" s="236">
        <f>6503.63+385019.64</f>
        <v>391523.27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391523.27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14614-8993.71+91740.52</f>
        <v>97360.81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5" t="s">
        <v>10</v>
      </c>
    </row>
    <row r="20" spans="1:13" ht="15.6" customHeight="1" thickBot="1">
      <c r="A20" s="31" t="s">
        <v>123</v>
      </c>
      <c r="C20" s="235">
        <f>SUM(C18:C19)</f>
        <v>97360.81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1850+830.27</f>
        <v>2680.27</v>
      </c>
      <c r="D21" s="18"/>
      <c r="F21" s="51"/>
      <c r="G21" s="294"/>
      <c r="H21" s="294"/>
      <c r="I21" s="295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2680.27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3317015</v>
      </c>
      <c r="H23" s="226">
        <v>9.6509999999999999E-2</v>
      </c>
      <c r="I23" s="256">
        <f t="shared" ref="I23:I31" si="0">G23*H23</f>
        <v>320125.11764999997</v>
      </c>
      <c r="J23" s="74" t="s">
        <v>14</v>
      </c>
      <c r="K23" s="93">
        <v>1756365</v>
      </c>
      <c r="L23" s="226">
        <v>9.2950000000000005E-2</v>
      </c>
      <c r="M23" s="256">
        <f>K23*L23</f>
        <v>163254.12675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4575</v>
      </c>
      <c r="H24" s="226">
        <v>9.6509999999999999E-2</v>
      </c>
      <c r="I24" s="256">
        <f t="shared" si="0"/>
        <v>441.53325000000001</v>
      </c>
      <c r="J24" s="74" t="s">
        <v>15</v>
      </c>
      <c r="K24" s="93">
        <v>1525556</v>
      </c>
      <c r="L24" s="226">
        <f>L23</f>
        <v>9.2950000000000005E-2</v>
      </c>
      <c r="M24" s="256">
        <f>K24*L24</f>
        <v>141800.4302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1746909</v>
      </c>
      <c r="H25" s="226">
        <v>8.727E-2</v>
      </c>
      <c r="I25" s="256">
        <f t="shared" si="0"/>
        <v>152452.74843000001</v>
      </c>
      <c r="J25" s="74" t="s">
        <v>16</v>
      </c>
      <c r="K25" s="93">
        <v>59680</v>
      </c>
      <c r="L25" s="226">
        <f t="shared" ref="L25" si="1">L24</f>
        <v>9.2950000000000005E-2</v>
      </c>
      <c r="M25" s="256">
        <f>K25*L25</f>
        <v>5547.2560000000003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135667</v>
      </c>
      <c r="H26" s="226">
        <v>8.727E-2</v>
      </c>
      <c r="I26" s="256">
        <f t="shared" si="0"/>
        <v>11839.659089999999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3341601</v>
      </c>
      <c r="L28" s="255"/>
      <c r="M28" s="71">
        <f>SUM(M23:M27)</f>
        <v>310601.81294999999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3341601</v>
      </c>
      <c r="L29" s="65"/>
      <c r="M29" s="257">
        <f>M28/K28</f>
        <v>9.2949999999999991E-2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2191997.52</v>
      </c>
      <c r="D30" s="19"/>
      <c r="F30" s="74" t="s">
        <v>20</v>
      </c>
      <c r="G30" s="93">
        <v>59165</v>
      </c>
      <c r="H30" s="226">
        <v>5.5910000000000001E-2</v>
      </c>
      <c r="I30" s="256">
        <f t="shared" si="0"/>
        <v>3307.9151500000003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-30395.730000000003</v>
      </c>
      <c r="D31" s="20"/>
      <c r="F31" s="74" t="s">
        <v>35</v>
      </c>
      <c r="G31" s="93">
        <v>1813194</v>
      </c>
      <c r="H31" s="226">
        <v>5.4000000000000001E-4</v>
      </c>
      <c r="I31" s="256">
        <f t="shared" si="0"/>
        <v>979.12476000000004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2161601.79</v>
      </c>
      <c r="D32" s="21"/>
      <c r="F32" s="73" t="s">
        <v>58</v>
      </c>
      <c r="G32" s="254">
        <f>SUM(G23:G31)</f>
        <v>7076525</v>
      </c>
      <c r="H32" s="6"/>
      <c r="I32" s="71">
        <f>SUM(I23:I31)</f>
        <v>489146.09832999989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7076525</v>
      </c>
      <c r="H33" s="65"/>
      <c r="I33" s="257">
        <f>I32/G32</f>
        <v>6.9122358548864005E-2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6511923.9000000004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3317015</v>
      </c>
      <c r="H36" s="226">
        <v>0.15284</v>
      </c>
      <c r="I36" s="256">
        <f t="shared" ref="I36:I43" si="2">G36*H36</f>
        <v>506972.57260000001</v>
      </c>
      <c r="J36" s="74" t="s">
        <v>14</v>
      </c>
      <c r="K36" s="93">
        <v>1756365</v>
      </c>
      <c r="L36" s="226">
        <v>0.15198999999999999</v>
      </c>
      <c r="M36" s="256">
        <f t="shared" ref="M36:M42" si="3">K36*L36</f>
        <v>266949.91634999996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-10356.18</v>
      </c>
      <c r="D37" s="18"/>
      <c r="F37" s="74" t="s">
        <v>105</v>
      </c>
      <c r="G37" s="93">
        <v>4575</v>
      </c>
      <c r="H37" s="226">
        <f>H36</f>
        <v>0.15284</v>
      </c>
      <c r="I37" s="256">
        <f t="shared" si="2"/>
        <v>699.24300000000005</v>
      </c>
      <c r="J37" s="74" t="s">
        <v>15</v>
      </c>
      <c r="K37" s="93">
        <v>1525556</v>
      </c>
      <c r="L37" s="226">
        <f>L36</f>
        <v>0.15198999999999999</v>
      </c>
      <c r="M37" s="256">
        <f t="shared" si="3"/>
        <v>231869.25643999997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-115120.13</v>
      </c>
      <c r="D38" s="18"/>
      <c r="F38" s="74" t="s">
        <v>15</v>
      </c>
      <c r="G38" s="93">
        <v>1746909</v>
      </c>
      <c r="H38" s="226">
        <f t="shared" ref="H38:H43" si="4">H37</f>
        <v>0.15284</v>
      </c>
      <c r="I38" s="256">
        <f t="shared" si="2"/>
        <v>266997.57156000001</v>
      </c>
      <c r="J38" s="74" t="s">
        <v>16</v>
      </c>
      <c r="K38" s="93">
        <v>59680</v>
      </c>
      <c r="L38" s="226">
        <f t="shared" ref="L38:L42" si="5">L37</f>
        <v>0.15198999999999999</v>
      </c>
      <c r="M38" s="256">
        <f t="shared" si="3"/>
        <v>9070.7631999999994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80162.67</v>
      </c>
      <c r="D39" s="18"/>
      <c r="F39" s="74" t="s">
        <v>16</v>
      </c>
      <c r="G39" s="93">
        <v>135667</v>
      </c>
      <c r="H39" s="226">
        <f t="shared" si="4"/>
        <v>0.15284</v>
      </c>
      <c r="I39" s="256">
        <f t="shared" si="2"/>
        <v>20735.344280000001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1134575.8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7601186.0600000005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4812.81-3978028.73</f>
        <v>-3973215.92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2965.52</v>
      </c>
      <c r="D43" s="18"/>
      <c r="F43" s="74" t="s">
        <v>20</v>
      </c>
      <c r="G43" s="93">
        <v>59165</v>
      </c>
      <c r="H43" s="226">
        <f t="shared" si="4"/>
        <v>0.15284</v>
      </c>
      <c r="I43" s="266">
        <f t="shared" si="2"/>
        <v>9042.7785999999996</v>
      </c>
      <c r="J43" s="73" t="s">
        <v>63</v>
      </c>
      <c r="K43" s="254">
        <f>SUM(K36:K42)</f>
        <v>3341601</v>
      </c>
      <c r="L43" s="255"/>
      <c r="M43" s="71">
        <f>SUM(M36:M42)</f>
        <v>507889.93598999991</v>
      </c>
    </row>
    <row r="44" spans="1:17" ht="15.6" customHeight="1" thickTop="1" thickBot="1">
      <c r="A44" s="290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5263331</v>
      </c>
      <c r="H44" s="255"/>
      <c r="I44" s="270">
        <f>SUM(I36:I43)</f>
        <v>804447.51003999996</v>
      </c>
      <c r="J44" s="73"/>
      <c r="K44" s="258">
        <v>3341601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22248.53</v>
      </c>
      <c r="D45" s="20"/>
      <c r="F45" s="64"/>
      <c r="G45" s="258">
        <v>5263331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2030.6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2851.29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30395.730000000003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8789.73+6537.79</f>
        <v>15327.52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-30955.5-249964.45-2060882.54</f>
        <v>-2341802.4900000002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582533.29002800025</v>
      </c>
      <c r="I51" s="228">
        <f>I14</f>
        <v>1484588.109372</v>
      </c>
      <c r="J51" s="228">
        <f>L12</f>
        <v>374811.21997200011</v>
      </c>
      <c r="K51" s="228">
        <f>J14</f>
        <v>677013.68062799994</v>
      </c>
      <c r="L51" s="229">
        <f>SUM(H51:K51)</f>
        <v>3118946.3000000003</v>
      </c>
      <c r="M51" s="88"/>
    </row>
    <row r="52" spans="1:20" ht="15.6" customHeight="1" thickBot="1">
      <c r="A52" s="32" t="s">
        <v>53</v>
      </c>
      <c r="B52" s="246"/>
      <c r="C52" s="53">
        <f>SUM(C41:C51)</f>
        <v>993986.84000000032</v>
      </c>
      <c r="D52" s="217"/>
      <c r="F52" s="87" t="s">
        <v>48</v>
      </c>
      <c r="H52" s="227">
        <f>-I44</f>
        <v>-804447.51003999996</v>
      </c>
      <c r="I52" s="228">
        <f>-I32</f>
        <v>-489146.09832999989</v>
      </c>
      <c r="J52" s="228">
        <f>-M43</f>
        <v>-507889.93598999991</v>
      </c>
      <c r="K52" s="228">
        <f>-M28</f>
        <v>-310601.81294999999</v>
      </c>
      <c r="L52" s="230">
        <f>SUM(H52:K52)</f>
        <v>-2112085.3573099999</v>
      </c>
    </row>
    <row r="53" spans="1:20" ht="15.6" customHeight="1" thickTop="1" thickBot="1">
      <c r="A53" s="88" t="s">
        <v>201</v>
      </c>
      <c r="B53" s="30" t="s">
        <v>202</v>
      </c>
      <c r="C53" s="236">
        <v>0</v>
      </c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-25488.46</v>
      </c>
      <c r="D54" s="18"/>
      <c r="F54" s="1" t="s">
        <v>32</v>
      </c>
      <c r="H54" s="262">
        <f>H51+H52+H53</f>
        <v>-221914.22001199971</v>
      </c>
      <c r="I54" s="262">
        <f>I51+I52+I53</f>
        <v>995442.01104200003</v>
      </c>
      <c r="J54" s="262">
        <f>J51+J52+J53</f>
        <v>-133078.7160179998</v>
      </c>
      <c r="K54" s="262">
        <f>K51+K52+K53</f>
        <v>366411.86767799995</v>
      </c>
      <c r="L54" s="26">
        <f>SUM(H54:K54)</f>
        <v>1006860.9426900004</v>
      </c>
    </row>
    <row r="55" spans="1:20" ht="15.6" customHeight="1">
      <c r="A55" s="87" t="s">
        <v>194</v>
      </c>
      <c r="B55" s="8" t="s">
        <v>116</v>
      </c>
      <c r="C55" s="236">
        <v>-11153.87</v>
      </c>
      <c r="D55" s="18"/>
      <c r="F55" s="87" t="s">
        <v>90</v>
      </c>
      <c r="H55" s="87" t="s">
        <v>82</v>
      </c>
      <c r="I55" s="2">
        <f>SUM(H54:I54)</f>
        <v>773527.79103000031</v>
      </c>
      <c r="J55" s="8" t="s">
        <v>83</v>
      </c>
      <c r="K55" s="87">
        <f>SUM(J54:K54)</f>
        <v>233333.15166000015</v>
      </c>
      <c r="L55"/>
    </row>
    <row r="56" spans="1:20" ht="15.6" customHeight="1" thickBot="1">
      <c r="A56" s="1" t="s">
        <v>177</v>
      </c>
      <c r="C56" s="53">
        <f>SUM(C52:C55)</f>
        <v>957344.51000000036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3118946.3000000003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3118946.3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1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94" priority="38" stopIfTrue="1" operator="equal">
      <formula>0</formula>
    </cfRule>
    <cfRule type="cellIs" dxfId="193" priority="39" stopIfTrue="1" operator="notEqual">
      <formula>0</formula>
    </cfRule>
  </conditionalFormatting>
  <conditionalFormatting sqref="K46">
    <cfRule type="cellIs" dxfId="192" priority="37" operator="notEqual">
      <formula>0</formula>
    </cfRule>
  </conditionalFormatting>
  <conditionalFormatting sqref="C61">
    <cfRule type="cellIs" dxfId="191" priority="35" stopIfTrue="1" operator="equal">
      <formula>0</formula>
    </cfRule>
    <cfRule type="cellIs" dxfId="190" priority="36" stopIfTrue="1" operator="notEqual">
      <formula>0</formula>
    </cfRule>
  </conditionalFormatting>
  <conditionalFormatting sqref="H15">
    <cfRule type="cellIs" dxfId="189" priority="33" stopIfTrue="1" operator="equal">
      <formula>0</formula>
    </cfRule>
    <cfRule type="cellIs" dxfId="188" priority="34" stopIfTrue="1" operator="notEqual">
      <formula>0</formula>
    </cfRule>
  </conditionalFormatting>
  <conditionalFormatting sqref="H15">
    <cfRule type="cellIs" dxfId="187" priority="31" stopIfTrue="1" operator="equal">
      <formula>0</formula>
    </cfRule>
    <cfRule type="cellIs" dxfId="186" priority="32" stopIfTrue="1" operator="notEqual">
      <formula>0</formula>
    </cfRule>
  </conditionalFormatting>
  <conditionalFormatting sqref="J15">
    <cfRule type="cellIs" dxfId="185" priority="29" stopIfTrue="1" operator="equal">
      <formula>0</formula>
    </cfRule>
    <cfRule type="cellIs" dxfId="184" priority="30" stopIfTrue="1" operator="notEqual">
      <formula>0</formula>
    </cfRule>
  </conditionalFormatting>
  <conditionalFormatting sqref="J15">
    <cfRule type="cellIs" dxfId="183" priority="27" stopIfTrue="1" operator="equal">
      <formula>0</formula>
    </cfRule>
    <cfRule type="cellIs" dxfId="182" priority="28" stopIfTrue="1" operator="notEqual">
      <formula>0</formula>
    </cfRule>
  </conditionalFormatting>
  <conditionalFormatting sqref="L15">
    <cfRule type="cellIs" dxfId="181" priority="25" stopIfTrue="1" operator="equal">
      <formula>0</formula>
    </cfRule>
    <cfRule type="cellIs" dxfId="180" priority="26" stopIfTrue="1" operator="notEqual">
      <formula>0</formula>
    </cfRule>
  </conditionalFormatting>
  <conditionalFormatting sqref="L15">
    <cfRule type="cellIs" dxfId="179" priority="23" stopIfTrue="1" operator="equal">
      <formula>0</formula>
    </cfRule>
    <cfRule type="cellIs" dxfId="178" priority="24" stopIfTrue="1" operator="notEqual">
      <formula>0</formula>
    </cfRule>
  </conditionalFormatting>
  <conditionalFormatting sqref="G34">
    <cfRule type="cellIs" dxfId="177" priority="21" stopIfTrue="1" operator="equal">
      <formula>0</formula>
    </cfRule>
    <cfRule type="cellIs" dxfId="176" priority="22" stopIfTrue="1" operator="notEqual">
      <formula>0</formula>
    </cfRule>
  </conditionalFormatting>
  <conditionalFormatting sqref="G34">
    <cfRule type="cellIs" dxfId="175" priority="19" stopIfTrue="1" operator="equal">
      <formula>0</formula>
    </cfRule>
    <cfRule type="cellIs" dxfId="174" priority="20" stopIfTrue="1" operator="notEqual">
      <formula>0</formula>
    </cfRule>
  </conditionalFormatting>
  <conditionalFormatting sqref="G46">
    <cfRule type="cellIs" dxfId="173" priority="17" stopIfTrue="1" operator="equal">
      <formula>0</formula>
    </cfRule>
    <cfRule type="cellIs" dxfId="172" priority="18" stopIfTrue="1" operator="notEqual">
      <formula>0</formula>
    </cfRule>
  </conditionalFormatting>
  <conditionalFormatting sqref="G46">
    <cfRule type="cellIs" dxfId="171" priority="15" stopIfTrue="1" operator="equal">
      <formula>0</formula>
    </cfRule>
    <cfRule type="cellIs" dxfId="170" priority="16" stopIfTrue="1" operator="notEqual">
      <formula>0</formula>
    </cfRule>
  </conditionalFormatting>
  <conditionalFormatting sqref="K30">
    <cfRule type="cellIs" dxfId="169" priority="13" stopIfTrue="1" operator="equal">
      <formula>0</formula>
    </cfRule>
    <cfRule type="cellIs" dxfId="168" priority="14" stopIfTrue="1" operator="notEqual">
      <formula>0</formula>
    </cfRule>
  </conditionalFormatting>
  <conditionalFormatting sqref="K30">
    <cfRule type="cellIs" dxfId="167" priority="11" stopIfTrue="1" operator="equal">
      <formula>0</formula>
    </cfRule>
    <cfRule type="cellIs" dxfId="166" priority="12" stopIfTrue="1" operator="notEqual">
      <formula>0</formula>
    </cfRule>
  </conditionalFormatting>
  <conditionalFormatting sqref="K45">
    <cfRule type="cellIs" dxfId="165" priority="9" stopIfTrue="1" operator="equal">
      <formula>0</formula>
    </cfRule>
    <cfRule type="cellIs" dxfId="164" priority="10" stopIfTrue="1" operator="notEqual">
      <formula>0</formula>
    </cfRule>
  </conditionalFormatting>
  <conditionalFormatting sqref="K45">
    <cfRule type="cellIs" dxfId="163" priority="7" stopIfTrue="1" operator="equal">
      <formula>0</formula>
    </cfRule>
    <cfRule type="cellIs" dxfId="162" priority="8" stopIfTrue="1" operator="notEqual">
      <formula>0</formula>
    </cfRule>
  </conditionalFormatting>
  <conditionalFormatting sqref="G58">
    <cfRule type="cellIs" dxfId="161" priority="6" operator="equal">
      <formula>"ERROR"</formula>
    </cfRule>
  </conditionalFormatting>
  <conditionalFormatting sqref="G58">
    <cfRule type="cellIs" dxfId="160" priority="5" operator="equal">
      <formula>"ERROR"</formula>
    </cfRule>
  </conditionalFormatting>
  <conditionalFormatting sqref="G65">
    <cfRule type="cellIs" dxfId="159" priority="4" operator="equal">
      <formula>"ERROR"</formula>
    </cfRule>
  </conditionalFormatting>
  <conditionalFormatting sqref="G65">
    <cfRule type="cellIs" dxfId="158" priority="3" operator="equal">
      <formula>"ERROR"</formula>
    </cfRule>
  </conditionalFormatting>
  <conditionalFormatting sqref="H67">
    <cfRule type="cellIs" dxfId="157" priority="2" operator="equal">
      <formula>"ERROR"</formula>
    </cfRule>
  </conditionalFormatting>
  <conditionalFormatting sqref="H67">
    <cfRule type="cellIs" dxfId="156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43AD-6CE0-43B8-B675-7883EAECC245}">
  <sheetPr transitionEvaluation="1">
    <pageSetUpPr fitToPage="1"/>
  </sheetPr>
  <dimension ref="A1:U1483"/>
  <sheetViews>
    <sheetView showGridLines="0" topLeftCell="A34" zoomScale="70" zoomScaleNormal="7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9.5546875" style="87" bestFit="1" customWidth="1"/>
    <col min="7" max="7" width="16.44140625" style="87" bestFit="1" customWidth="1"/>
    <col min="8" max="9" width="17.5546875" style="87" bestFit="1" customWidth="1"/>
    <col min="10" max="10" width="21" style="87" bestFit="1" customWidth="1"/>
    <col min="11" max="11" width="16.33203125" style="87" bestFit="1" customWidth="1"/>
    <col min="12" max="12" width="18.33203125" style="87" bestFit="1" customWidth="1"/>
    <col min="13" max="13" width="15.5546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202007</v>
      </c>
      <c r="F1" s="92">
        <f>C1</f>
        <v>202007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3337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0.66520000000000001</v>
      </c>
      <c r="L5" s="247">
        <f>1-K5</f>
        <v>0.33479999999999999</v>
      </c>
      <c r="M5" s="88"/>
    </row>
    <row r="6" spans="1:13" ht="15.6" customHeight="1" thickBot="1">
      <c r="A6" s="27" t="s">
        <v>7</v>
      </c>
      <c r="C6" s="237">
        <f>-1480748.92-422347.11-120670.6-144201.36-97212.24</f>
        <v>-2265180.23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1359892.23</v>
      </c>
      <c r="D7" s="17"/>
      <c r="F7" s="58" t="s">
        <v>175</v>
      </c>
      <c r="G7" s="58"/>
      <c r="H7" s="40">
        <f>C32</f>
        <v>2231667.7599999998</v>
      </c>
      <c r="I7" s="59">
        <f>H7*I5</f>
        <v>1532709.4175679998</v>
      </c>
      <c r="J7" s="59">
        <f>H7*J5</f>
        <v>698958.34243199986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4259.1000000000004</v>
      </c>
      <c r="D9" s="18"/>
      <c r="F9" s="58" t="s">
        <v>53</v>
      </c>
      <c r="G9" s="88"/>
      <c r="H9" s="248">
        <f>C52</f>
        <v>537341.62999999896</v>
      </c>
      <c r="I9" s="59"/>
      <c r="J9" s="59"/>
      <c r="K9" s="250">
        <f>H9*K5</f>
        <v>357439.65227599931</v>
      </c>
      <c r="L9" s="250">
        <f>H9*L5</f>
        <v>179901.97772399965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38050.160000000003</v>
      </c>
      <c r="I10" s="59"/>
      <c r="J10" s="59"/>
      <c r="K10" s="250">
        <f>H10</f>
        <v>38050.160000000003</v>
      </c>
      <c r="L10" s="250"/>
      <c r="M10" s="88"/>
    </row>
    <row r="11" spans="1:13" ht="15.6" customHeight="1">
      <c r="A11" s="30" t="s">
        <v>70</v>
      </c>
      <c r="C11" s="235">
        <f>SUM(C8:C10)</f>
        <v>160975.05000000002</v>
      </c>
      <c r="D11" s="18"/>
      <c r="F11" s="61" t="s">
        <v>22</v>
      </c>
      <c r="G11" s="88"/>
      <c r="H11" s="249">
        <f>C55+C53</f>
        <v>19249.63</v>
      </c>
      <c r="I11" s="59"/>
      <c r="J11" s="59"/>
      <c r="K11" s="251"/>
      <c r="L11" s="251">
        <f>H11</f>
        <v>19249.63</v>
      </c>
      <c r="M11" s="88"/>
    </row>
    <row r="12" spans="1:13" ht="15.6" customHeight="1">
      <c r="A12" s="87" t="s">
        <v>120</v>
      </c>
      <c r="C12" s="236">
        <f>207103.26+3911.41</f>
        <v>211014.67</v>
      </c>
      <c r="D12" s="18"/>
      <c r="F12" s="61" t="s">
        <v>68</v>
      </c>
      <c r="G12" s="88"/>
      <c r="H12" s="234">
        <f>H9+H10+H11</f>
        <v>594641.41999999899</v>
      </c>
      <c r="I12" s="59"/>
      <c r="J12" s="59"/>
      <c r="K12" s="59">
        <f>SUM(K9:K11)</f>
        <v>395489.81227599934</v>
      </c>
      <c r="L12" s="59">
        <f>SUM(L9:L11)</f>
        <v>199151.60772399965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211014.67</v>
      </c>
      <c r="D14" s="19"/>
      <c r="F14" s="88" t="s">
        <v>30</v>
      </c>
      <c r="G14" s="58"/>
      <c r="H14" s="40">
        <f>H12+H7</f>
        <v>2826309.1799999988</v>
      </c>
      <c r="I14" s="221">
        <f>SUM(I7:I13)</f>
        <v>1532709.4175679998</v>
      </c>
      <c r="J14" s="221">
        <f>SUM(J7:J13)</f>
        <v>698958.34243199986</v>
      </c>
      <c r="K14" s="221">
        <f>K12</f>
        <v>395489.81227599934</v>
      </c>
      <c r="L14" s="221">
        <f>L12</f>
        <v>199151.60772399965</v>
      </c>
      <c r="M14" s="88"/>
    </row>
    <row r="15" spans="1:13" ht="15.6" customHeight="1">
      <c r="A15" s="87" t="s">
        <v>211</v>
      </c>
      <c r="C15" s="236">
        <f>7433.77+393608.43</f>
        <v>401042.2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401042.2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-5997.32+14940+93787.02+2042.68</f>
        <v>104772.38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7" t="s">
        <v>10</v>
      </c>
    </row>
    <row r="20" spans="1:13" ht="15.6" customHeight="1" thickBot="1">
      <c r="A20" s="31" t="s">
        <v>123</v>
      </c>
      <c r="C20" s="235">
        <f>SUM(C18:C19)</f>
        <v>104772.38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1850-282.67</f>
        <v>1567.33</v>
      </c>
      <c r="D21" s="18"/>
      <c r="F21" s="51"/>
      <c r="G21" s="296"/>
      <c r="H21" s="296"/>
      <c r="I21" s="297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1567.33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6">
        <v>0</v>
      </c>
      <c r="D23" s="18"/>
      <c r="F23" s="74" t="s">
        <v>14</v>
      </c>
      <c r="G23" s="93">
        <v>2630458</v>
      </c>
      <c r="H23" s="226">
        <v>9.6509999999999999E-2</v>
      </c>
      <c r="I23" s="256">
        <f t="shared" ref="I23:I31" si="0">G23*H23</f>
        <v>253865.50157999998</v>
      </c>
      <c r="J23" s="74" t="s">
        <v>14</v>
      </c>
      <c r="K23" s="93">
        <v>1394760</v>
      </c>
      <c r="L23" s="226">
        <v>9.2950000000000005E-2</v>
      </c>
      <c r="M23" s="256">
        <f>K23*L23</f>
        <v>129642.94200000001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2800</v>
      </c>
      <c r="H24" s="226">
        <v>9.6509999999999999E-2</v>
      </c>
      <c r="I24" s="256">
        <f t="shared" si="0"/>
        <v>270.22800000000001</v>
      </c>
      <c r="J24" s="74" t="s">
        <v>15</v>
      </c>
      <c r="K24" s="93">
        <v>787141</v>
      </c>
      <c r="L24" s="226">
        <f>L23</f>
        <v>9.2950000000000005E-2</v>
      </c>
      <c r="M24" s="256">
        <f>K24*L24</f>
        <v>73164.755950000006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1745062</v>
      </c>
      <c r="H25" s="226">
        <v>8.727E-2</v>
      </c>
      <c r="I25" s="256">
        <f t="shared" si="0"/>
        <v>152291.56073999999</v>
      </c>
      <c r="J25" s="74" t="s">
        <v>16</v>
      </c>
      <c r="K25" s="93">
        <v>63468</v>
      </c>
      <c r="L25" s="226">
        <f t="shared" ref="L25" si="1">L24</f>
        <v>9.2950000000000005E-2</v>
      </c>
      <c r="M25" s="256">
        <f>K25*L25</f>
        <v>5899.3506000000007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35316</v>
      </c>
      <c r="H26" s="226">
        <v>8.727E-2</v>
      </c>
      <c r="I26" s="256">
        <f t="shared" si="0"/>
        <v>3082.0273200000001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2245369</v>
      </c>
      <c r="L28" s="255"/>
      <c r="M28" s="71">
        <f>SUM(M23:M27)</f>
        <v>208707.04855000001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2245369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2239263.86</v>
      </c>
      <c r="D30" s="19"/>
      <c r="F30" s="74" t="s">
        <v>20</v>
      </c>
      <c r="G30" s="93">
        <v>47367</v>
      </c>
      <c r="H30" s="226">
        <v>5.5910000000000001E-2</v>
      </c>
      <c r="I30" s="256">
        <f t="shared" si="0"/>
        <v>2648.2889700000001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-7596.1</v>
      </c>
      <c r="D31" s="20"/>
      <c r="F31" s="74" t="s">
        <v>35</v>
      </c>
      <c r="G31" s="93">
        <v>1519287</v>
      </c>
      <c r="H31" s="226">
        <v>5.4000000000000001E-4</v>
      </c>
      <c r="I31" s="256">
        <f t="shared" si="0"/>
        <v>820.41498000000001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2231667.7599999998</v>
      </c>
      <c r="D32" s="21"/>
      <c r="F32" s="73" t="s">
        <v>58</v>
      </c>
      <c r="G32" s="254">
        <f>SUM(G23:G31)</f>
        <v>5980290</v>
      </c>
      <c r="H32" s="6"/>
      <c r="I32" s="71">
        <f>SUM(I23:I31)</f>
        <v>412978.02158999996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5980290</v>
      </c>
      <c r="H33" s="65"/>
      <c r="I33" s="257">
        <f>I32/G32</f>
        <v>6.9056520936275664E-2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4008282.27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2630458</v>
      </c>
      <c r="H36" s="226">
        <v>0.15284</v>
      </c>
      <c r="I36" s="256">
        <f t="shared" ref="I36:I43" si="2">G36*H36</f>
        <v>402039.20072000002</v>
      </c>
      <c r="J36" s="74" t="s">
        <v>14</v>
      </c>
      <c r="K36" s="93">
        <v>1394760</v>
      </c>
      <c r="L36" s="226">
        <v>0.15198999999999999</v>
      </c>
      <c r="M36" s="256">
        <f t="shared" ref="M36:M42" si="3">K36*L36</f>
        <v>211989.57239999998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-19382.68</v>
      </c>
      <c r="D37" s="18"/>
      <c r="F37" s="74" t="s">
        <v>105</v>
      </c>
      <c r="G37" s="93">
        <v>2800</v>
      </c>
      <c r="H37" s="226">
        <f>H36</f>
        <v>0.15284</v>
      </c>
      <c r="I37" s="256">
        <f t="shared" si="2"/>
        <v>427.952</v>
      </c>
      <c r="J37" s="74" t="s">
        <v>15</v>
      </c>
      <c r="K37" s="93">
        <v>787141</v>
      </c>
      <c r="L37" s="226">
        <f>L36</f>
        <v>0.15198999999999999</v>
      </c>
      <c r="M37" s="256">
        <f t="shared" si="3"/>
        <v>119637.56058999999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27076.959999999999</v>
      </c>
      <c r="D38" s="18"/>
      <c r="F38" s="74" t="s">
        <v>15</v>
      </c>
      <c r="G38" s="93">
        <v>1745062</v>
      </c>
      <c r="H38" s="226">
        <f t="shared" ref="H38:H43" si="4">H37</f>
        <v>0.15284</v>
      </c>
      <c r="I38" s="256">
        <f t="shared" si="2"/>
        <v>266715.27607999998</v>
      </c>
      <c r="J38" s="74" t="s">
        <v>16</v>
      </c>
      <c r="K38" s="93">
        <v>63468</v>
      </c>
      <c r="L38" s="226">
        <f t="shared" ref="L38:L42" si="5">L37</f>
        <v>0.15198999999999999</v>
      </c>
      <c r="M38" s="256">
        <f t="shared" si="3"/>
        <v>9646.5013199999994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-38701.230000000003</v>
      </c>
      <c r="D39" s="18"/>
      <c r="F39" s="74" t="s">
        <v>16</v>
      </c>
      <c r="G39" s="93">
        <v>35316</v>
      </c>
      <c r="H39" s="226">
        <f t="shared" si="4"/>
        <v>0.15284</v>
      </c>
      <c r="I39" s="256">
        <f t="shared" si="2"/>
        <v>5397.6974399999999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1022026.54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4999301.8599999994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16641.09-240930.39</f>
        <v>-224289.30000000002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/>
      <c r="D43" s="18"/>
      <c r="F43" s="74" t="s">
        <v>20</v>
      </c>
      <c r="G43" s="93">
        <v>47367</v>
      </c>
      <c r="H43" s="226">
        <f t="shared" si="4"/>
        <v>0.15284</v>
      </c>
      <c r="I43" s="266">
        <f t="shared" si="2"/>
        <v>7239.5722800000003</v>
      </c>
      <c r="J43" s="73" t="s">
        <v>63</v>
      </c>
      <c r="K43" s="254">
        <f>SUM(K36:K42)</f>
        <v>2245369</v>
      </c>
      <c r="L43" s="255"/>
      <c r="M43" s="71">
        <f>SUM(M36:M42)</f>
        <v>341273.63430999994</v>
      </c>
    </row>
    <row r="44" spans="1:17" ht="15.6" customHeight="1" thickTop="1" thickBot="1">
      <c r="A44" s="290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4461003</v>
      </c>
      <c r="H44" s="255"/>
      <c r="I44" s="270">
        <f>SUM(I36:I43)</f>
        <v>681819.69851999998</v>
      </c>
      <c r="J44" s="73"/>
      <c r="K44" s="258">
        <v>2245369</v>
      </c>
      <c r="L44" s="65"/>
      <c r="M44" s="267">
        <f>M43/K43</f>
        <v>0.15198999999999996</v>
      </c>
    </row>
    <row r="45" spans="1:17" ht="15.6" customHeight="1" thickTop="1">
      <c r="A45" s="4" t="s">
        <v>195</v>
      </c>
      <c r="B45" s="29" t="s">
        <v>74</v>
      </c>
      <c r="C45" s="236">
        <v>22232.49</v>
      </c>
      <c r="D45" s="20"/>
      <c r="F45" s="64"/>
      <c r="G45" s="258">
        <v>4461003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975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1408.3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7596.1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v>14637.42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-42387.07-949411.57-2924721.6</f>
        <v>-3916520.24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395489.81227599934</v>
      </c>
      <c r="I51" s="228">
        <f>I14</f>
        <v>1532709.4175679998</v>
      </c>
      <c r="J51" s="228">
        <f>L12</f>
        <v>199151.60772399965</v>
      </c>
      <c r="K51" s="228">
        <f>J14</f>
        <v>698958.34243199986</v>
      </c>
      <c r="L51" s="229">
        <f>SUM(H51:K51)</f>
        <v>2826309.1799999988</v>
      </c>
      <c r="M51" s="88"/>
    </row>
    <row r="52" spans="1:20" ht="15.6" customHeight="1" thickBot="1">
      <c r="A52" s="32" t="s">
        <v>53</v>
      </c>
      <c r="B52" s="246"/>
      <c r="C52" s="53">
        <f>SUM(C41:C51)</f>
        <v>537341.62999999896</v>
      </c>
      <c r="D52" s="217"/>
      <c r="F52" s="87" t="s">
        <v>48</v>
      </c>
      <c r="H52" s="227">
        <f>-I44</f>
        <v>-681819.69851999998</v>
      </c>
      <c r="I52" s="228">
        <f>-I32</f>
        <v>-412978.02158999996</v>
      </c>
      <c r="J52" s="228">
        <f>-M43</f>
        <v>-341273.63430999994</v>
      </c>
      <c r="K52" s="228">
        <f>-M28</f>
        <v>-208707.04855000001</v>
      </c>
      <c r="L52" s="230">
        <f>SUM(H52:K52)</f>
        <v>-1644778.4029699997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38050.160000000003</v>
      </c>
      <c r="D54" s="18"/>
      <c r="F54" s="1" t="s">
        <v>32</v>
      </c>
      <c r="H54" s="262">
        <f>H51+H52+H53</f>
        <v>-286329.88624400063</v>
      </c>
      <c r="I54" s="262">
        <f>I51+I52+I53</f>
        <v>1119731.3959779998</v>
      </c>
      <c r="J54" s="262">
        <f>J51+J52+J53</f>
        <v>-142122.02658600028</v>
      </c>
      <c r="K54" s="262">
        <f>K51+K52+K53</f>
        <v>490251.29388199985</v>
      </c>
      <c r="L54" s="26">
        <f>SUM(H54:K54)</f>
        <v>1181530.7770299986</v>
      </c>
    </row>
    <row r="55" spans="1:20" ht="15.6" customHeight="1">
      <c r="A55" s="87" t="s">
        <v>194</v>
      </c>
      <c r="B55" s="8" t="s">
        <v>116</v>
      </c>
      <c r="C55" s="236">
        <v>19249.63</v>
      </c>
      <c r="D55" s="18"/>
      <c r="F55" s="87" t="s">
        <v>90</v>
      </c>
      <c r="H55" s="87" t="s">
        <v>82</v>
      </c>
      <c r="I55" s="2">
        <f>SUM(H54:I54)</f>
        <v>833401.50973399915</v>
      </c>
      <c r="J55" s="8" t="s">
        <v>83</v>
      </c>
      <c r="K55" s="87">
        <f>SUM(J54:K54)</f>
        <v>348129.26729599957</v>
      </c>
      <c r="L55"/>
    </row>
    <row r="56" spans="1:20" ht="15.6" customHeight="1" thickBot="1">
      <c r="A56" s="1" t="s">
        <v>177</v>
      </c>
      <c r="C56" s="53">
        <f>SUM(C52:C55)</f>
        <v>594641.41999999899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2826309.1799999988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2826309.18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1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55" priority="38" stopIfTrue="1" operator="equal">
      <formula>0</formula>
    </cfRule>
    <cfRule type="cellIs" dxfId="154" priority="39" stopIfTrue="1" operator="notEqual">
      <formula>0</formula>
    </cfRule>
  </conditionalFormatting>
  <conditionalFormatting sqref="K46">
    <cfRule type="cellIs" dxfId="153" priority="37" operator="notEqual">
      <formula>0</formula>
    </cfRule>
  </conditionalFormatting>
  <conditionalFormatting sqref="C61">
    <cfRule type="cellIs" dxfId="152" priority="35" stopIfTrue="1" operator="equal">
      <formula>0</formula>
    </cfRule>
    <cfRule type="cellIs" dxfId="151" priority="36" stopIfTrue="1" operator="notEqual">
      <formula>0</formula>
    </cfRule>
  </conditionalFormatting>
  <conditionalFormatting sqref="H15">
    <cfRule type="cellIs" dxfId="150" priority="33" stopIfTrue="1" operator="equal">
      <formula>0</formula>
    </cfRule>
    <cfRule type="cellIs" dxfId="149" priority="34" stopIfTrue="1" operator="notEqual">
      <formula>0</formula>
    </cfRule>
  </conditionalFormatting>
  <conditionalFormatting sqref="H15">
    <cfRule type="cellIs" dxfId="148" priority="31" stopIfTrue="1" operator="equal">
      <formula>0</formula>
    </cfRule>
    <cfRule type="cellIs" dxfId="147" priority="32" stopIfTrue="1" operator="notEqual">
      <formula>0</formula>
    </cfRule>
  </conditionalFormatting>
  <conditionalFormatting sqref="J15">
    <cfRule type="cellIs" dxfId="146" priority="29" stopIfTrue="1" operator="equal">
      <formula>0</formula>
    </cfRule>
    <cfRule type="cellIs" dxfId="145" priority="30" stopIfTrue="1" operator="notEqual">
      <formula>0</formula>
    </cfRule>
  </conditionalFormatting>
  <conditionalFormatting sqref="J15">
    <cfRule type="cellIs" dxfId="144" priority="27" stopIfTrue="1" operator="equal">
      <formula>0</formula>
    </cfRule>
    <cfRule type="cellIs" dxfId="143" priority="28" stopIfTrue="1" operator="notEqual">
      <formula>0</formula>
    </cfRule>
  </conditionalFormatting>
  <conditionalFormatting sqref="L15">
    <cfRule type="cellIs" dxfId="142" priority="25" stopIfTrue="1" operator="equal">
      <formula>0</formula>
    </cfRule>
    <cfRule type="cellIs" dxfId="141" priority="26" stopIfTrue="1" operator="notEqual">
      <formula>0</formula>
    </cfRule>
  </conditionalFormatting>
  <conditionalFormatting sqref="L15">
    <cfRule type="cellIs" dxfId="140" priority="23" stopIfTrue="1" operator="equal">
      <formula>0</formula>
    </cfRule>
    <cfRule type="cellIs" dxfId="139" priority="24" stopIfTrue="1" operator="notEqual">
      <formula>0</formula>
    </cfRule>
  </conditionalFormatting>
  <conditionalFormatting sqref="G34">
    <cfRule type="cellIs" dxfId="138" priority="21" stopIfTrue="1" operator="equal">
      <formula>0</formula>
    </cfRule>
    <cfRule type="cellIs" dxfId="137" priority="22" stopIfTrue="1" operator="notEqual">
      <formula>0</formula>
    </cfRule>
  </conditionalFormatting>
  <conditionalFormatting sqref="G34">
    <cfRule type="cellIs" dxfId="136" priority="19" stopIfTrue="1" operator="equal">
      <formula>0</formula>
    </cfRule>
    <cfRule type="cellIs" dxfId="135" priority="20" stopIfTrue="1" operator="notEqual">
      <formula>0</formula>
    </cfRule>
  </conditionalFormatting>
  <conditionalFormatting sqref="G46">
    <cfRule type="cellIs" dxfId="134" priority="17" stopIfTrue="1" operator="equal">
      <formula>0</formula>
    </cfRule>
    <cfRule type="cellIs" dxfId="133" priority="18" stopIfTrue="1" operator="notEqual">
      <formula>0</formula>
    </cfRule>
  </conditionalFormatting>
  <conditionalFormatting sqref="G46">
    <cfRule type="cellIs" dxfId="132" priority="15" stopIfTrue="1" operator="equal">
      <formula>0</formula>
    </cfRule>
    <cfRule type="cellIs" dxfId="131" priority="16" stopIfTrue="1" operator="notEqual">
      <formula>0</formula>
    </cfRule>
  </conditionalFormatting>
  <conditionalFormatting sqref="K30">
    <cfRule type="cellIs" dxfId="130" priority="13" stopIfTrue="1" operator="equal">
      <formula>0</formula>
    </cfRule>
    <cfRule type="cellIs" dxfId="129" priority="14" stopIfTrue="1" operator="notEqual">
      <formula>0</formula>
    </cfRule>
  </conditionalFormatting>
  <conditionalFormatting sqref="K30">
    <cfRule type="cellIs" dxfId="128" priority="11" stopIfTrue="1" operator="equal">
      <formula>0</formula>
    </cfRule>
    <cfRule type="cellIs" dxfId="127" priority="12" stopIfTrue="1" operator="notEqual">
      <formula>0</formula>
    </cfRule>
  </conditionalFormatting>
  <conditionalFormatting sqref="K45">
    <cfRule type="cellIs" dxfId="126" priority="9" stopIfTrue="1" operator="equal">
      <formula>0</formula>
    </cfRule>
    <cfRule type="cellIs" dxfId="125" priority="10" stopIfTrue="1" operator="notEqual">
      <formula>0</formula>
    </cfRule>
  </conditionalFormatting>
  <conditionalFormatting sqref="K45">
    <cfRule type="cellIs" dxfId="124" priority="7" stopIfTrue="1" operator="equal">
      <formula>0</formula>
    </cfRule>
    <cfRule type="cellIs" dxfId="123" priority="8" stopIfTrue="1" operator="notEqual">
      <formula>0</formula>
    </cfRule>
  </conditionalFormatting>
  <conditionalFormatting sqref="G58">
    <cfRule type="cellIs" dxfId="122" priority="6" operator="equal">
      <formula>"ERROR"</formula>
    </cfRule>
  </conditionalFormatting>
  <conditionalFormatting sqref="G58">
    <cfRule type="cellIs" dxfId="121" priority="5" operator="equal">
      <formula>"ERROR"</formula>
    </cfRule>
  </conditionalFormatting>
  <conditionalFormatting sqref="G65">
    <cfRule type="cellIs" dxfId="120" priority="4" operator="equal">
      <formula>"ERROR"</formula>
    </cfRule>
  </conditionalFormatting>
  <conditionalFormatting sqref="G65">
    <cfRule type="cellIs" dxfId="119" priority="3" operator="equal">
      <formula>"ERROR"</formula>
    </cfRule>
  </conditionalFormatting>
  <conditionalFormatting sqref="H67">
    <cfRule type="cellIs" dxfId="118" priority="2" operator="equal">
      <formula>"ERROR"</formula>
    </cfRule>
  </conditionalFormatting>
  <conditionalFormatting sqref="H67">
    <cfRule type="cellIs" dxfId="117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B33A-ACCF-4F42-9444-04058382ED35}">
  <sheetPr transitionEvaluation="1">
    <pageSetUpPr fitToPage="1"/>
  </sheetPr>
  <dimension ref="A1:U1483"/>
  <sheetViews>
    <sheetView showGridLines="0" zoomScale="70" zoomScaleNormal="7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9.5546875" style="87" bestFit="1" customWidth="1"/>
    <col min="7" max="7" width="16.44140625" style="87" bestFit="1" customWidth="1"/>
    <col min="8" max="9" width="17.5546875" style="87" bestFit="1" customWidth="1"/>
    <col min="10" max="10" width="21" style="87" bestFit="1" customWidth="1"/>
    <col min="11" max="11" width="16.33203125" style="87" bestFit="1" customWidth="1"/>
    <col min="12" max="12" width="18.33203125" style="87" bestFit="1" customWidth="1"/>
    <col min="13" max="13" width="15.5546875" style="87" bestFit="1" customWidth="1"/>
    <col min="14" max="14" width="16" style="87" customWidth="1"/>
    <col min="15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202008</v>
      </c>
      <c r="F1" s="92">
        <f>C1</f>
        <v>202008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3621735.46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4376.58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0.63759999999999994</v>
      </c>
      <c r="L5" s="247">
        <f>1-K5</f>
        <v>0.36240000000000006</v>
      </c>
      <c r="M5" s="88"/>
    </row>
    <row r="6" spans="1:13" ht="15.6" customHeight="1" thickBot="1">
      <c r="A6" s="27" t="s">
        <v>7</v>
      </c>
      <c r="C6" s="237">
        <f>-1480748.92-422347.11-120670.6-144201.36-97212.24-4547.82</f>
        <v>-2269728.0499999998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1356383.9900000002</v>
      </c>
      <c r="D7" s="17"/>
      <c r="F7" s="58" t="s">
        <v>175</v>
      </c>
      <c r="G7" s="58"/>
      <c r="H7" s="40">
        <f>C32</f>
        <v>2243129.6600000011</v>
      </c>
      <c r="I7" s="59">
        <f>H7*I5</f>
        <v>1540581.4504880006</v>
      </c>
      <c r="J7" s="59">
        <f>H7*J5</f>
        <v>702548.20951200032</v>
      </c>
      <c r="K7" s="59"/>
      <c r="L7" s="59"/>
      <c r="M7" s="88"/>
    </row>
    <row r="8" spans="1:13" ht="15.6" customHeight="1">
      <c r="A8" s="87" t="s">
        <v>207</v>
      </c>
      <c r="C8" s="236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v>5249.61</v>
      </c>
      <c r="D9" s="18"/>
      <c r="F9" s="58" t="s">
        <v>53</v>
      </c>
      <c r="G9" s="88"/>
      <c r="H9" s="248">
        <f>C52</f>
        <v>242342.68000000063</v>
      </c>
      <c r="I9" s="59"/>
      <c r="J9" s="59"/>
      <c r="K9" s="250">
        <f>H9*K5</f>
        <v>154517.69276800039</v>
      </c>
      <c r="L9" s="250">
        <f>H9*L5</f>
        <v>87824.987232000247</v>
      </c>
      <c r="M9" s="88"/>
    </row>
    <row r="10" spans="1:13" ht="15.6" customHeight="1">
      <c r="A10" s="27" t="s">
        <v>209</v>
      </c>
      <c r="C10" s="237">
        <v>-2848.33</v>
      </c>
      <c r="D10" s="18"/>
      <c r="F10" s="61" t="s">
        <v>21</v>
      </c>
      <c r="G10" s="88"/>
      <c r="H10" s="248">
        <f>C54</f>
        <v>-24963.34</v>
      </c>
      <c r="I10" s="59"/>
      <c r="J10" s="59"/>
      <c r="K10" s="250">
        <f>H10</f>
        <v>-24963.34</v>
      </c>
      <c r="L10" s="250"/>
      <c r="M10" s="88"/>
    </row>
    <row r="11" spans="1:13" ht="15.6" customHeight="1">
      <c r="A11" s="30" t="s">
        <v>70</v>
      </c>
      <c r="C11" s="235">
        <f>SUM(C8:C10)</f>
        <v>161965.56</v>
      </c>
      <c r="D11" s="18"/>
      <c r="F11" s="61" t="s">
        <v>22</v>
      </c>
      <c r="G11" s="88"/>
      <c r="H11" s="249">
        <f>C55+C53</f>
        <v>-12376.92</v>
      </c>
      <c r="I11" s="59"/>
      <c r="J11" s="59"/>
      <c r="K11" s="251"/>
      <c r="L11" s="251">
        <f>H11</f>
        <v>-12376.92</v>
      </c>
      <c r="M11" s="88"/>
    </row>
    <row r="12" spans="1:13" ht="15.6" customHeight="1">
      <c r="A12" s="87" t="s">
        <v>120</v>
      </c>
      <c r="C12" s="236">
        <f>2917.2+212675.92</f>
        <v>215593.12000000002</v>
      </c>
      <c r="D12" s="18"/>
      <c r="F12" s="61" t="s">
        <v>68</v>
      </c>
      <c r="G12" s="88"/>
      <c r="H12" s="234">
        <f>H9+H10+H11</f>
        <v>205002.42000000062</v>
      </c>
      <c r="I12" s="59"/>
      <c r="J12" s="59"/>
      <c r="K12" s="59">
        <f>SUM(K9:K11)</f>
        <v>129554.35276800039</v>
      </c>
      <c r="L12" s="59">
        <f>SUM(L9:L11)</f>
        <v>75448.067232000249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215593.12000000002</v>
      </c>
      <c r="D14" s="19"/>
      <c r="F14" s="88" t="s">
        <v>30</v>
      </c>
      <c r="G14" s="58"/>
      <c r="H14" s="40">
        <f>H12+H7</f>
        <v>2448132.0800000019</v>
      </c>
      <c r="I14" s="221">
        <f>SUM(I7:I13)</f>
        <v>1540581.4504880006</v>
      </c>
      <c r="J14" s="221">
        <f>SUM(J7:J13)</f>
        <v>702548.20951200032</v>
      </c>
      <c r="K14" s="221">
        <f>K12</f>
        <v>129554.35276800039</v>
      </c>
      <c r="L14" s="221">
        <f>L12</f>
        <v>75448.067232000249</v>
      </c>
      <c r="M14" s="88"/>
    </row>
    <row r="15" spans="1:13" ht="15.6" customHeight="1">
      <c r="A15" s="87" t="s">
        <v>211</v>
      </c>
      <c r="C15" s="236">
        <f>5544.24+404199.48</f>
        <v>409743.72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409743.72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15342+96310.6-5675.9+1528.29</f>
        <v>107504.99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299" t="s">
        <v>10</v>
      </c>
    </row>
    <row r="20" spans="1:13" ht="15.6" customHeight="1" thickBot="1">
      <c r="A20" s="31" t="s">
        <v>123</v>
      </c>
      <c r="C20" s="235">
        <f>SUM(C18:C19)</f>
        <v>107504.99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1850-285.53</f>
        <v>1564.47</v>
      </c>
      <c r="D21" s="18"/>
      <c r="F21" s="51"/>
      <c r="G21" s="298"/>
      <c r="H21" s="298"/>
      <c r="I21" s="299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1564.47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2236586</v>
      </c>
      <c r="H23" s="226">
        <v>9.6509999999999999E-2</v>
      </c>
      <c r="I23" s="256">
        <f t="shared" ref="I23:I31" si="0">G23*H23</f>
        <v>215852.91485999999</v>
      </c>
      <c r="J23" s="74" t="s">
        <v>14</v>
      </c>
      <c r="K23" s="93">
        <v>1094753</v>
      </c>
      <c r="L23" s="226">
        <v>9.2950000000000005E-2</v>
      </c>
      <c r="M23" s="256">
        <f>K23*L23</f>
        <v>101757.29135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2515</v>
      </c>
      <c r="H24" s="226">
        <v>9.6509999999999999E-2</v>
      </c>
      <c r="I24" s="256">
        <f t="shared" si="0"/>
        <v>242.72264999999999</v>
      </c>
      <c r="J24" s="74" t="s">
        <v>15</v>
      </c>
      <c r="K24" s="93">
        <v>1122105</v>
      </c>
      <c r="L24" s="226">
        <f>L23</f>
        <v>9.2950000000000005E-2</v>
      </c>
      <c r="M24" s="256">
        <f>K24*L24</f>
        <v>104299.65975000001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1621230</v>
      </c>
      <c r="H25" s="226">
        <v>8.727E-2</v>
      </c>
      <c r="I25" s="256">
        <f t="shared" si="0"/>
        <v>141484.7421</v>
      </c>
      <c r="J25" s="74" t="s">
        <v>16</v>
      </c>
      <c r="K25" s="93">
        <v>31531</v>
      </c>
      <c r="L25" s="226">
        <f t="shared" ref="L25" si="1">L24</f>
        <v>9.2950000000000005E-2</v>
      </c>
      <c r="M25" s="256">
        <f>K25*L25</f>
        <v>2930.80645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53285</v>
      </c>
      <c r="H26" s="226">
        <v>8.727E-2</v>
      </c>
      <c r="I26" s="256">
        <f t="shared" si="0"/>
        <v>4650.1819500000001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2248389</v>
      </c>
      <c r="L28" s="255"/>
      <c r="M28" s="71">
        <f>SUM(M23:M27)</f>
        <v>208987.75755000001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2248389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2252755.850000001</v>
      </c>
      <c r="D30" s="19"/>
      <c r="F30" s="74" t="s">
        <v>20</v>
      </c>
      <c r="G30" s="93">
        <v>42566</v>
      </c>
      <c r="H30" s="226">
        <v>5.5910000000000001E-2</v>
      </c>
      <c r="I30" s="256">
        <f t="shared" si="0"/>
        <v>2379.8650600000001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-9626.1899999999987</v>
      </c>
      <c r="D31" s="20"/>
      <c r="F31" s="74" t="s">
        <v>35</v>
      </c>
      <c r="G31" s="93">
        <v>1752677</v>
      </c>
      <c r="H31" s="226">
        <v>5.4000000000000001E-4</v>
      </c>
      <c r="I31" s="256">
        <f t="shared" si="0"/>
        <v>946.44558000000006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2243129.6600000011</v>
      </c>
      <c r="D32" s="21"/>
      <c r="F32" s="73" t="s">
        <v>58</v>
      </c>
      <c r="G32" s="254">
        <f>SUM(G23:G31)</f>
        <v>5708859</v>
      </c>
      <c r="H32" s="6"/>
      <c r="I32" s="71">
        <f>SUM(I23:I31)</f>
        <v>365556.87219999998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5708859</v>
      </c>
      <c r="H33" s="65"/>
      <c r="I33" s="257">
        <f>I32/G32</f>
        <v>6.4033263424442599E-2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6670617.7300000004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2236586</v>
      </c>
      <c r="H36" s="226">
        <v>0.15284</v>
      </c>
      <c r="I36" s="256">
        <f t="shared" ref="I36:I43" si="2">G36*H36</f>
        <v>341839.80424000003</v>
      </c>
      <c r="J36" s="74" t="s">
        <v>14</v>
      </c>
      <c r="K36" s="93">
        <v>1094753</v>
      </c>
      <c r="L36" s="226">
        <v>0.15198999999999999</v>
      </c>
      <c r="M36" s="256">
        <f t="shared" ref="M36:M42" si="3">K36*L36</f>
        <v>166391.50846999997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-10023.43</v>
      </c>
      <c r="D37" s="18"/>
      <c r="F37" s="74" t="s">
        <v>105</v>
      </c>
      <c r="G37" s="93">
        <v>2515</v>
      </c>
      <c r="H37" s="226">
        <f>H36</f>
        <v>0.15284</v>
      </c>
      <c r="I37" s="256">
        <f t="shared" si="2"/>
        <v>384.39260000000002</v>
      </c>
      <c r="J37" s="74" t="s">
        <v>15</v>
      </c>
      <c r="K37" s="93">
        <v>1122105</v>
      </c>
      <c r="L37" s="226">
        <f>L36</f>
        <v>0.15198999999999999</v>
      </c>
      <c r="M37" s="256">
        <f t="shared" si="3"/>
        <v>170548.73895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-134009.51999999999</v>
      </c>
      <c r="D38" s="18"/>
      <c r="F38" s="74" t="s">
        <v>15</v>
      </c>
      <c r="G38" s="93">
        <v>1621230</v>
      </c>
      <c r="H38" s="226">
        <f t="shared" ref="H38:H43" si="4">H37</f>
        <v>0.15284</v>
      </c>
      <c r="I38" s="256">
        <f t="shared" si="2"/>
        <v>247788.79320000001</v>
      </c>
      <c r="J38" s="74" t="s">
        <v>16</v>
      </c>
      <c r="K38" s="93">
        <v>31531</v>
      </c>
      <c r="L38" s="226">
        <f t="shared" ref="L38:L42" si="5">L37</f>
        <v>0.15198999999999999</v>
      </c>
      <c r="M38" s="256">
        <f t="shared" si="3"/>
        <v>4792.3966899999996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-56977.4</v>
      </c>
      <c r="D39" s="18"/>
      <c r="F39" s="74" t="s">
        <v>16</v>
      </c>
      <c r="G39" s="93">
        <v>53285</v>
      </c>
      <c r="H39" s="226">
        <f t="shared" si="4"/>
        <v>0.15284</v>
      </c>
      <c r="I39" s="256">
        <f t="shared" si="2"/>
        <v>8144.0794000000005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312762.68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6782370.0600000005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16237.28-33210.39</f>
        <v>-16973.11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0</v>
      </c>
      <c r="D43" s="18"/>
      <c r="F43" s="74" t="s">
        <v>20</v>
      </c>
      <c r="G43" s="93">
        <v>42566</v>
      </c>
      <c r="H43" s="226">
        <f t="shared" si="4"/>
        <v>0.15284</v>
      </c>
      <c r="I43" s="266">
        <f t="shared" si="2"/>
        <v>6505.7874400000001</v>
      </c>
      <c r="J43" s="73" t="s">
        <v>63</v>
      </c>
      <c r="K43" s="254">
        <f>SUM(K36:K42)</f>
        <v>2248389</v>
      </c>
      <c r="L43" s="255"/>
      <c r="M43" s="71">
        <f>SUM(M36:M42)</f>
        <v>341732.64410999999</v>
      </c>
    </row>
    <row r="44" spans="1:17" ht="15.6" customHeight="1" thickTop="1" thickBot="1">
      <c r="A44" s="290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3956182</v>
      </c>
      <c r="H44" s="255"/>
      <c r="I44" s="270">
        <f>SUM(I36:I43)</f>
        <v>604662.85688000009</v>
      </c>
      <c r="J44" s="73"/>
      <c r="K44" s="258">
        <v>2248389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20234.7</v>
      </c>
      <c r="D45" s="20"/>
      <c r="F45" s="64"/>
      <c r="G45" s="258">
        <v>3956182</v>
      </c>
      <c r="H45" s="65"/>
      <c r="I45" s="271">
        <f>I44/G44</f>
        <v>0.15284000000000003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3370.73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1420.17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9626.1899999999987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9278.56-3496.15</f>
        <v>5782.41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-15889.05-1446558.51-4733040.91</f>
        <v>-6195488.4700000007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129554.35276800039</v>
      </c>
      <c r="I51" s="228">
        <f>I14</f>
        <v>1540581.4504880006</v>
      </c>
      <c r="J51" s="228">
        <f>L12</f>
        <v>75448.067232000249</v>
      </c>
      <c r="K51" s="228">
        <f>J14</f>
        <v>702548.20951200032</v>
      </c>
      <c r="L51" s="229">
        <f>SUM(H51:K51)</f>
        <v>2448132.0800000015</v>
      </c>
      <c r="M51" s="88"/>
    </row>
    <row r="52" spans="1:20" ht="15.6" customHeight="1" thickBot="1">
      <c r="A52" s="32" t="s">
        <v>53</v>
      </c>
      <c r="B52" s="246"/>
      <c r="C52" s="53">
        <f>SUM(C41:C51)</f>
        <v>242342.68000000063</v>
      </c>
      <c r="D52" s="217"/>
      <c r="F52" s="87" t="s">
        <v>48</v>
      </c>
      <c r="H52" s="227">
        <f>-I44</f>
        <v>-604662.85688000009</v>
      </c>
      <c r="I52" s="228">
        <f>-I32</f>
        <v>-365556.87219999998</v>
      </c>
      <c r="J52" s="228">
        <f>-M43</f>
        <v>-341732.64410999999</v>
      </c>
      <c r="K52" s="228">
        <f>-M28</f>
        <v>-208987.75755000001</v>
      </c>
      <c r="L52" s="230">
        <f>SUM(H52:K52)</f>
        <v>-1520940.1307400002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-24963.34</v>
      </c>
      <c r="D54" s="18"/>
      <c r="F54" s="1" t="s">
        <v>32</v>
      </c>
      <c r="H54" s="262">
        <f>H51+H52+H53</f>
        <v>-475108.5041119997</v>
      </c>
      <c r="I54" s="262">
        <f>I51+I52+I53</f>
        <v>1175024.5782880005</v>
      </c>
      <c r="J54" s="262">
        <f>J51+J52+J53</f>
        <v>-266284.57687799976</v>
      </c>
      <c r="K54" s="262">
        <f>K51+K52+K53</f>
        <v>493560.45196200034</v>
      </c>
      <c r="L54" s="26">
        <f>SUM(H54:K54)</f>
        <v>927191.94926000154</v>
      </c>
    </row>
    <row r="55" spans="1:20" ht="15.6" customHeight="1">
      <c r="A55" s="87" t="s">
        <v>194</v>
      </c>
      <c r="B55" s="8" t="s">
        <v>116</v>
      </c>
      <c r="C55" s="236">
        <v>-12376.92</v>
      </c>
      <c r="D55" s="18"/>
      <c r="F55" s="87" t="s">
        <v>90</v>
      </c>
      <c r="H55" s="87" t="s">
        <v>82</v>
      </c>
      <c r="I55" s="2">
        <f>SUM(H54:I54)</f>
        <v>699916.0741760009</v>
      </c>
      <c r="J55" s="8" t="s">
        <v>83</v>
      </c>
      <c r="K55" s="87">
        <f>SUM(J54:K54)</f>
        <v>227275.87508400058</v>
      </c>
      <c r="L55"/>
    </row>
    <row r="56" spans="1:20" ht="15.6" customHeight="1" thickBot="1">
      <c r="A56" s="1" t="s">
        <v>177</v>
      </c>
      <c r="C56" s="53">
        <f>SUM(C52:C55)</f>
        <v>205002.42000000062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2448132.0800000019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2448132.08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1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1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16" priority="38" stopIfTrue="1" operator="equal">
      <formula>0</formula>
    </cfRule>
    <cfRule type="cellIs" dxfId="115" priority="39" stopIfTrue="1" operator="notEqual">
      <formula>0</formula>
    </cfRule>
  </conditionalFormatting>
  <conditionalFormatting sqref="K46">
    <cfRule type="cellIs" dxfId="114" priority="37" operator="notEqual">
      <formula>0</formula>
    </cfRule>
  </conditionalFormatting>
  <conditionalFormatting sqref="C61">
    <cfRule type="cellIs" dxfId="113" priority="35" stopIfTrue="1" operator="equal">
      <formula>0</formula>
    </cfRule>
    <cfRule type="cellIs" dxfId="112" priority="36" stopIfTrue="1" operator="notEqual">
      <formula>0</formula>
    </cfRule>
  </conditionalFormatting>
  <conditionalFormatting sqref="H15">
    <cfRule type="cellIs" dxfId="111" priority="33" stopIfTrue="1" operator="equal">
      <formula>0</formula>
    </cfRule>
    <cfRule type="cellIs" dxfId="110" priority="34" stopIfTrue="1" operator="notEqual">
      <formula>0</formula>
    </cfRule>
  </conditionalFormatting>
  <conditionalFormatting sqref="H15">
    <cfRule type="cellIs" dxfId="109" priority="31" stopIfTrue="1" operator="equal">
      <formula>0</formula>
    </cfRule>
    <cfRule type="cellIs" dxfId="108" priority="32" stopIfTrue="1" operator="notEqual">
      <formula>0</formula>
    </cfRule>
  </conditionalFormatting>
  <conditionalFormatting sqref="J15">
    <cfRule type="cellIs" dxfId="107" priority="29" stopIfTrue="1" operator="equal">
      <formula>0</formula>
    </cfRule>
    <cfRule type="cellIs" dxfId="106" priority="30" stopIfTrue="1" operator="notEqual">
      <formula>0</formula>
    </cfRule>
  </conditionalFormatting>
  <conditionalFormatting sqref="J15">
    <cfRule type="cellIs" dxfId="105" priority="27" stopIfTrue="1" operator="equal">
      <formula>0</formula>
    </cfRule>
    <cfRule type="cellIs" dxfId="104" priority="28" stopIfTrue="1" operator="notEqual">
      <formula>0</formula>
    </cfRule>
  </conditionalFormatting>
  <conditionalFormatting sqref="L15">
    <cfRule type="cellIs" dxfId="103" priority="25" stopIfTrue="1" operator="equal">
      <formula>0</formula>
    </cfRule>
    <cfRule type="cellIs" dxfId="102" priority="26" stopIfTrue="1" operator="notEqual">
      <formula>0</formula>
    </cfRule>
  </conditionalFormatting>
  <conditionalFormatting sqref="L15">
    <cfRule type="cellIs" dxfId="101" priority="23" stopIfTrue="1" operator="equal">
      <formula>0</formula>
    </cfRule>
    <cfRule type="cellIs" dxfId="100" priority="24" stopIfTrue="1" operator="notEqual">
      <formula>0</formula>
    </cfRule>
  </conditionalFormatting>
  <conditionalFormatting sqref="G34">
    <cfRule type="cellIs" dxfId="99" priority="21" stopIfTrue="1" operator="equal">
      <formula>0</formula>
    </cfRule>
    <cfRule type="cellIs" dxfId="98" priority="22" stopIfTrue="1" operator="notEqual">
      <formula>0</formula>
    </cfRule>
  </conditionalFormatting>
  <conditionalFormatting sqref="G34">
    <cfRule type="cellIs" dxfId="97" priority="19" stopIfTrue="1" operator="equal">
      <formula>0</formula>
    </cfRule>
    <cfRule type="cellIs" dxfId="96" priority="20" stopIfTrue="1" operator="notEqual">
      <formula>0</formula>
    </cfRule>
  </conditionalFormatting>
  <conditionalFormatting sqref="G46">
    <cfRule type="cellIs" dxfId="95" priority="17" stopIfTrue="1" operator="equal">
      <formula>0</formula>
    </cfRule>
    <cfRule type="cellIs" dxfId="94" priority="18" stopIfTrue="1" operator="notEqual">
      <formula>0</formula>
    </cfRule>
  </conditionalFormatting>
  <conditionalFormatting sqref="G46">
    <cfRule type="cellIs" dxfId="93" priority="15" stopIfTrue="1" operator="equal">
      <formula>0</formula>
    </cfRule>
    <cfRule type="cellIs" dxfId="92" priority="16" stopIfTrue="1" operator="notEqual">
      <formula>0</formula>
    </cfRule>
  </conditionalFormatting>
  <conditionalFormatting sqref="K30">
    <cfRule type="cellIs" dxfId="91" priority="13" stopIfTrue="1" operator="equal">
      <formula>0</formula>
    </cfRule>
    <cfRule type="cellIs" dxfId="90" priority="14" stopIfTrue="1" operator="notEqual">
      <formula>0</formula>
    </cfRule>
  </conditionalFormatting>
  <conditionalFormatting sqref="K30">
    <cfRule type="cellIs" dxfId="89" priority="11" stopIfTrue="1" operator="equal">
      <formula>0</formula>
    </cfRule>
    <cfRule type="cellIs" dxfId="88" priority="12" stopIfTrue="1" operator="notEqual">
      <formula>0</formula>
    </cfRule>
  </conditionalFormatting>
  <conditionalFormatting sqref="K45">
    <cfRule type="cellIs" dxfId="87" priority="9" stopIfTrue="1" operator="equal">
      <formula>0</formula>
    </cfRule>
    <cfRule type="cellIs" dxfId="86" priority="10" stopIfTrue="1" operator="notEqual">
      <formula>0</formula>
    </cfRule>
  </conditionalFormatting>
  <conditionalFormatting sqref="K45">
    <cfRule type="cellIs" dxfId="85" priority="7" stopIfTrue="1" operator="equal">
      <formula>0</formula>
    </cfRule>
    <cfRule type="cellIs" dxfId="84" priority="8" stopIfTrue="1" operator="notEqual">
      <formula>0</formula>
    </cfRule>
  </conditionalFormatting>
  <conditionalFormatting sqref="G58">
    <cfRule type="cellIs" dxfId="83" priority="6" operator="equal">
      <formula>"ERROR"</formula>
    </cfRule>
  </conditionalFormatting>
  <conditionalFormatting sqref="G58">
    <cfRule type="cellIs" dxfId="82" priority="5" operator="equal">
      <formula>"ERROR"</formula>
    </cfRule>
  </conditionalFormatting>
  <conditionalFormatting sqref="G65">
    <cfRule type="cellIs" dxfId="81" priority="4" operator="equal">
      <formula>"ERROR"</formula>
    </cfRule>
  </conditionalFormatting>
  <conditionalFormatting sqref="G65">
    <cfRule type="cellIs" dxfId="80" priority="3" operator="equal">
      <formula>"ERROR"</formula>
    </cfRule>
  </conditionalFormatting>
  <conditionalFormatting sqref="H67">
    <cfRule type="cellIs" dxfId="79" priority="2" operator="equal">
      <formula>"ERROR"</formula>
    </cfRule>
  </conditionalFormatting>
  <conditionalFormatting sqref="H67">
    <cfRule type="cellIs" dxfId="78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9CDA-4B50-40DA-B16D-C0F0105FB679}">
  <sheetPr transitionEvaluation="1">
    <pageSetUpPr fitToPage="1"/>
  </sheetPr>
  <dimension ref="A1:U1483"/>
  <sheetViews>
    <sheetView showGridLines="0" topLeftCell="A16" zoomScale="60" zoomScaleNormal="60" workbookViewId="0">
      <selection activeCell="H58" sqref="H58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54.109375" style="87" bestFit="1" customWidth="1"/>
    <col min="7" max="7" width="29.44140625" style="87" bestFit="1" customWidth="1"/>
    <col min="8" max="8" width="24" style="87" bestFit="1" customWidth="1"/>
    <col min="9" max="9" width="23" style="87" bestFit="1" customWidth="1"/>
    <col min="10" max="10" width="24.109375" style="87" bestFit="1" customWidth="1"/>
    <col min="11" max="11" width="20.5546875" style="87" bestFit="1" customWidth="1"/>
    <col min="12" max="12" width="19.6640625" style="87" bestFit="1" customWidth="1"/>
    <col min="13" max="13" width="21.3320312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3"/>
      <c r="C1" s="212">
        <v>202009</v>
      </c>
      <c r="F1" s="92">
        <f>C1</f>
        <v>202009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5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173</v>
      </c>
      <c r="C3" s="16"/>
      <c r="D3" s="217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6">
        <v>3504905.29</v>
      </c>
      <c r="D4" s="219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6">
        <v>4950.8100000000004</v>
      </c>
      <c r="D5" s="219"/>
      <c r="F5" s="88"/>
      <c r="G5" s="88"/>
      <c r="H5" s="4"/>
      <c r="I5" s="220">
        <v>0.68679999999999997</v>
      </c>
      <c r="J5" s="220">
        <v>0.31319999999999998</v>
      </c>
      <c r="K5" s="247">
        <f>ROUND(G44/(G44+K43),4)</f>
        <v>0.64170000000000005</v>
      </c>
      <c r="L5" s="247">
        <f>1-K5</f>
        <v>0.35829999999999995</v>
      </c>
      <c r="M5" s="88"/>
    </row>
    <row r="6" spans="1:13" ht="15.6" customHeight="1" thickBot="1">
      <c r="A6" s="27" t="s">
        <v>7</v>
      </c>
      <c r="C6" s="237">
        <f>-1432982.84-408723-116778-139549.71-94076.36-11369.55</f>
        <v>-2203479.46</v>
      </c>
      <c r="D6" s="219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5">
        <f>SUM(C4:C6)</f>
        <v>1306376.6400000001</v>
      </c>
      <c r="D7" s="17"/>
      <c r="F7" s="58" t="s">
        <v>175</v>
      </c>
      <c r="G7" s="58"/>
      <c r="H7" s="40">
        <f>C32</f>
        <v>2148104.56</v>
      </c>
      <c r="I7" s="59">
        <f>H7*I5</f>
        <v>1475318.211808</v>
      </c>
      <c r="J7" s="59">
        <f>H7*J5</f>
        <v>672786.34819199995</v>
      </c>
      <c r="K7" s="59"/>
      <c r="L7" s="59"/>
      <c r="M7" s="88"/>
    </row>
    <row r="8" spans="1:13" ht="15.6" customHeight="1">
      <c r="A8" s="87" t="s">
        <v>207</v>
      </c>
      <c r="C8" s="236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208</v>
      </c>
      <c r="C9" s="236">
        <f>-1397.23+5713.57</f>
        <v>4316.34</v>
      </c>
      <c r="D9" s="18"/>
      <c r="F9" s="58" t="s">
        <v>53</v>
      </c>
      <c r="G9" s="88"/>
      <c r="H9" s="248">
        <f>C52</f>
        <v>556028.26000000164</v>
      </c>
      <c r="I9" s="59"/>
      <c r="J9" s="59"/>
      <c r="K9" s="250">
        <f>H9*K5</f>
        <v>356803.33444200107</v>
      </c>
      <c r="L9" s="250">
        <f>H9*L5</f>
        <v>199224.92555800057</v>
      </c>
      <c r="M9" s="88"/>
    </row>
    <row r="10" spans="1:13" ht="15.6" customHeight="1">
      <c r="A10" s="27" t="s">
        <v>209</v>
      </c>
      <c r="C10" s="237">
        <v>-2756.43</v>
      </c>
      <c r="D10" s="18"/>
      <c r="F10" s="61" t="s">
        <v>21</v>
      </c>
      <c r="G10" s="88"/>
      <c r="H10" s="248">
        <f>C54</f>
        <v>-10911.93</v>
      </c>
      <c r="I10" s="59"/>
      <c r="J10" s="59"/>
      <c r="K10" s="250">
        <f>H10</f>
        <v>-10911.93</v>
      </c>
      <c r="L10" s="250"/>
      <c r="M10" s="88"/>
    </row>
    <row r="11" spans="1:13" ht="15.6" customHeight="1">
      <c r="A11" s="30" t="s">
        <v>70</v>
      </c>
      <c r="C11" s="235">
        <f>SUM(C8:C10)</f>
        <v>155976.93</v>
      </c>
      <c r="D11" s="18"/>
      <c r="F11" s="61" t="s">
        <v>22</v>
      </c>
      <c r="G11" s="88"/>
      <c r="H11" s="249">
        <f>C55+C53</f>
        <v>-5996.64</v>
      </c>
      <c r="I11" s="59"/>
      <c r="J11" s="59"/>
      <c r="K11" s="251"/>
      <c r="L11" s="251">
        <f>H11</f>
        <v>-5996.64</v>
      </c>
      <c r="M11" s="88"/>
    </row>
    <row r="12" spans="1:13" ht="15.6" customHeight="1">
      <c r="A12" s="87" t="s">
        <v>120</v>
      </c>
      <c r="C12" s="236">
        <f>208239.98-4463.12</f>
        <v>203776.86000000002</v>
      </c>
      <c r="D12" s="18"/>
      <c r="F12" s="61" t="s">
        <v>68</v>
      </c>
      <c r="G12" s="88"/>
      <c r="H12" s="234">
        <f>H9+H10+H11</f>
        <v>539119.69000000157</v>
      </c>
      <c r="I12" s="59"/>
      <c r="J12" s="59"/>
      <c r="K12" s="59">
        <f>SUM(K9:K11)</f>
        <v>345891.40444200108</v>
      </c>
      <c r="L12" s="59">
        <f>SUM(L9:L11)</f>
        <v>193228.28555800056</v>
      </c>
      <c r="M12" s="88"/>
    </row>
    <row r="13" spans="1:13" ht="15.6" customHeight="1" thickBot="1">
      <c r="A13" s="27" t="s">
        <v>121</v>
      </c>
      <c r="C13" s="236"/>
      <c r="D13" s="18"/>
      <c r="F13" s="88"/>
      <c r="G13" s="30"/>
      <c r="H13" s="203"/>
      <c r="I13" s="62"/>
      <c r="J13" s="203"/>
      <c r="K13" s="60"/>
      <c r="L13" s="203"/>
      <c r="M13" s="88"/>
    </row>
    <row r="14" spans="1:13" ht="15.6" customHeight="1" thickBot="1">
      <c r="A14" s="30" t="s">
        <v>122</v>
      </c>
      <c r="C14" s="235">
        <f>SUM(C12:C13)</f>
        <v>203776.86000000002</v>
      </c>
      <c r="D14" s="19"/>
      <c r="F14" s="88" t="s">
        <v>30</v>
      </c>
      <c r="G14" s="58"/>
      <c r="H14" s="40">
        <f>H12+H7</f>
        <v>2687224.2500000019</v>
      </c>
      <c r="I14" s="221">
        <f>SUM(I7:I13)</f>
        <v>1475318.211808</v>
      </c>
      <c r="J14" s="221">
        <f>SUM(J7:J13)</f>
        <v>672786.34819199995</v>
      </c>
      <c r="K14" s="221">
        <f>K12</f>
        <v>345891.40444200108</v>
      </c>
      <c r="L14" s="221">
        <f>L12</f>
        <v>193228.28555800056</v>
      </c>
      <c r="M14" s="88"/>
    </row>
    <row r="15" spans="1:13" ht="15.6" customHeight="1">
      <c r="A15" s="87" t="s">
        <v>211</v>
      </c>
      <c r="C15" s="236">
        <f>-8482.33+395768.79</f>
        <v>387286.45999999996</v>
      </c>
      <c r="D15" s="18"/>
      <c r="F15" s="88"/>
      <c r="G15" s="30" t="s">
        <v>46</v>
      </c>
      <c r="H15" s="245">
        <f>H14-C58</f>
        <v>0</v>
      </c>
      <c r="I15" s="252"/>
      <c r="J15" s="245">
        <f>J7+I7-H7</f>
        <v>0</v>
      </c>
      <c r="K15" s="253"/>
      <c r="L15" s="245">
        <f>H12-K14-L14</f>
        <v>0</v>
      </c>
      <c r="M15" s="88"/>
    </row>
    <row r="16" spans="1:13" ht="15.6" customHeight="1">
      <c r="A16" s="27" t="s">
        <v>212</v>
      </c>
      <c r="C16" s="236"/>
      <c r="D16" s="18"/>
      <c r="F16" s="204"/>
      <c r="G16" s="30"/>
      <c r="H16" s="205"/>
      <c r="I16" s="63"/>
      <c r="J16" s="205"/>
      <c r="K16" s="88"/>
      <c r="L16" s="205"/>
      <c r="M16" s="88"/>
    </row>
    <row r="17" spans="1:13" ht="15.6" customHeight="1" thickBot="1">
      <c r="A17" s="30" t="s">
        <v>94</v>
      </c>
      <c r="C17" s="235">
        <f>SUM(C15:C16)</f>
        <v>387286.45999999996</v>
      </c>
      <c r="D17" s="19"/>
      <c r="F17" s="88"/>
      <c r="G17" s="30"/>
      <c r="H17" s="205"/>
      <c r="I17" s="63"/>
      <c r="J17" s="206"/>
      <c r="K17" s="88"/>
      <c r="L17" s="205"/>
      <c r="M17" s="88"/>
    </row>
    <row r="18" spans="1:13" ht="15.6" customHeight="1" thickBot="1">
      <c r="A18" s="87" t="s">
        <v>79</v>
      </c>
      <c r="C18" s="236">
        <f>15022-4566.4-2340.32+94301.78</f>
        <v>102417.06</v>
      </c>
      <c r="D18" s="18"/>
      <c r="F18" s="317" t="s">
        <v>64</v>
      </c>
      <c r="G18" s="318"/>
      <c r="H18" s="318"/>
      <c r="I18" s="319"/>
      <c r="J18" s="317" t="s">
        <v>65</v>
      </c>
      <c r="K18" s="318"/>
      <c r="L18" s="318"/>
      <c r="M18" s="319"/>
    </row>
    <row r="19" spans="1:13" ht="15.6" customHeight="1">
      <c r="A19" s="25" t="s">
        <v>80</v>
      </c>
      <c r="C19" s="237"/>
      <c r="D19" s="18"/>
      <c r="F19" s="222" t="s">
        <v>47</v>
      </c>
      <c r="G19" s="216" t="s">
        <v>10</v>
      </c>
      <c r="H19" s="216" t="s">
        <v>10</v>
      </c>
      <c r="I19" s="216" t="s">
        <v>10</v>
      </c>
      <c r="J19" s="222" t="s">
        <v>47</v>
      </c>
      <c r="K19" s="216" t="s">
        <v>10</v>
      </c>
      <c r="L19" s="216" t="s">
        <v>10</v>
      </c>
      <c r="M19" s="303" t="s">
        <v>10</v>
      </c>
    </row>
    <row r="20" spans="1:13" ht="15.6" customHeight="1" thickBot="1">
      <c r="A20" s="31" t="s">
        <v>123</v>
      </c>
      <c r="C20" s="235">
        <f>SUM(C18:C19)</f>
        <v>102417.06</v>
      </c>
      <c r="D20" s="18"/>
      <c r="F20" s="223" t="s">
        <v>78</v>
      </c>
      <c r="G20" s="218" t="s">
        <v>45</v>
      </c>
      <c r="H20" s="218" t="s">
        <v>13</v>
      </c>
      <c r="I20" s="218" t="s">
        <v>11</v>
      </c>
      <c r="J20" s="223" t="s">
        <v>78</v>
      </c>
      <c r="K20" s="218" t="s">
        <v>45</v>
      </c>
      <c r="L20" s="218" t="s">
        <v>13</v>
      </c>
      <c r="M20" s="218" t="s">
        <v>11</v>
      </c>
    </row>
    <row r="21" spans="1:13" ht="15.6" customHeight="1">
      <c r="A21" s="25" t="s">
        <v>210</v>
      </c>
      <c r="C21" s="237">
        <f>-312.24+1850</f>
        <v>1537.76</v>
      </c>
      <c r="D21" s="18"/>
      <c r="F21" s="51"/>
      <c r="G21" s="302"/>
      <c r="H21" s="302"/>
      <c r="I21" s="303"/>
      <c r="J21" s="224"/>
      <c r="K21" s="225"/>
      <c r="L21" s="225"/>
      <c r="M21" s="76"/>
    </row>
    <row r="22" spans="1:13" ht="15.6" customHeight="1">
      <c r="A22" s="29" t="s">
        <v>124</v>
      </c>
      <c r="B22" s="235"/>
      <c r="C22" s="235">
        <f>SUM(C21)</f>
        <v>1537.76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0"/>
      <c r="D23" s="18"/>
      <c r="F23" s="74" t="s">
        <v>14</v>
      </c>
      <c r="G23" s="93">
        <v>2843331</v>
      </c>
      <c r="H23" s="226">
        <v>9.6509999999999999E-2</v>
      </c>
      <c r="I23" s="256">
        <f t="shared" ref="I23:I31" si="0">G23*H23</f>
        <v>274409.87481000001</v>
      </c>
      <c r="J23" s="74" t="s">
        <v>14</v>
      </c>
      <c r="K23" s="93">
        <v>1424908</v>
      </c>
      <c r="L23" s="226">
        <v>9.2950000000000005E-2</v>
      </c>
      <c r="M23" s="256">
        <f>K23*L23</f>
        <v>132445.1986</v>
      </c>
    </row>
    <row r="24" spans="1:13" ht="15.6" customHeight="1">
      <c r="A24" s="77" t="s">
        <v>95</v>
      </c>
      <c r="C24" s="236">
        <v>0</v>
      </c>
      <c r="D24" s="18"/>
      <c r="F24" s="74" t="s">
        <v>105</v>
      </c>
      <c r="G24" s="93">
        <v>3965</v>
      </c>
      <c r="H24" s="226">
        <v>9.6509999999999999E-2</v>
      </c>
      <c r="I24" s="256">
        <f t="shared" si="0"/>
        <v>382.66215</v>
      </c>
      <c r="J24" s="74" t="s">
        <v>15</v>
      </c>
      <c r="K24" s="93">
        <v>1292034</v>
      </c>
      <c r="L24" s="226">
        <f>L23</f>
        <v>9.2950000000000005E-2</v>
      </c>
      <c r="M24" s="256">
        <f>K24*L24</f>
        <v>120094.56030000001</v>
      </c>
    </row>
    <row r="25" spans="1:13" ht="15.6" customHeight="1">
      <c r="A25" s="77" t="s">
        <v>96</v>
      </c>
      <c r="C25" s="236">
        <v>0</v>
      </c>
      <c r="D25" s="18"/>
      <c r="F25" s="74" t="s">
        <v>15</v>
      </c>
      <c r="G25" s="93">
        <v>2009009</v>
      </c>
      <c r="H25" s="226">
        <v>8.727E-2</v>
      </c>
      <c r="I25" s="256">
        <f t="shared" si="0"/>
        <v>175326.21543000001</v>
      </c>
      <c r="J25" s="74" t="s">
        <v>16</v>
      </c>
      <c r="K25" s="93">
        <v>53873</v>
      </c>
      <c r="L25" s="226">
        <f t="shared" ref="L25" si="1">L24</f>
        <v>9.2950000000000005E-2</v>
      </c>
      <c r="M25" s="256">
        <f>K25*L25</f>
        <v>5007.4953500000001</v>
      </c>
    </row>
    <row r="26" spans="1:13" ht="15.6" customHeight="1">
      <c r="A26" s="78" t="s">
        <v>108</v>
      </c>
      <c r="C26" s="236">
        <v>0</v>
      </c>
      <c r="D26" s="18"/>
      <c r="F26" s="74" t="s">
        <v>16</v>
      </c>
      <c r="G26" s="93">
        <v>59482</v>
      </c>
      <c r="H26" s="226">
        <v>8.727E-2</v>
      </c>
      <c r="I26" s="256">
        <f t="shared" si="0"/>
        <v>5190.9941399999998</v>
      </c>
      <c r="J26" s="74" t="s">
        <v>17</v>
      </c>
      <c r="K26" s="93">
        <v>0</v>
      </c>
      <c r="L26" s="226" t="s">
        <v>178</v>
      </c>
      <c r="M26" s="256">
        <f>K26*L26</f>
        <v>0</v>
      </c>
    </row>
    <row r="27" spans="1:13" ht="15.6" customHeight="1">
      <c r="A27" s="29" t="s">
        <v>44</v>
      </c>
      <c r="C27" s="235">
        <f>SUM(C23:C26)</f>
        <v>0</v>
      </c>
      <c r="D27" s="18"/>
      <c r="F27" s="74" t="s">
        <v>17</v>
      </c>
      <c r="G27" s="93">
        <v>0</v>
      </c>
      <c r="H27" s="226">
        <v>8.727E-2</v>
      </c>
      <c r="I27" s="256">
        <f t="shared" si="0"/>
        <v>0</v>
      </c>
      <c r="J27" s="74" t="s">
        <v>18</v>
      </c>
      <c r="K27" s="93">
        <v>0</v>
      </c>
      <c r="L27" s="226" t="s">
        <v>178</v>
      </c>
      <c r="M27" s="256">
        <f>K27*L27</f>
        <v>0</v>
      </c>
    </row>
    <row r="28" spans="1:13" ht="15.6" customHeight="1" thickBot="1">
      <c r="A28" s="79" t="s">
        <v>73</v>
      </c>
      <c r="C28" s="236">
        <v>0</v>
      </c>
      <c r="D28" s="19"/>
      <c r="F28" s="74" t="s">
        <v>18</v>
      </c>
      <c r="G28" s="93">
        <v>0</v>
      </c>
      <c r="H28" s="226">
        <v>8.727E-2</v>
      </c>
      <c r="I28" s="256">
        <f t="shared" si="0"/>
        <v>0</v>
      </c>
      <c r="J28" s="73" t="s">
        <v>58</v>
      </c>
      <c r="K28" s="254">
        <f>SUM(K23:K27)</f>
        <v>2770815</v>
      </c>
      <c r="L28" s="255"/>
      <c r="M28" s="71">
        <f>SUM(M23:M27)</f>
        <v>257547.25425000003</v>
      </c>
    </row>
    <row r="29" spans="1:13" ht="15.6" customHeight="1" thickTop="1" thickBot="1">
      <c r="A29" s="79" t="s">
        <v>81</v>
      </c>
      <c r="B29" s="88"/>
      <c r="C29" s="236">
        <v>0</v>
      </c>
      <c r="D29" s="18"/>
      <c r="F29" s="74" t="s">
        <v>19</v>
      </c>
      <c r="G29" s="93">
        <v>0</v>
      </c>
      <c r="H29" s="226">
        <v>5.5910000000000001E-2</v>
      </c>
      <c r="I29" s="256">
        <f t="shared" si="0"/>
        <v>0</v>
      </c>
      <c r="J29" s="74"/>
      <c r="K29" s="258">
        <v>2770815</v>
      </c>
      <c r="L29" s="65"/>
      <c r="M29" s="257">
        <f>M28/K28</f>
        <v>9.2950000000000005E-2</v>
      </c>
    </row>
    <row r="30" spans="1:13" ht="15.6" customHeight="1" thickBot="1">
      <c r="A30" s="1" t="s">
        <v>174</v>
      </c>
      <c r="B30" s="8" t="s">
        <v>192</v>
      </c>
      <c r="C30" s="40">
        <f>C7+C11+C14+C17+C20+C22+C27+C28+C29</f>
        <v>2157371.71</v>
      </c>
      <c r="D30" s="19"/>
      <c r="F30" s="74" t="s">
        <v>20</v>
      </c>
      <c r="G30" s="93">
        <v>46925</v>
      </c>
      <c r="H30" s="226">
        <v>5.5910000000000001E-2</v>
      </c>
      <c r="I30" s="256">
        <f t="shared" si="0"/>
        <v>2623.5767500000002</v>
      </c>
      <c r="J30" s="74"/>
      <c r="K30" s="245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0">
        <f>-C5-C9-C13-C16-C19</f>
        <v>-9267.1500000000015</v>
      </c>
      <c r="D31" s="20"/>
      <c r="F31" s="74" t="s">
        <v>35</v>
      </c>
      <c r="G31" s="93">
        <v>1785283</v>
      </c>
      <c r="H31" s="226">
        <v>5.4000000000000001E-4</v>
      </c>
      <c r="I31" s="256">
        <f t="shared" si="0"/>
        <v>964.05282</v>
      </c>
      <c r="J31" s="51"/>
      <c r="K31" s="4"/>
      <c r="L31" s="207"/>
      <c r="M31" s="72"/>
    </row>
    <row r="32" spans="1:13" ht="15.6" customHeight="1" thickBot="1">
      <c r="A32" s="1" t="s">
        <v>50</v>
      </c>
      <c r="C32" s="40">
        <f>SUM(C30:C31)</f>
        <v>2148104.56</v>
      </c>
      <c r="D32" s="21"/>
      <c r="F32" s="73" t="s">
        <v>58</v>
      </c>
      <c r="G32" s="254">
        <f>SUM(G23:G31)</f>
        <v>6747995</v>
      </c>
      <c r="H32" s="6"/>
      <c r="I32" s="71">
        <f>SUM(I23:I31)</f>
        <v>458897.37610000005</v>
      </c>
      <c r="J32" s="69"/>
      <c r="K32" s="70"/>
      <c r="L32" s="4"/>
      <c r="M32" s="72"/>
    </row>
    <row r="33" spans="1:17" ht="15.6" customHeight="1">
      <c r="C33" s="243"/>
      <c r="D33" s="18"/>
      <c r="F33" s="64"/>
      <c r="G33" s="258">
        <v>6747995</v>
      </c>
      <c r="H33" s="65"/>
      <c r="I33" s="257">
        <f>I32/G32</f>
        <v>6.8004996461912021E-2</v>
      </c>
      <c r="J33" s="69"/>
      <c r="K33" s="70"/>
      <c r="L33" s="4"/>
      <c r="M33" s="36"/>
    </row>
    <row r="34" spans="1:17" ht="15.6" customHeight="1">
      <c r="A34" s="9" t="s">
        <v>42</v>
      </c>
      <c r="C34" s="244"/>
      <c r="D34" s="18"/>
      <c r="F34" s="51"/>
      <c r="G34" s="245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6">
        <v>6186708.9699999997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6"/>
      <c r="D36" s="18"/>
      <c r="F36" s="74" t="s">
        <v>14</v>
      </c>
      <c r="G36" s="93">
        <v>2843331</v>
      </c>
      <c r="H36" s="226">
        <v>0.15284</v>
      </c>
      <c r="I36" s="256">
        <f t="shared" ref="I36:I43" si="2">G36*H36</f>
        <v>434574.71004000003</v>
      </c>
      <c r="J36" s="74" t="s">
        <v>14</v>
      </c>
      <c r="K36" s="93">
        <v>1424908</v>
      </c>
      <c r="L36" s="226">
        <v>0.15198999999999999</v>
      </c>
      <c r="M36" s="256">
        <f t="shared" ref="M36:M42" si="3">K36*L36</f>
        <v>216571.76691999999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6">
        <v>-12978.75</v>
      </c>
      <c r="D37" s="18"/>
      <c r="F37" s="74" t="s">
        <v>105</v>
      </c>
      <c r="G37" s="93">
        <v>3965</v>
      </c>
      <c r="H37" s="226">
        <f>H36</f>
        <v>0.15284</v>
      </c>
      <c r="I37" s="256">
        <f t="shared" si="2"/>
        <v>606.01060000000007</v>
      </c>
      <c r="J37" s="74" t="s">
        <v>15</v>
      </c>
      <c r="K37" s="93">
        <v>1292034</v>
      </c>
      <c r="L37" s="226">
        <f>L36</f>
        <v>0.15198999999999999</v>
      </c>
      <c r="M37" s="256">
        <f t="shared" si="3"/>
        <v>196376.24765999999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6">
        <v>-682621.88</v>
      </c>
      <c r="D38" s="18"/>
      <c r="F38" s="74" t="s">
        <v>15</v>
      </c>
      <c r="G38" s="93">
        <v>2009009</v>
      </c>
      <c r="H38" s="226">
        <f t="shared" ref="H38:H43" si="4">H37</f>
        <v>0.15284</v>
      </c>
      <c r="I38" s="256">
        <f t="shared" si="2"/>
        <v>307056.93556000001</v>
      </c>
      <c r="J38" s="74" t="s">
        <v>16</v>
      </c>
      <c r="K38" s="93">
        <v>53873</v>
      </c>
      <c r="L38" s="226">
        <f t="shared" ref="L38:L42" si="5">L37</f>
        <v>0.15198999999999999</v>
      </c>
      <c r="M38" s="256">
        <f t="shared" si="3"/>
        <v>8188.1572699999997</v>
      </c>
      <c r="P38" s="81"/>
      <c r="Q38" s="81"/>
    </row>
    <row r="39" spans="1:17" ht="15.6" customHeight="1">
      <c r="A39" s="4" t="s">
        <v>75</v>
      </c>
      <c r="B39" s="8" t="s">
        <v>76</v>
      </c>
      <c r="C39" s="236">
        <v>119202.87</v>
      </c>
      <c r="D39" s="18"/>
      <c r="F39" s="74" t="s">
        <v>16</v>
      </c>
      <c r="G39" s="93">
        <v>59482</v>
      </c>
      <c r="H39" s="226">
        <f t="shared" si="4"/>
        <v>0.15284</v>
      </c>
      <c r="I39" s="256">
        <f t="shared" si="2"/>
        <v>9091.2288800000006</v>
      </c>
      <c r="J39" s="74" t="s">
        <v>17</v>
      </c>
      <c r="K39" s="93">
        <f>K26</f>
        <v>0</v>
      </c>
      <c r="L39" s="226">
        <f t="shared" si="5"/>
        <v>0.15198999999999999</v>
      </c>
      <c r="M39" s="256">
        <f t="shared" si="3"/>
        <v>0</v>
      </c>
      <c r="P39" s="81"/>
      <c r="Q39" s="81"/>
    </row>
    <row r="40" spans="1:17" ht="15.6" customHeight="1" thickBot="1">
      <c r="A40" s="4" t="s">
        <v>197</v>
      </c>
      <c r="B40" s="29" t="s">
        <v>88</v>
      </c>
      <c r="C40" s="236">
        <v>239989.87</v>
      </c>
      <c r="D40" s="18"/>
      <c r="F40" s="74" t="s">
        <v>17</v>
      </c>
      <c r="G40" s="93">
        <v>0</v>
      </c>
      <c r="H40" s="226">
        <f t="shared" si="4"/>
        <v>0.15284</v>
      </c>
      <c r="I40" s="256">
        <f t="shared" si="2"/>
        <v>0</v>
      </c>
      <c r="J40" s="74" t="s">
        <v>18</v>
      </c>
      <c r="K40" s="93">
        <f>K27</f>
        <v>0</v>
      </c>
      <c r="L40" s="226">
        <f t="shared" si="5"/>
        <v>0.15198999999999999</v>
      </c>
      <c r="M40" s="256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5850301.0800000001</v>
      </c>
      <c r="D41" s="18"/>
      <c r="F41" s="74" t="s">
        <v>18</v>
      </c>
      <c r="G41" s="93">
        <v>0</v>
      </c>
      <c r="H41" s="226">
        <f t="shared" si="4"/>
        <v>0.15284</v>
      </c>
      <c r="I41" s="256">
        <f t="shared" si="2"/>
        <v>0</v>
      </c>
      <c r="J41" s="74" t="s">
        <v>19</v>
      </c>
      <c r="K41" s="93">
        <v>0</v>
      </c>
      <c r="L41" s="226">
        <f t="shared" si="5"/>
        <v>0.15198999999999999</v>
      </c>
      <c r="M41" s="256">
        <f t="shared" si="3"/>
        <v>0</v>
      </c>
      <c r="P41" s="81"/>
      <c r="Q41" s="81"/>
    </row>
    <row r="42" spans="1:17" ht="15.6" customHeight="1">
      <c r="A42" s="33" t="s">
        <v>86</v>
      </c>
      <c r="B42" s="246" t="s">
        <v>54</v>
      </c>
      <c r="C42" s="236">
        <f>74542.76-63586.01</f>
        <v>10956.749999999993</v>
      </c>
      <c r="D42" s="19"/>
      <c r="F42" s="74" t="s">
        <v>19</v>
      </c>
      <c r="G42" s="93">
        <f t="shared" ref="G42" si="6">G29</f>
        <v>0</v>
      </c>
      <c r="H42" s="226">
        <f t="shared" si="4"/>
        <v>0.15284</v>
      </c>
      <c r="I42" s="256">
        <f t="shared" si="2"/>
        <v>0</v>
      </c>
      <c r="J42" s="74" t="s">
        <v>20</v>
      </c>
      <c r="K42" s="93">
        <v>0</v>
      </c>
      <c r="L42" s="226">
        <f t="shared" si="5"/>
        <v>0.15198999999999999</v>
      </c>
      <c r="M42" s="256">
        <f t="shared" si="3"/>
        <v>0</v>
      </c>
      <c r="P42" s="81"/>
      <c r="Q42" s="81"/>
    </row>
    <row r="43" spans="1:17" ht="15.6" customHeight="1" thickBot="1">
      <c r="A43" s="87" t="s">
        <v>198</v>
      </c>
      <c r="B43" s="8" t="s">
        <v>51</v>
      </c>
      <c r="C43" s="236">
        <v>-24690.02</v>
      </c>
      <c r="D43" s="18"/>
      <c r="F43" s="74" t="s">
        <v>20</v>
      </c>
      <c r="G43" s="93">
        <v>46925</v>
      </c>
      <c r="H43" s="226">
        <f t="shared" si="4"/>
        <v>0.15284</v>
      </c>
      <c r="I43" s="266">
        <f t="shared" si="2"/>
        <v>7172.0169999999998</v>
      </c>
      <c r="J43" s="73" t="s">
        <v>63</v>
      </c>
      <c r="K43" s="254">
        <f>SUM(K36:K42)</f>
        <v>2770815</v>
      </c>
      <c r="L43" s="255"/>
      <c r="M43" s="71">
        <f>SUM(M36:M42)</f>
        <v>421136.17184999998</v>
      </c>
    </row>
    <row r="44" spans="1:17" ht="15.6" customHeight="1" thickTop="1" thickBot="1">
      <c r="A44" s="290" t="s">
        <v>104</v>
      </c>
      <c r="B44" s="8" t="s">
        <v>51</v>
      </c>
      <c r="C44" s="236">
        <v>7000</v>
      </c>
      <c r="D44" s="19"/>
      <c r="F44" s="73" t="s">
        <v>63</v>
      </c>
      <c r="G44" s="254">
        <f>SUM(G36:G43)</f>
        <v>4962712</v>
      </c>
      <c r="H44" s="255"/>
      <c r="I44" s="270">
        <f>SUM(I36:I43)</f>
        <v>758500.90208000003</v>
      </c>
      <c r="J44" s="73"/>
      <c r="K44" s="258">
        <v>2770815</v>
      </c>
      <c r="L44" s="65"/>
      <c r="M44" s="267">
        <f>M43/K43</f>
        <v>0.15198999999999999</v>
      </c>
    </row>
    <row r="45" spans="1:17" ht="15.6" customHeight="1" thickTop="1">
      <c r="A45" s="4" t="s">
        <v>195</v>
      </c>
      <c r="B45" s="29" t="s">
        <v>74</v>
      </c>
      <c r="C45" s="236">
        <v>19315.169999999998</v>
      </c>
      <c r="D45" s="20"/>
      <c r="F45" s="64"/>
      <c r="G45" s="258">
        <v>4962712</v>
      </c>
      <c r="H45" s="65"/>
      <c r="I45" s="271">
        <f>I44/G44</f>
        <v>0.15284</v>
      </c>
      <c r="J45" s="73"/>
      <c r="K45" s="245">
        <f>K43-K44</f>
        <v>0</v>
      </c>
      <c r="L45" s="65" t="s">
        <v>46</v>
      </c>
      <c r="M45" s="72"/>
    </row>
    <row r="46" spans="1:17" ht="15.6" customHeight="1" thickBot="1">
      <c r="A46" s="4" t="s">
        <v>199</v>
      </c>
      <c r="B46" s="29" t="s">
        <v>74</v>
      </c>
      <c r="C46" s="236">
        <v>2428</v>
      </c>
      <c r="D46" s="21"/>
      <c r="F46" s="66"/>
      <c r="G46" s="268">
        <f>G44-G45</f>
        <v>0</v>
      </c>
      <c r="H46" s="67" t="s">
        <v>46</v>
      </c>
      <c r="I46" s="269"/>
      <c r="J46" s="272"/>
      <c r="K46" s="273"/>
      <c r="L46" s="274"/>
      <c r="M46" s="275"/>
    </row>
    <row r="47" spans="1:17" ht="15.6" customHeight="1" thickBot="1">
      <c r="A47" s="4" t="s">
        <v>200</v>
      </c>
      <c r="B47" s="29" t="s">
        <v>74</v>
      </c>
      <c r="C47" s="236">
        <v>2478.19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0">
        <f>-C31</f>
        <v>9267.1500000000015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196</v>
      </c>
      <c r="B49" s="29" t="s">
        <v>109</v>
      </c>
      <c r="C49" s="236">
        <f>9157.32-1928.79</f>
        <v>7228.53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6">
        <f>198247.5-1450203.03-3701301.06</f>
        <v>-4953256.59</v>
      </c>
      <c r="D50" s="19"/>
      <c r="F50" s="88"/>
      <c r="G50" s="88"/>
      <c r="H50" s="49"/>
      <c r="I50" s="50"/>
      <c r="J50" s="50"/>
      <c r="K50" s="50"/>
      <c r="L50" s="214"/>
      <c r="M50" s="88"/>
    </row>
    <row r="51" spans="1:20" ht="15.6" customHeight="1">
      <c r="A51" s="87" t="s">
        <v>107</v>
      </c>
      <c r="B51" s="8" t="s">
        <v>97</v>
      </c>
      <c r="C51" s="236">
        <v>-375000</v>
      </c>
      <c r="D51" s="18"/>
      <c r="F51" s="88" t="s">
        <v>66</v>
      </c>
      <c r="G51" s="88"/>
      <c r="H51" s="227">
        <f>K12</f>
        <v>345891.40444200108</v>
      </c>
      <c r="I51" s="228">
        <f>I14</f>
        <v>1475318.211808</v>
      </c>
      <c r="J51" s="228">
        <f>L12</f>
        <v>193228.28555800056</v>
      </c>
      <c r="K51" s="228">
        <f>J14</f>
        <v>672786.34819199995</v>
      </c>
      <c r="L51" s="229">
        <f>SUM(H51:K51)</f>
        <v>2687224.2500000014</v>
      </c>
      <c r="M51" s="88"/>
    </row>
    <row r="52" spans="1:20" ht="15.6" customHeight="1" thickBot="1">
      <c r="A52" s="32" t="s">
        <v>53</v>
      </c>
      <c r="B52" s="246"/>
      <c r="C52" s="53">
        <f>SUM(C41:C51)</f>
        <v>556028.26000000164</v>
      </c>
      <c r="D52" s="217"/>
      <c r="F52" s="87" t="s">
        <v>48</v>
      </c>
      <c r="H52" s="227">
        <f>-I44</f>
        <v>-758500.90208000003</v>
      </c>
      <c r="I52" s="228">
        <f>-I32</f>
        <v>-458897.37610000005</v>
      </c>
      <c r="J52" s="228">
        <f>-M43</f>
        <v>-421136.17184999998</v>
      </c>
      <c r="K52" s="228">
        <f>-M28</f>
        <v>-257547.25425000003</v>
      </c>
      <c r="L52" s="230">
        <f>SUM(H52:K52)</f>
        <v>-1896081.7042800002</v>
      </c>
    </row>
    <row r="53" spans="1:20" ht="15.6" customHeight="1" thickTop="1" thickBot="1">
      <c r="A53" s="88" t="s">
        <v>201</v>
      </c>
      <c r="B53" s="30" t="s">
        <v>202</v>
      </c>
      <c r="C53" s="236"/>
      <c r="D53" s="18"/>
      <c r="F53" s="87" t="s">
        <v>37</v>
      </c>
      <c r="H53" s="231">
        <v>0</v>
      </c>
      <c r="I53" s="232">
        <v>0</v>
      </c>
      <c r="J53" s="232">
        <v>0</v>
      </c>
      <c r="K53" s="233">
        <v>0</v>
      </c>
      <c r="L53" s="80"/>
    </row>
    <row r="54" spans="1:20" ht="15.6" customHeight="1" thickBot="1">
      <c r="A54" s="87" t="s">
        <v>193</v>
      </c>
      <c r="B54" s="8" t="s">
        <v>115</v>
      </c>
      <c r="C54" s="236">
        <v>-10911.93</v>
      </c>
      <c r="D54" s="18"/>
      <c r="F54" s="1" t="s">
        <v>32</v>
      </c>
      <c r="H54" s="262">
        <f>H51+H52+H53</f>
        <v>-412609.49763799895</v>
      </c>
      <c r="I54" s="262">
        <f>I51+I52+I53</f>
        <v>1016420.835708</v>
      </c>
      <c r="J54" s="262">
        <f>J51+J52+J53</f>
        <v>-227907.88629199943</v>
      </c>
      <c r="K54" s="262">
        <f>K51+K52+K53</f>
        <v>415239.09394199995</v>
      </c>
      <c r="L54" s="26">
        <f>SUM(H54:K54)</f>
        <v>791142.54572000145</v>
      </c>
    </row>
    <row r="55" spans="1:20" ht="15.6" customHeight="1">
      <c r="A55" s="87" t="s">
        <v>194</v>
      </c>
      <c r="B55" s="8" t="s">
        <v>116</v>
      </c>
      <c r="C55" s="236">
        <v>-5996.64</v>
      </c>
      <c r="D55" s="18"/>
      <c r="F55" s="87" t="s">
        <v>90</v>
      </c>
      <c r="H55" s="87" t="s">
        <v>82</v>
      </c>
      <c r="I55" s="2">
        <f>SUM(H54:I54)</f>
        <v>603811.33807000099</v>
      </c>
      <c r="J55" s="8" t="s">
        <v>83</v>
      </c>
      <c r="K55" s="87">
        <f>SUM(J54:K54)</f>
        <v>187331.20765000052</v>
      </c>
      <c r="L55"/>
    </row>
    <row r="56" spans="1:20" ht="15.6" customHeight="1" thickBot="1">
      <c r="A56" s="1" t="s">
        <v>177</v>
      </c>
      <c r="C56" s="53">
        <f>SUM(C52:C55)</f>
        <v>539119.69000000157</v>
      </c>
      <c r="D56" s="18"/>
      <c r="F56" s="208" t="s">
        <v>91</v>
      </c>
      <c r="H56" s="35"/>
      <c r="T56" s="22"/>
    </row>
    <row r="57" spans="1:20" ht="15.6" customHeight="1" thickTop="1" thickBot="1">
      <c r="C57" s="243"/>
      <c r="D57" s="18"/>
      <c r="F57" s="208"/>
      <c r="H57" s="52"/>
      <c r="I57" s="209"/>
      <c r="J57" s="209"/>
      <c r="K57" s="75"/>
      <c r="L57" s="209"/>
    </row>
    <row r="58" spans="1:20" ht="15.6" customHeight="1" thickBot="1">
      <c r="A58" s="8"/>
      <c r="B58" s="8" t="s">
        <v>43</v>
      </c>
      <c r="C58" s="40">
        <f>C56+C32</f>
        <v>2687224.2500000019</v>
      </c>
      <c r="D58" s="18"/>
      <c r="F58" s="210"/>
      <c r="H58" s="89" t="s">
        <v>101</v>
      </c>
      <c r="I58" s="90"/>
    </row>
    <row r="59" spans="1:20" ht="15.6" customHeight="1" thickBot="1">
      <c r="A59" s="30"/>
      <c r="B59" s="30"/>
      <c r="C59" s="238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176</v>
      </c>
      <c r="C60" s="236">
        <v>2687224.25</v>
      </c>
      <c r="D60" s="18"/>
      <c r="H60" s="84" t="e">
        <f>'191010 WA DEF'!E38+'191010 WA DEF'!E39+'191010 WA DEF'!E40+'191010 WA DEF'!E45+'191010 WA DEF'!E46+'191000 WA Amort'!H38+'191000 WA Amort'!H39+'191000 WA Amort'!H40+'191000 WA Amort'!H45+'191000 WA Amort'!H46+#REF!+#REF!+#REF!+#REF!+#REF!+#REF!+#REF!+#REF!+#REF!+#REF!</f>
        <v>#REF!</v>
      </c>
      <c r="I60" s="91" t="e">
        <f>'191010 WA DEF'!F37+'191010 WA DEF'!F39+'191010 WA DEF'!F40+'191010 WA DEF'!F45+'191010 WA DEF'!F46+'191000 WA Amort'!I37+'191000 WA Amort'!I39+'191000 WA Amort'!I40+'191000 WA Amort'!I45+'191000 WA Amort'!I46+#REF!+#REF!+#REF!+#REF!+#REF!+#REF!+#REF!+#REF!+#REF!+#REF!</f>
        <v>#REF!</v>
      </c>
    </row>
    <row r="61" spans="1:20" ht="15.6" customHeight="1">
      <c r="A61" s="8"/>
      <c r="B61" s="8" t="s">
        <v>77</v>
      </c>
      <c r="C61" s="245">
        <f>ROUND(C58-C60,2)</f>
        <v>0</v>
      </c>
      <c r="D61" s="19"/>
      <c r="G61" s="2"/>
      <c r="I61" s="261" t="e">
        <f>H60-I60</f>
        <v>#REF!</v>
      </c>
      <c r="N61" s="2"/>
    </row>
    <row r="62" spans="1:20" ht="15.6" customHeight="1">
      <c r="C62" s="85"/>
      <c r="G62" s="308" t="s">
        <v>213</v>
      </c>
      <c r="H62" s="309">
        <f>5557.2+9.69+105.58+5272.67</f>
        <v>10945.14</v>
      </c>
      <c r="I62" s="309">
        <f>-(-244.39-40.15-5272.66-5387.94)</f>
        <v>10945.14</v>
      </c>
      <c r="J62" s="2"/>
      <c r="O62" s="2"/>
      <c r="P62" s="211"/>
    </row>
    <row r="63" spans="1:20" ht="15.6" customHeight="1">
      <c r="C63" s="5"/>
      <c r="D63" s="18"/>
      <c r="G63" s="310" t="s">
        <v>214</v>
      </c>
      <c r="H63" s="311" t="e">
        <f>H60+H62</f>
        <v>#REF!</v>
      </c>
      <c r="I63" s="311" t="e">
        <f>I60+I62</f>
        <v>#REF!</v>
      </c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0"/>
      <c r="H65" s="291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0"/>
      <c r="G67" s="210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77" priority="38" stopIfTrue="1" operator="equal">
      <formula>0</formula>
    </cfRule>
    <cfRule type="cellIs" dxfId="76" priority="39" stopIfTrue="1" operator="notEqual">
      <formula>0</formula>
    </cfRule>
  </conditionalFormatting>
  <conditionalFormatting sqref="K46">
    <cfRule type="cellIs" dxfId="75" priority="37" operator="notEqual">
      <formula>0</formula>
    </cfRule>
  </conditionalFormatting>
  <conditionalFormatting sqref="C61">
    <cfRule type="cellIs" dxfId="74" priority="35" stopIfTrue="1" operator="equal">
      <formula>0</formula>
    </cfRule>
    <cfRule type="cellIs" dxfId="73" priority="36" stopIfTrue="1" operator="notEqual">
      <formula>0</formula>
    </cfRule>
  </conditionalFormatting>
  <conditionalFormatting sqref="H15">
    <cfRule type="cellIs" dxfId="72" priority="33" stopIfTrue="1" operator="equal">
      <formula>0</formula>
    </cfRule>
    <cfRule type="cellIs" dxfId="71" priority="34" stopIfTrue="1" operator="notEqual">
      <formula>0</formula>
    </cfRule>
  </conditionalFormatting>
  <conditionalFormatting sqref="H15">
    <cfRule type="cellIs" dxfId="70" priority="31" stopIfTrue="1" operator="equal">
      <formula>0</formula>
    </cfRule>
    <cfRule type="cellIs" dxfId="69" priority="32" stopIfTrue="1" operator="notEqual">
      <formula>0</formula>
    </cfRule>
  </conditionalFormatting>
  <conditionalFormatting sqref="J15">
    <cfRule type="cellIs" dxfId="68" priority="29" stopIfTrue="1" operator="equal">
      <formula>0</formula>
    </cfRule>
    <cfRule type="cellIs" dxfId="67" priority="30" stopIfTrue="1" operator="notEqual">
      <formula>0</formula>
    </cfRule>
  </conditionalFormatting>
  <conditionalFormatting sqref="J15">
    <cfRule type="cellIs" dxfId="66" priority="27" stopIfTrue="1" operator="equal">
      <formula>0</formula>
    </cfRule>
    <cfRule type="cellIs" dxfId="65" priority="28" stopIfTrue="1" operator="notEqual">
      <formula>0</formula>
    </cfRule>
  </conditionalFormatting>
  <conditionalFormatting sqref="L15">
    <cfRule type="cellIs" dxfId="64" priority="25" stopIfTrue="1" operator="equal">
      <formula>0</formula>
    </cfRule>
    <cfRule type="cellIs" dxfId="63" priority="26" stopIfTrue="1" operator="notEqual">
      <formula>0</formula>
    </cfRule>
  </conditionalFormatting>
  <conditionalFormatting sqref="L15">
    <cfRule type="cellIs" dxfId="62" priority="23" stopIfTrue="1" operator="equal">
      <formula>0</formula>
    </cfRule>
    <cfRule type="cellIs" dxfId="61" priority="24" stopIfTrue="1" operator="notEqual">
      <formula>0</formula>
    </cfRule>
  </conditionalFormatting>
  <conditionalFormatting sqref="G34">
    <cfRule type="cellIs" dxfId="60" priority="21" stopIfTrue="1" operator="equal">
      <formula>0</formula>
    </cfRule>
    <cfRule type="cellIs" dxfId="59" priority="22" stopIfTrue="1" operator="notEqual">
      <formula>0</formula>
    </cfRule>
  </conditionalFormatting>
  <conditionalFormatting sqref="G34">
    <cfRule type="cellIs" dxfId="58" priority="19" stopIfTrue="1" operator="equal">
      <formula>0</formula>
    </cfRule>
    <cfRule type="cellIs" dxfId="57" priority="20" stopIfTrue="1" operator="notEqual">
      <formula>0</formula>
    </cfRule>
  </conditionalFormatting>
  <conditionalFormatting sqref="G46">
    <cfRule type="cellIs" dxfId="56" priority="17" stopIfTrue="1" operator="equal">
      <formula>0</formula>
    </cfRule>
    <cfRule type="cellIs" dxfId="55" priority="18" stopIfTrue="1" operator="notEqual">
      <formula>0</formula>
    </cfRule>
  </conditionalFormatting>
  <conditionalFormatting sqref="G46">
    <cfRule type="cellIs" dxfId="54" priority="15" stopIfTrue="1" operator="equal">
      <formula>0</formula>
    </cfRule>
    <cfRule type="cellIs" dxfId="53" priority="16" stopIfTrue="1" operator="notEqual">
      <formula>0</formula>
    </cfRule>
  </conditionalFormatting>
  <conditionalFormatting sqref="K30">
    <cfRule type="cellIs" dxfId="52" priority="13" stopIfTrue="1" operator="equal">
      <formula>0</formula>
    </cfRule>
    <cfRule type="cellIs" dxfId="51" priority="14" stopIfTrue="1" operator="notEqual">
      <formula>0</formula>
    </cfRule>
  </conditionalFormatting>
  <conditionalFormatting sqref="K30">
    <cfRule type="cellIs" dxfId="50" priority="11" stopIfTrue="1" operator="equal">
      <formula>0</formula>
    </cfRule>
    <cfRule type="cellIs" dxfId="49" priority="12" stopIfTrue="1" operator="notEqual">
      <formula>0</formula>
    </cfRule>
  </conditionalFormatting>
  <conditionalFormatting sqref="K45">
    <cfRule type="cellIs" dxfId="48" priority="9" stopIfTrue="1" operator="equal">
      <formula>0</formula>
    </cfRule>
    <cfRule type="cellIs" dxfId="47" priority="10" stopIfTrue="1" operator="notEqual">
      <formula>0</formula>
    </cfRule>
  </conditionalFormatting>
  <conditionalFormatting sqref="K45">
    <cfRule type="cellIs" dxfId="46" priority="7" stopIfTrue="1" operator="equal">
      <formula>0</formula>
    </cfRule>
    <cfRule type="cellIs" dxfId="45" priority="8" stopIfTrue="1" operator="notEqual">
      <formula>0</formula>
    </cfRule>
  </conditionalFormatting>
  <conditionalFormatting sqref="G58">
    <cfRule type="cellIs" dxfId="44" priority="6" operator="equal">
      <formula>"ERROR"</formula>
    </cfRule>
  </conditionalFormatting>
  <conditionalFormatting sqref="G58">
    <cfRule type="cellIs" dxfId="43" priority="5" operator="equal">
      <formula>"ERROR"</formula>
    </cfRule>
  </conditionalFormatting>
  <conditionalFormatting sqref="G65">
    <cfRule type="cellIs" dxfId="42" priority="4" operator="equal">
      <formula>"ERROR"</formula>
    </cfRule>
  </conditionalFormatting>
  <conditionalFormatting sqref="G65">
    <cfRule type="cellIs" dxfId="41" priority="3" operator="equal">
      <formula>"ERROR"</formula>
    </cfRule>
  </conditionalFormatting>
  <conditionalFormatting sqref="H67">
    <cfRule type="cellIs" dxfId="40" priority="2" operator="equal">
      <formula>"ERROR"</formula>
    </cfRule>
  </conditionalFormatting>
  <conditionalFormatting sqref="H67">
    <cfRule type="cellIs" dxfId="39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1CA1E62DAF3B44937B817BD22EF062" ma:contentTypeVersion="56" ma:contentTypeDescription="" ma:contentTypeScope="" ma:versionID="8cb08b966df5bc4f4ed32991d6001b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2020-11-20T08:00:00+00:00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D2DC5C2-454D-43B2-AB58-C4579D3C99E9}"/>
</file>

<file path=customXml/itemProps2.xml><?xml version="1.0" encoding="utf-8"?>
<ds:datastoreItem xmlns:ds="http://schemas.openxmlformats.org/officeDocument/2006/customXml" ds:itemID="{6267FC2C-F591-41AA-862B-AA36E18B6530}"/>
</file>

<file path=customXml/itemProps3.xml><?xml version="1.0" encoding="utf-8"?>
<ds:datastoreItem xmlns:ds="http://schemas.openxmlformats.org/officeDocument/2006/customXml" ds:itemID="{5C7F8AE5-81DB-4BC8-A41D-8B1EB97B0AB6}"/>
</file>

<file path=customXml/itemProps4.xml><?xml version="1.0" encoding="utf-8"?>
<ds:datastoreItem xmlns:ds="http://schemas.openxmlformats.org/officeDocument/2006/customXml" ds:itemID="{D499EA11-BA44-42AB-96B1-58791E7CF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191010 WA DEF</vt:lpstr>
      <vt:lpstr>191000 WA Amort</vt:lpstr>
      <vt:lpstr>'191000 WA Amort'!Print_Area</vt:lpstr>
      <vt:lpstr>'191010 WA DEF'!Print_Area</vt:lpstr>
      <vt:lpstr>Apr!Print_Area</vt:lpstr>
      <vt:lpstr>Aug!Print_Area</vt:lpstr>
      <vt:lpstr>Feb!Print_Area</vt:lpstr>
      <vt:lpstr>Jan!Print_Area</vt:lpstr>
      <vt:lpstr>July!Print_Area</vt:lpstr>
      <vt:lpstr>June!Print_Area</vt:lpstr>
      <vt:lpstr>Mar!Print_Area</vt:lpstr>
      <vt:lpstr>May!Print_Area</vt:lpstr>
      <vt:lpstr>Oct!Print_Area</vt:lpstr>
      <vt:lpstr>Sept!Print_Area</vt:lpstr>
      <vt:lpstr>Apr!Print_Titles</vt:lpstr>
      <vt:lpstr>Aug!Print_Titles</vt:lpstr>
      <vt:lpstr>Feb!Print_Titles</vt:lpstr>
      <vt:lpstr>Jan!Print_Titles</vt:lpstr>
      <vt:lpstr>July!Print_Titles</vt:lpstr>
      <vt:lpstr>June!Print_Titles</vt:lpstr>
      <vt:lpstr>Mar!Print_Titles</vt:lpstr>
      <vt:lpstr>May!Print_Titles</vt:lpstr>
      <vt:lpstr>Oct!Print_Titles</vt:lpstr>
      <vt:lpstr>Sept!Print_Titles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Schultz, Kaylene</cp:lastModifiedBy>
  <cp:lastPrinted>2020-07-06T18:14:58Z</cp:lastPrinted>
  <dcterms:created xsi:type="dcterms:W3CDTF">2003-05-01T14:02:57Z</dcterms:created>
  <dcterms:modified xsi:type="dcterms:W3CDTF">2020-11-17T15:39:37Z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0x0101006E56B4D1795A2E4DB2F0B01679ED314A00E31CA1E62DAF3B44937B817BD22EF062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