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drawings/drawing2.xml" ContentType="application/vnd.openxmlformats-officedocument.drawingml.chartshapes+xml"/>
  <Override PartName="/xl/drawings/drawing3.xml" ContentType="application/vnd.openxmlformats-officedocument.drawingml.chartshapes+xml"/>
  <Override PartName="/xl/workbook.xml" ContentType="application/vnd.openxmlformats-officedocument.spreadsheetml.sheet.main+xml"/>
  <Override PartName="/xl/worksheets/sheet6.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charts/chart6.xml" ContentType="application/vnd.openxmlformats-officedocument.drawingml.chart+xml"/>
  <Override PartName="/xl/charts/chart5.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3.xml" ContentType="application/vnd.openxmlformats-officedocument.drawingml.chart+xml"/>
  <Override PartName="/xl/worksheets/sheet1.xml" ContentType="application/vnd.openxmlformats-officedocument.spreadsheetml.worksheet+xml"/>
  <Override PartName="/xl/sharedStrings.xml" ContentType="application/vnd.openxmlformats-officedocument.spreadsheetml.sharedStrings+xml"/>
  <Override PartName="/xl/worksheets/sheet23.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charts/chart2.xml" ContentType="application/vnd.openxmlformats-officedocument.drawingml.chart+xml"/>
  <Override PartName="/xl/styles.xml" ContentType="application/vnd.openxmlformats-officedocument.spreadsheetml.styles+xml"/>
  <Override PartName="/xl/theme/theme1.xml" ContentType="application/vnd.openxmlformats-officedocument.theme+xml"/>
  <Override PartName="/xl/charts/chart1.xml" ContentType="application/vnd.openxmlformats-officedocument.drawingml.chart+xml"/>
  <Override PartName="/xl/worksheets/sheet5.xml" ContentType="application/vnd.openxmlformats-officedocument.spreadsheetml.worksheet+xml"/>
  <Override PartName="/xl/drawings/drawing1.xml" ContentType="application/vnd.openxmlformats-officedocument.drawing+xml"/>
  <Override PartName="/xl/worksheets/sheet18.xml" ContentType="application/vnd.openxmlformats-officedocument.spreadsheetml.worksheet+xml"/>
  <Override PartName="/xl/worksheets/sheet16.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17.xml" ContentType="application/vnd.openxmlformats-officedocument.spreadsheetml.worksheet+xml"/>
  <Override PartName="/xl/worksheets/sheet4.xml" ContentType="application/vnd.openxmlformats-officedocument.spreadsheetml.worksheet+xml"/>
  <Override PartName="/xl/worksheets/sheet11.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docProps/custom.xml" ContentType="application/vnd.openxmlformats-officedocument.custom-properties+xml"/>
  <Override PartName="/xl/comments4.xml" ContentType="application/vnd.openxmlformats-officedocument.spreadsheetml.comments+xml"/>
  <Override PartName="/docProps/app.xml" ContentType="application/vnd.openxmlformats-officedocument.extended-properties+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omments12.xml" ContentType="application/vnd.openxmlformats-officedocument.spreadsheetml.comments+xml"/>
  <Override PartName="/xl/calcChain.xml" ContentType="application/vnd.openxmlformats-officedocument.spreadsheetml.calcChain+xml"/>
  <Override PartName="/xl/comments8.xml" ContentType="application/vnd.openxmlformats-officedocument.spreadsheetml.comments+xml"/>
  <Override PartName="/xl/comments2.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7.xml" ContentType="application/vnd.openxmlformats-officedocument.spreadsheetml.comments+xml"/>
  <Override PartName="/xl/comments5.xml" ContentType="application/vnd.openxmlformats-officedocument.spreadsheetml.comments+xml"/>
  <Override PartName="/xl/comments3.xml" ContentType="application/vnd.openxmlformats-officedocument.spreadsheetml.comments+xml"/>
  <Override PartName="/xl/comments6.xml" ContentType="application/vnd.openxmlformats-officedocument.spreadsheetml.comments+xml"/>
  <Override PartName="/xl/comments11.xml" ContentType="application/vnd.openxmlformats-officedocument.spreadsheetml.comments+xml"/>
  <Override PartName="/xl/comments1.xml" ContentType="application/vnd.openxmlformats-officedocument.spreadsheetml.comment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mc:AlternateContent xmlns:mc="http://schemas.openxmlformats.org/markup-compatibility/2006">
    <mc:Choice Requires="x15">
      <x15ac:absPath xmlns:x15ac="http://schemas.microsoft.com/office/spreadsheetml/2010/11/ac" url="M:\PGA Analysis\WA PGA\WA Monthly Report\2019\08.2019\"/>
    </mc:Choice>
  </mc:AlternateContent>
  <bookViews>
    <workbookView xWindow="-180" yWindow="-30" windowWidth="9720" windowHeight="7005" tabRatio="772" firstSheet="6" activeTab="15"/>
  </bookViews>
  <sheets>
    <sheet name="PGA Graphs 2012-13" sheetId="13" state="hidden" r:id="rId1"/>
    <sheet name="JE" sheetId="18" state="hidden" r:id="rId2"/>
    <sheet name="191010 WA Summary" sheetId="39" state="hidden" r:id="rId3"/>
    <sheet name="191010 ID Summary" sheetId="42" state="hidden" r:id="rId4"/>
    <sheet name="191000 WA Summary" sheetId="41" state="hidden" r:id="rId5"/>
    <sheet name="191000 ID Summary" sheetId="43" state="hidden" r:id="rId6"/>
    <sheet name="Jan" sheetId="5" r:id="rId7"/>
    <sheet name="Feb" sheetId="19" r:id="rId8"/>
    <sheet name="Mar" sheetId="21" r:id="rId9"/>
    <sheet name="Apr" sheetId="20" r:id="rId10"/>
    <sheet name="May" sheetId="23" r:id="rId11"/>
    <sheet name="May Revised" sheetId="44" r:id="rId12"/>
    <sheet name="Jun" sheetId="22" r:id="rId13"/>
    <sheet name="Jul" sheetId="24" r:id="rId14"/>
    <sheet name="Aug" sheetId="25" r:id="rId15"/>
    <sheet name="WA - Def-Amtz (current)" sheetId="16" r:id="rId16"/>
    <sheet name="201905 WA_ID reclass Entry" sheetId="45" r:id="rId17"/>
    <sheet name="PGA Graphs 2013-14" sheetId="30" state="hidden" r:id="rId18"/>
    <sheet name="ID Amort 191015" sheetId="14" state="hidden" r:id="rId19"/>
    <sheet name="ID Amort 191000" sheetId="7" state="hidden" r:id="rId20"/>
    <sheet name="WA Def 191010" sheetId="3" state="hidden" r:id="rId21"/>
    <sheet name="ID Def 191010" sheetId="6" state="hidden" r:id="rId22"/>
    <sheet name="ID Holdback 191015" sheetId="12" state="hidden" r:id="rId23"/>
    <sheet name="Amortization of JP Deferral" sheetId="9" state="hidden" r:id="rId24"/>
    <sheet name="WA Amort 191000" sheetId="10" state="hidden" r:id="rId25"/>
  </sheets>
  <externalReferences>
    <externalReference r:id="rId26"/>
    <externalReference r:id="rId27"/>
    <externalReference r:id="rId28"/>
  </externalReferences>
  <definedNames>
    <definedName name="Actual_Cost_Per_MMBtu" localSheetId="5">'[1]Oregon Gas Costs - 1999'!#REF!</definedName>
    <definedName name="Actual_Cost_Per_MMBtu" localSheetId="4">'[1]Oregon Gas Costs - 1999'!#REF!</definedName>
    <definedName name="Actual_Cost_Per_MMBtu" localSheetId="3">'[1]Oregon Gas Costs - 1999'!#REF!</definedName>
    <definedName name="Actual_Cost_Per_MMBtu" localSheetId="11">'[1]Oregon Gas Costs - 1999'!#REF!</definedName>
    <definedName name="Actual_Cost_Per_MMBtu">'[1]Oregon Gas Costs - 1999'!#REF!</definedName>
    <definedName name="Actual_Gas_Costs" localSheetId="5">#REF!</definedName>
    <definedName name="Actual_Gas_Costs" localSheetId="4">#REF!</definedName>
    <definedName name="Actual_Gas_Costs" localSheetId="3">#REF!</definedName>
    <definedName name="Actual_Gas_Costs" localSheetId="11">#REF!</definedName>
    <definedName name="Actual_Gas_Costs">#REF!</definedName>
    <definedName name="Actual_Volumes" localSheetId="5">#REF!</definedName>
    <definedName name="Actual_Volumes" localSheetId="4">#REF!</definedName>
    <definedName name="Actual_Volumes" localSheetId="3">#REF!</definedName>
    <definedName name="Actual_Volumes" localSheetId="11">#REF!</definedName>
    <definedName name="Actual_Volumes">#REF!</definedName>
    <definedName name="Analysis_of_Year_to_Date_Gas_Costs___WWP_System" localSheetId="5">#REF!</definedName>
    <definedName name="Analysis_of_Year_to_Date_Gas_Costs___WWP_System" localSheetId="4">#REF!</definedName>
    <definedName name="Analysis_of_Year_to_Date_Gas_Costs___WWP_System" localSheetId="3">#REF!</definedName>
    <definedName name="Analysis_of_Year_to_Date_Gas_Costs___WWP_System" localSheetId="11">#REF!</definedName>
    <definedName name="Analysis_of_Year_to_Date_Gas_Costs___WWP_System">#REF!</definedName>
    <definedName name="Balancing_Account_Summary" localSheetId="5">#REF!</definedName>
    <definedName name="Balancing_Account_Summary" localSheetId="4">#REF!</definedName>
    <definedName name="Balancing_Account_Summary" localSheetId="3">#REF!</definedName>
    <definedName name="Balancing_Account_Summary" localSheetId="11">#REF!</definedName>
    <definedName name="Balancing_Account_Summary">#REF!</definedName>
    <definedName name="Budgeted_Costs_Volumes" localSheetId="5">#REF!</definedName>
    <definedName name="Budgeted_Costs_Volumes" localSheetId="4">#REF!</definedName>
    <definedName name="Budgeted_Costs_Volumes" localSheetId="3">#REF!</definedName>
    <definedName name="Budgeted_Costs_Volumes" localSheetId="11">#REF!</definedName>
    <definedName name="Budgeted_Costs_Volumes">#REF!</definedName>
    <definedName name="Commodity_Costs" localSheetId="5">#REF!</definedName>
    <definedName name="Commodity_Costs" localSheetId="4">#REF!</definedName>
    <definedName name="Commodity_Costs" localSheetId="3">#REF!</definedName>
    <definedName name="Commodity_Costs" localSheetId="11">#REF!</definedName>
    <definedName name="Commodity_Costs">#REF!</definedName>
    <definedName name="_xlnm.Database" localSheetId="5">'[2]May 2000'!#REF!</definedName>
    <definedName name="_xlnm.Database" localSheetId="4">'[2]May 2000'!#REF!</definedName>
    <definedName name="_xlnm.Database" localSheetId="3">'[2]May 2000'!#REF!</definedName>
    <definedName name="_xlnm.Database" localSheetId="11">'[2]May 2000'!#REF!</definedName>
    <definedName name="_xlnm.Database">'[2]May 2000'!#REF!</definedName>
    <definedName name="EIA857_Report_Info" localSheetId="5">#REF!</definedName>
    <definedName name="EIA857_Report_Info" localSheetId="4">#REF!</definedName>
    <definedName name="EIA857_Report_Info" localSheetId="3">#REF!</definedName>
    <definedName name="EIA857_Report_Info" localSheetId="11">#REF!</definedName>
    <definedName name="EIA857_Report_Info">#REF!</definedName>
    <definedName name="InputMonth">[3]Start!$B$2</definedName>
    <definedName name="JanJunPretaxRate">[3]Start!$C$7</definedName>
    <definedName name="jj" localSheetId="5">'[1]Oregon Gas Costs - 1999'!#REF!</definedName>
    <definedName name="jj" localSheetId="4">'[1]Oregon Gas Costs - 1999'!#REF!</definedName>
    <definedName name="jj" localSheetId="3">'[1]Oregon Gas Costs - 1999'!#REF!</definedName>
    <definedName name="jj" localSheetId="11">'[1]Oregon Gas Costs - 1999'!#REF!</definedName>
    <definedName name="jj">'[1]Oregon Gas Costs - 1999'!#REF!</definedName>
    <definedName name="Journal_Entry_Dollars" localSheetId="5">#REF!</definedName>
    <definedName name="Journal_Entry_Dollars" localSheetId="4">#REF!</definedName>
    <definedName name="Journal_Entry_Dollars" localSheetId="3">#REF!</definedName>
    <definedName name="Journal_Entry_Dollars" localSheetId="11">#REF!</definedName>
    <definedName name="Journal_Entry_Dollars">#REF!</definedName>
    <definedName name="Journal_Entry_Volumes" localSheetId="5">#REF!</definedName>
    <definedName name="Journal_Entry_Volumes" localSheetId="4">#REF!</definedName>
    <definedName name="Journal_Entry_Volumes" localSheetId="3">#REF!</definedName>
    <definedName name="Journal_Entry_Volumes" localSheetId="11">#REF!</definedName>
    <definedName name="Journal_Entry_Volumes">#REF!</definedName>
    <definedName name="JournalEntryPrintArea" localSheetId="5">#REF!</definedName>
    <definedName name="JournalEntryPrintArea" localSheetId="4">#REF!</definedName>
    <definedName name="JournalEntryPrintArea" localSheetId="3">#REF!</definedName>
    <definedName name="JournalEntryPrintArea" localSheetId="11">#REF!</definedName>
    <definedName name="JournalEntryPrintArea">#REF!</definedName>
    <definedName name="JulDecPretaxRate">[3]Start!$C$8</definedName>
    <definedName name="Notes" localSheetId="5">#REF!</definedName>
    <definedName name="Notes" localSheetId="4">#REF!</definedName>
    <definedName name="Notes" localSheetId="3">#REF!</definedName>
    <definedName name="Notes" localSheetId="11">#REF!</definedName>
    <definedName name="Notes">#REF!</definedName>
    <definedName name="_xlnm.Print_Area" localSheetId="5">'191000 ID Summary'!$A$1:$N$22</definedName>
    <definedName name="_xlnm.Print_Area" localSheetId="4">'191000 WA Summary'!$A$1:$N$22</definedName>
    <definedName name="_xlnm.Print_Area" localSheetId="3">'191010 ID Summary'!$A$1:$M$22</definedName>
    <definedName name="_xlnm.Print_Area" localSheetId="2">'191010 WA Summary'!$A$1:$M$25</definedName>
    <definedName name="_xlnm.Print_Area" localSheetId="16">'201905 WA_ID reclass Entry'!$A$1:$O$29</definedName>
    <definedName name="_xlnm.Print_Area" localSheetId="23">'Amortization of JP Deferral'!$A$1:$J$197</definedName>
    <definedName name="_xlnm.Print_Area" localSheetId="9">Apr!$A$1:$M$68</definedName>
    <definedName name="_xlnm.Print_Area" localSheetId="14">Aug!$A$1:$M$68</definedName>
    <definedName name="_xlnm.Print_Area" localSheetId="7">Feb!$A$1:$M$68</definedName>
    <definedName name="_xlnm.Print_Area" localSheetId="19">'ID Amort 191000'!$A$1:$J$300</definedName>
    <definedName name="_xlnm.Print_Area" localSheetId="18">'ID Amort 191015'!$A$1:$J$63</definedName>
    <definedName name="_xlnm.Print_Area" localSheetId="21">'ID Def 191010'!$A$1:$T$180</definedName>
    <definedName name="_xlnm.Print_Area" localSheetId="22">'ID Holdback 191015'!$A$1:$T$104</definedName>
    <definedName name="_xlnm.Print_Area" localSheetId="6">Jan!$A$1:$M$68</definedName>
    <definedName name="_xlnm.Print_Area" localSheetId="1">JE!$A$1:$M$32</definedName>
    <definedName name="_xlnm.Print_Area" localSheetId="13">Jul!$A$1:$M$68</definedName>
    <definedName name="_xlnm.Print_Area" localSheetId="12">Jun!$A$1:$M$68</definedName>
    <definedName name="_xlnm.Print_Area" localSheetId="8">Mar!$A$1:$M$68</definedName>
    <definedName name="_xlnm.Print_Area" localSheetId="10">May!$A$1:$M$68</definedName>
    <definedName name="_xlnm.Print_Area" localSheetId="11">'May Revised'!$A$1:$M$70</definedName>
    <definedName name="_xlnm.Print_Area" localSheetId="0">'PGA Graphs 2012-13'!$P$2:$X$53</definedName>
    <definedName name="_xlnm.Print_Area" localSheetId="17">'PGA Graphs 2013-14'!$A$1:$N$66</definedName>
    <definedName name="_xlnm.Print_Area" localSheetId="15">'WA - Def-Amtz (current)'!$A$1:$BC$78</definedName>
    <definedName name="_xlnm.Print_Area" localSheetId="24">'WA Amort 191000'!$A$1:$J$310</definedName>
    <definedName name="_xlnm.Print_Area" localSheetId="20">'WA Def 191010'!$A$1:$R$143</definedName>
    <definedName name="_xlnm.Print_Titles" localSheetId="9">Apr!$1:$2</definedName>
    <definedName name="_xlnm.Print_Titles" localSheetId="14">Aug!$1:$2</definedName>
    <definedName name="_xlnm.Print_Titles" localSheetId="7">Feb!$1:$2</definedName>
    <definedName name="_xlnm.Print_Titles" localSheetId="21">'ID Def 191010'!$1:$7</definedName>
    <definedName name="_xlnm.Print_Titles" localSheetId="22">'ID Holdback 191015'!$1:$7</definedName>
    <definedName name="_xlnm.Print_Titles" localSheetId="6">Jan!$1:$2</definedName>
    <definedName name="_xlnm.Print_Titles" localSheetId="13">Jul!$1:$2</definedName>
    <definedName name="_xlnm.Print_Titles" localSheetId="12">Jun!$1:$2</definedName>
    <definedName name="_xlnm.Print_Titles" localSheetId="8">Mar!$1:$2</definedName>
    <definedName name="_xlnm.Print_Titles" localSheetId="10">May!$1:$2</definedName>
    <definedName name="_xlnm.Print_Titles" localSheetId="11">'May Revised'!$1:$2</definedName>
    <definedName name="_xlnm.Print_Titles" localSheetId="20">'WA Def 191010'!$1:$5</definedName>
    <definedName name="SPREADSHEET_DOCUMENTATION" localSheetId="5">#REF!</definedName>
    <definedName name="SPREADSHEET_DOCUMENTATION" localSheetId="4">#REF!</definedName>
    <definedName name="SPREADSHEET_DOCUMENTATION" localSheetId="3">#REF!</definedName>
    <definedName name="SPREADSHEET_DOCUMENTATION" localSheetId="11">#REF!</definedName>
    <definedName name="SPREADSHEET_DOCUMENTATION">#REF!</definedName>
    <definedName name="Summary_of_Off_system_Sales" localSheetId="5">'[1]Oregon Gas Costs - 1999'!#REF!</definedName>
    <definedName name="Summary_of_Off_system_Sales" localSheetId="4">'[1]Oregon Gas Costs - 1999'!#REF!</definedName>
    <definedName name="Summary_of_Off_system_Sales" localSheetId="3">'[1]Oregon Gas Costs - 1999'!#REF!</definedName>
    <definedName name="Summary_of_Off_system_Sales" localSheetId="11">'[1]Oregon Gas Costs - 1999'!#REF!</definedName>
    <definedName name="Summary_of_Off_system_Sales">'[1]Oregon Gas Costs - 1999'!#REF!</definedName>
    <definedName name="Transportation_Costs" localSheetId="5">#REF!</definedName>
    <definedName name="Transportation_Costs" localSheetId="4">#REF!</definedName>
    <definedName name="Transportation_Costs" localSheetId="3">#REF!</definedName>
    <definedName name="Transportation_Costs" localSheetId="11">#REF!</definedName>
    <definedName name="Transportation_Costs">#REF!</definedName>
  </definedNames>
  <calcPr calcId="152511"/>
</workbook>
</file>

<file path=xl/calcChain.xml><?xml version="1.0" encoding="utf-8"?>
<calcChain xmlns="http://schemas.openxmlformats.org/spreadsheetml/2006/main">
  <c r="I61" i="25" l="1"/>
  <c r="H61" i="25"/>
  <c r="C15" i="25" l="1"/>
  <c r="C12" i="25"/>
  <c r="C18" i="25"/>
  <c r="C6" i="25"/>
  <c r="AW24" i="16" l="1"/>
  <c r="AW23" i="16"/>
  <c r="AW22" i="16"/>
  <c r="AW21" i="16"/>
  <c r="AW20" i="16"/>
  <c r="AW19" i="16"/>
  <c r="AW39" i="16" s="1"/>
  <c r="AW72" i="16"/>
  <c r="AW61" i="16"/>
  <c r="AW57" i="16"/>
  <c r="AW56" i="16"/>
  <c r="AW55" i="16"/>
  <c r="AW54" i="16"/>
  <c r="AW53" i="16"/>
  <c r="AW52" i="16"/>
  <c r="AW51" i="16"/>
  <c r="AW50" i="16"/>
  <c r="AW49" i="16"/>
  <c r="AW58" i="16" s="1"/>
  <c r="AW48" i="16"/>
  <c r="AW37" i="16"/>
  <c r="AW36" i="16"/>
  <c r="AW28" i="16"/>
  <c r="AW25" i="16"/>
  <c r="AW18" i="16"/>
  <c r="AW44" i="16"/>
  <c r="AW77" i="16"/>
  <c r="AW14" i="16"/>
  <c r="C22" i="24" l="1"/>
  <c r="C33" i="24" l="1"/>
  <c r="C52" i="24" s="1"/>
  <c r="C6" i="24"/>
  <c r="C15" i="24"/>
  <c r="C12" i="24"/>
  <c r="C18" i="24"/>
  <c r="AV24" i="16" l="1"/>
  <c r="AV23" i="16"/>
  <c r="AV22" i="16"/>
  <c r="AV21" i="16"/>
  <c r="AV20" i="16"/>
  <c r="AV19" i="16"/>
  <c r="AV72" i="16"/>
  <c r="AV61" i="16"/>
  <c r="AV57" i="16"/>
  <c r="AV56" i="16"/>
  <c r="AV55" i="16"/>
  <c r="AV54" i="16"/>
  <c r="AV53" i="16"/>
  <c r="AV52" i="16"/>
  <c r="AV51" i="16"/>
  <c r="AV50" i="16"/>
  <c r="AV49" i="16"/>
  <c r="AV48" i="16"/>
  <c r="AV37" i="16"/>
  <c r="AV36" i="16"/>
  <c r="AV28" i="16"/>
  <c r="AV18" i="16"/>
  <c r="AV77" i="16"/>
  <c r="AV44" i="16"/>
  <c r="AV14" i="16"/>
  <c r="AV25" i="16" l="1"/>
  <c r="AV58" i="16"/>
  <c r="AV39" i="16"/>
  <c r="C44" i="22"/>
  <c r="C9" i="22"/>
  <c r="C15" i="22"/>
  <c r="C12" i="22"/>
  <c r="C18" i="22"/>
  <c r="C6" i="22"/>
  <c r="C7" i="22" s="1"/>
  <c r="AU14" i="16"/>
  <c r="AU24" i="16" l="1"/>
  <c r="AU23" i="16"/>
  <c r="AU22" i="16"/>
  <c r="AU21" i="16"/>
  <c r="AU20" i="16"/>
  <c r="AU19" i="16"/>
  <c r="AU72" i="16"/>
  <c r="AU61" i="16"/>
  <c r="AU57" i="16"/>
  <c r="AU56" i="16"/>
  <c r="AU55" i="16"/>
  <c r="AU54" i="16"/>
  <c r="AU53" i="16"/>
  <c r="AU52" i="16"/>
  <c r="AU51" i="16"/>
  <c r="AU50" i="16"/>
  <c r="AU49" i="16"/>
  <c r="AU48" i="16"/>
  <c r="AU37" i="16"/>
  <c r="AU36" i="16"/>
  <c r="AU28" i="16"/>
  <c r="AU18" i="16"/>
  <c r="AU44" i="16"/>
  <c r="AU77" i="16"/>
  <c r="AU39" i="16" l="1"/>
  <c r="AU58" i="16"/>
  <c r="AU25" i="16"/>
  <c r="L18" i="45"/>
  <c r="K18" i="45"/>
  <c r="E18" i="45"/>
  <c r="D18" i="45"/>
  <c r="F17" i="45"/>
  <c r="F16" i="45"/>
  <c r="F14" i="45"/>
  <c r="F13" i="45"/>
  <c r="M11" i="45"/>
  <c r="F11" i="45"/>
  <c r="M10" i="45"/>
  <c r="F10" i="45"/>
  <c r="M9" i="45"/>
  <c r="F9" i="45"/>
  <c r="M7" i="45"/>
  <c r="F7" i="45"/>
  <c r="O7" i="45" s="1"/>
  <c r="M6" i="45"/>
  <c r="F6" i="45"/>
  <c r="M5" i="45"/>
  <c r="F5" i="45"/>
  <c r="H10" i="44"/>
  <c r="H11" i="44"/>
  <c r="O5" i="45" l="1"/>
  <c r="F18" i="45"/>
  <c r="M18" i="45"/>
  <c r="O6" i="45"/>
  <c r="O18" i="45" s="1"/>
  <c r="AT37" i="16"/>
  <c r="AT24" i="16"/>
  <c r="AT23" i="16"/>
  <c r="AT22" i="16"/>
  <c r="AT21" i="16"/>
  <c r="AT20" i="16"/>
  <c r="AT19" i="16"/>
  <c r="AT72" i="16"/>
  <c r="AT61" i="16"/>
  <c r="AT57" i="16"/>
  <c r="AT56" i="16"/>
  <c r="AT48" i="16"/>
  <c r="AT36" i="16"/>
  <c r="AT28" i="16"/>
  <c r="AT18" i="16"/>
  <c r="C1487" i="44"/>
  <c r="G44" i="44"/>
  <c r="I44" i="44" s="1"/>
  <c r="C44" i="44"/>
  <c r="G43" i="44"/>
  <c r="I43" i="44" s="1"/>
  <c r="M42" i="44"/>
  <c r="G42" i="44"/>
  <c r="I42" i="44" s="1"/>
  <c r="M41" i="44"/>
  <c r="G41" i="44"/>
  <c r="I41" i="44" s="1"/>
  <c r="K40" i="44"/>
  <c r="M40" i="44" s="1"/>
  <c r="G40" i="44"/>
  <c r="I40" i="44" s="1"/>
  <c r="K39" i="44"/>
  <c r="M39" i="44" s="1"/>
  <c r="G39" i="44"/>
  <c r="I39" i="44" s="1"/>
  <c r="K38" i="44"/>
  <c r="M38" i="44" s="1"/>
  <c r="G38" i="44"/>
  <c r="I38" i="44" s="1"/>
  <c r="C43" i="44"/>
  <c r="K37" i="44"/>
  <c r="M37" i="44" s="1"/>
  <c r="G37" i="44"/>
  <c r="I37" i="44" s="1"/>
  <c r="K36" i="44"/>
  <c r="M36" i="44" s="1"/>
  <c r="G32" i="44"/>
  <c r="G34" i="44" s="1"/>
  <c r="I31" i="44"/>
  <c r="I30" i="44"/>
  <c r="I29" i="44"/>
  <c r="K28" i="44"/>
  <c r="K30" i="44" s="1"/>
  <c r="I28" i="44"/>
  <c r="I27" i="44"/>
  <c r="I26" i="44"/>
  <c r="M25" i="44"/>
  <c r="I25" i="44"/>
  <c r="M24" i="44"/>
  <c r="I24" i="44"/>
  <c r="M23" i="44"/>
  <c r="I23" i="44"/>
  <c r="I32" i="44" s="1"/>
  <c r="C23" i="44"/>
  <c r="C27" i="44" s="1"/>
  <c r="C22" i="44"/>
  <c r="C18" i="44"/>
  <c r="C20" i="44" s="1"/>
  <c r="C17" i="44"/>
  <c r="C12" i="44"/>
  <c r="C14" i="44" s="1"/>
  <c r="L11" i="44"/>
  <c r="K10" i="44"/>
  <c r="C9" i="44"/>
  <c r="C33" i="44" s="1"/>
  <c r="C52" i="44" s="1"/>
  <c r="C6" i="44"/>
  <c r="C4" i="44"/>
  <c r="AT14" i="16"/>
  <c r="AT77" i="16"/>
  <c r="AT25" i="16" l="1"/>
  <c r="AT39" i="16"/>
  <c r="C7" i="44"/>
  <c r="C11" i="44"/>
  <c r="M28" i="44"/>
  <c r="M43" i="44"/>
  <c r="I53" i="44"/>
  <c r="I33" i="44"/>
  <c r="I45" i="44"/>
  <c r="J53" i="44"/>
  <c r="K53" i="44"/>
  <c r="M29" i="44"/>
  <c r="C56" i="44"/>
  <c r="G45" i="44"/>
  <c r="K43" i="44"/>
  <c r="K47" i="44" s="1"/>
  <c r="C44" i="23"/>
  <c r="H9" i="44" l="1"/>
  <c r="C61" i="44"/>
  <c r="M44" i="44"/>
  <c r="C30" i="44"/>
  <c r="C32" i="44" s="1"/>
  <c r="C34" i="44" s="1"/>
  <c r="H7" i="44" s="1"/>
  <c r="G47" i="44"/>
  <c r="K5" i="44"/>
  <c r="L5" i="44" s="1"/>
  <c r="H53" i="44"/>
  <c r="L53" i="44" s="1"/>
  <c r="I46" i="44"/>
  <c r="C63" i="44"/>
  <c r="C65" i="44" s="1"/>
  <c r="C38" i="23"/>
  <c r="C9" i="23"/>
  <c r="C6" i="23"/>
  <c r="C4" i="23"/>
  <c r="C23" i="23"/>
  <c r="C12" i="23"/>
  <c r="C18" i="23"/>
  <c r="AS14" i="16"/>
  <c r="J7" i="44" l="1"/>
  <c r="I7" i="44"/>
  <c r="K9" i="44"/>
  <c r="I14" i="44"/>
  <c r="I52" i="44" s="1"/>
  <c r="I55" i="44" s="1"/>
  <c r="AT7" i="16" s="1"/>
  <c r="L9" i="44"/>
  <c r="L12" i="44" s="1"/>
  <c r="K12" i="44"/>
  <c r="H12" i="44"/>
  <c r="BC40" i="16"/>
  <c r="AS37" i="16"/>
  <c r="AS24" i="16"/>
  <c r="AS23" i="16"/>
  <c r="AS22" i="16"/>
  <c r="AS21" i="16"/>
  <c r="AS20" i="16"/>
  <c r="AS19" i="16"/>
  <c r="AS39" i="16" s="1"/>
  <c r="AR24" i="16"/>
  <c r="AR23" i="16"/>
  <c r="AR22" i="16"/>
  <c r="AR21" i="16"/>
  <c r="AR20" i="16"/>
  <c r="AR19" i="16"/>
  <c r="AS72" i="16"/>
  <c r="AS61" i="16"/>
  <c r="AS57" i="16"/>
  <c r="AS56" i="16"/>
  <c r="AS55" i="16"/>
  <c r="AS54" i="16"/>
  <c r="AS53" i="16"/>
  <c r="AS52" i="16"/>
  <c r="AS51" i="16"/>
  <c r="AS50" i="16"/>
  <c r="AS49" i="16"/>
  <c r="AS48" i="16"/>
  <c r="AS36" i="16"/>
  <c r="AS28" i="16"/>
  <c r="AS18" i="16"/>
  <c r="AT44" i="16"/>
  <c r="AS44" i="16"/>
  <c r="AS77" i="16"/>
  <c r="J15" i="44" l="1"/>
  <c r="J14" i="44"/>
  <c r="K52" i="44" s="1"/>
  <c r="K55" i="44" s="1"/>
  <c r="AS58" i="16"/>
  <c r="H14" i="44"/>
  <c r="H15" i="44" s="1"/>
  <c r="H52" i="44"/>
  <c r="K14" i="44"/>
  <c r="L14" i="44"/>
  <c r="J52" i="44"/>
  <c r="J55" i="44" s="1"/>
  <c r="AS25" i="16"/>
  <c r="L15" i="44" l="1"/>
  <c r="K56" i="44"/>
  <c r="L52" i="44"/>
  <c r="L54" i="44" s="1"/>
  <c r="H55" i="44"/>
  <c r="AT6" i="16" s="1"/>
  <c r="I56" i="44" l="1"/>
  <c r="G61" i="44" s="1"/>
  <c r="L55" i="44"/>
  <c r="L56" i="44" s="1"/>
  <c r="AR25" i="16"/>
  <c r="AR72" i="16"/>
  <c r="AR61" i="16"/>
  <c r="AR57" i="16"/>
  <c r="AR55" i="16"/>
  <c r="AR53" i="16"/>
  <c r="AR52" i="16"/>
  <c r="AR51" i="16"/>
  <c r="AR50" i="16"/>
  <c r="AR49" i="16"/>
  <c r="AR48" i="16"/>
  <c r="AR37" i="16"/>
  <c r="AR36" i="16"/>
  <c r="AR28" i="16"/>
  <c r="AR18" i="16"/>
  <c r="C5" i="20"/>
  <c r="C9" i="20"/>
  <c r="C15" i="20"/>
  <c r="C12" i="20"/>
  <c r="C18" i="20"/>
  <c r="C6" i="20"/>
  <c r="G37" i="20"/>
  <c r="G38" i="20"/>
  <c r="G33" i="20"/>
  <c r="AR77" i="16"/>
  <c r="AR44" i="16"/>
  <c r="AR14" i="16"/>
  <c r="AR39" i="16" l="1"/>
  <c r="C54" i="21"/>
  <c r="C19" i="21"/>
  <c r="C5" i="21"/>
  <c r="C9" i="21"/>
  <c r="C15" i="21"/>
  <c r="C12" i="21"/>
  <c r="C18" i="21"/>
  <c r="C6" i="21"/>
  <c r="C21" i="21"/>
  <c r="AQ14" i="16"/>
  <c r="C44" i="21" l="1"/>
  <c r="K36" i="21" l="1"/>
  <c r="K37" i="21"/>
  <c r="K38" i="21"/>
  <c r="AQ37" i="16" l="1"/>
  <c r="AQ24" i="16"/>
  <c r="AQ23" i="16"/>
  <c r="AQ22" i="16"/>
  <c r="AQ21" i="16"/>
  <c r="AQ20" i="16"/>
  <c r="AQ19" i="16"/>
  <c r="AQ39" i="16" s="1"/>
  <c r="AP24" i="16"/>
  <c r="AP23" i="16"/>
  <c r="AP22" i="16"/>
  <c r="AP21" i="16"/>
  <c r="AP20" i="16"/>
  <c r="AP19" i="16"/>
  <c r="AP72" i="16"/>
  <c r="AP61" i="16"/>
  <c r="AP48" i="16"/>
  <c r="AP37" i="16"/>
  <c r="AP36" i="16"/>
  <c r="AP28" i="16"/>
  <c r="AP18" i="16"/>
  <c r="AP14" i="16"/>
  <c r="AP77" i="16"/>
  <c r="AP44" i="16"/>
  <c r="AP25" i="16" l="1"/>
  <c r="AP39" i="16"/>
  <c r="C54" i="19"/>
  <c r="C5" i="19"/>
  <c r="C9" i="19"/>
  <c r="C15" i="19"/>
  <c r="C12" i="19"/>
  <c r="C18" i="19"/>
  <c r="C6" i="19"/>
  <c r="C4" i="19"/>
  <c r="C10" i="19"/>
  <c r="C8" i="19"/>
  <c r="C44" i="19" l="1"/>
  <c r="C31" i="19"/>
  <c r="AQ72" i="16" l="1"/>
  <c r="AQ61" i="16"/>
  <c r="AQ57" i="16"/>
  <c r="AQ56" i="16"/>
  <c r="AQ55" i="16"/>
  <c r="AQ54" i="16"/>
  <c r="AQ53" i="16"/>
  <c r="AQ52" i="16"/>
  <c r="AQ51" i="16"/>
  <c r="AQ50" i="16"/>
  <c r="AQ49" i="16"/>
  <c r="AQ48" i="16"/>
  <c r="AQ36" i="16"/>
  <c r="AQ28" i="16"/>
  <c r="AQ25" i="16"/>
  <c r="AQ18" i="16"/>
  <c r="M42" i="19"/>
  <c r="M41" i="19"/>
  <c r="K40" i="19"/>
  <c r="M40" i="19" s="1"/>
  <c r="K39" i="19"/>
  <c r="M39" i="19" s="1"/>
  <c r="K38" i="19"/>
  <c r="M38" i="19" s="1"/>
  <c r="K37" i="19"/>
  <c r="M37" i="19" s="1"/>
  <c r="K36" i="19"/>
  <c r="M36" i="19" s="1"/>
  <c r="M27" i="19"/>
  <c r="AT53" i="16" s="1"/>
  <c r="M26" i="19"/>
  <c r="AT52" i="16" s="1"/>
  <c r="M25" i="19"/>
  <c r="AT51" i="16" s="1"/>
  <c r="M24" i="19"/>
  <c r="AT50" i="16" s="1"/>
  <c r="M23" i="19"/>
  <c r="AT49" i="16" s="1"/>
  <c r="G44" i="19"/>
  <c r="I44" i="19" s="1"/>
  <c r="G43" i="19"/>
  <c r="I43" i="19" s="1"/>
  <c r="G42" i="19"/>
  <c r="I42" i="19" s="1"/>
  <c r="G41" i="19"/>
  <c r="I41" i="19" s="1"/>
  <c r="G40" i="19"/>
  <c r="I40" i="19" s="1"/>
  <c r="G39" i="19"/>
  <c r="I39" i="19" s="1"/>
  <c r="G38" i="19"/>
  <c r="I38" i="19" s="1"/>
  <c r="G37" i="19"/>
  <c r="I37" i="19" s="1"/>
  <c r="I31" i="19"/>
  <c r="AP57" i="16" s="1"/>
  <c r="I30" i="19"/>
  <c r="AP56" i="16" s="1"/>
  <c r="I29" i="19"/>
  <c r="AP55" i="16" s="1"/>
  <c r="I28" i="19"/>
  <c r="AP54" i="16" s="1"/>
  <c r="I27" i="19"/>
  <c r="AP53" i="16" s="1"/>
  <c r="I26" i="19"/>
  <c r="AP52" i="16" s="1"/>
  <c r="I25" i="19"/>
  <c r="AP51" i="16" s="1"/>
  <c r="I24" i="19"/>
  <c r="AP50" i="16" s="1"/>
  <c r="I23" i="19"/>
  <c r="AP49" i="16" s="1"/>
  <c r="AQ77" i="16"/>
  <c r="AQ44" i="16"/>
  <c r="AP58" i="16" l="1"/>
  <c r="AQ58" i="16"/>
  <c r="C44" i="5" l="1"/>
  <c r="C54" i="5"/>
  <c r="C15" i="5" l="1"/>
  <c r="C12" i="5"/>
  <c r="C18" i="5"/>
  <c r="C6" i="5"/>
  <c r="C21" i="5"/>
  <c r="AC39" i="16" l="1"/>
  <c r="K40" i="5" l="1"/>
  <c r="K39" i="5"/>
  <c r="K38" i="5"/>
  <c r="K37" i="5"/>
  <c r="K36" i="5"/>
  <c r="G44" i="5"/>
  <c r="G43" i="5"/>
  <c r="G42" i="5"/>
  <c r="G41" i="5"/>
  <c r="G40" i="5"/>
  <c r="G37" i="5"/>
  <c r="G39" i="5"/>
  <c r="G38" i="5"/>
  <c r="AL39" i="16" l="1"/>
  <c r="AO24" i="16"/>
  <c r="AO23" i="16"/>
  <c r="AO22" i="16"/>
  <c r="AO21" i="16"/>
  <c r="AO20" i="16"/>
  <c r="AO19" i="16"/>
  <c r="AO72" i="16"/>
  <c r="AO61" i="16"/>
  <c r="AO57" i="16"/>
  <c r="AO56" i="16"/>
  <c r="AO55" i="16"/>
  <c r="AO54" i="16"/>
  <c r="AO53" i="16"/>
  <c r="AO52" i="16"/>
  <c r="AO51" i="16"/>
  <c r="AO50" i="16"/>
  <c r="AO49" i="16"/>
  <c r="AO48" i="16"/>
  <c r="AO37" i="16"/>
  <c r="AO36" i="16"/>
  <c r="AO28" i="16"/>
  <c r="AO18" i="16"/>
  <c r="AO14" i="16"/>
  <c r="AO77" i="16"/>
  <c r="AO44" i="16"/>
  <c r="AO39" i="16" l="1"/>
  <c r="AO58" i="16"/>
  <c r="AO25" i="16"/>
  <c r="AN72" i="16" l="1"/>
  <c r="AN61" i="16"/>
  <c r="AN57" i="16"/>
  <c r="AN56" i="16"/>
  <c r="AN55" i="16"/>
  <c r="AN54" i="16"/>
  <c r="AN53" i="16"/>
  <c r="AN52" i="16"/>
  <c r="AN51" i="16"/>
  <c r="AN50" i="16"/>
  <c r="AN49" i="16"/>
  <c r="AN48" i="16"/>
  <c r="AN37" i="16"/>
  <c r="AN36" i="16"/>
  <c r="AN28" i="16"/>
  <c r="AN18" i="16"/>
  <c r="AN14" i="16"/>
  <c r="AN77" i="16"/>
  <c r="AN44" i="16"/>
  <c r="AN58" i="16" l="1"/>
  <c r="AN25" i="16"/>
  <c r="AM14" i="16" l="1"/>
  <c r="AM42" i="16" l="1"/>
  <c r="AM41" i="16"/>
  <c r="AM10" i="16"/>
  <c r="AM9" i="16"/>
  <c r="D22" i="39" l="1"/>
  <c r="K24" i="43"/>
  <c r="K23" i="43"/>
  <c r="K22" i="43"/>
  <c r="K24" i="41"/>
  <c r="K23" i="41"/>
  <c r="K22" i="41"/>
  <c r="L23" i="42"/>
  <c r="L24" i="42"/>
  <c r="L22" i="42"/>
  <c r="L22" i="41" l="1"/>
  <c r="M22" i="42"/>
  <c r="M23" i="42" l="1"/>
  <c r="L23" i="39"/>
  <c r="L24" i="39"/>
  <c r="L22" i="39"/>
  <c r="L23" i="43" l="1"/>
  <c r="L23" i="41"/>
  <c r="M22" i="39" l="1"/>
  <c r="M23" i="39" l="1"/>
  <c r="AL37" i="16" l="1"/>
  <c r="AJ39" i="16"/>
  <c r="AI72" i="16"/>
  <c r="AI61" i="16"/>
  <c r="AI57" i="16"/>
  <c r="AI56" i="16"/>
  <c r="AI55" i="16"/>
  <c r="AI54" i="16"/>
  <c r="AI53" i="16"/>
  <c r="AI52" i="16"/>
  <c r="AI51" i="16"/>
  <c r="AI50" i="16"/>
  <c r="AI49" i="16"/>
  <c r="AI48" i="16"/>
  <c r="AI37" i="16"/>
  <c r="AI36" i="16"/>
  <c r="AI28" i="16"/>
  <c r="AI18" i="16"/>
  <c r="AL72" i="16"/>
  <c r="AK72" i="16"/>
  <c r="AJ72" i="16"/>
  <c r="AL61" i="16"/>
  <c r="AK61" i="16"/>
  <c r="AJ61" i="16"/>
  <c r="AL57" i="16"/>
  <c r="AK57" i="16"/>
  <c r="AJ57" i="16"/>
  <c r="AL56" i="16"/>
  <c r="AK56" i="16"/>
  <c r="AJ56" i="16"/>
  <c r="AL55" i="16"/>
  <c r="AK55" i="16"/>
  <c r="AJ55" i="16"/>
  <c r="AL54" i="16"/>
  <c r="AK54" i="16"/>
  <c r="AJ54" i="16"/>
  <c r="AL53" i="16"/>
  <c r="AK53" i="16"/>
  <c r="AJ53" i="16"/>
  <c r="AL52" i="16"/>
  <c r="AK52" i="16"/>
  <c r="AJ52" i="16"/>
  <c r="AL51" i="16"/>
  <c r="AK51" i="16"/>
  <c r="AJ51" i="16"/>
  <c r="AL50" i="16"/>
  <c r="AK50" i="16"/>
  <c r="AJ50" i="16"/>
  <c r="AL49" i="16"/>
  <c r="AK49" i="16"/>
  <c r="AJ49" i="16"/>
  <c r="AL48" i="16"/>
  <c r="AK48" i="16"/>
  <c r="AJ48" i="16"/>
  <c r="AK37" i="16"/>
  <c r="AJ37" i="16"/>
  <c r="AL36" i="16"/>
  <c r="AK36" i="16"/>
  <c r="AJ36" i="16"/>
  <c r="AL28" i="16"/>
  <c r="AK28" i="16"/>
  <c r="AJ28" i="16"/>
  <c r="AL18" i="16"/>
  <c r="AK18" i="16"/>
  <c r="AJ18" i="16"/>
  <c r="AI14" i="16"/>
  <c r="AK77" i="16"/>
  <c r="AI77" i="16"/>
  <c r="AJ77" i="16"/>
  <c r="AK14" i="16"/>
  <c r="AL77" i="16"/>
  <c r="AJ14" i="16"/>
  <c r="AL14" i="16"/>
  <c r="AJ44" i="16"/>
  <c r="AI44" i="16"/>
  <c r="AL44" i="16"/>
  <c r="AK44" i="16"/>
  <c r="AK58" i="16" l="1"/>
  <c r="AJ58" i="16"/>
  <c r="AI39" i="16"/>
  <c r="AL58" i="16"/>
  <c r="AK39" i="16"/>
  <c r="AI58" i="16"/>
  <c r="AI25" i="16"/>
  <c r="AK25" i="16"/>
  <c r="AL25" i="16"/>
  <c r="AJ25" i="16"/>
  <c r="AH72" i="16" l="1"/>
  <c r="AH61" i="16"/>
  <c r="AH57" i="16"/>
  <c r="AH56" i="16"/>
  <c r="AH55" i="16"/>
  <c r="AH54" i="16"/>
  <c r="AH53" i="16"/>
  <c r="AH52" i="16"/>
  <c r="AH51" i="16"/>
  <c r="AH50" i="16"/>
  <c r="AH49" i="16"/>
  <c r="AH48" i="16"/>
  <c r="AH37" i="16"/>
  <c r="AH36" i="16"/>
  <c r="AH28" i="16"/>
  <c r="AH18" i="16"/>
  <c r="AH39" i="16" l="1"/>
  <c r="AH58" i="16"/>
  <c r="AH25" i="16"/>
  <c r="AG72" i="16"/>
  <c r="AG61" i="16"/>
  <c r="AG57" i="16"/>
  <c r="AG56" i="16"/>
  <c r="AG55" i="16"/>
  <c r="AG54" i="16"/>
  <c r="AG53" i="16"/>
  <c r="AG52" i="16"/>
  <c r="AG51" i="16"/>
  <c r="AG50" i="16"/>
  <c r="AG49" i="16"/>
  <c r="AG48" i="16"/>
  <c r="AG37" i="16"/>
  <c r="AG36" i="16"/>
  <c r="AG28" i="16"/>
  <c r="AG18" i="16"/>
  <c r="AH14" i="16"/>
  <c r="AH77" i="16"/>
  <c r="AG14" i="16"/>
  <c r="AG44" i="16"/>
  <c r="AG77" i="16"/>
  <c r="AH44" i="16"/>
  <c r="AG39" i="16" l="1"/>
  <c r="AG58" i="16"/>
  <c r="AG25" i="16"/>
  <c r="G38" i="23" l="1"/>
  <c r="G39" i="23"/>
  <c r="G40" i="23"/>
  <c r="G41" i="23"/>
  <c r="G42" i="23"/>
  <c r="G43" i="23"/>
  <c r="G44" i="23"/>
  <c r="G37" i="23"/>
  <c r="K36" i="23"/>
  <c r="K37" i="23"/>
  <c r="AM72" i="16" l="1"/>
  <c r="AM61" i="16"/>
  <c r="AM57" i="16"/>
  <c r="AM56" i="16"/>
  <c r="AM55" i="16"/>
  <c r="AM54" i="16"/>
  <c r="AM53" i="16"/>
  <c r="AM52" i="16"/>
  <c r="AM51" i="16"/>
  <c r="AM50" i="16"/>
  <c r="AM49" i="16"/>
  <c r="AM48" i="16"/>
  <c r="AM37" i="16"/>
  <c r="AM36" i="16"/>
  <c r="AM28" i="16"/>
  <c r="AM18" i="16"/>
  <c r="AM77" i="16"/>
  <c r="AM44" i="16"/>
  <c r="AM58" i="16" l="1"/>
  <c r="AM25" i="16"/>
  <c r="AF39" i="16" l="1"/>
  <c r="AF25" i="16"/>
  <c r="AF72" i="16"/>
  <c r="AF61" i="16"/>
  <c r="AF57" i="16"/>
  <c r="AF56" i="16"/>
  <c r="AF55" i="16"/>
  <c r="AF54" i="16"/>
  <c r="AF53" i="16"/>
  <c r="AF52" i="16"/>
  <c r="AF51" i="16"/>
  <c r="AF50" i="16"/>
  <c r="AF49" i="16"/>
  <c r="AF48" i="16"/>
  <c r="AF37" i="16"/>
  <c r="AF36" i="16"/>
  <c r="AF28" i="16"/>
  <c r="AF18" i="16"/>
  <c r="AF14" i="16"/>
  <c r="AF77" i="16"/>
  <c r="AF44" i="16"/>
  <c r="AF58" i="16" l="1"/>
  <c r="AE14" i="16"/>
  <c r="H7" i="43" l="1"/>
  <c r="I7" i="42"/>
  <c r="K12" i="43"/>
  <c r="K13" i="43"/>
  <c r="K14" i="43"/>
  <c r="K19" i="43"/>
  <c r="L19" i="42"/>
  <c r="K16" i="43"/>
  <c r="K17" i="43"/>
  <c r="K18" i="43"/>
  <c r="K7" i="43"/>
  <c r="K20" i="43"/>
  <c r="K21" i="43"/>
  <c r="K11" i="43"/>
  <c r="K9" i="43"/>
  <c r="L20" i="42"/>
  <c r="L21" i="42"/>
  <c r="K8" i="43"/>
  <c r="K10" i="43"/>
  <c r="K15" i="43"/>
  <c r="I7" i="43" l="1"/>
  <c r="F8" i="43" s="1"/>
  <c r="J7" i="42"/>
  <c r="H7" i="41"/>
  <c r="I7" i="41" s="1"/>
  <c r="L12" i="42"/>
  <c r="L17" i="42"/>
  <c r="L11" i="42"/>
  <c r="K20" i="41"/>
  <c r="L21" i="39"/>
  <c r="K9" i="41"/>
  <c r="K14" i="41"/>
  <c r="K7" i="41"/>
  <c r="L9" i="42"/>
  <c r="L14" i="42"/>
  <c r="L19" i="39"/>
  <c r="K12" i="41"/>
  <c r="K11" i="41"/>
  <c r="L16" i="42"/>
  <c r="L10" i="42"/>
  <c r="L15" i="42"/>
  <c r="K21" i="41"/>
  <c r="K8" i="41"/>
  <c r="K13" i="41"/>
  <c r="K18" i="41"/>
  <c r="L7" i="42"/>
  <c r="K17" i="41"/>
  <c r="L8" i="42"/>
  <c r="L13" i="42"/>
  <c r="L18" i="42"/>
  <c r="K19" i="41"/>
  <c r="L20" i="39"/>
  <c r="K16" i="41"/>
  <c r="K10" i="41"/>
  <c r="K15" i="41"/>
  <c r="F8" i="42" l="1"/>
  <c r="I8" i="42" s="1"/>
  <c r="J8" i="42" s="1"/>
  <c r="F9" i="42" s="1"/>
  <c r="M7" i="42"/>
  <c r="L7" i="43"/>
  <c r="H8" i="43"/>
  <c r="I8" i="43" s="1"/>
  <c r="F9" i="43" s="1"/>
  <c r="F8" i="41"/>
  <c r="H8" i="41" l="1"/>
  <c r="I8" i="41" s="1"/>
  <c r="F9" i="41" s="1"/>
  <c r="L8" i="43"/>
  <c r="M8" i="42"/>
  <c r="H9" i="43"/>
  <c r="I9" i="43" s="1"/>
  <c r="I9" i="42"/>
  <c r="J9" i="42" s="1"/>
  <c r="L7" i="41"/>
  <c r="I7" i="39"/>
  <c r="J7" i="39" s="1"/>
  <c r="L16" i="39"/>
  <c r="L10" i="39"/>
  <c r="L15" i="39"/>
  <c r="L7" i="39"/>
  <c r="L9" i="39"/>
  <c r="L14" i="39"/>
  <c r="L8" i="39"/>
  <c r="L13" i="39"/>
  <c r="L18" i="39"/>
  <c r="L12" i="39"/>
  <c r="L17" i="39"/>
  <c r="L11" i="39"/>
  <c r="F10" i="43" l="1"/>
  <c r="H10" i="43" s="1"/>
  <c r="I10" i="43" s="1"/>
  <c r="L9" i="43"/>
  <c r="F10" i="42"/>
  <c r="I10" i="42" s="1"/>
  <c r="J10" i="42" s="1"/>
  <c r="M9" i="42"/>
  <c r="H9" i="41"/>
  <c r="I9" i="41"/>
  <c r="M7" i="39"/>
  <c r="L8" i="41"/>
  <c r="F11" i="43" l="1"/>
  <c r="L10" i="43"/>
  <c r="F11" i="42"/>
  <c r="I11" i="42" s="1"/>
  <c r="J11" i="42" s="1"/>
  <c r="M10" i="42"/>
  <c r="H11" i="43"/>
  <c r="I11" i="43" s="1"/>
  <c r="F10" i="41"/>
  <c r="L9" i="41"/>
  <c r="F12" i="43" l="1"/>
  <c r="L11" i="43"/>
  <c r="F12" i="42"/>
  <c r="I12" i="42" s="1"/>
  <c r="J12" i="42" s="1"/>
  <c r="M11" i="42"/>
  <c r="H12" i="43"/>
  <c r="I12" i="43" s="1"/>
  <c r="H10" i="41"/>
  <c r="I10" i="41" s="1"/>
  <c r="F8" i="39"/>
  <c r="I8" i="39" s="1"/>
  <c r="M12" i="42" l="1"/>
  <c r="E17" i="42"/>
  <c r="F13" i="43"/>
  <c r="H13" i="43" s="1"/>
  <c r="I13" i="43" s="1"/>
  <c r="L12" i="43"/>
  <c r="F13" i="42"/>
  <c r="F11" i="41"/>
  <c r="L10" i="41"/>
  <c r="J8" i="39"/>
  <c r="M8" i="39" s="1"/>
  <c r="F14" i="43" l="1"/>
  <c r="H14" i="43" s="1"/>
  <c r="I14" i="43" s="1"/>
  <c r="L13" i="43"/>
  <c r="I13" i="42"/>
  <c r="J13" i="42" s="1"/>
  <c r="H11" i="41"/>
  <c r="I11" i="41" s="1"/>
  <c r="F9" i="39"/>
  <c r="I9" i="39" s="1"/>
  <c r="F15" i="43" l="1"/>
  <c r="L14" i="43"/>
  <c r="F14" i="42"/>
  <c r="I14" i="42" s="1"/>
  <c r="J14" i="42" s="1"/>
  <c r="M13" i="42"/>
  <c r="H15" i="43"/>
  <c r="I15" i="43" s="1"/>
  <c r="F12" i="41"/>
  <c r="L11" i="41"/>
  <c r="J9" i="39"/>
  <c r="M9" i="39" s="1"/>
  <c r="F16" i="43" l="1"/>
  <c r="L15" i="43"/>
  <c r="F15" i="42"/>
  <c r="I15" i="42" s="1"/>
  <c r="J15" i="42" s="1"/>
  <c r="M14" i="42"/>
  <c r="H16" i="43"/>
  <c r="I16" i="43" s="1"/>
  <c r="H12" i="41"/>
  <c r="I12" i="41" s="1"/>
  <c r="F10" i="39"/>
  <c r="I10" i="39" s="1"/>
  <c r="L16" i="43" l="1"/>
  <c r="H17" i="43"/>
  <c r="F16" i="42"/>
  <c r="I16" i="42" s="1"/>
  <c r="M16" i="42" s="1"/>
  <c r="M15" i="42"/>
  <c r="F17" i="43"/>
  <c r="L12" i="41"/>
  <c r="F13" i="41"/>
  <c r="J10" i="39"/>
  <c r="M10" i="39" s="1"/>
  <c r="J16" i="42" l="1"/>
  <c r="I17" i="43"/>
  <c r="H13" i="41"/>
  <c r="I13" i="41" s="1"/>
  <c r="F11" i="39"/>
  <c r="I11" i="39" s="1"/>
  <c r="L17" i="43" l="1"/>
  <c r="F18" i="43"/>
  <c r="H18" i="43" s="1"/>
  <c r="F17" i="42"/>
  <c r="I17" i="42"/>
  <c r="F14" i="41"/>
  <c r="L13" i="41"/>
  <c r="J11" i="39"/>
  <c r="M11" i="39" s="1"/>
  <c r="J17" i="42" l="1"/>
  <c r="F18" i="42"/>
  <c r="I18" i="42" s="1"/>
  <c r="J18" i="42" s="1"/>
  <c r="M17" i="42"/>
  <c r="I18" i="43"/>
  <c r="H14" i="41"/>
  <c r="I14" i="41" s="1"/>
  <c r="F12" i="39"/>
  <c r="I12" i="39" s="1"/>
  <c r="F19" i="43" l="1"/>
  <c r="L18" i="43"/>
  <c r="F19" i="42"/>
  <c r="I19" i="42" s="1"/>
  <c r="J19" i="42" s="1"/>
  <c r="M18" i="42"/>
  <c r="H19" i="43"/>
  <c r="F15" i="41"/>
  <c r="L14" i="41"/>
  <c r="J12" i="39"/>
  <c r="E17" i="39" s="1"/>
  <c r="I19" i="43" l="1"/>
  <c r="L19" i="43" s="1"/>
  <c r="F20" i="42"/>
  <c r="I20" i="42" s="1"/>
  <c r="J20" i="42" s="1"/>
  <c r="M19" i="42"/>
  <c r="H15" i="41"/>
  <c r="I15" i="41" s="1"/>
  <c r="M12" i="39"/>
  <c r="F13" i="39"/>
  <c r="I13" i="39" s="1"/>
  <c r="F20" i="43" l="1"/>
  <c r="H20" i="43"/>
  <c r="I20" i="43" s="1"/>
  <c r="F21" i="42"/>
  <c r="I21" i="42" s="1"/>
  <c r="J21" i="42" s="1"/>
  <c r="M20" i="42"/>
  <c r="F16" i="41"/>
  <c r="L15" i="41"/>
  <c r="J13" i="39"/>
  <c r="M13" i="39" s="1"/>
  <c r="M21" i="42" l="1"/>
  <c r="F22" i="42"/>
  <c r="I22" i="42" s="1"/>
  <c r="J22" i="42" s="1"/>
  <c r="F23" i="42" s="1"/>
  <c r="I23" i="42" s="1"/>
  <c r="J23" i="42" s="1"/>
  <c r="F24" i="42" s="1"/>
  <c r="I24" i="42" s="1"/>
  <c r="J24" i="42" s="1"/>
  <c r="M24" i="42" s="1"/>
  <c r="F21" i="43"/>
  <c r="H21" i="43" s="1"/>
  <c r="I21" i="43" s="1"/>
  <c r="L20" i="43"/>
  <c r="H16" i="41"/>
  <c r="I16" i="41" s="1"/>
  <c r="F14" i="39"/>
  <c r="I14" i="39" s="1"/>
  <c r="L21" i="43" l="1"/>
  <c r="F22" i="43"/>
  <c r="H22" i="43" s="1"/>
  <c r="I22" i="43" s="1"/>
  <c r="H17" i="41"/>
  <c r="L16" i="41"/>
  <c r="F17" i="41"/>
  <c r="J14" i="39"/>
  <c r="M14" i="39" s="1"/>
  <c r="I17" i="41" l="1"/>
  <c r="H18" i="41" s="1"/>
  <c r="L22" i="43"/>
  <c r="H23" i="43"/>
  <c r="F23" i="43"/>
  <c r="I23" i="43" s="1"/>
  <c r="F24" i="43" s="1"/>
  <c r="H24" i="43" s="1"/>
  <c r="I24" i="43" s="1"/>
  <c r="L24" i="43" s="1"/>
  <c r="F15" i="39"/>
  <c r="I15" i="39" s="1"/>
  <c r="L17" i="41" l="1"/>
  <c r="F18" i="41"/>
  <c r="I18" i="41" s="1"/>
  <c r="J15" i="39"/>
  <c r="M15" i="39" s="1"/>
  <c r="F19" i="41" l="1"/>
  <c r="L18" i="41"/>
  <c r="F16" i="39"/>
  <c r="I16" i="39" s="1"/>
  <c r="H19" i="41" l="1"/>
  <c r="I19" i="41" s="1"/>
  <c r="J16" i="39"/>
  <c r="F17" i="39" s="1"/>
  <c r="F20" i="41" l="1"/>
  <c r="H20" i="41"/>
  <c r="L19" i="41"/>
  <c r="M16" i="39"/>
  <c r="I17" i="39"/>
  <c r="M17" i="39"/>
  <c r="I20" i="41" l="1"/>
  <c r="F21" i="41" s="1"/>
  <c r="H21" i="41" s="1"/>
  <c r="I21" i="41" s="1"/>
  <c r="J17" i="39"/>
  <c r="F18" i="39" s="1"/>
  <c r="I18" i="39" s="1"/>
  <c r="L21" i="41" l="1"/>
  <c r="F22" i="41"/>
  <c r="H22" i="41" s="1"/>
  <c r="I22" i="41" s="1"/>
  <c r="L20" i="41"/>
  <c r="J18" i="39"/>
  <c r="M18" i="39" l="1"/>
  <c r="F19" i="39"/>
  <c r="H23" i="41"/>
  <c r="F23" i="41"/>
  <c r="I23" i="41" s="1"/>
  <c r="F24" i="41" s="1"/>
  <c r="H24" i="41" s="1"/>
  <c r="I24" i="41" s="1"/>
  <c r="L24" i="41" s="1"/>
  <c r="I19" i="39"/>
  <c r="J19" i="39" l="1"/>
  <c r="M19" i="39" s="1"/>
  <c r="F20" i="39" l="1"/>
  <c r="I20" i="39" s="1"/>
  <c r="J20" i="39" l="1"/>
  <c r="M20" i="39" s="1"/>
  <c r="F21" i="39" l="1"/>
  <c r="I21" i="39" s="1"/>
  <c r="J21" i="39" l="1"/>
  <c r="M21" i="39" l="1"/>
  <c r="F22" i="39"/>
  <c r="I22" i="39" l="1"/>
  <c r="J22" i="39"/>
  <c r="F23" i="39" s="1"/>
  <c r="I23" i="39" l="1"/>
  <c r="J23" i="39" s="1"/>
  <c r="F24" i="39" s="1"/>
  <c r="I24" i="39" s="1"/>
  <c r="J24" i="39" s="1"/>
  <c r="M24" i="39" s="1"/>
  <c r="K40" i="21" l="1"/>
  <c r="AE72" i="16" l="1"/>
  <c r="AE61" i="16"/>
  <c r="AE57" i="16"/>
  <c r="AE56" i="16"/>
  <c r="AE55" i="16"/>
  <c r="AE54" i="16"/>
  <c r="AE53" i="16"/>
  <c r="AE52" i="16"/>
  <c r="AE51" i="16"/>
  <c r="AE50" i="16"/>
  <c r="AE49" i="16"/>
  <c r="AE48" i="16"/>
  <c r="AE37" i="16"/>
  <c r="AE36" i="16"/>
  <c r="AE28" i="16"/>
  <c r="AE18" i="16"/>
  <c r="AE77" i="16"/>
  <c r="AE44" i="16"/>
  <c r="AE39" i="16" l="1"/>
  <c r="AE58" i="16"/>
  <c r="AE25" i="16"/>
  <c r="R25" i="16" l="1"/>
  <c r="R39" i="16" l="1"/>
  <c r="C23" i="16" l="1"/>
  <c r="D23" i="16"/>
  <c r="AD42" i="16" l="1"/>
  <c r="AD50" i="16" l="1"/>
  <c r="AD51" i="16"/>
  <c r="AD52" i="16"/>
  <c r="AD53" i="16"/>
  <c r="AD54" i="16"/>
  <c r="AD55" i="16"/>
  <c r="AD56" i="16"/>
  <c r="AD57" i="16"/>
  <c r="AD49" i="16"/>
  <c r="AC50" i="16"/>
  <c r="AC51" i="16"/>
  <c r="AC52" i="16"/>
  <c r="AC53" i="16"/>
  <c r="AC54" i="16"/>
  <c r="AC55" i="16"/>
  <c r="AC56" i="16"/>
  <c r="AC57" i="16"/>
  <c r="AC49" i="16"/>
  <c r="AD18" i="16"/>
  <c r="AC18" i="16"/>
  <c r="AC72" i="16"/>
  <c r="AC61" i="16"/>
  <c r="AC48" i="16"/>
  <c r="AC37" i="16"/>
  <c r="AC36" i="16"/>
  <c r="AC28" i="16"/>
  <c r="AD39" i="16" l="1"/>
  <c r="AD58" i="16"/>
  <c r="AC25" i="16"/>
  <c r="AD25" i="16"/>
  <c r="AC58" i="16"/>
  <c r="Q39" i="16"/>
  <c r="AC14" i="16"/>
  <c r="AC77" i="16"/>
  <c r="AC44" i="16"/>
  <c r="AD37" i="16" l="1"/>
  <c r="AX34" i="16" l="1"/>
  <c r="AA9" i="16"/>
  <c r="C6" i="16" l="1"/>
  <c r="D6" i="16"/>
  <c r="AD72" i="16"/>
  <c r="AD61" i="16"/>
  <c r="AD48" i="16"/>
  <c r="AD36" i="16"/>
  <c r="AD28" i="16"/>
  <c r="AD77" i="16"/>
  <c r="AD14" i="16"/>
  <c r="AD44" i="16"/>
  <c r="D73" i="16" l="1"/>
  <c r="D59" i="16"/>
  <c r="D42" i="16"/>
  <c r="D41" i="16"/>
  <c r="D38" i="16"/>
  <c r="D26" i="16"/>
  <c r="D12" i="16"/>
  <c r="D5" i="16"/>
  <c r="Q72" i="16"/>
  <c r="R72" i="16" s="1"/>
  <c r="Q61" i="16"/>
  <c r="R61" i="16" s="1"/>
  <c r="C59" i="16"/>
  <c r="Q48" i="16"/>
  <c r="R48" i="16" s="1"/>
  <c r="C42" i="16" l="1"/>
  <c r="C41" i="16"/>
  <c r="Q36" i="16"/>
  <c r="R36" i="16" s="1"/>
  <c r="Q28" i="16"/>
  <c r="R28" i="16" s="1"/>
  <c r="C26" i="16"/>
  <c r="Q18" i="16"/>
  <c r="R18" i="16" s="1"/>
  <c r="Q44" i="16"/>
  <c r="Q14" i="16"/>
  <c r="C12" i="16" l="1"/>
  <c r="R3" i="16"/>
  <c r="Q77" i="16"/>
  <c r="F3" i="16" l="1"/>
  <c r="F18" i="16"/>
  <c r="G18" i="16" s="1"/>
  <c r="H18" i="16" s="1"/>
  <c r="I18" i="16" s="1"/>
  <c r="J18" i="16" s="1"/>
  <c r="K18" i="16" s="1"/>
  <c r="L18" i="16" s="1"/>
  <c r="M18" i="16" s="1"/>
  <c r="N18" i="16" s="1"/>
  <c r="O18" i="16" s="1"/>
  <c r="P18" i="16" s="1"/>
  <c r="F25" i="16"/>
  <c r="G25" i="16"/>
  <c r="H25" i="16"/>
  <c r="I25" i="16"/>
  <c r="J25" i="16"/>
  <c r="K25" i="16"/>
  <c r="L25" i="16"/>
  <c r="M25" i="16"/>
  <c r="N25" i="16"/>
  <c r="O25" i="16"/>
  <c r="P25" i="16"/>
  <c r="F28" i="16"/>
  <c r="G28" i="16" s="1"/>
  <c r="H28" i="16" s="1"/>
  <c r="I28" i="16" s="1"/>
  <c r="J28" i="16" s="1"/>
  <c r="K28" i="16" s="1"/>
  <c r="L28" i="16" s="1"/>
  <c r="M28" i="16" s="1"/>
  <c r="N28" i="16" s="1"/>
  <c r="O28" i="16" s="1"/>
  <c r="P28" i="16" s="1"/>
  <c r="F36" i="16"/>
  <c r="P39" i="16"/>
  <c r="F48" i="16"/>
  <c r="G48" i="16" s="1"/>
  <c r="H48" i="16" s="1"/>
  <c r="I48" i="16" s="1"/>
  <c r="J48" i="16" s="1"/>
  <c r="K48" i="16" s="1"/>
  <c r="L48" i="16" s="1"/>
  <c r="M48" i="16" s="1"/>
  <c r="N48" i="16" s="1"/>
  <c r="O48" i="16" s="1"/>
  <c r="P48" i="16" s="1"/>
  <c r="F58" i="16"/>
  <c r="G58" i="16"/>
  <c r="H58" i="16"/>
  <c r="I58" i="16"/>
  <c r="J58" i="16"/>
  <c r="K58" i="16"/>
  <c r="L58" i="16"/>
  <c r="M58" i="16"/>
  <c r="N58" i="16"/>
  <c r="O58" i="16"/>
  <c r="P58" i="16"/>
  <c r="F61" i="16"/>
  <c r="G61" i="16" s="1"/>
  <c r="H61" i="16" s="1"/>
  <c r="I61" i="16" s="1"/>
  <c r="J61" i="16" s="1"/>
  <c r="K61" i="16" s="1"/>
  <c r="L61" i="16" s="1"/>
  <c r="M61" i="16" s="1"/>
  <c r="N61" i="16" s="1"/>
  <c r="O61" i="16" s="1"/>
  <c r="P61" i="16" s="1"/>
  <c r="F72" i="16"/>
  <c r="G72" i="16" s="1"/>
  <c r="H72" i="16" s="1"/>
  <c r="I72" i="16" s="1"/>
  <c r="J72" i="16" s="1"/>
  <c r="K72" i="16" s="1"/>
  <c r="L72" i="16" s="1"/>
  <c r="M72" i="16" s="1"/>
  <c r="N72" i="16" s="1"/>
  <c r="O72" i="16" s="1"/>
  <c r="P72" i="16" s="1"/>
  <c r="G77" i="16"/>
  <c r="O77" i="16"/>
  <c r="M77" i="16"/>
  <c r="P77" i="16"/>
  <c r="H77" i="16"/>
  <c r="I77" i="16"/>
  <c r="F44" i="16"/>
  <c r="N77" i="16"/>
  <c r="K77" i="16"/>
  <c r="J77" i="16"/>
  <c r="F77" i="16"/>
  <c r="F14" i="16"/>
  <c r="L77" i="16"/>
  <c r="G36" i="16" l="1"/>
  <c r="G3" i="16"/>
  <c r="G14" i="16"/>
  <c r="G44" i="16"/>
  <c r="H3" i="16" l="1"/>
  <c r="H36" i="16"/>
  <c r="H44" i="16"/>
  <c r="H14" i="16"/>
  <c r="I36" i="16" l="1"/>
  <c r="I3" i="16"/>
  <c r="F73" i="16"/>
  <c r="F76" i="16" s="1"/>
  <c r="F38" i="16"/>
  <c r="F43" i="16" s="1"/>
  <c r="I14" i="16"/>
  <c r="I44" i="16"/>
  <c r="J3" i="16" l="1"/>
  <c r="J36" i="16"/>
  <c r="F45" i="16"/>
  <c r="G38" i="16"/>
  <c r="G43" i="16" s="1"/>
  <c r="F78" i="16"/>
  <c r="G73" i="16"/>
  <c r="G76" i="16" s="1"/>
  <c r="J14" i="16"/>
  <c r="J44" i="16"/>
  <c r="K36" i="16" l="1"/>
  <c r="K3" i="16"/>
  <c r="H73" i="16"/>
  <c r="H76" i="16" s="1"/>
  <c r="G78" i="16"/>
  <c r="H38" i="16"/>
  <c r="H43" i="16" s="1"/>
  <c r="G45" i="16"/>
  <c r="F5" i="16"/>
  <c r="F13" i="16" s="1"/>
  <c r="K14" i="16"/>
  <c r="K44" i="16"/>
  <c r="L3" i="16" l="1"/>
  <c r="L36" i="16"/>
  <c r="I38" i="16"/>
  <c r="I43" i="16" s="1"/>
  <c r="H45" i="16"/>
  <c r="F15" i="16"/>
  <c r="G5" i="16"/>
  <c r="G13" i="16" s="1"/>
  <c r="I73" i="16"/>
  <c r="I76" i="16" s="1"/>
  <c r="H78" i="16"/>
  <c r="L14" i="16"/>
  <c r="L44" i="16"/>
  <c r="M36" i="16" l="1"/>
  <c r="M3" i="16"/>
  <c r="J73" i="16"/>
  <c r="J76" i="16" s="1"/>
  <c r="I78" i="16"/>
  <c r="G15" i="16"/>
  <c r="H5" i="16"/>
  <c r="H13" i="16" s="1"/>
  <c r="I45" i="16"/>
  <c r="J38" i="16"/>
  <c r="J43" i="16" s="1"/>
  <c r="M44" i="16"/>
  <c r="M14" i="16"/>
  <c r="N3" i="16" l="1"/>
  <c r="N36" i="16"/>
  <c r="I5" i="16"/>
  <c r="I13" i="16" s="1"/>
  <c r="H15" i="16"/>
  <c r="J45" i="16"/>
  <c r="K38" i="16"/>
  <c r="J78" i="16"/>
  <c r="K73" i="16"/>
  <c r="N44" i="16"/>
  <c r="N14" i="16"/>
  <c r="O36" i="16" l="1"/>
  <c r="O3" i="16"/>
  <c r="K76" i="16"/>
  <c r="K78" i="16" s="1"/>
  <c r="K43" i="16"/>
  <c r="K45" i="16" s="1"/>
  <c r="J5" i="16"/>
  <c r="J13" i="16" s="1"/>
  <c r="I15" i="16"/>
  <c r="O14" i="16"/>
  <c r="O44" i="16"/>
  <c r="P3" i="16" l="1"/>
  <c r="P36" i="16"/>
  <c r="L73" i="16"/>
  <c r="L76" i="16" s="1"/>
  <c r="M73" i="16" s="1"/>
  <c r="M76" i="16" s="1"/>
  <c r="L38" i="16"/>
  <c r="L43" i="16" s="1"/>
  <c r="M38" i="16" s="1"/>
  <c r="M43" i="16" s="1"/>
  <c r="J15" i="16"/>
  <c r="K5" i="16"/>
  <c r="P44" i="16"/>
  <c r="P14" i="16"/>
  <c r="L78" i="16" l="1"/>
  <c r="L45" i="16"/>
  <c r="K13" i="16"/>
  <c r="K15" i="16" s="1"/>
  <c r="N73" i="16"/>
  <c r="N76" i="16" s="1"/>
  <c r="M78" i="16"/>
  <c r="N38" i="16"/>
  <c r="N43" i="16" s="1"/>
  <c r="M45" i="16"/>
  <c r="L5" i="16" l="1"/>
  <c r="L13" i="16" s="1"/>
  <c r="L15" i="16" s="1"/>
  <c r="N78" i="16"/>
  <c r="O73" i="16"/>
  <c r="O76" i="16" s="1"/>
  <c r="N45" i="16"/>
  <c r="O38" i="16"/>
  <c r="M5" i="16" l="1"/>
  <c r="M13" i="16" s="1"/>
  <c r="N5" i="16" s="1"/>
  <c r="N13" i="16" s="1"/>
  <c r="O40" i="16"/>
  <c r="O78" i="16"/>
  <c r="P73" i="16"/>
  <c r="P76" i="16" s="1"/>
  <c r="P78" i="16" s="1"/>
  <c r="M15" i="16" l="1"/>
  <c r="O43" i="16"/>
  <c r="O45" i="16" s="1"/>
  <c r="O5" i="16"/>
  <c r="N15" i="16"/>
  <c r="Z39" i="16" l="1"/>
  <c r="P38" i="16"/>
  <c r="P40" i="16" s="1"/>
  <c r="O8" i="16"/>
  <c r="Z25" i="16"/>
  <c r="O13" i="16" l="1"/>
  <c r="O15" i="16" s="1"/>
  <c r="P43" i="16"/>
  <c r="P45" i="16" s="1"/>
  <c r="P5" i="16" l="1"/>
  <c r="P13" i="16" s="1"/>
  <c r="P15" i="16" s="1"/>
  <c r="BC71" i="16" l="1"/>
  <c r="BE72" i="16"/>
  <c r="BE73" i="16"/>
  <c r="BE71" i="16"/>
  <c r="Z49" i="16" l="1"/>
  <c r="Y25" i="16" l="1"/>
  <c r="K38" i="25" l="1"/>
  <c r="K36" i="25" l="1"/>
  <c r="C33" i="25" l="1"/>
  <c r="BE36" i="16"/>
  <c r="BE38" i="16"/>
  <c r="BE35" i="16"/>
  <c r="BE37" i="16"/>
  <c r="BE7" i="16"/>
  <c r="BE5" i="16"/>
  <c r="BE9" i="16"/>
  <c r="BE70" i="16"/>
  <c r="BE8" i="16"/>
  <c r="BE6" i="16"/>
  <c r="C43" i="22" l="1"/>
  <c r="C33" i="23" l="1"/>
  <c r="C43" i="23" l="1"/>
  <c r="C33" i="20" l="1"/>
  <c r="C52" i="20" s="1"/>
  <c r="C43" i="21" l="1"/>
  <c r="C33" i="21" l="1"/>
  <c r="C52" i="21" s="1"/>
  <c r="C56" i="21" l="1"/>
  <c r="H9" i="21" s="1"/>
  <c r="H11" i="19" l="1"/>
  <c r="H10" i="19"/>
  <c r="K10" i="19" s="1"/>
  <c r="C43" i="19"/>
  <c r="C33" i="19" l="1"/>
  <c r="C52" i="19" l="1"/>
  <c r="C56" i="19" s="1"/>
  <c r="Q75" i="16"/>
  <c r="C59" i="19" l="1"/>
  <c r="H9" i="19"/>
  <c r="D75" i="16"/>
  <c r="C75" i="16"/>
  <c r="G32" i="5"/>
  <c r="C33" i="5" l="1"/>
  <c r="C52" i="5" s="1"/>
  <c r="AA57" i="16" l="1"/>
  <c r="Z57" i="16"/>
  <c r="Y57" i="16"/>
  <c r="X57" i="16"/>
  <c r="W57" i="16"/>
  <c r="V57" i="16"/>
  <c r="U57" i="16"/>
  <c r="AA56" i="16"/>
  <c r="Z56" i="16"/>
  <c r="Y56" i="16"/>
  <c r="X56" i="16"/>
  <c r="W56" i="16"/>
  <c r="V56" i="16"/>
  <c r="U56" i="16"/>
  <c r="AB55" i="16"/>
  <c r="AA55" i="16"/>
  <c r="Z55" i="16"/>
  <c r="Y55" i="16"/>
  <c r="X55" i="16"/>
  <c r="W55" i="16"/>
  <c r="V55" i="16"/>
  <c r="U55" i="16"/>
  <c r="AA54" i="16"/>
  <c r="Z54" i="16"/>
  <c r="Y54" i="16"/>
  <c r="X54" i="16"/>
  <c r="W54" i="16"/>
  <c r="V54" i="16"/>
  <c r="U54" i="16"/>
  <c r="AA53" i="16"/>
  <c r="Z53" i="16"/>
  <c r="Y53" i="16"/>
  <c r="X53" i="16"/>
  <c r="W53" i="16"/>
  <c r="V53" i="16"/>
  <c r="U53" i="16"/>
  <c r="AA52" i="16"/>
  <c r="Z52" i="16"/>
  <c r="Y52" i="16"/>
  <c r="X52" i="16"/>
  <c r="W52" i="16"/>
  <c r="V52" i="16"/>
  <c r="U52" i="16"/>
  <c r="AA51" i="16"/>
  <c r="Z51" i="16"/>
  <c r="Y51" i="16"/>
  <c r="X51" i="16"/>
  <c r="W51" i="16"/>
  <c r="V51" i="16"/>
  <c r="U51" i="16"/>
  <c r="AA50" i="16"/>
  <c r="Z50" i="16"/>
  <c r="Y50" i="16"/>
  <c r="X50" i="16"/>
  <c r="W50" i="16"/>
  <c r="V50" i="16"/>
  <c r="U50" i="16"/>
  <c r="AA49" i="16"/>
  <c r="Y49" i="16"/>
  <c r="X49" i="16"/>
  <c r="W49" i="16"/>
  <c r="V49" i="16"/>
  <c r="U49" i="16"/>
  <c r="AB49" i="16"/>
  <c r="AB50" i="16"/>
  <c r="AB51" i="16"/>
  <c r="AB52" i="16"/>
  <c r="AB53" i="16"/>
  <c r="AB54" i="16"/>
  <c r="AB56" i="16"/>
  <c r="AB57" i="16"/>
  <c r="S72" i="16"/>
  <c r="T72" i="16" s="1"/>
  <c r="U72" i="16" s="1"/>
  <c r="V72" i="16" s="1"/>
  <c r="W72" i="16" s="1"/>
  <c r="S48" i="16"/>
  <c r="T48" i="16" s="1"/>
  <c r="U48" i="16" s="1"/>
  <c r="V48" i="16" s="1"/>
  <c r="W48" i="16" s="1"/>
  <c r="X48" i="16" s="1"/>
  <c r="Y48" i="16" s="1"/>
  <c r="Z48" i="16" s="1"/>
  <c r="AA48" i="16" s="1"/>
  <c r="AB48" i="16" s="1"/>
  <c r="S36" i="16"/>
  <c r="S28" i="16"/>
  <c r="T28" i="16" s="1"/>
  <c r="U28" i="16" s="1"/>
  <c r="V28" i="16" s="1"/>
  <c r="W28" i="16" s="1"/>
  <c r="X28" i="16" s="1"/>
  <c r="Y28" i="16" s="1"/>
  <c r="Z28" i="16" s="1"/>
  <c r="AA28" i="16" s="1"/>
  <c r="AB28" i="16" s="1"/>
  <c r="S61" i="16"/>
  <c r="T61" i="16" s="1"/>
  <c r="U61" i="16" s="1"/>
  <c r="V61" i="16" s="1"/>
  <c r="W61" i="16" s="1"/>
  <c r="X61" i="16" s="1"/>
  <c r="Y61" i="16" s="1"/>
  <c r="Z61" i="16" s="1"/>
  <c r="AA61" i="16" s="1"/>
  <c r="AB61" i="16" s="1"/>
  <c r="T57" i="16"/>
  <c r="S57" i="16"/>
  <c r="R57" i="16"/>
  <c r="T56" i="16"/>
  <c r="S56" i="16"/>
  <c r="R56" i="16"/>
  <c r="T55" i="16"/>
  <c r="S55" i="16"/>
  <c r="R55" i="16"/>
  <c r="T54" i="16"/>
  <c r="S54" i="16"/>
  <c r="R54" i="16"/>
  <c r="T53" i="16"/>
  <c r="S53" i="16"/>
  <c r="R53" i="16"/>
  <c r="T52" i="16"/>
  <c r="S52" i="16"/>
  <c r="R52" i="16"/>
  <c r="T51" i="16"/>
  <c r="S51" i="16"/>
  <c r="R51" i="16"/>
  <c r="T50" i="16"/>
  <c r="S50" i="16"/>
  <c r="R50" i="16"/>
  <c r="T49" i="16"/>
  <c r="S49" i="16"/>
  <c r="R49" i="16"/>
  <c r="Y39" i="16"/>
  <c r="AA25" i="16"/>
  <c r="S18" i="16"/>
  <c r="T18" i="16" s="1"/>
  <c r="U18" i="16" s="1"/>
  <c r="V18" i="16" s="1"/>
  <c r="W18" i="16" s="1"/>
  <c r="X18" i="16" s="1"/>
  <c r="Y18" i="16" s="1"/>
  <c r="Z18" i="16" s="1"/>
  <c r="AA18" i="16" s="1"/>
  <c r="AB18" i="16" s="1"/>
  <c r="S3" i="16"/>
  <c r="T3" i="16" s="1"/>
  <c r="U3" i="16" s="1"/>
  <c r="V3" i="16" s="1"/>
  <c r="R74" i="16" l="1"/>
  <c r="S74" i="16"/>
  <c r="Z74" i="16"/>
  <c r="D19" i="16"/>
  <c r="C19" i="16"/>
  <c r="Q25" i="16"/>
  <c r="D20" i="16"/>
  <c r="C20" i="16"/>
  <c r="D24" i="16"/>
  <c r="C24" i="16"/>
  <c r="D21" i="16"/>
  <c r="C21" i="16"/>
  <c r="D49" i="16"/>
  <c r="Q58" i="16"/>
  <c r="C49" i="16"/>
  <c r="Q74" i="16"/>
  <c r="C50" i="16"/>
  <c r="D50" i="16"/>
  <c r="C51" i="16"/>
  <c r="D51" i="16"/>
  <c r="D52" i="16"/>
  <c r="C52" i="16"/>
  <c r="D53" i="16"/>
  <c r="C53" i="16"/>
  <c r="C54" i="16"/>
  <c r="D54" i="16"/>
  <c r="C55" i="16"/>
  <c r="D55" i="16"/>
  <c r="D56" i="16"/>
  <c r="C56" i="16"/>
  <c r="D57" i="16"/>
  <c r="C57" i="16"/>
  <c r="D22" i="16"/>
  <c r="C22" i="16"/>
  <c r="T74" i="16"/>
  <c r="T39" i="16"/>
  <c r="X39" i="16"/>
  <c r="U39" i="16"/>
  <c r="AB25" i="16"/>
  <c r="S39" i="16"/>
  <c r="W39" i="16"/>
  <c r="V74" i="16"/>
  <c r="W74" i="16"/>
  <c r="X72" i="16"/>
  <c r="W3" i="16"/>
  <c r="V25" i="16"/>
  <c r="V39" i="16"/>
  <c r="U25" i="16"/>
  <c r="T36" i="16"/>
  <c r="R58" i="16"/>
  <c r="S58" i="16"/>
  <c r="AB58" i="16"/>
  <c r="U58" i="16"/>
  <c r="U74" i="16"/>
  <c r="AA58" i="16"/>
  <c r="V58" i="16"/>
  <c r="Y74" i="16"/>
  <c r="X74" i="16"/>
  <c r="Y58" i="16"/>
  <c r="Z58" i="16"/>
  <c r="W25" i="16"/>
  <c r="X25" i="16"/>
  <c r="W58" i="16"/>
  <c r="S25" i="16"/>
  <c r="T25" i="16"/>
  <c r="T58" i="16"/>
  <c r="X58" i="16"/>
  <c r="W77" i="16"/>
  <c r="X77" i="16"/>
  <c r="T44" i="16"/>
  <c r="V14" i="16"/>
  <c r="S77" i="16"/>
  <c r="U14" i="16"/>
  <c r="S44" i="16"/>
  <c r="R14" i="16"/>
  <c r="W14" i="16"/>
  <c r="V77" i="16"/>
  <c r="U77" i="16"/>
  <c r="R44" i="16"/>
  <c r="T14" i="16"/>
  <c r="S14" i="16"/>
  <c r="T77" i="16"/>
  <c r="R77" i="16"/>
  <c r="D74" i="16" l="1"/>
  <c r="C74" i="16"/>
  <c r="C76" i="16" s="1"/>
  <c r="D25" i="16"/>
  <c r="C39" i="16"/>
  <c r="D39" i="16"/>
  <c r="D58" i="16"/>
  <c r="C25" i="16"/>
  <c r="C58" i="16"/>
  <c r="Y72" i="16"/>
  <c r="X3" i="16"/>
  <c r="U36" i="16"/>
  <c r="Y77" i="16"/>
  <c r="X14" i="16"/>
  <c r="U44" i="16"/>
  <c r="Z72" i="16" l="1"/>
  <c r="Y3" i="16"/>
  <c r="V36" i="16"/>
  <c r="V44" i="16"/>
  <c r="Y14" i="16"/>
  <c r="Z77" i="16"/>
  <c r="AA72" i="16" l="1"/>
  <c r="Z3" i="16"/>
  <c r="W36" i="16"/>
  <c r="AA77" i="16"/>
  <c r="Z14" i="16"/>
  <c r="W44" i="16"/>
  <c r="AB72" i="16" l="1"/>
  <c r="AA3" i="16"/>
  <c r="X36" i="16"/>
  <c r="AB77" i="16"/>
  <c r="AA14" i="16"/>
  <c r="D77" i="16"/>
  <c r="X44" i="16"/>
  <c r="AB3" i="16" l="1"/>
  <c r="Y36" i="16"/>
  <c r="D14" i="16"/>
  <c r="Y44" i="16"/>
  <c r="AB14" i="16"/>
  <c r="BB9" i="16" l="1"/>
  <c r="BC10" i="16"/>
  <c r="Z36" i="16"/>
  <c r="Z44" i="16"/>
  <c r="AA36" i="16" l="1"/>
  <c r="AA44" i="16"/>
  <c r="AB36" i="16" l="1"/>
  <c r="AB44" i="16"/>
  <c r="D44" i="16"/>
  <c r="BC39" i="16" l="1"/>
  <c r="BC38" i="16"/>
  <c r="BB38" i="16"/>
  <c r="BB40" i="16"/>
  <c r="C52" i="25" l="1"/>
  <c r="K36" i="22" l="1"/>
  <c r="I23" i="22" l="1"/>
  <c r="C33" i="22" l="1"/>
  <c r="C52" i="22" s="1"/>
  <c r="C56" i="22" s="1"/>
  <c r="H9" i="22" s="1"/>
  <c r="C59" i="22" l="1"/>
  <c r="I24" i="20" l="1"/>
  <c r="G38" i="25" l="1"/>
  <c r="G38" i="22"/>
  <c r="I38" i="20"/>
  <c r="G38" i="21"/>
  <c r="G29" i="18" l="1"/>
  <c r="H29" i="18"/>
  <c r="I29" i="18"/>
  <c r="K29" i="18"/>
  <c r="L29" i="18"/>
  <c r="M29" i="18"/>
  <c r="G30" i="18"/>
  <c r="H30" i="18"/>
  <c r="I30" i="18"/>
  <c r="K30" i="18"/>
  <c r="L30" i="18"/>
  <c r="M30" i="18"/>
  <c r="I38" i="25" l="1"/>
  <c r="I24" i="25"/>
  <c r="I38" i="24"/>
  <c r="I24" i="24"/>
  <c r="I25" i="24"/>
  <c r="I38" i="22"/>
  <c r="I24" i="22"/>
  <c r="I25" i="22"/>
  <c r="I38" i="23"/>
  <c r="I24" i="23"/>
  <c r="I38" i="5"/>
  <c r="I24" i="5"/>
  <c r="AZ39" i="16" l="1"/>
  <c r="BA39" i="16"/>
  <c r="AZ40" i="16"/>
  <c r="BA40" i="16"/>
  <c r="AY40" i="16"/>
  <c r="AY39" i="16"/>
  <c r="AX40" i="16"/>
  <c r="BE39" i="16"/>
  <c r="BE40" i="16"/>
  <c r="BA10" i="16" l="1"/>
  <c r="AZ10" i="16"/>
  <c r="AY10" i="16"/>
  <c r="AX10" i="16"/>
  <c r="BE10" i="16"/>
  <c r="B12" i="30" l="1"/>
  <c r="B9" i="30"/>
  <c r="C129" i="3"/>
  <c r="C162" i="6"/>
  <c r="B13" i="30" l="1"/>
  <c r="B11" i="30"/>
  <c r="B10" i="30"/>
  <c r="B8" i="30"/>
  <c r="B16" i="30"/>
  <c r="B7" i="30"/>
  <c r="C4" i="30"/>
  <c r="C16" i="30" s="1"/>
  <c r="D4" i="30" l="1"/>
  <c r="C7" i="30"/>
  <c r="D16" i="30" l="1"/>
  <c r="D7" i="30"/>
  <c r="E4" i="30"/>
  <c r="E16" i="30" s="1"/>
  <c r="F4" i="30" l="1"/>
  <c r="F16" i="30" s="1"/>
  <c r="E7" i="30"/>
  <c r="F7" i="30" l="1"/>
  <c r="G4" i="30"/>
  <c r="G16" i="30" l="1"/>
  <c r="G7" i="30"/>
  <c r="H4" i="30"/>
  <c r="H16" i="30" l="1"/>
  <c r="H7" i="30"/>
  <c r="I4" i="30"/>
  <c r="I16" i="30" l="1"/>
  <c r="I7" i="30"/>
  <c r="J4" i="30"/>
  <c r="J16" i="30" l="1"/>
  <c r="J7" i="30"/>
  <c r="K4" i="30"/>
  <c r="K16" i="30" l="1"/>
  <c r="K7" i="30"/>
  <c r="L4" i="30"/>
  <c r="L16" i="30" l="1"/>
  <c r="L7" i="30"/>
  <c r="M4" i="30"/>
  <c r="M16" i="30" l="1"/>
  <c r="M7" i="30"/>
  <c r="N4" i="30"/>
  <c r="N7" i="30" s="1"/>
  <c r="N16" i="30" l="1"/>
  <c r="G32" i="21" l="1"/>
  <c r="C1" i="19" l="1"/>
  <c r="C1" i="21" s="1"/>
  <c r="AX69" i="16"/>
  <c r="BB72" i="16" s="1"/>
  <c r="C43" i="25"/>
  <c r="C56" i="25" s="1"/>
  <c r="C27" i="25"/>
  <c r="C22" i="25"/>
  <c r="C20" i="25"/>
  <c r="C17" i="25"/>
  <c r="C14" i="25"/>
  <c r="C11" i="25"/>
  <c r="C7" i="25"/>
  <c r="C43" i="24"/>
  <c r="C56" i="24" s="1"/>
  <c r="H9" i="24" s="1"/>
  <c r="C27" i="24"/>
  <c r="C20" i="24"/>
  <c r="C17" i="24"/>
  <c r="C14" i="24"/>
  <c r="C11" i="24"/>
  <c r="C7" i="24"/>
  <c r="C27" i="22"/>
  <c r="C22" i="22"/>
  <c r="C20" i="22"/>
  <c r="C17" i="22"/>
  <c r="C14" i="22"/>
  <c r="C11" i="22"/>
  <c r="C52" i="23"/>
  <c r="C56" i="23" s="1"/>
  <c r="C27" i="23"/>
  <c r="C22" i="23"/>
  <c r="C20" i="23"/>
  <c r="C17" i="23"/>
  <c r="C14" i="23"/>
  <c r="C11" i="23"/>
  <c r="C7" i="23"/>
  <c r="C43" i="20"/>
  <c r="C56" i="20" s="1"/>
  <c r="C59" i="20" s="1"/>
  <c r="C27" i="20"/>
  <c r="C22" i="20"/>
  <c r="C20" i="20"/>
  <c r="C17" i="20"/>
  <c r="C14" i="20"/>
  <c r="C11" i="20"/>
  <c r="C7" i="20"/>
  <c r="C27" i="21"/>
  <c r="C22" i="21"/>
  <c r="C20" i="21"/>
  <c r="C17" i="21"/>
  <c r="C14" i="21"/>
  <c r="C11" i="21"/>
  <c r="C7" i="21"/>
  <c r="C14" i="19"/>
  <c r="C1485" i="25"/>
  <c r="M42" i="25"/>
  <c r="G44" i="25"/>
  <c r="I44" i="25" s="1"/>
  <c r="M41" i="25"/>
  <c r="G43" i="25"/>
  <c r="I43" i="25" s="1"/>
  <c r="K40" i="25"/>
  <c r="M40" i="25" s="1"/>
  <c r="G42" i="25"/>
  <c r="I42" i="25" s="1"/>
  <c r="K39" i="25"/>
  <c r="G41" i="25"/>
  <c r="I41" i="25" s="1"/>
  <c r="G40" i="25"/>
  <c r="I40" i="25" s="1"/>
  <c r="K37" i="25"/>
  <c r="G39" i="25"/>
  <c r="I39" i="25" s="1"/>
  <c r="G37" i="25"/>
  <c r="G32" i="25"/>
  <c r="I31" i="25"/>
  <c r="I30" i="25"/>
  <c r="K28" i="25"/>
  <c r="K30" i="25" s="1"/>
  <c r="I29" i="25"/>
  <c r="M27" i="25"/>
  <c r="I28" i="25"/>
  <c r="M26" i="25"/>
  <c r="I27" i="25"/>
  <c r="M25" i="25"/>
  <c r="I26" i="25"/>
  <c r="M24" i="25"/>
  <c r="I25" i="25"/>
  <c r="M23" i="25"/>
  <c r="I23" i="25"/>
  <c r="H11" i="25"/>
  <c r="L11" i="25" s="1"/>
  <c r="H10" i="25"/>
  <c r="K10" i="25" s="1"/>
  <c r="C1485" i="24"/>
  <c r="M42" i="24"/>
  <c r="I44" i="24"/>
  <c r="M41" i="24"/>
  <c r="I43" i="24"/>
  <c r="K40" i="24"/>
  <c r="M40" i="24" s="1"/>
  <c r="I42" i="24"/>
  <c r="K39" i="24"/>
  <c r="I41" i="24"/>
  <c r="I40" i="24"/>
  <c r="I39" i="24"/>
  <c r="I37" i="24"/>
  <c r="G32" i="24"/>
  <c r="I31" i="24"/>
  <c r="I30" i="24"/>
  <c r="K28" i="24"/>
  <c r="K30" i="24" s="1"/>
  <c r="I29" i="24"/>
  <c r="M27" i="24"/>
  <c r="I28" i="24"/>
  <c r="M26" i="24"/>
  <c r="I27" i="24"/>
  <c r="M25" i="24"/>
  <c r="I26" i="24"/>
  <c r="M24" i="24"/>
  <c r="M23" i="24"/>
  <c r="I23" i="24"/>
  <c r="H11" i="24"/>
  <c r="L11" i="24" s="1"/>
  <c r="H10" i="24"/>
  <c r="K10" i="24" s="1"/>
  <c r="C1485" i="23"/>
  <c r="M42" i="23"/>
  <c r="I44" i="23"/>
  <c r="M41" i="23"/>
  <c r="I43" i="23"/>
  <c r="K40" i="23"/>
  <c r="M40" i="23" s="1"/>
  <c r="I42" i="23"/>
  <c r="K39" i="23"/>
  <c r="I41" i="23"/>
  <c r="K38" i="23"/>
  <c r="I40" i="23"/>
  <c r="I39" i="23"/>
  <c r="G32" i="23"/>
  <c r="I31" i="23"/>
  <c r="I30" i="23"/>
  <c r="K28" i="23"/>
  <c r="K30" i="23" s="1"/>
  <c r="I29" i="23"/>
  <c r="I28" i="23"/>
  <c r="I27" i="23"/>
  <c r="M25" i="23"/>
  <c r="I26" i="23"/>
  <c r="M24" i="23"/>
  <c r="I25" i="23"/>
  <c r="M23" i="23"/>
  <c r="I23" i="23"/>
  <c r="H11" i="23"/>
  <c r="L11" i="23" s="1"/>
  <c r="H10" i="23"/>
  <c r="K10" i="23" s="1"/>
  <c r="C1485" i="22"/>
  <c r="M42" i="22"/>
  <c r="G44" i="22"/>
  <c r="M41" i="22"/>
  <c r="G43" i="22"/>
  <c r="I43" i="22" s="1"/>
  <c r="K40" i="22"/>
  <c r="G42" i="22"/>
  <c r="I42" i="22" s="1"/>
  <c r="K39" i="22"/>
  <c r="G41" i="22"/>
  <c r="I41" i="22" s="1"/>
  <c r="K38" i="22"/>
  <c r="G40" i="22"/>
  <c r="I40" i="22" s="1"/>
  <c r="K37" i="22"/>
  <c r="G39" i="22"/>
  <c r="I39" i="22" s="1"/>
  <c r="G37" i="22"/>
  <c r="I37" i="22" s="1"/>
  <c r="G32" i="22"/>
  <c r="I31" i="22"/>
  <c r="I30" i="22"/>
  <c r="K28" i="22"/>
  <c r="K30" i="22" s="1"/>
  <c r="I29" i="22"/>
  <c r="M27" i="22"/>
  <c r="I28" i="22"/>
  <c r="M26" i="22"/>
  <c r="I27" i="22"/>
  <c r="M25" i="22"/>
  <c r="I26" i="22"/>
  <c r="M24" i="22"/>
  <c r="M23" i="22"/>
  <c r="H11" i="22"/>
  <c r="L11" i="22" s="1"/>
  <c r="H10" i="22"/>
  <c r="K10" i="22" s="1"/>
  <c r="C1485" i="21"/>
  <c r="M42" i="21"/>
  <c r="G44" i="21"/>
  <c r="M41" i="21"/>
  <c r="G43" i="21"/>
  <c r="M40" i="21"/>
  <c r="G42" i="21"/>
  <c r="K39" i="21"/>
  <c r="G41" i="21"/>
  <c r="G40" i="21"/>
  <c r="G39" i="21"/>
  <c r="G37" i="21"/>
  <c r="G34" i="21"/>
  <c r="K28" i="21"/>
  <c r="K30" i="21" s="1"/>
  <c r="H11" i="21"/>
  <c r="L11" i="21" s="1"/>
  <c r="H10" i="21"/>
  <c r="K10" i="21" s="1"/>
  <c r="C1485" i="20"/>
  <c r="M42" i="20"/>
  <c r="G44" i="20"/>
  <c r="M41" i="20"/>
  <c r="G43" i="20"/>
  <c r="I43" i="20" s="1"/>
  <c r="K40" i="20"/>
  <c r="M40" i="20" s="1"/>
  <c r="G42" i="20"/>
  <c r="I42" i="20" s="1"/>
  <c r="K39" i="20"/>
  <c r="G41" i="20"/>
  <c r="I41" i="20" s="1"/>
  <c r="K38" i="20"/>
  <c r="G40" i="20"/>
  <c r="I40" i="20" s="1"/>
  <c r="K37" i="20"/>
  <c r="G39" i="20"/>
  <c r="I39" i="20" s="1"/>
  <c r="K36" i="20"/>
  <c r="I37" i="20"/>
  <c r="G32" i="20"/>
  <c r="I31" i="20"/>
  <c r="I30" i="20"/>
  <c r="K28" i="20"/>
  <c r="K30" i="20" s="1"/>
  <c r="I29" i="20"/>
  <c r="M27" i="20"/>
  <c r="I28" i="20"/>
  <c r="M26" i="20"/>
  <c r="I27" i="20"/>
  <c r="M25" i="20"/>
  <c r="I26" i="20"/>
  <c r="M24" i="20"/>
  <c r="I25" i="20"/>
  <c r="M23" i="20"/>
  <c r="I23" i="20"/>
  <c r="H11" i="20"/>
  <c r="L11" i="20" s="1"/>
  <c r="H10" i="20"/>
  <c r="K10" i="20" s="1"/>
  <c r="C1485" i="19"/>
  <c r="G32" i="19"/>
  <c r="K28" i="19"/>
  <c r="C27" i="19"/>
  <c r="C22" i="19"/>
  <c r="C20" i="19"/>
  <c r="C17" i="19"/>
  <c r="L11" i="19"/>
  <c r="C11" i="19"/>
  <c r="C7" i="19"/>
  <c r="C30" i="24" l="1"/>
  <c r="C32" i="24" s="1"/>
  <c r="C34" i="24" s="1"/>
  <c r="H7" i="24" s="1"/>
  <c r="K30" i="19"/>
  <c r="AR56" i="16" s="1"/>
  <c r="AR54" i="16"/>
  <c r="C30" i="22"/>
  <c r="C32" i="22" s="1"/>
  <c r="C34" i="22" s="1"/>
  <c r="C30" i="23"/>
  <c r="C32" i="23" s="1"/>
  <c r="C34" i="23" s="1"/>
  <c r="H7" i="23" s="1"/>
  <c r="I7" i="23" s="1"/>
  <c r="I14" i="23" s="1"/>
  <c r="I52" i="23" s="1"/>
  <c r="BC73" i="16"/>
  <c r="BB71" i="16"/>
  <c r="BC70" i="16"/>
  <c r="C30" i="25"/>
  <c r="C32" i="25" s="1"/>
  <c r="H9" i="23"/>
  <c r="C30" i="21"/>
  <c r="C32" i="21" s="1"/>
  <c r="C34" i="21" s="1"/>
  <c r="H7" i="21" s="1"/>
  <c r="C30" i="19"/>
  <c r="C32" i="19" s="1"/>
  <c r="C34" i="19" s="1"/>
  <c r="H7" i="19" s="1"/>
  <c r="M39" i="25"/>
  <c r="M40" i="22"/>
  <c r="G34" i="25"/>
  <c r="G34" i="24"/>
  <c r="G34" i="22"/>
  <c r="G34" i="23"/>
  <c r="G34" i="20"/>
  <c r="G34" i="19"/>
  <c r="M37" i="25"/>
  <c r="M38" i="25"/>
  <c r="M37" i="24"/>
  <c r="M39" i="24"/>
  <c r="M38" i="24"/>
  <c r="M37" i="22"/>
  <c r="M38" i="22"/>
  <c r="M39" i="22"/>
  <c r="M38" i="23"/>
  <c r="M37" i="23"/>
  <c r="M39" i="23"/>
  <c r="M38" i="20"/>
  <c r="M37" i="20"/>
  <c r="M39" i="20"/>
  <c r="F1" i="19"/>
  <c r="C59" i="21"/>
  <c r="C1" i="20"/>
  <c r="F1" i="21"/>
  <c r="C59" i="24"/>
  <c r="C59" i="25"/>
  <c r="M28" i="23"/>
  <c r="K53" i="23" s="1"/>
  <c r="I20" i="30" s="1"/>
  <c r="M28" i="24"/>
  <c r="K53" i="24" s="1"/>
  <c r="K20" i="30" s="1"/>
  <c r="M28" i="19"/>
  <c r="K43" i="19"/>
  <c r="K45" i="19" s="1"/>
  <c r="K43" i="20"/>
  <c r="K45" i="20" s="1"/>
  <c r="I32" i="21"/>
  <c r="I32" i="22"/>
  <c r="I33" i="22" s="1"/>
  <c r="I32" i="23"/>
  <c r="I33" i="23" s="1"/>
  <c r="K43" i="23"/>
  <c r="K47" i="23" s="1"/>
  <c r="K43" i="24"/>
  <c r="K47" i="24" s="1"/>
  <c r="M20" i="30"/>
  <c r="I32" i="19"/>
  <c r="G45" i="21"/>
  <c r="G45" i="23"/>
  <c r="C30" i="20"/>
  <c r="M28" i="25"/>
  <c r="M29" i="25" s="1"/>
  <c r="K43" i="25"/>
  <c r="K47" i="25" s="1"/>
  <c r="I32" i="25"/>
  <c r="I53" i="25" s="1"/>
  <c r="G45" i="25"/>
  <c r="I37" i="25"/>
  <c r="I45" i="25" s="1"/>
  <c r="H53" i="25" s="1"/>
  <c r="I32" i="24"/>
  <c r="I33" i="24" s="1"/>
  <c r="M28" i="22"/>
  <c r="K53" i="22" s="1"/>
  <c r="J20" i="30" s="1"/>
  <c r="K43" i="22"/>
  <c r="K47" i="22" s="1"/>
  <c r="G45" i="22"/>
  <c r="G47" i="22" s="1"/>
  <c r="I37" i="23"/>
  <c r="I45" i="23" s="1"/>
  <c r="M28" i="20"/>
  <c r="M29" i="20" s="1"/>
  <c r="I32" i="20"/>
  <c r="I53" i="20" s="1"/>
  <c r="G45" i="20"/>
  <c r="M28" i="21"/>
  <c r="K43" i="21"/>
  <c r="K47" i="21" s="1"/>
  <c r="I45" i="21"/>
  <c r="H53" i="21" s="1"/>
  <c r="I45" i="19"/>
  <c r="H53" i="19" s="1"/>
  <c r="I45" i="24"/>
  <c r="M36" i="25"/>
  <c r="M36" i="24"/>
  <c r="G45" i="24"/>
  <c r="I44" i="22"/>
  <c r="I45" i="22" s="1"/>
  <c r="H53" i="22" s="1"/>
  <c r="M36" i="23"/>
  <c r="M36" i="22"/>
  <c r="I44" i="20"/>
  <c r="I45" i="20" s="1"/>
  <c r="M36" i="20"/>
  <c r="G45" i="19"/>
  <c r="AR58" i="16" l="1"/>
  <c r="C61" i="22"/>
  <c r="H7" i="22"/>
  <c r="G47" i="23"/>
  <c r="K5" i="23"/>
  <c r="K53" i="19"/>
  <c r="F20" i="30" s="1"/>
  <c r="AT54" i="16"/>
  <c r="F1" i="20"/>
  <c r="C1" i="44"/>
  <c r="F1" i="44" s="1"/>
  <c r="K9" i="23"/>
  <c r="K12" i="23" s="1"/>
  <c r="H12" i="23"/>
  <c r="I7" i="22"/>
  <c r="C61" i="21"/>
  <c r="G47" i="20"/>
  <c r="K5" i="20"/>
  <c r="L5" i="20" s="1"/>
  <c r="C32" i="20"/>
  <c r="C34" i="20" s="1"/>
  <c r="M29" i="21"/>
  <c r="K53" i="21"/>
  <c r="G20" i="30" s="1"/>
  <c r="G47" i="21"/>
  <c r="K5" i="21"/>
  <c r="K9" i="21" s="1"/>
  <c r="I53" i="21"/>
  <c r="G11" i="30" s="1"/>
  <c r="I53" i="19"/>
  <c r="F11" i="30" s="1"/>
  <c r="K5" i="19"/>
  <c r="K9" i="19" s="1"/>
  <c r="C61" i="19"/>
  <c r="C63" i="19" s="1"/>
  <c r="C34" i="25"/>
  <c r="C61" i="25" s="1"/>
  <c r="C63" i="25" s="1"/>
  <c r="K5" i="25"/>
  <c r="L5" i="25" s="1"/>
  <c r="G47" i="25"/>
  <c r="C61" i="24"/>
  <c r="M17" i="30"/>
  <c r="M43" i="25"/>
  <c r="J53" i="25" s="1"/>
  <c r="L17" i="30" s="1"/>
  <c r="F8" i="30"/>
  <c r="M43" i="22"/>
  <c r="M44" i="22" s="1"/>
  <c r="M43" i="24"/>
  <c r="M44" i="24" s="1"/>
  <c r="M43" i="20"/>
  <c r="M44" i="20" s="1"/>
  <c r="M43" i="21"/>
  <c r="M43" i="23"/>
  <c r="M43" i="19"/>
  <c r="M44" i="19" s="1"/>
  <c r="C1" i="23"/>
  <c r="F1" i="23" s="1"/>
  <c r="C59" i="23"/>
  <c r="M29" i="22"/>
  <c r="N20" i="30"/>
  <c r="I33" i="19"/>
  <c r="K53" i="20"/>
  <c r="H20" i="30" s="1"/>
  <c r="I53" i="22"/>
  <c r="K53" i="25"/>
  <c r="L20" i="30" s="1"/>
  <c r="M29" i="19"/>
  <c r="AT55" i="16" s="1"/>
  <c r="M29" i="23"/>
  <c r="I33" i="21"/>
  <c r="I46" i="21"/>
  <c r="I33" i="20"/>
  <c r="L5" i="23"/>
  <c r="L9" i="23" s="1"/>
  <c r="L12" i="23" s="1"/>
  <c r="C63" i="22"/>
  <c r="I33" i="25"/>
  <c r="I53" i="23"/>
  <c r="M29" i="24"/>
  <c r="I53" i="24"/>
  <c r="K5" i="22"/>
  <c r="K9" i="22" s="1"/>
  <c r="H9" i="25"/>
  <c r="I46" i="25"/>
  <c r="I46" i="24"/>
  <c r="H53" i="24"/>
  <c r="G47" i="24"/>
  <c r="K5" i="24"/>
  <c r="I46" i="22"/>
  <c r="J7" i="23"/>
  <c r="H53" i="23"/>
  <c r="I46" i="23"/>
  <c r="I46" i="20"/>
  <c r="H53" i="20"/>
  <c r="H9" i="20"/>
  <c r="G47" i="19"/>
  <c r="J7" i="19"/>
  <c r="I7" i="19"/>
  <c r="I14" i="19" s="1"/>
  <c r="I52" i="19" s="1"/>
  <c r="H12" i="19"/>
  <c r="I46" i="19"/>
  <c r="J61" i="25" l="1"/>
  <c r="AT58" i="16"/>
  <c r="K9" i="20"/>
  <c r="K12" i="20" s="1"/>
  <c r="H52" i="20" s="1"/>
  <c r="L5" i="19"/>
  <c r="L9" i="19" s="1"/>
  <c r="L12" i="19" s="1"/>
  <c r="L5" i="24"/>
  <c r="L9" i="24" s="1"/>
  <c r="L12" i="24" s="1"/>
  <c r="K9" i="24"/>
  <c r="K12" i="24" s="1"/>
  <c r="H52" i="24" s="1"/>
  <c r="L5" i="22"/>
  <c r="L9" i="22" s="1"/>
  <c r="L12" i="22" s="1"/>
  <c r="L14" i="22" s="1"/>
  <c r="J19" i="30" s="1"/>
  <c r="K12" i="22"/>
  <c r="J53" i="23"/>
  <c r="I17" i="30" s="1"/>
  <c r="H7" i="20"/>
  <c r="J7" i="20" s="1"/>
  <c r="J14" i="20" s="1"/>
  <c r="K52" i="20" s="1"/>
  <c r="K55" i="20" s="1"/>
  <c r="C61" i="20"/>
  <c r="C63" i="20" s="1"/>
  <c r="L5" i="21"/>
  <c r="L9" i="21" s="1"/>
  <c r="L12" i="21" s="1"/>
  <c r="M44" i="21"/>
  <c r="J53" i="21"/>
  <c r="G17" i="30" s="1"/>
  <c r="J53" i="19"/>
  <c r="L53" i="19" s="1"/>
  <c r="H7" i="25"/>
  <c r="C63" i="24"/>
  <c r="M44" i="25"/>
  <c r="L53" i="25"/>
  <c r="J7" i="22"/>
  <c r="J14" i="22" s="1"/>
  <c r="I14" i="22"/>
  <c r="I52" i="22" s="1"/>
  <c r="I55" i="22" s="1"/>
  <c r="AU7" i="16" s="1"/>
  <c r="H12" i="22"/>
  <c r="H14" i="22" s="1"/>
  <c r="H15" i="22" s="1"/>
  <c r="C61" i="23"/>
  <c r="C63" i="23" s="1"/>
  <c r="J53" i="24"/>
  <c r="K17" i="30" s="1"/>
  <c r="J53" i="22"/>
  <c r="J17" i="30" s="1"/>
  <c r="M44" i="23"/>
  <c r="J53" i="20"/>
  <c r="H17" i="30" s="1"/>
  <c r="N22" i="30"/>
  <c r="G8" i="30"/>
  <c r="K8" i="30"/>
  <c r="J8" i="30"/>
  <c r="N8" i="30"/>
  <c r="I8" i="30"/>
  <c r="M8" i="30"/>
  <c r="H8" i="30"/>
  <c r="L8" i="30"/>
  <c r="I55" i="23"/>
  <c r="AS7" i="16" s="1"/>
  <c r="C1" i="22"/>
  <c r="C1" i="24" s="1"/>
  <c r="C1" i="25" s="1"/>
  <c r="I55" i="19"/>
  <c r="AP7" i="16" s="1"/>
  <c r="F13" i="30"/>
  <c r="N17" i="30"/>
  <c r="K12" i="19"/>
  <c r="H52" i="19" s="1"/>
  <c r="H12" i="24"/>
  <c r="K9" i="25"/>
  <c r="K12" i="25" s="1"/>
  <c r="H52" i="25" s="1"/>
  <c r="H12" i="25"/>
  <c r="L9" i="25"/>
  <c r="L12" i="25" s="1"/>
  <c r="H14" i="23"/>
  <c r="J52" i="23"/>
  <c r="J15" i="23"/>
  <c r="J14" i="23"/>
  <c r="H12" i="20"/>
  <c r="L9" i="20"/>
  <c r="L12" i="20" s="1"/>
  <c r="K12" i="21"/>
  <c r="H12" i="21"/>
  <c r="H14" i="21" s="1"/>
  <c r="J15" i="19"/>
  <c r="J14" i="19"/>
  <c r="H14" i="19"/>
  <c r="H15" i="19" s="1"/>
  <c r="J61" i="24" l="1"/>
  <c r="J61" i="20"/>
  <c r="H22" i="30"/>
  <c r="I7" i="20"/>
  <c r="I14" i="20" s="1"/>
  <c r="I52" i="20" s="1"/>
  <c r="I55" i="20" s="1"/>
  <c r="AR7" i="16" s="1"/>
  <c r="J61" i="21"/>
  <c r="H14" i="25"/>
  <c r="H15" i="25" s="1"/>
  <c r="L53" i="23"/>
  <c r="H52" i="22"/>
  <c r="H55" i="22" s="1"/>
  <c r="AU6" i="16" s="1"/>
  <c r="J61" i="22"/>
  <c r="C63" i="21"/>
  <c r="H15" i="21"/>
  <c r="I7" i="21"/>
  <c r="I14" i="21" s="1"/>
  <c r="I52" i="21" s="1"/>
  <c r="J7" i="21"/>
  <c r="J52" i="19"/>
  <c r="J55" i="19" s="1"/>
  <c r="L14" i="19"/>
  <c r="F19" i="30" s="1"/>
  <c r="F17" i="30"/>
  <c r="I7" i="25"/>
  <c r="I14" i="25" s="1"/>
  <c r="I52" i="25" s="1"/>
  <c r="I55" i="25" s="1"/>
  <c r="AW7" i="16" s="1"/>
  <c r="J7" i="25"/>
  <c r="J15" i="22"/>
  <c r="J7" i="24"/>
  <c r="I7" i="24"/>
  <c r="I14" i="24" s="1"/>
  <c r="I52" i="24" s="1"/>
  <c r="I55" i="24" s="1"/>
  <c r="AV7" i="16" s="1"/>
  <c r="L53" i="24"/>
  <c r="L53" i="22"/>
  <c r="K14" i="22"/>
  <c r="L15" i="22" s="1"/>
  <c r="L53" i="20"/>
  <c r="L53" i="21"/>
  <c r="M22" i="30"/>
  <c r="K52" i="23"/>
  <c r="I22" i="30"/>
  <c r="F1" i="22"/>
  <c r="J52" i="22"/>
  <c r="J55" i="22" s="1"/>
  <c r="K52" i="19"/>
  <c r="K55" i="19" s="1"/>
  <c r="F22" i="30"/>
  <c r="K14" i="19"/>
  <c r="J52" i="25"/>
  <c r="J55" i="25" s="1"/>
  <c r="L14" i="25"/>
  <c r="L19" i="30" s="1"/>
  <c r="K14" i="25"/>
  <c r="H14" i="24"/>
  <c r="H15" i="24" s="1"/>
  <c r="M19" i="30"/>
  <c r="K14" i="24"/>
  <c r="J52" i="24"/>
  <c r="J55" i="24" s="1"/>
  <c r="L14" i="24"/>
  <c r="K19" i="30" s="1"/>
  <c r="K14" i="23"/>
  <c r="H52" i="23"/>
  <c r="H15" i="23"/>
  <c r="J55" i="23"/>
  <c r="L14" i="23"/>
  <c r="I19" i="30" s="1"/>
  <c r="H14" i="20"/>
  <c r="H15" i="20" s="1"/>
  <c r="J52" i="21"/>
  <c r="J55" i="21" s="1"/>
  <c r="L14" i="21"/>
  <c r="G19" i="30" s="1"/>
  <c r="J52" i="20"/>
  <c r="J55" i="20" s="1"/>
  <c r="L14" i="20"/>
  <c r="H19" i="30" s="1"/>
  <c r="K14" i="20"/>
  <c r="K14" i="21"/>
  <c r="G10" i="30" s="1"/>
  <c r="H52" i="21"/>
  <c r="H55" i="21" s="1"/>
  <c r="AQ6" i="16" s="1"/>
  <c r="J15" i="20" l="1"/>
  <c r="H55" i="23"/>
  <c r="AS6" i="16" s="1"/>
  <c r="L52" i="23"/>
  <c r="L54" i="23" s="1"/>
  <c r="J15" i="21"/>
  <c r="J14" i="21"/>
  <c r="G13" i="30"/>
  <c r="I55" i="21"/>
  <c r="AQ7" i="16" s="1"/>
  <c r="H55" i="25"/>
  <c r="AW6" i="16" s="1"/>
  <c r="J15" i="25"/>
  <c r="J14" i="25"/>
  <c r="J14" i="24"/>
  <c r="J15" i="24"/>
  <c r="I56" i="22"/>
  <c r="K55" i="23"/>
  <c r="H55" i="20"/>
  <c r="AR6" i="16" s="1"/>
  <c r="L52" i="20"/>
  <c r="L54" i="20" s="1"/>
  <c r="L52" i="19"/>
  <c r="L54" i="19" s="1"/>
  <c r="H55" i="24"/>
  <c r="AV6" i="16" s="1"/>
  <c r="H55" i="19"/>
  <c r="AP6" i="16" s="1"/>
  <c r="N19" i="30"/>
  <c r="K52" i="22"/>
  <c r="K55" i="22" s="1"/>
  <c r="J22" i="30"/>
  <c r="L15" i="19"/>
  <c r="F10" i="30"/>
  <c r="K56" i="19"/>
  <c r="L15" i="25"/>
  <c r="L15" i="24"/>
  <c r="L15" i="23"/>
  <c r="L15" i="20"/>
  <c r="K56" i="20"/>
  <c r="L15" i="21"/>
  <c r="I31" i="5"/>
  <c r="I30" i="5"/>
  <c r="I29" i="5"/>
  <c r="I28" i="5"/>
  <c r="I27" i="5"/>
  <c r="I26" i="5"/>
  <c r="I25" i="5"/>
  <c r="I23" i="5"/>
  <c r="BC8" i="16" l="1"/>
  <c r="BB8" i="16"/>
  <c r="I56" i="23"/>
  <c r="I56" i="20"/>
  <c r="G59" i="20" s="1"/>
  <c r="K56" i="23"/>
  <c r="K52" i="21"/>
  <c r="G22" i="30"/>
  <c r="I56" i="25"/>
  <c r="K52" i="25"/>
  <c r="L22" i="30"/>
  <c r="L55" i="22"/>
  <c r="K52" i="24"/>
  <c r="K22" i="30"/>
  <c r="L52" i="22"/>
  <c r="L54" i="22" s="1"/>
  <c r="L55" i="23"/>
  <c r="L55" i="20"/>
  <c r="L56" i="20" s="1"/>
  <c r="L55" i="19"/>
  <c r="L56" i="19" s="1"/>
  <c r="I56" i="19"/>
  <c r="G59" i="19" s="1"/>
  <c r="K56" i="22"/>
  <c r="G59" i="22" s="1"/>
  <c r="I56" i="24"/>
  <c r="I56" i="21"/>
  <c r="G59" i="23" l="1"/>
  <c r="K55" i="21"/>
  <c r="L52" i="21"/>
  <c r="L54" i="21" s="1"/>
  <c r="L56" i="22"/>
  <c r="K55" i="25"/>
  <c r="L52" i="25"/>
  <c r="L54" i="25" s="1"/>
  <c r="K55" i="24"/>
  <c r="L52" i="24"/>
  <c r="L54" i="24" s="1"/>
  <c r="L56" i="23"/>
  <c r="K56" i="21" l="1"/>
  <c r="G59" i="21" s="1"/>
  <c r="L55" i="21"/>
  <c r="L56" i="21" s="1"/>
  <c r="K56" i="25"/>
  <c r="G59" i="25" s="1"/>
  <c r="L55" i="25"/>
  <c r="L56" i="25" s="1"/>
  <c r="K56" i="24"/>
  <c r="G59" i="24" s="1"/>
  <c r="L55" i="24"/>
  <c r="L56" i="24" s="1"/>
  <c r="L26" i="18"/>
  <c r="L18" i="18"/>
  <c r="L14" i="18"/>
  <c r="L6" i="18"/>
  <c r="L3" i="18"/>
  <c r="K25" i="18"/>
  <c r="K17" i="18"/>
  <c r="K13" i="18"/>
  <c r="M28" i="18"/>
  <c r="M27" i="18"/>
  <c r="M26" i="18"/>
  <c r="M25" i="18"/>
  <c r="M20" i="18"/>
  <c r="M19" i="18"/>
  <c r="M18" i="18"/>
  <c r="M17" i="18"/>
  <c r="M16" i="18"/>
  <c r="M15" i="18"/>
  <c r="M14" i="18"/>
  <c r="M13" i="18"/>
  <c r="K2" i="18"/>
  <c r="I28" i="18"/>
  <c r="I27" i="18"/>
  <c r="I26" i="18"/>
  <c r="I25" i="18"/>
  <c r="I20" i="18"/>
  <c r="I19" i="18"/>
  <c r="I18" i="18"/>
  <c r="I17" i="18"/>
  <c r="I16" i="18"/>
  <c r="I15" i="18"/>
  <c r="I14" i="18"/>
  <c r="I13" i="18"/>
  <c r="H28" i="18"/>
  <c r="H27" i="18"/>
  <c r="H26" i="18"/>
  <c r="H25" i="18"/>
  <c r="H20" i="18"/>
  <c r="H19" i="18"/>
  <c r="H18" i="18"/>
  <c r="H17" i="18"/>
  <c r="H16" i="18"/>
  <c r="H15" i="18"/>
  <c r="H14" i="18"/>
  <c r="H13" i="18"/>
  <c r="M10" i="18"/>
  <c r="M9" i="18"/>
  <c r="M8" i="18"/>
  <c r="M7" i="18"/>
  <c r="M6" i="18"/>
  <c r="M5" i="18"/>
  <c r="M4" i="18"/>
  <c r="M3" i="18"/>
  <c r="M2" i="18"/>
  <c r="I10" i="18"/>
  <c r="I9" i="18"/>
  <c r="I8" i="18"/>
  <c r="I7" i="18"/>
  <c r="I6" i="18"/>
  <c r="I5" i="18"/>
  <c r="I4" i="18"/>
  <c r="I3" i="18"/>
  <c r="I2" i="18"/>
  <c r="H10" i="18"/>
  <c r="H9" i="18"/>
  <c r="H8" i="18"/>
  <c r="H7" i="18"/>
  <c r="H6" i="18"/>
  <c r="H5" i="18"/>
  <c r="H4" i="18"/>
  <c r="H3" i="18"/>
  <c r="H2" i="18"/>
  <c r="G2" i="18"/>
  <c r="G3" i="18"/>
  <c r="G4" i="18"/>
  <c r="G5" i="18"/>
  <c r="G6" i="18"/>
  <c r="G7" i="18"/>
  <c r="G8" i="18"/>
  <c r="G9" i="18"/>
  <c r="G10" i="18"/>
  <c r="G13" i="18"/>
  <c r="G14" i="18"/>
  <c r="G15" i="18"/>
  <c r="G16" i="18"/>
  <c r="G17" i="18"/>
  <c r="G18" i="18"/>
  <c r="G19" i="18"/>
  <c r="G20" i="18"/>
  <c r="G26" i="18"/>
  <c r="G27" i="18"/>
  <c r="G28" i="18"/>
  <c r="G25" i="18"/>
  <c r="F260" i="7" l="1"/>
  <c r="F282" i="10" l="1"/>
  <c r="C238" i="10"/>
  <c r="C127" i="3" l="1"/>
  <c r="C160" i="6"/>
  <c r="N15" i="13"/>
  <c r="N14" i="13"/>
  <c r="N16" i="13" l="1"/>
  <c r="Q141" i="3" l="1"/>
  <c r="R140" i="3"/>
  <c r="R133" i="3"/>
  <c r="R132" i="3"/>
  <c r="S178" i="6"/>
  <c r="T177" i="6"/>
  <c r="S176" i="6"/>
  <c r="T173" i="6"/>
  <c r="T168" i="6"/>
  <c r="T167" i="6"/>
  <c r="T170" i="6" l="1"/>
  <c r="E293" i="7" l="1"/>
  <c r="E292" i="7"/>
  <c r="E290" i="7"/>
  <c r="E289" i="7"/>
  <c r="E288" i="7"/>
  <c r="E55" i="14"/>
  <c r="E53" i="14"/>
  <c r="E52" i="14"/>
  <c r="M42" i="5"/>
  <c r="M41" i="5"/>
  <c r="M27" i="5"/>
  <c r="M26" i="5"/>
  <c r="M25" i="5"/>
  <c r="M24" i="5"/>
  <c r="M23" i="5"/>
  <c r="L10" i="18" l="1"/>
  <c r="L9" i="18"/>
  <c r="K10" i="18"/>
  <c r="C291" i="7"/>
  <c r="E291" i="7" s="1"/>
  <c r="C287" i="7"/>
  <c r="E287" i="7" s="1"/>
  <c r="C286" i="7"/>
  <c r="A46" i="14"/>
  <c r="C54" i="14"/>
  <c r="E54" i="14" s="1"/>
  <c r="C157" i="6"/>
  <c r="C156" i="6"/>
  <c r="C192" i="9"/>
  <c r="C191" i="9"/>
  <c r="C190" i="9"/>
  <c r="C189" i="9"/>
  <c r="I188" i="9"/>
  <c r="J189" i="9" s="1"/>
  <c r="C188" i="9"/>
  <c r="C187" i="9"/>
  <c r="C186" i="9"/>
  <c r="C185" i="9"/>
  <c r="A290" i="10"/>
  <c r="G293" i="10" s="1"/>
  <c r="E303" i="10"/>
  <c r="E305" i="10" s="1"/>
  <c r="C299" i="10"/>
  <c r="C297" i="10"/>
  <c r="C295" i="10"/>
  <c r="C294" i="10"/>
  <c r="C293" i="10"/>
  <c r="C292" i="10"/>
  <c r="C124" i="3"/>
  <c r="C123" i="3"/>
  <c r="Q130" i="3" s="1"/>
  <c r="C122" i="3"/>
  <c r="C121" i="3"/>
  <c r="K9" i="18" l="1"/>
  <c r="BC74" i="16"/>
  <c r="C295" i="7"/>
  <c r="C297" i="7" s="1"/>
  <c r="E286" i="7"/>
  <c r="E295" i="7" s="1"/>
  <c r="C303" i="10"/>
  <c r="C305" i="10" s="1"/>
  <c r="C193" i="9"/>
  <c r="C195" i="9" s="1"/>
  <c r="G49" i="14"/>
  <c r="D61" i="14"/>
  <c r="J190" i="9"/>
  <c r="D308" i="10"/>
  <c r="I297" i="10"/>
  <c r="J297" i="10"/>
  <c r="E39" i="14" l="1"/>
  <c r="A266" i="7"/>
  <c r="A284" i="7" s="1"/>
  <c r="A112" i="3"/>
  <c r="A120" i="3" s="1"/>
  <c r="A167" i="9"/>
  <c r="A183" i="9" s="1"/>
  <c r="G186" i="9" s="1"/>
  <c r="A126" i="3" l="1"/>
  <c r="D299" i="7"/>
  <c r="G287" i="7"/>
  <c r="D281" i="7"/>
  <c r="E277" i="7"/>
  <c r="G269" i="7"/>
  <c r="C277" i="7"/>
  <c r="C279" i="7" s="1"/>
  <c r="G170" i="9"/>
  <c r="I172" i="9"/>
  <c r="D287" i="10"/>
  <c r="G272" i="10"/>
  <c r="A118" i="3"/>
  <c r="C116" i="3"/>
  <c r="C115" i="3"/>
  <c r="C114" i="3"/>
  <c r="C113" i="3"/>
  <c r="J173" i="9" l="1"/>
  <c r="J174" i="9" s="1"/>
  <c r="C177" i="9"/>
  <c r="C179" i="9" s="1"/>
  <c r="E282" i="10"/>
  <c r="E284" i="10" s="1"/>
  <c r="C282" i="10"/>
  <c r="C284" i="10" s="1"/>
  <c r="E40" i="14"/>
  <c r="D43" i="14"/>
  <c r="C39" i="14"/>
  <c r="C41" i="14" s="1"/>
  <c r="G31" i="14"/>
  <c r="C147" i="6"/>
  <c r="I276" i="10" l="1"/>
  <c r="J276" i="10"/>
  <c r="C148" i="6" l="1"/>
  <c r="C138" i="6"/>
  <c r="A107" i="3"/>
  <c r="C105" i="3"/>
  <c r="C104" i="3"/>
  <c r="C103" i="3"/>
  <c r="C102" i="3"/>
  <c r="D264" i="10"/>
  <c r="G249" i="10"/>
  <c r="G154" i="9"/>
  <c r="A141" i="6"/>
  <c r="A146" i="6" s="1"/>
  <c r="A150" i="6" s="1"/>
  <c r="A155" i="6" s="1"/>
  <c r="A159" i="6" s="1"/>
  <c r="C139" i="6"/>
  <c r="D263" i="7"/>
  <c r="G251" i="7"/>
  <c r="E21" i="14"/>
  <c r="P118" i="14"/>
  <c r="D25" i="14"/>
  <c r="C21" i="14"/>
  <c r="C23" i="14" s="1"/>
  <c r="G13" i="14"/>
  <c r="E259" i="10" l="1"/>
  <c r="E261" i="10" s="1"/>
  <c r="J253" i="10" s="1"/>
  <c r="E161" i="9"/>
  <c r="I156" i="9" s="1"/>
  <c r="C259" i="7"/>
  <c r="C261" i="7" s="1"/>
  <c r="C259" i="10"/>
  <c r="C261" i="10" s="1"/>
  <c r="C161" i="9"/>
  <c r="C163" i="9" s="1"/>
  <c r="E259" i="7"/>
  <c r="J157" i="9" l="1"/>
  <c r="J158" i="9" s="1"/>
  <c r="M13" i="13"/>
  <c r="D243" i="7"/>
  <c r="G231" i="7"/>
  <c r="A101" i="12"/>
  <c r="C99" i="12"/>
  <c r="C98" i="12"/>
  <c r="C97" i="12"/>
  <c r="T99" i="12" s="1"/>
  <c r="A128" i="6"/>
  <c r="C126" i="6"/>
  <c r="D68" i="9"/>
  <c r="D84" i="9" s="1"/>
  <c r="D100" i="9" s="1"/>
  <c r="D116" i="9" s="1"/>
  <c r="D132" i="9" s="1"/>
  <c r="D148" i="9" s="1"/>
  <c r="D164" i="9" s="1"/>
  <c r="D180" i="9" s="1"/>
  <c r="D196" i="9" s="1"/>
  <c r="G138" i="9"/>
  <c r="D243" i="10"/>
  <c r="G228" i="10"/>
  <c r="A99" i="3"/>
  <c r="C97" i="3"/>
  <c r="C96" i="3"/>
  <c r="C95" i="3"/>
  <c r="C94" i="3"/>
  <c r="S99" i="12" l="1"/>
  <c r="C239" i="7"/>
  <c r="C241" i="7" s="1"/>
  <c r="C145" i="9"/>
  <c r="C147" i="9" s="1"/>
  <c r="C240" i="10"/>
  <c r="E238" i="10"/>
  <c r="E240" i="10" s="1"/>
  <c r="E239" i="7"/>
  <c r="E145" i="9"/>
  <c r="I140" i="9" s="1"/>
  <c r="D225" i="7"/>
  <c r="G213" i="7"/>
  <c r="A93" i="12"/>
  <c r="C91" i="12"/>
  <c r="C90" i="12"/>
  <c r="C89" i="12"/>
  <c r="T91" i="12" s="1"/>
  <c r="A119" i="6"/>
  <c r="C117" i="6"/>
  <c r="G122" i="9"/>
  <c r="D222" i="10"/>
  <c r="G207" i="10"/>
  <c r="A91" i="3"/>
  <c r="C89" i="3"/>
  <c r="C88" i="3"/>
  <c r="C87" i="3"/>
  <c r="C86" i="3"/>
  <c r="S91" i="12" l="1"/>
  <c r="J235" i="7"/>
  <c r="J141" i="9"/>
  <c r="J142" i="9" s="1"/>
  <c r="J232" i="10"/>
  <c r="E129" i="9"/>
  <c r="I124" i="9" s="1"/>
  <c r="J125" i="9" s="1"/>
  <c r="J126" i="9" s="1"/>
  <c r="C221" i="7"/>
  <c r="C223" i="7" s="1"/>
  <c r="E221" i="7"/>
  <c r="C129" i="9"/>
  <c r="C131" i="9" s="1"/>
  <c r="E217" i="10"/>
  <c r="E219" i="10" s="1"/>
  <c r="C217" i="10"/>
  <c r="C219" i="10" s="1"/>
  <c r="D207" i="7"/>
  <c r="G195" i="7"/>
  <c r="A85" i="12"/>
  <c r="C83" i="12"/>
  <c r="C82" i="12"/>
  <c r="C81" i="12"/>
  <c r="A110" i="6"/>
  <c r="C108" i="6"/>
  <c r="G106" i="9"/>
  <c r="D201" i="10"/>
  <c r="G186" i="10"/>
  <c r="K13" i="13"/>
  <c r="A83" i="3"/>
  <c r="C81" i="3"/>
  <c r="C80" i="3"/>
  <c r="C79" i="3"/>
  <c r="C78" i="3"/>
  <c r="G159" i="7"/>
  <c r="D189" i="7"/>
  <c r="G177" i="7"/>
  <c r="A77" i="12"/>
  <c r="C75" i="12"/>
  <c r="C74" i="12"/>
  <c r="C73" i="12"/>
  <c r="T75" i="12" s="1"/>
  <c r="A101" i="6"/>
  <c r="C99" i="6"/>
  <c r="G90" i="9"/>
  <c r="G165" i="10"/>
  <c r="A75" i="3"/>
  <c r="C73" i="3"/>
  <c r="C72" i="3"/>
  <c r="C71" i="3"/>
  <c r="C70" i="3"/>
  <c r="J217" i="7" l="1"/>
  <c r="J211" i="10"/>
  <c r="E203" i="7"/>
  <c r="E196" i="10"/>
  <c r="E198" i="10" s="1"/>
  <c r="C203" i="7"/>
  <c r="C205" i="7" s="1"/>
  <c r="T83" i="12"/>
  <c r="S83" i="12"/>
  <c r="E113" i="9"/>
  <c r="I108" i="9" s="1"/>
  <c r="C113" i="9"/>
  <c r="C115" i="9" s="1"/>
  <c r="C196" i="10"/>
  <c r="C198" i="10" s="1"/>
  <c r="S75" i="12"/>
  <c r="E185" i="7"/>
  <c r="J181" i="7" s="1"/>
  <c r="E97" i="9"/>
  <c r="C185" i="7"/>
  <c r="C187" i="7" s="1"/>
  <c r="C97" i="9"/>
  <c r="C99" i="9" s="1"/>
  <c r="E175" i="10"/>
  <c r="E177" i="10" s="1"/>
  <c r="C175" i="10"/>
  <c r="C177" i="10" s="1"/>
  <c r="C20" i="5"/>
  <c r="C17" i="5"/>
  <c r="C14" i="5"/>
  <c r="C11" i="5"/>
  <c r="C7" i="5"/>
  <c r="D171" i="7"/>
  <c r="A69" i="12"/>
  <c r="C67" i="12"/>
  <c r="C66" i="12"/>
  <c r="C65" i="12"/>
  <c r="S67" i="12" s="1"/>
  <c r="A92" i="6"/>
  <c r="C90" i="6"/>
  <c r="G74" i="9"/>
  <c r="D159" i="10"/>
  <c r="G144" i="10"/>
  <c r="A67" i="3"/>
  <c r="C65" i="3"/>
  <c r="C64" i="3"/>
  <c r="C63" i="3"/>
  <c r="C62" i="3"/>
  <c r="J199" i="7" l="1"/>
  <c r="J190" i="10"/>
  <c r="J109" i="9"/>
  <c r="J110" i="9" s="1"/>
  <c r="I92" i="9"/>
  <c r="J93" i="9" s="1"/>
  <c r="J94" i="9" s="1"/>
  <c r="J169" i="10"/>
  <c r="T67" i="12"/>
  <c r="E167" i="7"/>
  <c r="J163" i="7" s="1"/>
  <c r="C167" i="7"/>
  <c r="C169" i="7" s="1"/>
  <c r="E81" i="9"/>
  <c r="I76" i="9" s="1"/>
  <c r="E154" i="10"/>
  <c r="E156" i="10" s="1"/>
  <c r="J148" i="10" s="1"/>
  <c r="C81" i="9"/>
  <c r="C83" i="9" s="1"/>
  <c r="C154" i="10"/>
  <c r="C156" i="10" s="1"/>
  <c r="D153" i="7"/>
  <c r="G141" i="7"/>
  <c r="A61" i="12"/>
  <c r="C59" i="12"/>
  <c r="C58" i="12"/>
  <c r="C57" i="12"/>
  <c r="T59" i="12" s="1"/>
  <c r="A83" i="6"/>
  <c r="C81" i="6"/>
  <c r="G58" i="9"/>
  <c r="D138" i="10"/>
  <c r="G123" i="10"/>
  <c r="A59" i="3"/>
  <c r="C57" i="3"/>
  <c r="C56" i="3"/>
  <c r="C55" i="3"/>
  <c r="C54" i="3"/>
  <c r="J77" i="9" l="1"/>
  <c r="J78" i="9" s="1"/>
  <c r="S59" i="12"/>
  <c r="C149" i="7"/>
  <c r="C151" i="7" s="1"/>
  <c r="E149" i="7"/>
  <c r="C65" i="9"/>
  <c r="C67" i="9" s="1"/>
  <c r="E133" i="10"/>
  <c r="E135" i="10" s="1"/>
  <c r="J127" i="10" s="1"/>
  <c r="E65" i="9"/>
  <c r="C133" i="10"/>
  <c r="C135" i="10" s="1"/>
  <c r="E131" i="7"/>
  <c r="J145" i="7" l="1"/>
  <c r="I60" i="9"/>
  <c r="J61" i="9" l="1"/>
  <c r="J62" i="9" s="1"/>
  <c r="D135" i="7"/>
  <c r="G123" i="7"/>
  <c r="A53" i="12"/>
  <c r="C51" i="12"/>
  <c r="C50" i="12"/>
  <c r="C49" i="12"/>
  <c r="S51" i="12" s="1"/>
  <c r="A74" i="6"/>
  <c r="C72" i="6"/>
  <c r="D52" i="9"/>
  <c r="G42" i="9"/>
  <c r="D117" i="10"/>
  <c r="G102" i="10"/>
  <c r="A51" i="3"/>
  <c r="C49" i="3"/>
  <c r="C48" i="3"/>
  <c r="C47" i="3"/>
  <c r="C46" i="3"/>
  <c r="C131" i="7" l="1"/>
  <c r="C133" i="7" s="1"/>
  <c r="C112" i="10"/>
  <c r="C114" i="10" s="1"/>
  <c r="E112" i="10"/>
  <c r="E114" i="10" s="1"/>
  <c r="T51" i="12"/>
  <c r="E49" i="9"/>
  <c r="I44" i="9" s="1"/>
  <c r="J45" i="9" s="1"/>
  <c r="J46" i="9" s="1"/>
  <c r="J127" i="7"/>
  <c r="C49" i="9"/>
  <c r="C51" i="9" s="1"/>
  <c r="F13" i="13"/>
  <c r="F7" i="13"/>
  <c r="R14" i="3"/>
  <c r="J106" i="10" l="1"/>
  <c r="D117" i="7" l="1"/>
  <c r="E112" i="7"/>
  <c r="E111" i="7"/>
  <c r="E110" i="7"/>
  <c r="E109" i="7"/>
  <c r="E108" i="7"/>
  <c r="E107" i="7"/>
  <c r="E106" i="7"/>
  <c r="G105" i="7"/>
  <c r="E105" i="7"/>
  <c r="A45" i="12"/>
  <c r="C43" i="12"/>
  <c r="C42" i="12"/>
  <c r="C41" i="12"/>
  <c r="A65" i="6"/>
  <c r="C63" i="6"/>
  <c r="D36" i="9"/>
  <c r="G26" i="9"/>
  <c r="D96" i="10"/>
  <c r="G81" i="10"/>
  <c r="C91" i="10"/>
  <c r="C93" i="10" s="1"/>
  <c r="A43" i="3"/>
  <c r="C41" i="3"/>
  <c r="C40" i="3"/>
  <c r="C39" i="3"/>
  <c r="C38" i="3"/>
  <c r="C44" i="12" l="1"/>
  <c r="T41" i="12" s="1"/>
  <c r="C113" i="7"/>
  <c r="C115" i="7" s="1"/>
  <c r="E104" i="7"/>
  <c r="E113" i="7" s="1"/>
  <c r="E33" i="9"/>
  <c r="T43" i="12"/>
  <c r="S43" i="12"/>
  <c r="C33" i="9"/>
  <c r="C35" i="9" s="1"/>
  <c r="E91" i="10"/>
  <c r="E93" i="10" s="1"/>
  <c r="E63" i="10"/>
  <c r="E65" i="10"/>
  <c r="E67" i="10"/>
  <c r="E68" i="10"/>
  <c r="A37" i="12"/>
  <c r="C35" i="12"/>
  <c r="C34" i="12"/>
  <c r="C33" i="12"/>
  <c r="S41" i="12" l="1"/>
  <c r="T44" i="12"/>
  <c r="S45" i="12"/>
  <c r="I28" i="9"/>
  <c r="J29" i="9" s="1"/>
  <c r="J109" i="7"/>
  <c r="J85" i="10"/>
  <c r="T35" i="12"/>
  <c r="S35" i="12"/>
  <c r="D20" i="9"/>
  <c r="E16" i="9"/>
  <c r="E15" i="9"/>
  <c r="E14" i="9"/>
  <c r="E13" i="9"/>
  <c r="E12" i="9"/>
  <c r="E11" i="9"/>
  <c r="G10" i="9"/>
  <c r="E10" i="9"/>
  <c r="E9" i="9"/>
  <c r="D99" i="7"/>
  <c r="E94" i="7"/>
  <c r="E93" i="7"/>
  <c r="E92" i="7"/>
  <c r="E91" i="7"/>
  <c r="E90" i="7"/>
  <c r="E89" i="7"/>
  <c r="E88" i="7"/>
  <c r="G87" i="7"/>
  <c r="E87" i="7"/>
  <c r="E86" i="7"/>
  <c r="A56" i="6"/>
  <c r="C54" i="6"/>
  <c r="D75" i="10"/>
  <c r="E66" i="10"/>
  <c r="E64" i="10"/>
  <c r="E62" i="10"/>
  <c r="E61" i="10"/>
  <c r="G60" i="10"/>
  <c r="E60" i="10"/>
  <c r="E59" i="10"/>
  <c r="C11" i="3"/>
  <c r="A35" i="3"/>
  <c r="C33" i="3"/>
  <c r="C32" i="3"/>
  <c r="C31" i="3"/>
  <c r="C30" i="3"/>
  <c r="J30" i="9" l="1"/>
  <c r="E70" i="10"/>
  <c r="E17" i="9"/>
  <c r="E20" i="9" s="1"/>
  <c r="E36" i="9" s="1"/>
  <c r="E52" i="9" s="1"/>
  <c r="E68" i="9" s="1"/>
  <c r="E84" i="9" s="1"/>
  <c r="E100" i="9" s="1"/>
  <c r="E116" i="9" s="1"/>
  <c r="E132" i="9" s="1"/>
  <c r="E148" i="9" s="1"/>
  <c r="E164" i="9" s="1"/>
  <c r="E180" i="9" s="1"/>
  <c r="E196" i="9" s="1"/>
  <c r="E95" i="7"/>
  <c r="J91" i="7" s="1"/>
  <c r="C17" i="9"/>
  <c r="C19" i="9" s="1"/>
  <c r="C95" i="7"/>
  <c r="C97" i="7" s="1"/>
  <c r="C70" i="10"/>
  <c r="C72" i="10" s="1"/>
  <c r="E70" i="7"/>
  <c r="E71" i="7"/>
  <c r="E72" i="7"/>
  <c r="E73" i="7"/>
  <c r="E74" i="7"/>
  <c r="E75" i="7"/>
  <c r="E76" i="7"/>
  <c r="H196" i="9"/>
  <c r="I12" i="9" l="1"/>
  <c r="E26" i="10"/>
  <c r="E28" i="10" s="1"/>
  <c r="A30" i="12"/>
  <c r="C28" i="12"/>
  <c r="C27" i="12"/>
  <c r="C26" i="12"/>
  <c r="D54" i="10"/>
  <c r="E47" i="10"/>
  <c r="E46" i="10"/>
  <c r="E45" i="10"/>
  <c r="E44" i="10"/>
  <c r="E43" i="10"/>
  <c r="E42" i="10"/>
  <c r="E40" i="10"/>
  <c r="G39" i="10"/>
  <c r="A27" i="3"/>
  <c r="C25" i="3"/>
  <c r="C24" i="3"/>
  <c r="C23" i="3"/>
  <c r="C22" i="3"/>
  <c r="D81" i="7"/>
  <c r="G69" i="7"/>
  <c r="E69" i="7"/>
  <c r="G51" i="7"/>
  <c r="D63" i="7"/>
  <c r="E60" i="7"/>
  <c r="E57" i="7"/>
  <c r="E56" i="7"/>
  <c r="E55" i="7"/>
  <c r="E54" i="7"/>
  <c r="E53" i="7"/>
  <c r="E52" i="7"/>
  <c r="J13" i="9" l="1"/>
  <c r="J14" i="9" s="1"/>
  <c r="E59" i="7"/>
  <c r="J55" i="7" s="1"/>
  <c r="E49" i="10"/>
  <c r="C77" i="7"/>
  <c r="C79" i="7" s="1"/>
  <c r="E68" i="7"/>
  <c r="E77" i="7" s="1"/>
  <c r="J73" i="7" s="1"/>
  <c r="C59" i="7"/>
  <c r="C61" i="7" s="1"/>
  <c r="C49" i="10"/>
  <c r="C51" i="10" s="1"/>
  <c r="T28" i="12"/>
  <c r="S28" i="12"/>
  <c r="A47" i="6"/>
  <c r="C45" i="6"/>
  <c r="N38" i="6"/>
  <c r="N47" i="6" s="1"/>
  <c r="N56" i="6" s="1"/>
  <c r="N65" i="6" s="1"/>
  <c r="N74" i="6" s="1"/>
  <c r="N83" i="6" s="1"/>
  <c r="N92" i="6" s="1"/>
  <c r="N101" i="6" s="1"/>
  <c r="N110" i="6" s="1"/>
  <c r="N119" i="6" s="1"/>
  <c r="N128" i="6" s="1"/>
  <c r="M38" i="6"/>
  <c r="M47" i="6" s="1"/>
  <c r="M56" i="6" s="1"/>
  <c r="M65" i="6" s="1"/>
  <c r="M74" i="6" s="1"/>
  <c r="M83" i="6" s="1"/>
  <c r="M92" i="6" s="1"/>
  <c r="M101" i="6" s="1"/>
  <c r="M110" i="6" s="1"/>
  <c r="M119" i="6" s="1"/>
  <c r="M128" i="6" s="1"/>
  <c r="A38" i="6"/>
  <c r="C36" i="6"/>
  <c r="C13" i="13"/>
  <c r="L13" i="13"/>
  <c r="J13" i="13"/>
  <c r="I13" i="13"/>
  <c r="H13" i="13"/>
  <c r="G13" i="13"/>
  <c r="E13" i="13"/>
  <c r="D13" i="13"/>
  <c r="B13" i="13"/>
  <c r="N7" i="13"/>
  <c r="M7" i="13"/>
  <c r="L7" i="13"/>
  <c r="K7" i="13"/>
  <c r="J7" i="13"/>
  <c r="I7" i="13"/>
  <c r="H7" i="13"/>
  <c r="G7" i="13"/>
  <c r="E7" i="13"/>
  <c r="D7" i="13"/>
  <c r="C7" i="13"/>
  <c r="B7" i="13"/>
  <c r="M132" i="6" l="1"/>
  <c r="M141" i="6" s="1"/>
  <c r="M150" i="6" s="1"/>
  <c r="M159" i="6" s="1"/>
  <c r="M161" i="6" s="1"/>
  <c r="N132" i="6"/>
  <c r="N141" i="6" s="1"/>
  <c r="N150" i="6" s="1"/>
  <c r="N159" i="6" s="1"/>
  <c r="N161" i="6" s="1"/>
  <c r="G61" i="7"/>
  <c r="E62" i="7"/>
  <c r="J54" i="7" s="1"/>
  <c r="I57" i="7" s="1"/>
  <c r="J58" i="7" l="1"/>
  <c r="A23" i="12" l="1"/>
  <c r="C21" i="12"/>
  <c r="C20" i="12"/>
  <c r="C19" i="12"/>
  <c r="A29" i="6"/>
  <c r="C27" i="6"/>
  <c r="D31" i="10"/>
  <c r="G16" i="10"/>
  <c r="A19" i="3"/>
  <c r="C17" i="3"/>
  <c r="C16" i="3"/>
  <c r="C15" i="3"/>
  <c r="C14" i="3"/>
  <c r="T14" i="12"/>
  <c r="S14" i="12"/>
  <c r="N16" i="12"/>
  <c r="N23" i="12" s="1"/>
  <c r="N30" i="12" s="1"/>
  <c r="N37" i="12" s="1"/>
  <c r="N45" i="12" s="1"/>
  <c r="N53" i="12" s="1"/>
  <c r="N61" i="12" s="1"/>
  <c r="N69" i="12" s="1"/>
  <c r="N77" i="12" s="1"/>
  <c r="N85" i="12" s="1"/>
  <c r="N93" i="12" s="1"/>
  <c r="N101" i="12" s="1"/>
  <c r="M16" i="12"/>
  <c r="M23" i="12" s="1"/>
  <c r="M30" i="12" s="1"/>
  <c r="M37" i="12" s="1"/>
  <c r="M45" i="12" s="1"/>
  <c r="M53" i="12" s="1"/>
  <c r="M61" i="12" s="1"/>
  <c r="M69" i="12" s="1"/>
  <c r="M77" i="12" s="1"/>
  <c r="M85" i="12" s="1"/>
  <c r="M93" i="12" s="1"/>
  <c r="M101" i="12" s="1"/>
  <c r="L16" i="12"/>
  <c r="L23" i="12" s="1"/>
  <c r="L30" i="12" s="1"/>
  <c r="L37" i="12" s="1"/>
  <c r="L45" i="12" s="1"/>
  <c r="L53" i="12" s="1"/>
  <c r="L61" i="12" s="1"/>
  <c r="L69" i="12" s="1"/>
  <c r="L77" i="12" s="1"/>
  <c r="L85" i="12" s="1"/>
  <c r="L93" i="12" s="1"/>
  <c r="L101" i="12" s="1"/>
  <c r="K16" i="12"/>
  <c r="K23" i="12" s="1"/>
  <c r="K30" i="12" s="1"/>
  <c r="K37" i="12" s="1"/>
  <c r="K45" i="12" s="1"/>
  <c r="K53" i="12" s="1"/>
  <c r="K61" i="12" s="1"/>
  <c r="K69" i="12" s="1"/>
  <c r="K77" i="12" s="1"/>
  <c r="K85" i="12" s="1"/>
  <c r="K93" i="12" s="1"/>
  <c r="K101" i="12" s="1"/>
  <c r="J16" i="12"/>
  <c r="J23" i="12" s="1"/>
  <c r="J30" i="12" s="1"/>
  <c r="J37" i="12" s="1"/>
  <c r="J45" i="12" s="1"/>
  <c r="J53" i="12" s="1"/>
  <c r="J61" i="12" s="1"/>
  <c r="J69" i="12" s="1"/>
  <c r="J77" i="12" s="1"/>
  <c r="J85" i="12" s="1"/>
  <c r="J93" i="12" s="1"/>
  <c r="J101" i="12" s="1"/>
  <c r="I16" i="12"/>
  <c r="I23" i="12" s="1"/>
  <c r="I30" i="12" s="1"/>
  <c r="I37" i="12" s="1"/>
  <c r="I45" i="12" s="1"/>
  <c r="I53" i="12" s="1"/>
  <c r="I61" i="12" s="1"/>
  <c r="I69" i="12" s="1"/>
  <c r="I77" i="12" s="1"/>
  <c r="I85" i="12" s="1"/>
  <c r="I93" i="12" s="1"/>
  <c r="I101" i="12" s="1"/>
  <c r="G16" i="12"/>
  <c r="G23" i="12" s="1"/>
  <c r="G30" i="12" s="1"/>
  <c r="G37" i="12" s="1"/>
  <c r="G45" i="12" s="1"/>
  <c r="G53" i="12" s="1"/>
  <c r="G61" i="12" s="1"/>
  <c r="G69" i="12" s="1"/>
  <c r="G77" i="12" s="1"/>
  <c r="G85" i="12" s="1"/>
  <c r="G93" i="12" s="1"/>
  <c r="G101" i="12" s="1"/>
  <c r="F16" i="12"/>
  <c r="F23" i="12" s="1"/>
  <c r="F30" i="12" s="1"/>
  <c r="F37" i="12" s="1"/>
  <c r="F45" i="12" s="1"/>
  <c r="F53" i="12" s="1"/>
  <c r="F61" i="12" s="1"/>
  <c r="F69" i="12" s="1"/>
  <c r="F77" i="12" s="1"/>
  <c r="F85" i="12" s="1"/>
  <c r="F93" i="12" s="1"/>
  <c r="F101" i="12" s="1"/>
  <c r="C17" i="6"/>
  <c r="T17" i="6"/>
  <c r="C26" i="10" l="1"/>
  <c r="C28" i="10" s="1"/>
  <c r="T21" i="12"/>
  <c r="S21" i="12"/>
  <c r="S16" i="12"/>
  <c r="T15" i="12"/>
  <c r="C16" i="12"/>
  <c r="T12" i="12"/>
  <c r="S12" i="12"/>
  <c r="H11" i="6"/>
  <c r="E11" i="6" s="1"/>
  <c r="H10" i="6"/>
  <c r="H22" i="12" l="1"/>
  <c r="C22" i="12" s="1"/>
  <c r="E10" i="6"/>
  <c r="E9" i="12" s="1"/>
  <c r="E16" i="12" s="1"/>
  <c r="H9" i="12"/>
  <c r="H16" i="12" s="1"/>
  <c r="D11" i="6"/>
  <c r="D10" i="6"/>
  <c r="D9" i="12" s="1"/>
  <c r="D16" i="12" s="1"/>
  <c r="E23" i="12" l="1"/>
  <c r="D23" i="12"/>
  <c r="S19" i="12"/>
  <c r="T19" i="12"/>
  <c r="T22" i="12"/>
  <c r="C23" i="12"/>
  <c r="S23" i="12"/>
  <c r="H23" i="12"/>
  <c r="D30" i="12" l="1"/>
  <c r="E30" i="12"/>
  <c r="H29" i="12"/>
  <c r="C29" i="12" s="1"/>
  <c r="A16" i="12"/>
  <c r="T18" i="6"/>
  <c r="E8" i="7"/>
  <c r="D37" i="12" l="1"/>
  <c r="E37" i="12"/>
  <c r="H30" i="12"/>
  <c r="S26" i="12"/>
  <c r="T26" i="12"/>
  <c r="S30" i="12"/>
  <c r="T29" i="12"/>
  <c r="C30" i="12"/>
  <c r="C1153" i="12"/>
  <c r="D27" i="7"/>
  <c r="G15" i="7"/>
  <c r="A20" i="6"/>
  <c r="C18" i="6"/>
  <c r="E45" i="12" l="1"/>
  <c r="E53" i="12" s="1"/>
  <c r="D45" i="12"/>
  <c r="D53" i="12" s="1"/>
  <c r="H36" i="12"/>
  <c r="C36" i="12" s="1"/>
  <c r="C37" i="12" s="1"/>
  <c r="C45" i="12" s="1"/>
  <c r="C23" i="7"/>
  <c r="C25" i="7" s="1"/>
  <c r="E23" i="7"/>
  <c r="J19" i="7" s="1"/>
  <c r="E61" i="12" l="1"/>
  <c r="E69" i="12" s="1"/>
  <c r="E77" i="12" s="1"/>
  <c r="E85" i="12" s="1"/>
  <c r="E93" i="12" s="1"/>
  <c r="E101" i="12" s="1"/>
  <c r="D61" i="12"/>
  <c r="D69" i="12" s="1"/>
  <c r="D77" i="12" s="1"/>
  <c r="D85" i="12" s="1"/>
  <c r="D93" i="12" s="1"/>
  <c r="D101" i="12" s="1"/>
  <c r="C52" i="12"/>
  <c r="H37" i="12"/>
  <c r="H45" i="12" s="1"/>
  <c r="T33" i="12"/>
  <c r="S33" i="12"/>
  <c r="S37" i="12"/>
  <c r="T36" i="12"/>
  <c r="L20" i="6"/>
  <c r="L29" i="6" s="1"/>
  <c r="L38" i="6" s="1"/>
  <c r="L47" i="6" s="1"/>
  <c r="L56" i="6" s="1"/>
  <c r="L65" i="6" s="1"/>
  <c r="L74" i="6" s="1"/>
  <c r="L83" i="6" s="1"/>
  <c r="L92" i="6" s="1"/>
  <c r="L101" i="6" s="1"/>
  <c r="L110" i="6" s="1"/>
  <c r="L119" i="6" s="1"/>
  <c r="K20" i="6"/>
  <c r="K29" i="6" s="1"/>
  <c r="K38" i="6" s="1"/>
  <c r="K47" i="6" s="1"/>
  <c r="K56" i="6" s="1"/>
  <c r="K65" i="6" s="1"/>
  <c r="K74" i="6" s="1"/>
  <c r="K83" i="6" s="1"/>
  <c r="K92" i="6" s="1"/>
  <c r="K101" i="6" s="1"/>
  <c r="K110" i="6" s="1"/>
  <c r="K119" i="6" s="1"/>
  <c r="J20" i="6"/>
  <c r="J29" i="6" s="1"/>
  <c r="J38" i="6" s="1"/>
  <c r="J47" i="6" s="1"/>
  <c r="J56" i="6" s="1"/>
  <c r="J65" i="6" s="1"/>
  <c r="J74" i="6" s="1"/>
  <c r="J83" i="6" s="1"/>
  <c r="J92" i="6" s="1"/>
  <c r="J101" i="6" s="1"/>
  <c r="J110" i="6" s="1"/>
  <c r="J119" i="6" s="1"/>
  <c r="I20" i="6"/>
  <c r="I29" i="6" s="1"/>
  <c r="I38" i="6" s="1"/>
  <c r="I47" i="6" s="1"/>
  <c r="I56" i="6" s="1"/>
  <c r="I65" i="6" s="1"/>
  <c r="I74" i="6" s="1"/>
  <c r="I83" i="6" s="1"/>
  <c r="I92" i="6" s="1"/>
  <c r="I101" i="6" s="1"/>
  <c r="I110" i="6" s="1"/>
  <c r="I119" i="6" s="1"/>
  <c r="K19" i="3"/>
  <c r="K27" i="3" s="1"/>
  <c r="K35" i="3" s="1"/>
  <c r="K43" i="3" s="1"/>
  <c r="K51" i="3" s="1"/>
  <c r="K59" i="3" s="1"/>
  <c r="K67" i="3" s="1"/>
  <c r="K75" i="3" s="1"/>
  <c r="K83" i="3" s="1"/>
  <c r="K91" i="3" s="1"/>
  <c r="K99" i="3" s="1"/>
  <c r="K107" i="3" s="1"/>
  <c r="K118" i="3" s="1"/>
  <c r="K126" i="3" s="1"/>
  <c r="J19" i="3"/>
  <c r="J27" i="3" s="1"/>
  <c r="J35" i="3" s="1"/>
  <c r="J43" i="3" s="1"/>
  <c r="J51" i="3" s="1"/>
  <c r="J59" i="3" s="1"/>
  <c r="J67" i="3" s="1"/>
  <c r="J75" i="3" s="1"/>
  <c r="J83" i="3" s="1"/>
  <c r="J91" i="3" s="1"/>
  <c r="J99" i="3" s="1"/>
  <c r="J107" i="3" s="1"/>
  <c r="J118" i="3" s="1"/>
  <c r="J126" i="3" s="1"/>
  <c r="I19" i="3"/>
  <c r="I27" i="3" s="1"/>
  <c r="I35" i="3" s="1"/>
  <c r="I43" i="3" s="1"/>
  <c r="I51" i="3" s="1"/>
  <c r="I59" i="3" s="1"/>
  <c r="I67" i="3" s="1"/>
  <c r="I75" i="3" s="1"/>
  <c r="I83" i="3" s="1"/>
  <c r="I91" i="3" s="1"/>
  <c r="I99" i="3" s="1"/>
  <c r="I107" i="3" s="1"/>
  <c r="I118" i="3" s="1"/>
  <c r="I126" i="3" s="1"/>
  <c r="H19" i="3"/>
  <c r="H27" i="3" s="1"/>
  <c r="H35" i="3" s="1"/>
  <c r="H43" i="3" s="1"/>
  <c r="H51" i="3" s="1"/>
  <c r="H59" i="3" s="1"/>
  <c r="H67" i="3" s="1"/>
  <c r="H75" i="3" s="1"/>
  <c r="H83" i="3" s="1"/>
  <c r="H91" i="3" s="1"/>
  <c r="H99" i="3" s="1"/>
  <c r="H107" i="3" s="1"/>
  <c r="H118" i="3" s="1"/>
  <c r="H126" i="3" s="1"/>
  <c r="G19" i="3"/>
  <c r="G27" i="3" s="1"/>
  <c r="G35" i="3" s="1"/>
  <c r="G43" i="3" s="1"/>
  <c r="G51" i="3" s="1"/>
  <c r="G59" i="3" s="1"/>
  <c r="G67" i="3" s="1"/>
  <c r="G75" i="3" s="1"/>
  <c r="G83" i="3" s="1"/>
  <c r="G91" i="3" s="1"/>
  <c r="G99" i="3" s="1"/>
  <c r="G107" i="3" s="1"/>
  <c r="G118" i="3" s="1"/>
  <c r="G126" i="3" s="1"/>
  <c r="Q73" i="16" l="1"/>
  <c r="Q76" i="16" s="1"/>
  <c r="L128" i="6"/>
  <c r="L132" i="6" s="1"/>
  <c r="K128" i="6"/>
  <c r="J128" i="6"/>
  <c r="J132" i="6" s="1"/>
  <c r="I128" i="6"/>
  <c r="S53" i="12"/>
  <c r="C53" i="12"/>
  <c r="T52" i="12"/>
  <c r="T49" i="12"/>
  <c r="S49" i="12"/>
  <c r="H53" i="12"/>
  <c r="L11" i="3"/>
  <c r="L19" i="3" s="1"/>
  <c r="L27" i="3" s="1"/>
  <c r="L35" i="3" s="1"/>
  <c r="L43" i="3" s="1"/>
  <c r="L51" i="3" s="1"/>
  <c r="L59" i="3" s="1"/>
  <c r="L67" i="3" s="1"/>
  <c r="L75" i="3" s="1"/>
  <c r="L83" i="3" s="1"/>
  <c r="L91" i="3" s="1"/>
  <c r="L99" i="3" s="1"/>
  <c r="L107" i="3" s="1"/>
  <c r="Q78" i="16" l="1"/>
  <c r="R73" i="16"/>
  <c r="D76" i="16"/>
  <c r="L110" i="3"/>
  <c r="L118" i="3" s="1"/>
  <c r="L126" i="3" s="1"/>
  <c r="L128" i="3" s="1"/>
  <c r="J141" i="6"/>
  <c r="L141" i="6"/>
  <c r="I132" i="6"/>
  <c r="I141" i="6" s="1"/>
  <c r="K132" i="6"/>
  <c r="C60" i="12"/>
  <c r="R76" i="16" l="1"/>
  <c r="R78" i="16" s="1"/>
  <c r="J150" i="6"/>
  <c r="J159" i="6" s="1"/>
  <c r="L150" i="6"/>
  <c r="L159" i="6" s="1"/>
  <c r="I150" i="6"/>
  <c r="I159" i="6" s="1"/>
  <c r="K141" i="6"/>
  <c r="S57" i="12"/>
  <c r="S61" i="12"/>
  <c r="T60" i="12"/>
  <c r="T57" i="12"/>
  <c r="C61" i="12"/>
  <c r="H61" i="12"/>
  <c r="K28" i="5"/>
  <c r="K30" i="5" s="1"/>
  <c r="C43" i="5"/>
  <c r="C56" i="5" s="1"/>
  <c r="C27" i="5"/>
  <c r="C22" i="5"/>
  <c r="C30" i="5" s="1"/>
  <c r="S73" i="16" l="1"/>
  <c r="S76" i="16" s="1"/>
  <c r="T73" i="16" s="1"/>
  <c r="T76" i="16" s="1"/>
  <c r="C32" i="5"/>
  <c r="C34" i="5" s="1"/>
  <c r="H7" i="5" s="1"/>
  <c r="K150" i="6"/>
  <c r="K159" i="6" s="1"/>
  <c r="C68" i="12"/>
  <c r="S78" i="16" l="1"/>
  <c r="J7" i="5"/>
  <c r="I7" i="5"/>
  <c r="I14" i="5" s="1"/>
  <c r="C59" i="5"/>
  <c r="C61" i="5" s="1"/>
  <c r="C63" i="5" s="1"/>
  <c r="H9" i="5"/>
  <c r="T78" i="16"/>
  <c r="U73" i="16"/>
  <c r="U76" i="16" s="1"/>
  <c r="S69" i="12"/>
  <c r="T68" i="12"/>
  <c r="T65" i="12"/>
  <c r="S65" i="12"/>
  <c r="C69" i="12"/>
  <c r="H69" i="12"/>
  <c r="U78" i="16" l="1"/>
  <c r="V73" i="16"/>
  <c r="V76" i="16" s="1"/>
  <c r="K8" i="18"/>
  <c r="L8" i="18"/>
  <c r="H76" i="12"/>
  <c r="C76" i="12" s="1"/>
  <c r="C77" i="12" s="1"/>
  <c r="E9" i="7"/>
  <c r="V78" i="16" l="1"/>
  <c r="W73" i="16"/>
  <c r="W76" i="16" s="1"/>
  <c r="W78" i="16" s="1"/>
  <c r="H84" i="12"/>
  <c r="C84" i="12" s="1"/>
  <c r="H77" i="12"/>
  <c r="T76" i="12"/>
  <c r="S77" i="12"/>
  <c r="T73" i="12"/>
  <c r="S73" i="12"/>
  <c r="E25" i="7"/>
  <c r="E26" i="7"/>
  <c r="I18" i="7" s="1"/>
  <c r="G25" i="7"/>
  <c r="X73" i="16" l="1"/>
  <c r="X76" i="16" s="1"/>
  <c r="S81" i="12"/>
  <c r="S85" i="12"/>
  <c r="T84" i="12"/>
  <c r="T81" i="12"/>
  <c r="C85" i="12"/>
  <c r="H85" i="12"/>
  <c r="E27" i="7"/>
  <c r="E61" i="7" s="1"/>
  <c r="E63" i="7" s="1"/>
  <c r="X78" i="16" l="1"/>
  <c r="Y73" i="16"/>
  <c r="Y76" i="16" s="1"/>
  <c r="AI73" i="16" s="1"/>
  <c r="AI76" i="16" s="1"/>
  <c r="C92" i="12"/>
  <c r="C93" i="12" s="1"/>
  <c r="E80" i="7"/>
  <c r="I72" i="7" s="1"/>
  <c r="E79" i="7"/>
  <c r="G79" i="7"/>
  <c r="I21" i="7"/>
  <c r="J22" i="7" s="1"/>
  <c r="AI78" i="16" l="1"/>
  <c r="AU73" i="16"/>
  <c r="AU76" i="16" s="1"/>
  <c r="AU78" i="16" s="1"/>
  <c r="Z73" i="16"/>
  <c r="Z76" i="16" s="1"/>
  <c r="AJ73" i="16" s="1"/>
  <c r="AJ76" i="16" s="1"/>
  <c r="Y78" i="16"/>
  <c r="H100" i="12"/>
  <c r="C100" i="12" s="1"/>
  <c r="T92" i="12"/>
  <c r="S93" i="12"/>
  <c r="T89" i="12"/>
  <c r="S89" i="12"/>
  <c r="H93" i="12"/>
  <c r="E81" i="7"/>
  <c r="AJ78" i="16" l="1"/>
  <c r="AV73" i="16"/>
  <c r="AV76" i="16" s="1"/>
  <c r="AV78" i="16" s="1"/>
  <c r="Z78" i="16"/>
  <c r="AA73" i="16"/>
  <c r="AA76" i="16" s="1"/>
  <c r="T94" i="12"/>
  <c r="S97" i="12"/>
  <c r="C101" i="12"/>
  <c r="E7" i="14" s="1"/>
  <c r="E24" i="14" s="1"/>
  <c r="S101" i="12"/>
  <c r="T97" i="12"/>
  <c r="T100" i="12"/>
  <c r="H101" i="12"/>
  <c r="E98" i="7"/>
  <c r="I90" i="7" s="1"/>
  <c r="G97" i="7"/>
  <c r="E97" i="7"/>
  <c r="I75" i="7"/>
  <c r="J76" i="7" s="1"/>
  <c r="AC73" i="16" l="1"/>
  <c r="AC76" i="16" s="1"/>
  <c r="AK73" i="16"/>
  <c r="AK76" i="16" s="1"/>
  <c r="AB73" i="16"/>
  <c r="AB76" i="16" s="1"/>
  <c r="AA78" i="16"/>
  <c r="I16" i="14"/>
  <c r="J15" i="14"/>
  <c r="G23" i="14"/>
  <c r="E23" i="14"/>
  <c r="T102" i="12"/>
  <c r="E99" i="7"/>
  <c r="AK78" i="16" l="1"/>
  <c r="AW73" i="16"/>
  <c r="AW76" i="16" s="1"/>
  <c r="AW78" i="16" s="1"/>
  <c r="AM73" i="16"/>
  <c r="AM76" i="16" s="1"/>
  <c r="AM78" i="16" s="1"/>
  <c r="AN73" i="16"/>
  <c r="AN76" i="16" s="1"/>
  <c r="AN78" i="16" s="1"/>
  <c r="AL73" i="16"/>
  <c r="AL76" i="16" s="1"/>
  <c r="AL78" i="16" s="1"/>
  <c r="AE73" i="16"/>
  <c r="AE76" i="16" s="1"/>
  <c r="AC78" i="16"/>
  <c r="AG73" i="16"/>
  <c r="AG76" i="16" s="1"/>
  <c r="AH73" i="16"/>
  <c r="AH76" i="16" s="1"/>
  <c r="AB78" i="16"/>
  <c r="AD73" i="16"/>
  <c r="AD76" i="16" s="1"/>
  <c r="I17" i="14"/>
  <c r="J17" i="14"/>
  <c r="E25" i="14"/>
  <c r="G115" i="7"/>
  <c r="E116" i="7"/>
  <c r="I108" i="7" s="1"/>
  <c r="E115" i="7"/>
  <c r="I93" i="7"/>
  <c r="J94" i="7" s="1"/>
  <c r="C1485" i="5"/>
  <c r="C1010" i="3"/>
  <c r="C1066" i="6"/>
  <c r="AH78" i="16" l="1"/>
  <c r="AT73" i="16"/>
  <c r="AT76" i="16" s="1"/>
  <c r="AT78" i="16" s="1"/>
  <c r="AG78" i="16"/>
  <c r="AS73" i="16"/>
  <c r="AS76" i="16" s="1"/>
  <c r="AS78" i="16" s="1"/>
  <c r="AO73" i="16"/>
  <c r="AO76" i="16" s="1"/>
  <c r="AO78" i="16" s="1"/>
  <c r="AP73" i="16"/>
  <c r="AP76" i="16" s="1"/>
  <c r="AP78" i="16" s="1"/>
  <c r="AE78" i="16"/>
  <c r="AQ73" i="16"/>
  <c r="AQ76" i="16" s="1"/>
  <c r="AQ78" i="16" s="1"/>
  <c r="AD78" i="16"/>
  <c r="AF73" i="16"/>
  <c r="AF76" i="16" s="1"/>
  <c r="AR73" i="16" s="1"/>
  <c r="AR76" i="16" s="1"/>
  <c r="AR78" i="16" s="1"/>
  <c r="E42" i="14"/>
  <c r="E41" i="14"/>
  <c r="I35" i="14" s="1"/>
  <c r="G41" i="14"/>
  <c r="J19" i="14"/>
  <c r="I19" i="14"/>
  <c r="E117" i="7"/>
  <c r="N12" i="6"/>
  <c r="N20" i="6" s="1"/>
  <c r="N29" i="6" s="1"/>
  <c r="M12" i="6"/>
  <c r="M20" i="6" s="1"/>
  <c r="M29" i="6" s="1"/>
  <c r="AF78" i="16" l="1"/>
  <c r="G42" i="14"/>
  <c r="I34" i="14"/>
  <c r="J33" i="14"/>
  <c r="E43" i="14"/>
  <c r="J35" i="14"/>
  <c r="J20" i="14"/>
  <c r="G133" i="7"/>
  <c r="E134" i="7"/>
  <c r="I126" i="7" s="1"/>
  <c r="I111" i="7"/>
  <c r="J112" i="7" s="1"/>
  <c r="E133" i="7"/>
  <c r="G12" i="6"/>
  <c r="F12" i="6"/>
  <c r="J37" i="14" l="1"/>
  <c r="I37" i="14"/>
  <c r="E135" i="7"/>
  <c r="G20" i="6"/>
  <c r="F20" i="6"/>
  <c r="P355" i="7"/>
  <c r="F1" i="5"/>
  <c r="J38" i="14" l="1"/>
  <c r="E152" i="7"/>
  <c r="I144" i="7" s="1"/>
  <c r="E151" i="7"/>
  <c r="G151" i="7"/>
  <c r="I129" i="7"/>
  <c r="J130" i="7" s="1"/>
  <c r="F29" i="6"/>
  <c r="F38" i="6"/>
  <c r="F47" i="6" s="1"/>
  <c r="F56" i="6" s="1"/>
  <c r="F65" i="6" s="1"/>
  <c r="F74" i="6" s="1"/>
  <c r="F83" i="6" s="1"/>
  <c r="F92" i="6" s="1"/>
  <c r="F101" i="6" s="1"/>
  <c r="G29" i="6"/>
  <c r="G38" i="6"/>
  <c r="G47" i="6" s="1"/>
  <c r="G56" i="6" s="1"/>
  <c r="G65" i="6" s="1"/>
  <c r="G74" i="6" s="1"/>
  <c r="G83" i="6" s="1"/>
  <c r="G92" i="6" s="1"/>
  <c r="G101" i="6" s="1"/>
  <c r="G110" i="6" s="1"/>
  <c r="G119" i="6" s="1"/>
  <c r="G128" i="6" s="1"/>
  <c r="G132" i="6" s="1"/>
  <c r="G141" i="6" s="1"/>
  <c r="G150" i="6" s="1"/>
  <c r="I44" i="5"/>
  <c r="G159" i="6" l="1"/>
  <c r="G161" i="6" s="1"/>
  <c r="F110" i="6"/>
  <c r="F119" i="6" s="1"/>
  <c r="F128" i="6" s="1"/>
  <c r="F132" i="6" s="1"/>
  <c r="F141" i="6" s="1"/>
  <c r="F150" i="6" s="1"/>
  <c r="E153" i="7"/>
  <c r="I43" i="5"/>
  <c r="I42" i="5"/>
  <c r="I40" i="5"/>
  <c r="F159" i="6" l="1"/>
  <c r="F161" i="6" s="1"/>
  <c r="E169" i="7"/>
  <c r="E170" i="7"/>
  <c r="I162" i="7" s="1"/>
  <c r="I147" i="7"/>
  <c r="J148" i="7" s="1"/>
  <c r="G169" i="7"/>
  <c r="I41" i="5"/>
  <c r="E171" i="7" l="1"/>
  <c r="I37" i="5"/>
  <c r="G34" i="5"/>
  <c r="I39" i="5"/>
  <c r="E188" i="7" l="1"/>
  <c r="I180" i="7" s="1"/>
  <c r="E187" i="7"/>
  <c r="I165" i="7"/>
  <c r="J166" i="7" s="1"/>
  <c r="G187" i="7"/>
  <c r="I45" i="5"/>
  <c r="H53" i="5" s="1"/>
  <c r="G45" i="5"/>
  <c r="I32" i="5"/>
  <c r="I53" i="5" s="1"/>
  <c r="E11" i="30" l="1"/>
  <c r="E8" i="30"/>
  <c r="E189" i="7"/>
  <c r="I33" i="5"/>
  <c r="I46" i="5"/>
  <c r="G47" i="5"/>
  <c r="E205" i="7" l="1"/>
  <c r="E206" i="7"/>
  <c r="I183" i="7"/>
  <c r="J184" i="7" s="1"/>
  <c r="G205" i="7"/>
  <c r="C51" i="14" l="1"/>
  <c r="E51" i="14" s="1"/>
  <c r="M39" i="5"/>
  <c r="C50" i="14"/>
  <c r="E50" i="14" s="1"/>
  <c r="M38" i="5"/>
  <c r="E207" i="7"/>
  <c r="E223" i="7" s="1"/>
  <c r="I198" i="7"/>
  <c r="M40" i="5"/>
  <c r="C49" i="14" l="1"/>
  <c r="E49" i="14" s="1"/>
  <c r="M37" i="5"/>
  <c r="G223" i="7"/>
  <c r="I201" i="7"/>
  <c r="J202" i="7" s="1"/>
  <c r="E224" i="7"/>
  <c r="I216" i="7" s="1"/>
  <c r="M28" i="5"/>
  <c r="M29" i="5" s="1"/>
  <c r="C48" i="14" l="1"/>
  <c r="M36" i="5"/>
  <c r="M43" i="5" s="1"/>
  <c r="J53" i="5" s="1"/>
  <c r="E225" i="7"/>
  <c r="K43" i="5"/>
  <c r="K5" i="5" s="1"/>
  <c r="K9" i="5" s="1"/>
  <c r="K53" i="5"/>
  <c r="E20" i="30" l="1"/>
  <c r="J61" i="5"/>
  <c r="L53" i="5"/>
  <c r="E17" i="30"/>
  <c r="I219" i="7"/>
  <c r="J220" i="7" s="1"/>
  <c r="C57" i="14"/>
  <c r="C59" i="14" s="1"/>
  <c r="E48" i="14"/>
  <c r="E57" i="14" s="1"/>
  <c r="E60" i="14" s="1"/>
  <c r="G241" i="7"/>
  <c r="E241" i="7"/>
  <c r="E242" i="7"/>
  <c r="I234" i="7" s="1"/>
  <c r="L5" i="5"/>
  <c r="M44" i="5"/>
  <c r="K45" i="5"/>
  <c r="L28" i="18" l="1"/>
  <c r="K28" i="18"/>
  <c r="G59" i="14"/>
  <c r="E59" i="14"/>
  <c r="E243" i="7"/>
  <c r="H11" i="5"/>
  <c r="L11" i="5" s="1"/>
  <c r="H10" i="5"/>
  <c r="K10" i="5" l="1"/>
  <c r="H12" i="5"/>
  <c r="H14" i="5" s="1"/>
  <c r="K20" i="18"/>
  <c r="L20" i="18"/>
  <c r="I53" i="14"/>
  <c r="E61" i="14"/>
  <c r="J53" i="14"/>
  <c r="I52" i="14"/>
  <c r="J51" i="14"/>
  <c r="I237" i="7"/>
  <c r="J238" i="7" s="1"/>
  <c r="G261" i="7"/>
  <c r="H61" i="14"/>
  <c r="I52" i="5" l="1"/>
  <c r="I55" i="5" s="1"/>
  <c r="AO7" i="16" s="1"/>
  <c r="E13" i="30"/>
  <c r="I55" i="14"/>
  <c r="J55" i="14"/>
  <c r="J14" i="5"/>
  <c r="E22" i="30" s="1"/>
  <c r="J56" i="14" l="1"/>
  <c r="E120" i="3"/>
  <c r="K52" i="5"/>
  <c r="K55" i="5" s="1"/>
  <c r="J15" i="5"/>
  <c r="D7" i="16" l="1"/>
  <c r="C7" i="16"/>
  <c r="AA10" i="16"/>
  <c r="E155" i="6"/>
  <c r="B9" i="13"/>
  <c r="E11" i="3"/>
  <c r="E19" i="3" s="1"/>
  <c r="K12" i="5"/>
  <c r="H52" i="5" s="1"/>
  <c r="L9" i="5"/>
  <c r="L12" i="5" s="1"/>
  <c r="J52" i="5" s="1"/>
  <c r="C10" i="16" l="1"/>
  <c r="D10" i="16"/>
  <c r="L52" i="5"/>
  <c r="H55" i="5"/>
  <c r="AO6" i="16" s="1"/>
  <c r="E27" i="3"/>
  <c r="D9" i="13" s="1"/>
  <c r="C9" i="13"/>
  <c r="L14" i="5"/>
  <c r="E19" i="30" s="1"/>
  <c r="J55" i="5"/>
  <c r="H15" i="5"/>
  <c r="K14" i="5"/>
  <c r="E10" i="30" s="1"/>
  <c r="L16" i="18" l="1"/>
  <c r="L55" i="5"/>
  <c r="D155" i="6"/>
  <c r="C155" i="6" s="1"/>
  <c r="E35" i="3"/>
  <c r="C124" i="6"/>
  <c r="S127" i="6" s="1"/>
  <c r="C106" i="6"/>
  <c r="T109" i="6" s="1"/>
  <c r="C115" i="6"/>
  <c r="C88" i="6"/>
  <c r="T91" i="6" s="1"/>
  <c r="C70" i="6"/>
  <c r="T73" i="6" s="1"/>
  <c r="C52" i="6"/>
  <c r="S55" i="6" s="1"/>
  <c r="C25" i="6"/>
  <c r="C16" i="6"/>
  <c r="K56" i="5"/>
  <c r="L15" i="5"/>
  <c r="L54" i="5"/>
  <c r="K5" i="18" l="1"/>
  <c r="K16" i="18"/>
  <c r="D120" i="3"/>
  <c r="C120" i="3" s="1"/>
  <c r="E43" i="3"/>
  <c r="E9" i="13"/>
  <c r="S158" i="6"/>
  <c r="T176" i="6" s="1"/>
  <c r="T158" i="6"/>
  <c r="T127" i="6"/>
  <c r="C146" i="6"/>
  <c r="S149" i="6" s="1"/>
  <c r="C101" i="3"/>
  <c r="R104" i="3" s="1"/>
  <c r="C137" i="6"/>
  <c r="S109" i="6"/>
  <c r="C85" i="3"/>
  <c r="Q88" i="3" s="1"/>
  <c r="C93" i="3"/>
  <c r="S118" i="6"/>
  <c r="T118" i="6"/>
  <c r="C77" i="3"/>
  <c r="S91" i="6"/>
  <c r="C97" i="6"/>
  <c r="S100" i="6" s="1"/>
  <c r="C61" i="3"/>
  <c r="R64" i="3" s="1"/>
  <c r="T55" i="6"/>
  <c r="S73" i="6"/>
  <c r="C53" i="3"/>
  <c r="C79" i="6"/>
  <c r="C45" i="3"/>
  <c r="C29" i="3"/>
  <c r="Q32" i="3" s="1"/>
  <c r="C61" i="6"/>
  <c r="C43" i="6"/>
  <c r="C13" i="3"/>
  <c r="C21" i="3"/>
  <c r="C34" i="6"/>
  <c r="S37" i="6" s="1"/>
  <c r="T19" i="6"/>
  <c r="S19" i="6"/>
  <c r="I56" i="5"/>
  <c r="G59" i="5" s="1"/>
  <c r="L56" i="5"/>
  <c r="C9" i="16" l="1"/>
  <c r="D9" i="16"/>
  <c r="L5" i="18"/>
  <c r="E51" i="3"/>
  <c r="F9" i="13"/>
  <c r="Q104" i="3"/>
  <c r="Q123" i="3"/>
  <c r="R139" i="3" s="1"/>
  <c r="R123" i="3"/>
  <c r="T149" i="6"/>
  <c r="C112" i="3"/>
  <c r="T140" i="6"/>
  <c r="S140" i="6"/>
  <c r="R88" i="3"/>
  <c r="R96" i="3"/>
  <c r="Q96" i="3"/>
  <c r="Q64" i="3"/>
  <c r="Q80" i="3"/>
  <c r="R80" i="3"/>
  <c r="T100" i="6"/>
  <c r="C69" i="3"/>
  <c r="R72" i="3" s="1"/>
  <c r="T82" i="6"/>
  <c r="S82" i="6"/>
  <c r="Q56" i="3"/>
  <c r="R56" i="3"/>
  <c r="R32" i="3"/>
  <c r="Q48" i="3"/>
  <c r="R48" i="3"/>
  <c r="C37" i="3"/>
  <c r="T64" i="6"/>
  <c r="S64" i="6"/>
  <c r="S46" i="6"/>
  <c r="T46" i="6"/>
  <c r="R24" i="3"/>
  <c r="Q24" i="3"/>
  <c r="R16" i="3"/>
  <c r="C37" i="6"/>
  <c r="T34" i="6" s="1"/>
  <c r="Q16" i="3"/>
  <c r="E59" i="3" l="1"/>
  <c r="G9" i="13"/>
  <c r="Q115" i="3"/>
  <c r="R115" i="3"/>
  <c r="Q72" i="3"/>
  <c r="R40" i="3"/>
  <c r="Q40" i="3"/>
  <c r="B8" i="13"/>
  <c r="B10" i="13" s="1"/>
  <c r="D11" i="3"/>
  <c r="D19" i="3" s="1"/>
  <c r="E67" i="3" l="1"/>
  <c r="H9" i="13"/>
  <c r="D27" i="3"/>
  <c r="C8" i="13"/>
  <c r="C10" i="13" s="1"/>
  <c r="E75" i="3" l="1"/>
  <c r="I9" i="13"/>
  <c r="D35" i="3"/>
  <c r="D8" i="13"/>
  <c r="D10" i="13" s="1"/>
  <c r="E12" i="6"/>
  <c r="E20" i="6" s="1"/>
  <c r="E109" i="3" l="1"/>
  <c r="E83" i="3"/>
  <c r="J9" i="13"/>
  <c r="D43" i="3"/>
  <c r="E8" i="13"/>
  <c r="E10" i="13" s="1"/>
  <c r="E38" i="6"/>
  <c r="E47" i="6" s="1"/>
  <c r="B15" i="13"/>
  <c r="E29" i="6"/>
  <c r="E91" i="3" l="1"/>
  <c r="K9" i="13"/>
  <c r="C15" i="13"/>
  <c r="D51" i="3"/>
  <c r="F8" i="13"/>
  <c r="F10" i="13" s="1"/>
  <c r="E56" i="6"/>
  <c r="D15" i="13"/>
  <c r="F11" i="3"/>
  <c r="D12" i="6"/>
  <c r="D20" i="6" s="1"/>
  <c r="Q38" i="16" l="1"/>
  <c r="Q40" i="16" s="1"/>
  <c r="D59" i="3"/>
  <c r="G8" i="13"/>
  <c r="G10" i="13" s="1"/>
  <c r="E99" i="3"/>
  <c r="L9" i="13"/>
  <c r="E15" i="13"/>
  <c r="E65" i="6"/>
  <c r="E74" i="6" s="1"/>
  <c r="D38" i="6"/>
  <c r="D47" i="6" s="1"/>
  <c r="B14" i="13"/>
  <c r="B16" i="13" s="1"/>
  <c r="D29" i="6"/>
  <c r="Q43" i="16" l="1"/>
  <c r="D67" i="3"/>
  <c r="H8" i="13"/>
  <c r="H10" i="13" s="1"/>
  <c r="N8" i="13"/>
  <c r="E107" i="3"/>
  <c r="M9" i="13"/>
  <c r="G15" i="13"/>
  <c r="E83" i="6"/>
  <c r="E92" i="6" s="1"/>
  <c r="E101" i="6" s="1"/>
  <c r="E131" i="6" s="1"/>
  <c r="F15" i="13"/>
  <c r="C14" i="13"/>
  <c r="C16" i="13" s="1"/>
  <c r="D56" i="6"/>
  <c r="D14" i="13"/>
  <c r="D16" i="13" s="1"/>
  <c r="E9" i="10"/>
  <c r="F19" i="3"/>
  <c r="Q45" i="16" l="1"/>
  <c r="R38" i="16"/>
  <c r="R40" i="16" s="1"/>
  <c r="E110" i="3"/>
  <c r="E118" i="3" s="1"/>
  <c r="D75" i="3"/>
  <c r="I8" i="13"/>
  <c r="I10" i="13" s="1"/>
  <c r="E110" i="6"/>
  <c r="I15" i="13"/>
  <c r="J15" i="13"/>
  <c r="H15" i="13"/>
  <c r="E14" i="13"/>
  <c r="E16" i="13" s="1"/>
  <c r="D65" i="6"/>
  <c r="D74" i="6" s="1"/>
  <c r="E10" i="10"/>
  <c r="E30" i="10" s="1"/>
  <c r="C18" i="3"/>
  <c r="C19" i="3" s="1"/>
  <c r="E126" i="3" l="1"/>
  <c r="E128" i="3" s="1"/>
  <c r="D109" i="3"/>
  <c r="D83" i="3"/>
  <c r="J8" i="13"/>
  <c r="J10" i="13" s="1"/>
  <c r="K15" i="13"/>
  <c r="E119" i="6"/>
  <c r="G14" i="13"/>
  <c r="G16" i="13" s="1"/>
  <c r="D83" i="6"/>
  <c r="D92" i="6" s="1"/>
  <c r="D101" i="6" s="1"/>
  <c r="F14" i="13"/>
  <c r="F16" i="13" s="1"/>
  <c r="E29" i="10"/>
  <c r="G29" i="10"/>
  <c r="R17" i="3"/>
  <c r="R18" i="3"/>
  <c r="Q18" i="3"/>
  <c r="D91" i="3" l="1"/>
  <c r="K8" i="13"/>
  <c r="K10" i="13" s="1"/>
  <c r="D110" i="6"/>
  <c r="D119" i="6" s="1"/>
  <c r="D131" i="6"/>
  <c r="L15" i="13"/>
  <c r="E128" i="6"/>
  <c r="E132" i="6" s="1"/>
  <c r="E141" i="6" s="1"/>
  <c r="I14" i="13"/>
  <c r="I16" i="13" s="1"/>
  <c r="J14" i="13"/>
  <c r="J16" i="13" s="1"/>
  <c r="H14" i="13"/>
  <c r="H16" i="13" s="1"/>
  <c r="E31" i="10"/>
  <c r="E33" i="10" s="1"/>
  <c r="E50" i="10" s="1"/>
  <c r="E51" i="10" s="1"/>
  <c r="Q15" i="3"/>
  <c r="F27" i="3"/>
  <c r="R15" i="3"/>
  <c r="J23" i="10"/>
  <c r="R43" i="16" l="1"/>
  <c r="S38" i="16" s="1"/>
  <c r="K14" i="13"/>
  <c r="K16" i="13" s="1"/>
  <c r="E150" i="6"/>
  <c r="E159" i="6" s="1"/>
  <c r="E161" i="6" s="1"/>
  <c r="D99" i="3"/>
  <c r="L8" i="13"/>
  <c r="L10" i="13" s="1"/>
  <c r="M15" i="13"/>
  <c r="L14" i="13"/>
  <c r="L16" i="13" s="1"/>
  <c r="D128" i="6"/>
  <c r="D132" i="6" s="1"/>
  <c r="D141" i="6" s="1"/>
  <c r="E52" i="10"/>
  <c r="J43" i="10"/>
  <c r="R19" i="3"/>
  <c r="C26" i="3"/>
  <c r="C27" i="3" s="1"/>
  <c r="R45" i="16" l="1"/>
  <c r="S40" i="16"/>
  <c r="D150" i="6"/>
  <c r="D107" i="3"/>
  <c r="M8" i="13"/>
  <c r="M10" i="13" s="1"/>
  <c r="M14" i="13"/>
  <c r="M16" i="13" s="1"/>
  <c r="E53" i="10"/>
  <c r="I42" i="10" s="1"/>
  <c r="G52" i="10"/>
  <c r="F35" i="3"/>
  <c r="F43" i="3" s="1"/>
  <c r="Q23" i="3"/>
  <c r="Q26" i="3"/>
  <c r="R26" i="3"/>
  <c r="R25" i="3"/>
  <c r="S43" i="16" l="1"/>
  <c r="S45" i="16" s="1"/>
  <c r="D159" i="6"/>
  <c r="D161" i="6" s="1"/>
  <c r="D110" i="3"/>
  <c r="D118" i="3" s="1"/>
  <c r="E54" i="10"/>
  <c r="C34" i="3"/>
  <c r="C35" i="3" s="1"/>
  <c r="J41" i="10"/>
  <c r="R23" i="3"/>
  <c r="R27" i="3" s="1"/>
  <c r="T38" i="16" l="1"/>
  <c r="D126" i="3"/>
  <c r="D128" i="3" s="1"/>
  <c r="I45" i="10"/>
  <c r="J46" i="10" s="1"/>
  <c r="E72" i="10"/>
  <c r="J64" i="10" s="1"/>
  <c r="R34" i="3"/>
  <c r="Q34" i="3"/>
  <c r="R33" i="3"/>
  <c r="T40" i="16" l="1"/>
  <c r="E73" i="10"/>
  <c r="E74" i="10"/>
  <c r="I63" i="10" s="1"/>
  <c r="C42" i="3"/>
  <c r="C43" i="3" s="1"/>
  <c r="F51" i="3" s="1"/>
  <c r="G73" i="10"/>
  <c r="Q31" i="3"/>
  <c r="R31" i="3"/>
  <c r="T43" i="16" l="1"/>
  <c r="T45" i="16" s="1"/>
  <c r="E75" i="10"/>
  <c r="I66" i="10" s="1"/>
  <c r="Q42" i="3"/>
  <c r="R42" i="3"/>
  <c r="R41" i="3"/>
  <c r="J62" i="10"/>
  <c r="R35" i="3"/>
  <c r="U38" i="16" l="1"/>
  <c r="U40" i="16" s="1"/>
  <c r="E95" i="10"/>
  <c r="I84" i="10" s="1"/>
  <c r="E94" i="10"/>
  <c r="J67" i="10"/>
  <c r="C50" i="3"/>
  <c r="C51" i="3" s="1"/>
  <c r="F59" i="3" s="1"/>
  <c r="G94" i="10"/>
  <c r="R39" i="3"/>
  <c r="Q39" i="3"/>
  <c r="U43" i="16" l="1"/>
  <c r="V38" i="16" s="1"/>
  <c r="V40" i="16" s="1"/>
  <c r="E96" i="10"/>
  <c r="I87" i="10" s="1"/>
  <c r="R49" i="3"/>
  <c r="Q50" i="3"/>
  <c r="R50" i="3"/>
  <c r="R43" i="3"/>
  <c r="J83" i="10"/>
  <c r="H12" i="6"/>
  <c r="U45" i="16" l="1"/>
  <c r="V43" i="16"/>
  <c r="V45" i="16" s="1"/>
  <c r="G115" i="10"/>
  <c r="E116" i="10"/>
  <c r="J104" i="10" s="1"/>
  <c r="E115" i="10"/>
  <c r="C58" i="3"/>
  <c r="C59" i="3" s="1"/>
  <c r="R47" i="3"/>
  <c r="Q47" i="3"/>
  <c r="J88" i="10"/>
  <c r="H20" i="6"/>
  <c r="H38" i="6" s="1"/>
  <c r="W38" i="16" l="1"/>
  <c r="W40" i="16" s="1"/>
  <c r="F67" i="3"/>
  <c r="I105" i="10"/>
  <c r="E117" i="10"/>
  <c r="E137" i="10" s="1"/>
  <c r="R57" i="3"/>
  <c r="R58" i="3"/>
  <c r="Q58" i="3"/>
  <c r="R51" i="3"/>
  <c r="C19" i="6"/>
  <c r="W43" i="16" l="1"/>
  <c r="G136" i="10"/>
  <c r="C66" i="3"/>
  <c r="C67" i="3" s="1"/>
  <c r="F75" i="3" s="1"/>
  <c r="F109" i="3" s="1"/>
  <c r="C109" i="3" s="1"/>
  <c r="I108" i="10"/>
  <c r="J109" i="10" s="1"/>
  <c r="E136" i="10"/>
  <c r="E138" i="10" s="1"/>
  <c r="J125" i="10"/>
  <c r="I126" i="10"/>
  <c r="R55" i="3"/>
  <c r="Q55" i="3"/>
  <c r="S16" i="6"/>
  <c r="T20" i="6"/>
  <c r="S20" i="6"/>
  <c r="S21" i="6"/>
  <c r="W45" i="16" l="1"/>
  <c r="X38" i="16"/>
  <c r="X40" i="16" s="1"/>
  <c r="Q113" i="3"/>
  <c r="E265" i="10"/>
  <c r="G157" i="10"/>
  <c r="E157" i="10"/>
  <c r="E158" i="10"/>
  <c r="I129" i="10"/>
  <c r="J130" i="10" s="1"/>
  <c r="Q66" i="3"/>
  <c r="R66" i="3"/>
  <c r="R65" i="3"/>
  <c r="R59" i="3"/>
  <c r="C12" i="6"/>
  <c r="X43" i="16" l="1"/>
  <c r="Y38" i="16" s="1"/>
  <c r="Y40" i="16" s="1"/>
  <c r="C74" i="3"/>
  <c r="E159" i="10"/>
  <c r="E179" i="10" s="1"/>
  <c r="J146" i="10"/>
  <c r="I147" i="10"/>
  <c r="R63" i="3"/>
  <c r="Q63" i="3"/>
  <c r="C20" i="6"/>
  <c r="C38" i="6" s="1"/>
  <c r="X45" i="16" l="1"/>
  <c r="C75" i="3"/>
  <c r="R73" i="3"/>
  <c r="E178" i="10"/>
  <c r="I150" i="10"/>
  <c r="J151" i="10" s="1"/>
  <c r="G178" i="10"/>
  <c r="Q74" i="3"/>
  <c r="R74" i="3"/>
  <c r="R67" i="3"/>
  <c r="H46" i="6"/>
  <c r="H47" i="6" s="1"/>
  <c r="T16" i="6"/>
  <c r="T22" i="6" s="1"/>
  <c r="Y43" i="16" l="1"/>
  <c r="Z38" i="16" s="1"/>
  <c r="F83" i="3"/>
  <c r="E180" i="10"/>
  <c r="E199" i="10" s="1"/>
  <c r="I168" i="10"/>
  <c r="J167" i="10"/>
  <c r="R71" i="3"/>
  <c r="Q71" i="3"/>
  <c r="C46" i="6"/>
  <c r="C47" i="6" s="1"/>
  <c r="C28" i="6"/>
  <c r="S38" i="6" s="1"/>
  <c r="T40" i="6" s="1"/>
  <c r="H29" i="6"/>
  <c r="Y45" i="16" l="1"/>
  <c r="Z40" i="16"/>
  <c r="I171" i="10"/>
  <c r="J172" i="10" s="1"/>
  <c r="G199" i="10"/>
  <c r="E200" i="10"/>
  <c r="C82" i="3"/>
  <c r="C83" i="3" s="1"/>
  <c r="R75" i="3"/>
  <c r="H55" i="6"/>
  <c r="S47" i="6"/>
  <c r="T47" i="6"/>
  <c r="S48" i="6"/>
  <c r="C29" i="6"/>
  <c r="Z43" i="16" l="1"/>
  <c r="Z45" i="16" s="1"/>
  <c r="E201" i="10"/>
  <c r="E221" i="10" s="1"/>
  <c r="J188" i="10"/>
  <c r="I189" i="10"/>
  <c r="Q82" i="3"/>
  <c r="R82" i="3"/>
  <c r="R81" i="3"/>
  <c r="C55" i="6"/>
  <c r="H56" i="6"/>
  <c r="S43" i="6"/>
  <c r="T43" i="6"/>
  <c r="AA38" i="16" l="1"/>
  <c r="AA40" i="16" s="1"/>
  <c r="I192" i="10"/>
  <c r="J193" i="10" s="1"/>
  <c r="G220" i="10"/>
  <c r="E220" i="10"/>
  <c r="C90" i="3"/>
  <c r="F91" i="3"/>
  <c r="Q79" i="3"/>
  <c r="R79" i="3"/>
  <c r="C56" i="6"/>
  <c r="H64" i="6" s="1"/>
  <c r="H65" i="6" s="1"/>
  <c r="H74" i="6" s="1"/>
  <c r="S56" i="6"/>
  <c r="T56" i="6"/>
  <c r="S57" i="6"/>
  <c r="T49" i="6"/>
  <c r="T31" i="6"/>
  <c r="AA43" i="16" l="1"/>
  <c r="E222" i="10"/>
  <c r="E242" i="10" s="1"/>
  <c r="I210" i="10"/>
  <c r="J209" i="10"/>
  <c r="Q90" i="3"/>
  <c r="R90" i="3"/>
  <c r="R89" i="3"/>
  <c r="C91" i="3"/>
  <c r="R83" i="3"/>
  <c r="C64" i="6"/>
  <c r="C65" i="6" s="1"/>
  <c r="S52" i="6"/>
  <c r="T52" i="6"/>
  <c r="AA45" i="16" l="1"/>
  <c r="AB38" i="16"/>
  <c r="I213" i="10"/>
  <c r="J214" i="10" s="1"/>
  <c r="G241" i="10"/>
  <c r="E241" i="10"/>
  <c r="R87" i="3"/>
  <c r="Q87" i="3"/>
  <c r="T65" i="6"/>
  <c r="T66" i="6"/>
  <c r="S66" i="6"/>
  <c r="S65" i="6"/>
  <c r="C73" i="6"/>
  <c r="C74" i="6" s="1"/>
  <c r="S61" i="6"/>
  <c r="T61" i="6"/>
  <c r="T58" i="6"/>
  <c r="AB40" i="16" l="1"/>
  <c r="AB43" i="16" s="1"/>
  <c r="E243" i="10"/>
  <c r="E263" i="10" s="1"/>
  <c r="I231" i="10"/>
  <c r="J230" i="10"/>
  <c r="C98" i="3"/>
  <c r="F99" i="3"/>
  <c r="N9" i="13" s="1"/>
  <c r="N10" i="13" s="1"/>
  <c r="R91" i="3"/>
  <c r="T74" i="6"/>
  <c r="S75" i="6"/>
  <c r="T75" i="6"/>
  <c r="S74" i="6"/>
  <c r="T67" i="6"/>
  <c r="D40" i="16" l="1"/>
  <c r="D43" i="16" s="1"/>
  <c r="C40" i="16"/>
  <c r="C43" i="16" s="1"/>
  <c r="I234" i="10"/>
  <c r="J235" i="10" s="1"/>
  <c r="G262" i="10"/>
  <c r="E262" i="10"/>
  <c r="Q98" i="3"/>
  <c r="R98" i="3"/>
  <c r="R97" i="3"/>
  <c r="C99" i="3"/>
  <c r="C82" i="6"/>
  <c r="C83" i="6" s="1"/>
  <c r="H83" i="6"/>
  <c r="S70" i="6"/>
  <c r="T70" i="6"/>
  <c r="AB45" i="16" l="1"/>
  <c r="AC38" i="16"/>
  <c r="E264" i="10"/>
  <c r="J251" i="10"/>
  <c r="I252" i="10"/>
  <c r="R95" i="3"/>
  <c r="Q95" i="3"/>
  <c r="C91" i="6"/>
  <c r="C92" i="6" s="1"/>
  <c r="H100" i="6" s="1"/>
  <c r="S84" i="6"/>
  <c r="T83" i="6"/>
  <c r="S83" i="6"/>
  <c r="T84" i="6"/>
  <c r="T76" i="6"/>
  <c r="AC40" i="16" l="1"/>
  <c r="AC43" i="16" s="1"/>
  <c r="E266" i="10"/>
  <c r="G285" i="10" s="1"/>
  <c r="I255" i="10"/>
  <c r="J256" i="10" s="1"/>
  <c r="C106" i="3"/>
  <c r="F107" i="3"/>
  <c r="F110" i="3" s="1"/>
  <c r="F118" i="3" s="1"/>
  <c r="R99" i="3"/>
  <c r="C100" i="6"/>
  <c r="C101" i="6" s="1"/>
  <c r="H92" i="6"/>
  <c r="S88" i="6"/>
  <c r="T88" i="6"/>
  <c r="T92" i="6"/>
  <c r="S93" i="6"/>
  <c r="T93" i="6"/>
  <c r="S92" i="6"/>
  <c r="S79" i="6"/>
  <c r="T79" i="6"/>
  <c r="AC45" i="16" l="1"/>
  <c r="AD38" i="16"/>
  <c r="AD40" i="16"/>
  <c r="E286" i="10"/>
  <c r="I275" i="10" s="1"/>
  <c r="E285" i="10"/>
  <c r="Q106" i="3"/>
  <c r="R106" i="3"/>
  <c r="R105" i="3"/>
  <c r="C107" i="3"/>
  <c r="C110" i="3" s="1"/>
  <c r="C109" i="6"/>
  <c r="H101" i="6"/>
  <c r="H131" i="6" s="1"/>
  <c r="T101" i="6"/>
  <c r="S101" i="6"/>
  <c r="S102" i="6"/>
  <c r="T102" i="6"/>
  <c r="T94" i="6"/>
  <c r="T85" i="6"/>
  <c r="AD43" i="16" l="1"/>
  <c r="E287" i="10"/>
  <c r="J274" i="10"/>
  <c r="C131" i="6"/>
  <c r="E244" i="7" s="1"/>
  <c r="E245" i="7" s="1"/>
  <c r="Q103" i="3"/>
  <c r="R103" i="3"/>
  <c r="C110" i="6"/>
  <c r="T106" i="6" s="1"/>
  <c r="T110" i="6"/>
  <c r="H110" i="6"/>
  <c r="S111" i="6"/>
  <c r="S97" i="6"/>
  <c r="T97" i="6"/>
  <c r="AE38" i="16" l="1"/>
  <c r="AD45" i="16"/>
  <c r="E261" i="7"/>
  <c r="I255" i="7" s="1"/>
  <c r="E262" i="7"/>
  <c r="E307" i="10"/>
  <c r="E306" i="10"/>
  <c r="I278" i="10"/>
  <c r="G306" i="10"/>
  <c r="J278" i="10"/>
  <c r="C117" i="3"/>
  <c r="S138" i="6"/>
  <c r="R107" i="3"/>
  <c r="C118" i="6"/>
  <c r="C119" i="6" s="1"/>
  <c r="S106" i="6"/>
  <c r="T103" i="6"/>
  <c r="AE40" i="16" l="1"/>
  <c r="J255" i="7"/>
  <c r="G279" i="7"/>
  <c r="J279" i="10"/>
  <c r="H261" i="7"/>
  <c r="I254" i="7"/>
  <c r="J253" i="7"/>
  <c r="E263" i="7"/>
  <c r="E280" i="7" s="1"/>
  <c r="I296" i="10"/>
  <c r="J295" i="10"/>
  <c r="E308" i="10"/>
  <c r="C118" i="3"/>
  <c r="F125" i="3" s="1"/>
  <c r="F126" i="3" s="1"/>
  <c r="F128" i="3" s="1"/>
  <c r="R116" i="3"/>
  <c r="R117" i="3"/>
  <c r="Q117" i="3"/>
  <c r="H127" i="6"/>
  <c r="C127" i="6" s="1"/>
  <c r="C128" i="6" s="1"/>
  <c r="C132" i="6" s="1"/>
  <c r="H119" i="6"/>
  <c r="S115" i="6"/>
  <c r="T115" i="6"/>
  <c r="T119" i="6"/>
  <c r="S120" i="6"/>
  <c r="T112" i="6"/>
  <c r="H308" i="10"/>
  <c r="AE43" i="16" l="1"/>
  <c r="H279" i="7"/>
  <c r="I257" i="7"/>
  <c r="I272" i="7"/>
  <c r="J271" i="7"/>
  <c r="J257" i="7"/>
  <c r="E279" i="7"/>
  <c r="G297" i="7" s="1"/>
  <c r="I299" i="10"/>
  <c r="J299" i="10"/>
  <c r="R114" i="3"/>
  <c r="Q114" i="3"/>
  <c r="T128" i="6"/>
  <c r="S129" i="6"/>
  <c r="H128" i="6"/>
  <c r="H132" i="6" s="1"/>
  <c r="T121" i="6"/>
  <c r="AF38" i="16" l="1"/>
  <c r="AF40" i="16" s="1"/>
  <c r="AE45" i="16"/>
  <c r="I273" i="7"/>
  <c r="J273" i="7"/>
  <c r="E281" i="7"/>
  <c r="E298" i="7" s="1"/>
  <c r="H297" i="7" s="1"/>
  <c r="J258" i="7"/>
  <c r="J300" i="10"/>
  <c r="C125" i="3"/>
  <c r="C126" i="3" s="1"/>
  <c r="C128" i="3" s="1"/>
  <c r="R118" i="3"/>
  <c r="H141" i="6"/>
  <c r="T124" i="6"/>
  <c r="S124" i="6"/>
  <c r="AF43" i="16" l="1"/>
  <c r="E297" i="7"/>
  <c r="J291" i="7" s="1"/>
  <c r="J275" i="7"/>
  <c r="I275" i="7"/>
  <c r="I290" i="7"/>
  <c r="J289" i="7"/>
  <c r="C130" i="3"/>
  <c r="R131" i="3"/>
  <c r="R122" i="3"/>
  <c r="Q138" i="3" s="1"/>
  <c r="Q125" i="3"/>
  <c r="R141" i="3" s="1"/>
  <c r="R124" i="3"/>
  <c r="R125" i="3"/>
  <c r="C140" i="6"/>
  <c r="T130" i="6"/>
  <c r="AG38" i="16" l="1"/>
  <c r="AG40" i="16" s="1"/>
  <c r="AG43" i="16" s="1"/>
  <c r="AF45" i="16"/>
  <c r="E299" i="7"/>
  <c r="J293" i="7" s="1"/>
  <c r="I291" i="7"/>
  <c r="J276" i="7"/>
  <c r="R134" i="3"/>
  <c r="R142" i="3"/>
  <c r="Q122" i="3"/>
  <c r="R126" i="3" s="1"/>
  <c r="C141" i="6"/>
  <c r="H150" i="6" s="1"/>
  <c r="T141" i="6"/>
  <c r="S142" i="6"/>
  <c r="AG45" i="16" l="1"/>
  <c r="AH38" i="16"/>
  <c r="AH40" i="16" s="1"/>
  <c r="AH43" i="16" s="1"/>
  <c r="AI38" i="16" s="1"/>
  <c r="I293" i="7"/>
  <c r="J294" i="7" s="1"/>
  <c r="T137" i="6"/>
  <c r="S137" i="6"/>
  <c r="H299" i="7"/>
  <c r="AI40" i="16" l="1"/>
  <c r="AI43" i="16" s="1"/>
  <c r="AH45" i="16"/>
  <c r="T143" i="6"/>
  <c r="C149" i="6"/>
  <c r="AI45" i="16" l="1"/>
  <c r="AJ38" i="16"/>
  <c r="AJ40" i="16" s="1"/>
  <c r="C150" i="6"/>
  <c r="H158" i="6" s="1"/>
  <c r="T150" i="6"/>
  <c r="S151" i="6"/>
  <c r="AJ43" i="16" l="1"/>
  <c r="T146" i="6"/>
  <c r="S146" i="6"/>
  <c r="AJ45" i="16" l="1"/>
  <c r="AK38" i="16"/>
  <c r="AK40" i="16" s="1"/>
  <c r="C158" i="6"/>
  <c r="C159" i="6" s="1"/>
  <c r="C161" i="6" s="1"/>
  <c r="C163" i="6" s="1"/>
  <c r="H159" i="6"/>
  <c r="H161" i="6" s="1"/>
  <c r="T152" i="6"/>
  <c r="AK43" i="16" l="1"/>
  <c r="S160" i="6"/>
  <c r="T178" i="6" s="1"/>
  <c r="T159" i="6"/>
  <c r="AK45" i="16" l="1"/>
  <c r="AL38" i="16"/>
  <c r="T155" i="6"/>
  <c r="S155" i="6"/>
  <c r="AL40" i="16" l="1"/>
  <c r="S173" i="6"/>
  <c r="T161" i="6"/>
  <c r="AL43" i="16" l="1"/>
  <c r="T179" i="6"/>
  <c r="AM38" i="16" l="1"/>
  <c r="AM40" i="16" s="1"/>
  <c r="AL45" i="16"/>
  <c r="L17" i="18"/>
  <c r="K19" i="18"/>
  <c r="AM43" i="16" l="1"/>
  <c r="AN38" i="16" s="1"/>
  <c r="AN40" i="16" s="1"/>
  <c r="L15" i="18"/>
  <c r="K15" i="18"/>
  <c r="K18" i="18"/>
  <c r="L19" i="18"/>
  <c r="AN43" i="16" l="1"/>
  <c r="AM45" i="16"/>
  <c r="L13" i="18"/>
  <c r="K14" i="18"/>
  <c r="AN45" i="16" l="1"/>
  <c r="AO38" i="16"/>
  <c r="AO40" i="16" s="1"/>
  <c r="F1" i="24"/>
  <c r="AO43" i="16" l="1"/>
  <c r="AP38" i="16" s="1"/>
  <c r="AP40" i="16" s="1"/>
  <c r="AP43" i="16" s="1"/>
  <c r="Q5" i="16"/>
  <c r="F1" i="25"/>
  <c r="AP45" i="16" l="1"/>
  <c r="AQ38" i="16"/>
  <c r="AQ40" i="16" s="1"/>
  <c r="AO45" i="16"/>
  <c r="Q8" i="16"/>
  <c r="Q13" i="16" s="1"/>
  <c r="Q15" i="16" l="1"/>
  <c r="R5" i="16"/>
  <c r="R8" i="16" s="1"/>
  <c r="AQ43" i="16" l="1"/>
  <c r="AR38" i="16" s="1"/>
  <c r="L25" i="18"/>
  <c r="L27" i="18"/>
  <c r="K27" i="18"/>
  <c r="R13" i="16"/>
  <c r="S5" i="16" s="1"/>
  <c r="S8" i="16" s="1"/>
  <c r="AR40" i="16" l="1"/>
  <c r="AQ45" i="16"/>
  <c r="K26" i="18"/>
  <c r="R15" i="16"/>
  <c r="AR43" i="16" l="1"/>
  <c r="S13" i="16"/>
  <c r="AS38" i="16" l="1"/>
  <c r="AT38" i="16"/>
  <c r="AS40" i="16"/>
  <c r="AS43" i="16"/>
  <c r="AR45" i="16"/>
  <c r="T5" i="16"/>
  <c r="T8" i="16" s="1"/>
  <c r="S15" i="16"/>
  <c r="AS45" i="16" l="1"/>
  <c r="T13" i="16"/>
  <c r="T15" i="16" s="1"/>
  <c r="AT40" i="16" l="1"/>
  <c r="AT43" i="16" s="1"/>
  <c r="AU38" i="16" s="1"/>
  <c r="U5" i="16"/>
  <c r="U8" i="16" s="1"/>
  <c r="AU40" i="16" l="1"/>
  <c r="AU43" i="16" s="1"/>
  <c r="AV38" i="16" s="1"/>
  <c r="AT45" i="16"/>
  <c r="U13" i="16"/>
  <c r="V5" i="16" s="1"/>
  <c r="V8" i="16" s="1"/>
  <c r="AA11" i="16" s="1"/>
  <c r="D11" i="16" s="1"/>
  <c r="AV40" i="16" l="1"/>
  <c r="AU45" i="16"/>
  <c r="U15" i="16"/>
  <c r="C11" i="16"/>
  <c r="AV43" i="16" l="1"/>
  <c r="AW38" i="16" s="1"/>
  <c r="V13" i="16"/>
  <c r="AW40" i="16" l="1"/>
  <c r="AV45" i="16"/>
  <c r="W5" i="16"/>
  <c r="V15" i="16"/>
  <c r="BC35" i="16" l="1"/>
  <c r="BB36" i="16"/>
  <c r="BB37" i="16"/>
  <c r="K7" i="18" s="1"/>
  <c r="BC37" i="16"/>
  <c r="L7" i="18" s="1"/>
  <c r="AW43" i="16"/>
  <c r="AW45" i="16" s="1"/>
  <c r="W8" i="16"/>
  <c r="K6" i="18" l="1"/>
  <c r="BC41" i="16"/>
  <c r="W13" i="16"/>
  <c r="W15" i="16" s="1"/>
  <c r="X5" i="16" l="1"/>
  <c r="X8" i="16" s="1"/>
  <c r="X13" i="16" l="1"/>
  <c r="Y5" i="16" s="1"/>
  <c r="X15" i="16" l="1"/>
  <c r="Y8" i="16"/>
  <c r="Y13" i="16" l="1"/>
  <c r="Y15" i="16" s="1"/>
  <c r="Z5" i="16" l="1"/>
  <c r="Z8" i="16" s="1"/>
  <c r="Z13" i="16" l="1"/>
  <c r="AA5" i="16" s="1"/>
  <c r="AA8" i="16" s="1"/>
  <c r="Z15" i="16" l="1"/>
  <c r="AA13" i="16"/>
  <c r="AA15" i="16" l="1"/>
  <c r="AB5" i="16"/>
  <c r="AB8" i="16" l="1"/>
  <c r="D8" i="16" l="1"/>
  <c r="D13" i="16" s="1"/>
  <c r="C8" i="16"/>
  <c r="C13" i="16" s="1"/>
  <c r="AB13" i="16"/>
  <c r="AC5" i="16" s="1"/>
  <c r="AC13" i="16" s="1"/>
  <c r="AC15" i="16" l="1"/>
  <c r="AD5" i="16"/>
  <c r="AB15" i="16"/>
  <c r="AD13" i="16" l="1"/>
  <c r="AE5" i="16" l="1"/>
  <c r="AE13" i="16" s="1"/>
  <c r="AD15" i="16"/>
  <c r="AF5" i="16" l="1"/>
  <c r="AF13" i="16" s="1"/>
  <c r="AE15" i="16"/>
  <c r="AF15" i="16" l="1"/>
  <c r="AG5" i="16"/>
  <c r="AG13" i="16" l="1"/>
  <c r="AH5" i="16" l="1"/>
  <c r="AH13" i="16" s="1"/>
  <c r="AI5" i="16" s="1"/>
  <c r="AG15" i="16"/>
  <c r="AH15" i="16" l="1"/>
  <c r="AI13" i="16" l="1"/>
  <c r="AI15" i="16" l="1"/>
  <c r="AJ5" i="16"/>
  <c r="AJ13" i="16" l="1"/>
  <c r="AJ15" i="16" l="1"/>
  <c r="AK5" i="16"/>
  <c r="AK13" i="16" l="1"/>
  <c r="AL5" i="16" s="1"/>
  <c r="AK15" i="16" l="1"/>
  <c r="AL13" i="16"/>
  <c r="AM5" i="16" l="1"/>
  <c r="AL15" i="16"/>
  <c r="AM13" i="16" l="1"/>
  <c r="AN5" i="16" s="1"/>
  <c r="AM15" i="16" l="1"/>
  <c r="AN13" i="16" l="1"/>
  <c r="AN15" i="16" l="1"/>
  <c r="AO5" i="16"/>
  <c r="AO8" i="16" s="1"/>
  <c r="AO13" i="16" l="1"/>
  <c r="AP5" i="16" s="1"/>
  <c r="AP8" i="16" s="1"/>
  <c r="AP13" i="16" l="1"/>
  <c r="AP15" i="16" s="1"/>
  <c r="AO15" i="16"/>
  <c r="AQ5" i="16" l="1"/>
  <c r="AQ8" i="16" s="1"/>
  <c r="AQ13" i="16" l="1"/>
  <c r="AR5" i="16" s="1"/>
  <c r="AQ15" i="16" l="1"/>
  <c r="AR8" i="16"/>
  <c r="AR13" i="16" l="1"/>
  <c r="AT5" i="16" s="1"/>
  <c r="AS5" i="16" l="1"/>
  <c r="AS8" i="16" s="1"/>
  <c r="AT8" i="16"/>
  <c r="AR15" i="16"/>
  <c r="AS13" i="16" l="1"/>
  <c r="AS15" i="16" l="1"/>
  <c r="AT13" i="16" l="1"/>
  <c r="AU5" i="16" s="1"/>
  <c r="AU8" i="16" l="1"/>
  <c r="AU13" i="16" s="1"/>
  <c r="AV5" i="16" s="1"/>
  <c r="AT15" i="16"/>
  <c r="AU15" i="16" l="1"/>
  <c r="AV8" i="16" l="1"/>
  <c r="AV13" i="16" l="1"/>
  <c r="AW5" i="16" s="1"/>
  <c r="AV15" i="16" l="1"/>
  <c r="AW8" i="16" l="1"/>
  <c r="AW13" i="16" l="1"/>
  <c r="AW15" i="16" s="1"/>
  <c r="BB6" i="16"/>
  <c r="BC5" i="16"/>
  <c r="BC7" i="16"/>
  <c r="L4" i="18" s="1"/>
  <c r="BB7" i="16"/>
  <c r="K4" i="18" s="1"/>
  <c r="L2" i="18" l="1"/>
  <c r="L32" i="18" s="1"/>
  <c r="H61" i="24"/>
  <c r="BC11" i="16"/>
  <c r="I61" i="24" s="1"/>
  <c r="K3" i="18"/>
  <c r="K32" i="18" s="1"/>
  <c r="H61" i="22"/>
  <c r="H61" i="20"/>
  <c r="H61" i="21"/>
  <c r="H63" i="44"/>
  <c r="H61" i="23"/>
  <c r="H61" i="19"/>
  <c r="H61" i="5"/>
  <c r="I62" i="24" l="1"/>
  <c r="I61" i="22"/>
  <c r="I62" i="22" s="1"/>
  <c r="I61" i="5"/>
  <c r="I62" i="5" s="1"/>
  <c r="I61" i="19"/>
  <c r="I62" i="19" s="1"/>
  <c r="I61" i="20"/>
  <c r="I62" i="20" s="1"/>
  <c r="I61" i="23"/>
  <c r="I62" i="23" s="1"/>
  <c r="I62" i="25"/>
  <c r="I61" i="21"/>
  <c r="I62" i="21" s="1"/>
  <c r="I63" i="44"/>
  <c r="I64" i="44" s="1"/>
</calcChain>
</file>

<file path=xl/comments1.xml><?xml version="1.0" encoding="utf-8"?>
<comments xmlns="http://schemas.openxmlformats.org/spreadsheetml/2006/main">
  <authors>
    <author>Berg, Jenny</author>
  </authors>
  <commentList>
    <comment ref="D22" authorId="0" shapeId="0">
      <text>
        <r>
          <rPr>
            <b/>
            <sz val="9"/>
            <color indexed="81"/>
            <rFont val="Tahoma"/>
            <family val="2"/>
          </rPr>
          <t>Berg, Jenny:</t>
        </r>
        <r>
          <rPr>
            <sz val="9"/>
            <color indexed="81"/>
            <rFont val="Tahoma"/>
            <family val="2"/>
          </rPr>
          <t xml:space="preserve">
Rate Error Correction - Jan
Int Correction - Feb &amp; Mar</t>
        </r>
      </text>
    </comment>
  </commentList>
</comments>
</file>

<file path=xl/comments10.xml><?xml version="1.0" encoding="utf-8"?>
<comments xmlns="http://schemas.openxmlformats.org/spreadsheetml/2006/main">
  <authors>
    <author>MGG9990</author>
    <author>Berg, Jenny</author>
  </authors>
  <commentList>
    <comment ref="I5" authorId="0" shapeId="0">
      <text>
        <r>
          <rPr>
            <sz val="8"/>
            <color indexed="81"/>
            <rFont val="Tahoma"/>
            <family val="2"/>
          </rPr>
          <t>Updated once per year; email (5 Day Peak Allocator) to be provided by rates with a memo on the allocation %. Usually changes effective Nov. 1.</t>
        </r>
      </text>
    </comment>
    <comment ref="G52" authorId="1" shapeId="0">
      <text>
        <r>
          <rPr>
            <b/>
            <sz val="9"/>
            <color indexed="81"/>
            <rFont val="Tahoma"/>
            <family val="2"/>
          </rPr>
          <t>Berg, Jenny:</t>
        </r>
        <r>
          <rPr>
            <sz val="9"/>
            <color indexed="81"/>
            <rFont val="Tahoma"/>
            <family val="2"/>
          </rPr>
          <t xml:space="preserve">
Positive Amt = Net Expense
Negative Amt = Net Revenue</t>
        </r>
      </text>
    </comment>
    <comment ref="G53" authorId="1" shapeId="0">
      <text>
        <r>
          <rPr>
            <b/>
            <sz val="9"/>
            <color indexed="81"/>
            <rFont val="Tahoma"/>
            <family val="2"/>
          </rPr>
          <t>Berg, Jenny:</t>
        </r>
        <r>
          <rPr>
            <sz val="9"/>
            <color indexed="81"/>
            <rFont val="Tahoma"/>
            <family val="2"/>
          </rPr>
          <t xml:space="preserve">
Always Negative Amt = Revenue collected from borrowers based on current rates.</t>
        </r>
      </text>
    </comment>
  </commentList>
</comments>
</file>

<file path=xl/comments11.xml><?xml version="1.0" encoding="utf-8"?>
<comments xmlns="http://schemas.openxmlformats.org/spreadsheetml/2006/main">
  <authors>
    <author>Berg, Jenny</author>
    <author>KM</author>
  </authors>
  <commentList>
    <comment ref="D3" authorId="0" shapeId="0">
      <text>
        <r>
          <rPr>
            <b/>
            <sz val="9"/>
            <color indexed="81"/>
            <rFont val="Tahoma"/>
            <family val="2"/>
          </rPr>
          <t>Berg, Jenny:</t>
        </r>
        <r>
          <rPr>
            <sz val="9"/>
            <color indexed="81"/>
            <rFont val="Tahoma"/>
            <family val="2"/>
          </rPr>
          <t xml:space="preserve">
Beginning 201701</t>
        </r>
      </text>
    </comment>
    <comment ref="AT3" authorId="1" shapeId="0">
      <text>
        <r>
          <rPr>
            <b/>
            <sz val="9"/>
            <color indexed="81"/>
            <rFont val="Tahoma"/>
            <family val="2"/>
          </rPr>
          <t>KM:</t>
        </r>
        <r>
          <rPr>
            <sz val="9"/>
            <color indexed="81"/>
            <rFont val="Tahoma"/>
            <family val="2"/>
          </rPr>
          <t xml:space="preserve">
201905 Entitlement Penalty input under AN on monthly tab, which resulted in incorrect allocation of that item to WA/ID. 
The Entitlement Penalty had specific dollars listed for both WA &amp; ID, therefore needed to be input into each state's section on monthly tab in order to get allocated to each state correctly.
"201905 Revised" is what should have been recorded if allocation had been done correctly.
True up entry for both WA &amp; ID will be recorded with JE in 201906</t>
        </r>
      </text>
    </comment>
    <comment ref="AC7" authorId="0" shapeId="0">
      <text>
        <r>
          <rPr>
            <b/>
            <sz val="9"/>
            <color indexed="81"/>
            <rFont val="Tahoma"/>
            <family val="2"/>
          </rPr>
          <t>Berg, Jenny:</t>
        </r>
        <r>
          <rPr>
            <sz val="9"/>
            <color indexed="81"/>
            <rFont val="Tahoma"/>
            <family val="2"/>
          </rPr>
          <t xml:space="preserve">
updated 4/25/18</t>
        </r>
      </text>
    </comment>
    <comment ref="O8" authorId="0" shapeId="0">
      <text>
        <r>
          <rPr>
            <b/>
            <sz val="9"/>
            <color indexed="81"/>
            <rFont val="Tahoma"/>
            <family val="2"/>
          </rPr>
          <t xml:space="preserve">MGG9990:
</t>
        </r>
        <r>
          <rPr>
            <sz val="9"/>
            <color indexed="81"/>
            <rFont val="Tahoma"/>
            <family val="2"/>
          </rPr>
          <t>Interest Calculation Includes Transfer in beginning balance</t>
        </r>
      </text>
    </comment>
    <comment ref="AA8" authorId="0" shapeId="0">
      <text>
        <r>
          <rPr>
            <b/>
            <sz val="9"/>
            <color indexed="81"/>
            <rFont val="Tahoma"/>
            <family val="2"/>
          </rPr>
          <t xml:space="preserve">MGG9990:
</t>
        </r>
        <r>
          <rPr>
            <sz val="9"/>
            <color indexed="81"/>
            <rFont val="Tahoma"/>
            <family val="2"/>
          </rPr>
          <t>Interest Calculation Includes Transfer in beginning balance</t>
        </r>
      </text>
    </comment>
    <comment ref="AM8" authorId="0" shapeId="0">
      <text>
        <r>
          <rPr>
            <b/>
            <sz val="9"/>
            <color indexed="81"/>
            <rFont val="Tahoma"/>
            <family val="2"/>
          </rPr>
          <t>Berg, Jenny:</t>
        </r>
        <r>
          <rPr>
            <sz val="9"/>
            <color indexed="81"/>
            <rFont val="Tahoma"/>
            <family val="2"/>
          </rPr>
          <t xml:space="preserve">
Interest calculation already includes credit transfer in beginning balance, so also pick up debit transfer amounts.  This will allow for no impact on interest calculation.  Will be included in amortization section.</t>
        </r>
      </text>
    </comment>
    <comment ref="O12" authorId="0" shapeId="0">
      <text>
        <r>
          <rPr>
            <b/>
            <sz val="9"/>
            <color indexed="81"/>
            <rFont val="Tahoma"/>
            <family val="2"/>
          </rPr>
          <t>Berg, Jenny:</t>
        </r>
        <r>
          <rPr>
            <sz val="9"/>
            <color indexed="81"/>
            <rFont val="Tahoma"/>
            <family val="2"/>
          </rPr>
          <t xml:space="preserve">
"plug" to get to Ryan's balance of $14,182,183.96</t>
        </r>
      </text>
    </comment>
    <comment ref="AA12" authorId="0" shapeId="0">
      <text>
        <r>
          <rPr>
            <b/>
            <sz val="9"/>
            <color indexed="81"/>
            <rFont val="Tahoma"/>
            <family val="2"/>
          </rPr>
          <t>Berg, Jenny:</t>
        </r>
        <r>
          <rPr>
            <sz val="9"/>
            <color indexed="81"/>
            <rFont val="Tahoma"/>
            <family val="2"/>
          </rPr>
          <t xml:space="preserve">
Dec/Jan Rate Schedule 146 difference per Rates
Added in order to tie to Annette's balance of $14,771,212.55</t>
        </r>
      </text>
    </comment>
    <comment ref="J14" authorId="0" shapeId="0">
      <text>
        <r>
          <rPr>
            <b/>
            <sz val="9"/>
            <color indexed="81"/>
            <rFont val="Tahoma"/>
            <family val="2"/>
          </rPr>
          <t>Berg, Jenny:</t>
        </r>
        <r>
          <rPr>
            <sz val="9"/>
            <color indexed="81"/>
            <rFont val="Tahoma"/>
            <family val="2"/>
          </rPr>
          <t xml:space="preserve">
Ryan's balance = 
$14,182,183.96</t>
        </r>
      </text>
    </comment>
    <comment ref="V14" authorId="0" shapeId="0">
      <text>
        <r>
          <rPr>
            <b/>
            <sz val="9"/>
            <color indexed="81"/>
            <rFont val="Tahoma"/>
            <family val="2"/>
          </rPr>
          <t>Berg, Jenny:</t>
        </r>
        <r>
          <rPr>
            <sz val="9"/>
            <color indexed="81"/>
            <rFont val="Tahoma"/>
            <family val="2"/>
          </rPr>
          <t xml:space="preserve">
Annette's balance = $14,771,212.55.
Difference = $35.15 and noted under Misc Adjustments in November.</t>
        </r>
      </text>
    </comment>
    <comment ref="O39" authorId="0" shapeId="0">
      <text>
        <r>
          <rPr>
            <b/>
            <sz val="9"/>
            <color indexed="81"/>
            <rFont val="Tahoma"/>
            <family val="2"/>
          </rPr>
          <t>Berg, Jenny:</t>
        </r>
        <r>
          <rPr>
            <sz val="9"/>
            <color indexed="81"/>
            <rFont val="Tahoma"/>
            <family val="2"/>
          </rPr>
          <t xml:space="preserve">
Amortization of Commodity &amp; Demand…increases in '16 b/c of change in rate from .02571 to .09174</t>
        </r>
      </text>
    </comment>
    <comment ref="P39" authorId="0" shapeId="0">
      <text>
        <r>
          <rPr>
            <b/>
            <sz val="9"/>
            <color indexed="81"/>
            <rFont val="Tahoma"/>
            <family val="2"/>
          </rPr>
          <t>Berg, Jenny:</t>
        </r>
        <r>
          <rPr>
            <sz val="9"/>
            <color indexed="81"/>
            <rFont val="Tahoma"/>
            <family val="2"/>
          </rPr>
          <t xml:space="preserve">
Amortization of Commodity &amp; Demand</t>
        </r>
      </text>
    </comment>
    <comment ref="AA39" authorId="0" shapeId="0">
      <text>
        <r>
          <rPr>
            <b/>
            <sz val="9"/>
            <color indexed="81"/>
            <rFont val="Tahoma"/>
            <family val="2"/>
          </rPr>
          <t>Berg, Jenny:</t>
        </r>
        <r>
          <rPr>
            <sz val="9"/>
            <color indexed="81"/>
            <rFont val="Tahoma"/>
            <family val="2"/>
          </rPr>
          <t xml:space="preserve">
Amortization of Commodity &amp; Demand…</t>
        </r>
      </text>
    </comment>
    <comment ref="AB39" authorId="0" shapeId="0">
      <text>
        <r>
          <rPr>
            <b/>
            <sz val="9"/>
            <color indexed="81"/>
            <rFont val="Tahoma"/>
            <family val="2"/>
          </rPr>
          <t>Berg, Jenny:</t>
        </r>
        <r>
          <rPr>
            <sz val="9"/>
            <color indexed="81"/>
            <rFont val="Tahoma"/>
            <family val="2"/>
          </rPr>
          <t xml:space="preserve">
Amortization of Commodity &amp; Demand</t>
        </r>
      </text>
    </comment>
    <comment ref="AC39" authorId="0" shapeId="0">
      <text>
        <r>
          <rPr>
            <b/>
            <sz val="9"/>
            <color indexed="81"/>
            <rFont val="Tahoma"/>
            <family val="2"/>
          </rPr>
          <t>Berg, Jenny:</t>
        </r>
        <r>
          <rPr>
            <sz val="9"/>
            <color indexed="81"/>
            <rFont val="Tahoma"/>
            <family val="2"/>
          </rPr>
          <t xml:space="preserve">
Amortization of Commodity &amp; Demand</t>
        </r>
      </text>
    </comment>
    <comment ref="AD39" authorId="0" shapeId="0">
      <text>
        <r>
          <rPr>
            <b/>
            <sz val="9"/>
            <color indexed="81"/>
            <rFont val="Tahoma"/>
            <family val="2"/>
          </rPr>
          <t>Berg, Jenny:</t>
        </r>
        <r>
          <rPr>
            <sz val="9"/>
            <color indexed="81"/>
            <rFont val="Tahoma"/>
            <family val="2"/>
          </rPr>
          <t xml:space="preserve">
Amortization of Commodity &amp; Demand</t>
        </r>
      </text>
    </comment>
    <comment ref="AE39" authorId="0" shapeId="0">
      <text>
        <r>
          <rPr>
            <b/>
            <sz val="9"/>
            <color indexed="81"/>
            <rFont val="Tahoma"/>
            <family val="2"/>
          </rPr>
          <t>Berg, Jenny:</t>
        </r>
        <r>
          <rPr>
            <sz val="9"/>
            <color indexed="81"/>
            <rFont val="Tahoma"/>
            <family val="2"/>
          </rPr>
          <t xml:space="preserve">
Amortization of Commodity &amp; Demand</t>
        </r>
      </text>
    </comment>
    <comment ref="AF39" authorId="0" shapeId="0">
      <text>
        <r>
          <rPr>
            <b/>
            <sz val="9"/>
            <color indexed="81"/>
            <rFont val="Tahoma"/>
            <family val="2"/>
          </rPr>
          <t>Berg, Jenny:</t>
        </r>
        <r>
          <rPr>
            <sz val="9"/>
            <color indexed="81"/>
            <rFont val="Tahoma"/>
            <family val="2"/>
          </rPr>
          <t xml:space="preserve">
Amortization of Commodity &amp; Demand</t>
        </r>
      </text>
    </comment>
    <comment ref="AG39" authorId="0" shapeId="0">
      <text>
        <r>
          <rPr>
            <b/>
            <sz val="9"/>
            <color indexed="81"/>
            <rFont val="Tahoma"/>
            <family val="2"/>
          </rPr>
          <t>Berg, Jenny:</t>
        </r>
        <r>
          <rPr>
            <sz val="9"/>
            <color indexed="81"/>
            <rFont val="Tahoma"/>
            <family val="2"/>
          </rPr>
          <t xml:space="preserve">
Amortization of Commodity &amp; Demand</t>
        </r>
      </text>
    </comment>
    <comment ref="AH39" authorId="0" shapeId="0">
      <text>
        <r>
          <rPr>
            <b/>
            <sz val="9"/>
            <color indexed="81"/>
            <rFont val="Tahoma"/>
            <family val="2"/>
          </rPr>
          <t>Berg, Jenny:</t>
        </r>
        <r>
          <rPr>
            <sz val="9"/>
            <color indexed="81"/>
            <rFont val="Tahoma"/>
            <family val="2"/>
          </rPr>
          <t xml:space="preserve">
Amortization of Commodity &amp; Demand</t>
        </r>
      </text>
    </comment>
    <comment ref="AI39" authorId="0" shapeId="0">
      <text>
        <r>
          <rPr>
            <b/>
            <sz val="9"/>
            <color indexed="81"/>
            <rFont val="Tahoma"/>
            <family val="2"/>
          </rPr>
          <t>Berg, Jenny:</t>
        </r>
        <r>
          <rPr>
            <sz val="9"/>
            <color indexed="81"/>
            <rFont val="Tahoma"/>
            <family val="2"/>
          </rPr>
          <t xml:space="preserve">
Amortization of Commodity &amp; Demand</t>
        </r>
      </text>
    </comment>
    <comment ref="AJ39" authorId="0" shapeId="0">
      <text>
        <r>
          <rPr>
            <b/>
            <sz val="9"/>
            <color indexed="81"/>
            <rFont val="Tahoma"/>
            <family val="2"/>
          </rPr>
          <t>Berg, Jenny:</t>
        </r>
        <r>
          <rPr>
            <sz val="9"/>
            <color indexed="81"/>
            <rFont val="Tahoma"/>
            <family val="2"/>
          </rPr>
          <t xml:space="preserve">
Amortization of Commodity &amp; Demand</t>
        </r>
      </text>
    </comment>
    <comment ref="AK39" authorId="0" shapeId="0">
      <text>
        <r>
          <rPr>
            <b/>
            <sz val="9"/>
            <color indexed="81"/>
            <rFont val="Tahoma"/>
            <family val="2"/>
          </rPr>
          <t>Berg, Jenny:</t>
        </r>
        <r>
          <rPr>
            <sz val="9"/>
            <color indexed="81"/>
            <rFont val="Tahoma"/>
            <family val="2"/>
          </rPr>
          <t xml:space="preserve">
Amortization of Commodity &amp; Demand</t>
        </r>
      </text>
    </comment>
    <comment ref="AL39" authorId="0" shapeId="0">
      <text>
        <r>
          <rPr>
            <b/>
            <sz val="9"/>
            <color indexed="81"/>
            <rFont val="Tahoma"/>
            <family val="2"/>
          </rPr>
          <t>Berg, Jenny:</t>
        </r>
        <r>
          <rPr>
            <sz val="9"/>
            <color indexed="81"/>
            <rFont val="Tahoma"/>
            <family val="2"/>
          </rPr>
          <t xml:space="preserve">
Amortization of Commodity &amp; Demand</t>
        </r>
      </text>
    </comment>
    <comment ref="AM39" authorId="0" shapeId="0">
      <text>
        <r>
          <rPr>
            <b/>
            <sz val="9"/>
            <color indexed="81"/>
            <rFont val="Tahoma"/>
            <family val="2"/>
          </rPr>
          <t>Berg, Jenny:</t>
        </r>
        <r>
          <rPr>
            <sz val="9"/>
            <color indexed="81"/>
            <rFont val="Tahoma"/>
            <family val="2"/>
          </rPr>
          <t xml:space="preserve">
Amortization of Commodity &amp; Demand</t>
        </r>
      </text>
    </comment>
    <comment ref="AN39" authorId="0" shapeId="0">
      <text>
        <r>
          <rPr>
            <b/>
            <sz val="9"/>
            <color indexed="81"/>
            <rFont val="Tahoma"/>
            <family val="2"/>
          </rPr>
          <t>Berg, Jenny:</t>
        </r>
        <r>
          <rPr>
            <sz val="9"/>
            <color indexed="81"/>
            <rFont val="Tahoma"/>
            <family val="2"/>
          </rPr>
          <t xml:space="preserve">
Amortization of Commodity &amp; Demand</t>
        </r>
      </text>
    </comment>
    <comment ref="AO39" authorId="0" shapeId="0">
      <text>
        <r>
          <rPr>
            <b/>
            <sz val="9"/>
            <color indexed="81"/>
            <rFont val="Tahoma"/>
            <family val="2"/>
          </rPr>
          <t>Berg, Jenny:</t>
        </r>
        <r>
          <rPr>
            <sz val="9"/>
            <color indexed="81"/>
            <rFont val="Tahoma"/>
            <family val="2"/>
          </rPr>
          <t xml:space="preserve">
Amortization of Commodity &amp; Demand</t>
        </r>
      </text>
    </comment>
    <comment ref="AP39" authorId="0" shapeId="0">
      <text>
        <r>
          <rPr>
            <b/>
            <sz val="9"/>
            <color indexed="81"/>
            <rFont val="Tahoma"/>
            <family val="2"/>
          </rPr>
          <t>Berg, Jenny:</t>
        </r>
        <r>
          <rPr>
            <sz val="9"/>
            <color indexed="81"/>
            <rFont val="Tahoma"/>
            <family val="2"/>
          </rPr>
          <t xml:space="preserve">
Amortization of Commodity &amp; Demand</t>
        </r>
      </text>
    </comment>
    <comment ref="AQ39" authorId="0" shapeId="0">
      <text>
        <r>
          <rPr>
            <b/>
            <sz val="9"/>
            <color indexed="81"/>
            <rFont val="Tahoma"/>
            <family val="2"/>
          </rPr>
          <t>Berg, Jenny:</t>
        </r>
        <r>
          <rPr>
            <sz val="9"/>
            <color indexed="81"/>
            <rFont val="Tahoma"/>
            <family val="2"/>
          </rPr>
          <t xml:space="preserve">
Amortization of Commodity &amp; Demand</t>
        </r>
      </text>
    </comment>
    <comment ref="AR39" authorId="0" shapeId="0">
      <text>
        <r>
          <rPr>
            <b/>
            <sz val="9"/>
            <color indexed="81"/>
            <rFont val="Tahoma"/>
            <family val="2"/>
          </rPr>
          <t>Berg, Jenny:</t>
        </r>
        <r>
          <rPr>
            <sz val="9"/>
            <color indexed="81"/>
            <rFont val="Tahoma"/>
            <family val="2"/>
          </rPr>
          <t xml:space="preserve">
Amortization of Commodity &amp; Demand</t>
        </r>
      </text>
    </comment>
    <comment ref="AS39" authorId="0" shapeId="0">
      <text>
        <r>
          <rPr>
            <b/>
            <sz val="9"/>
            <color indexed="81"/>
            <rFont val="Tahoma"/>
            <family val="2"/>
          </rPr>
          <t>Berg, Jenny:</t>
        </r>
        <r>
          <rPr>
            <sz val="9"/>
            <color indexed="81"/>
            <rFont val="Tahoma"/>
            <family val="2"/>
          </rPr>
          <t xml:space="preserve">
Amortization of Commodity &amp; Demand</t>
        </r>
      </text>
    </comment>
    <comment ref="AT39" authorId="0" shapeId="0">
      <text>
        <r>
          <rPr>
            <b/>
            <sz val="9"/>
            <color indexed="81"/>
            <rFont val="Tahoma"/>
            <family val="2"/>
          </rPr>
          <t>Berg, Jenny:</t>
        </r>
        <r>
          <rPr>
            <sz val="9"/>
            <color indexed="81"/>
            <rFont val="Tahoma"/>
            <family val="2"/>
          </rPr>
          <t xml:space="preserve">
Amortization of Commodity &amp; Demand</t>
        </r>
      </text>
    </comment>
    <comment ref="AU39" authorId="0" shapeId="0">
      <text>
        <r>
          <rPr>
            <b/>
            <sz val="9"/>
            <color indexed="81"/>
            <rFont val="Tahoma"/>
            <family val="2"/>
          </rPr>
          <t>Berg, Jenny:</t>
        </r>
        <r>
          <rPr>
            <sz val="9"/>
            <color indexed="81"/>
            <rFont val="Tahoma"/>
            <family val="2"/>
          </rPr>
          <t xml:space="preserve">
Amortization of Commodity &amp; Demand</t>
        </r>
      </text>
    </comment>
    <comment ref="AV39" authorId="0" shapeId="0">
      <text>
        <r>
          <rPr>
            <b/>
            <sz val="9"/>
            <color indexed="81"/>
            <rFont val="Tahoma"/>
            <family val="2"/>
          </rPr>
          <t>Berg, Jenny:</t>
        </r>
        <r>
          <rPr>
            <sz val="9"/>
            <color indexed="81"/>
            <rFont val="Tahoma"/>
            <family val="2"/>
          </rPr>
          <t xml:space="preserve">
Amortization of Commodity &amp; Demand</t>
        </r>
      </text>
    </comment>
    <comment ref="AW39" authorId="0" shapeId="0">
      <text>
        <r>
          <rPr>
            <b/>
            <sz val="9"/>
            <color indexed="81"/>
            <rFont val="Tahoma"/>
            <family val="2"/>
          </rPr>
          <t>Berg, Jenny:</t>
        </r>
        <r>
          <rPr>
            <sz val="9"/>
            <color indexed="81"/>
            <rFont val="Tahoma"/>
            <family val="2"/>
          </rPr>
          <t xml:space="preserve">
Amortization of Commodity &amp; Demand</t>
        </r>
      </text>
    </comment>
    <comment ref="O40" authorId="0" shapeId="0">
      <text>
        <r>
          <rPr>
            <b/>
            <sz val="9"/>
            <color indexed="81"/>
            <rFont val="Tahoma"/>
            <family val="2"/>
          </rPr>
          <t>Berg, Jenny:</t>
        </r>
        <r>
          <rPr>
            <sz val="9"/>
            <color indexed="81"/>
            <rFont val="Tahoma"/>
            <family val="2"/>
          </rPr>
          <t xml:space="preserve">
interest calculation</t>
        </r>
      </text>
    </comment>
    <comment ref="P40" authorId="0" shapeId="0">
      <text>
        <r>
          <rPr>
            <b/>
            <sz val="9"/>
            <color indexed="81"/>
            <rFont val="Tahoma"/>
            <family val="2"/>
          </rPr>
          <t>Berg, Jenny:</t>
        </r>
        <r>
          <rPr>
            <sz val="9"/>
            <color indexed="81"/>
            <rFont val="Tahoma"/>
            <family val="2"/>
          </rPr>
          <t xml:space="preserve">
interest calculation</t>
        </r>
      </text>
    </comment>
    <comment ref="AA40" authorId="0" shapeId="0">
      <text>
        <r>
          <rPr>
            <b/>
            <sz val="9"/>
            <color indexed="81"/>
            <rFont val="Tahoma"/>
            <family val="2"/>
          </rPr>
          <t>Berg, Jenny:</t>
        </r>
        <r>
          <rPr>
            <sz val="9"/>
            <color indexed="81"/>
            <rFont val="Tahoma"/>
            <family val="2"/>
          </rPr>
          <t xml:space="preserve">
interest calculation</t>
        </r>
      </text>
    </comment>
    <comment ref="AB40" authorId="0" shapeId="0">
      <text>
        <r>
          <rPr>
            <b/>
            <sz val="9"/>
            <color indexed="81"/>
            <rFont val="Tahoma"/>
            <family val="2"/>
          </rPr>
          <t>Berg, Jenny:</t>
        </r>
        <r>
          <rPr>
            <sz val="9"/>
            <color indexed="81"/>
            <rFont val="Tahoma"/>
            <family val="2"/>
          </rPr>
          <t xml:space="preserve">
interest calculation</t>
        </r>
      </text>
    </comment>
    <comment ref="O41" authorId="0" shapeId="0">
      <text>
        <r>
          <rPr>
            <b/>
            <sz val="9"/>
            <color indexed="81"/>
            <rFont val="Tahoma"/>
            <family val="2"/>
          </rPr>
          <t>Berg, Jenny:</t>
        </r>
        <r>
          <rPr>
            <sz val="9"/>
            <color indexed="81"/>
            <rFont val="Tahoma"/>
            <family val="2"/>
          </rPr>
          <t xml:space="preserve">
Ryan's balance </t>
        </r>
      </text>
    </comment>
    <comment ref="AA41" authorId="0" shapeId="0">
      <text>
        <r>
          <rPr>
            <b/>
            <sz val="9"/>
            <color indexed="81"/>
            <rFont val="Tahoma"/>
            <family val="2"/>
          </rPr>
          <t>Berg, Jenny:</t>
        </r>
        <r>
          <rPr>
            <sz val="9"/>
            <color indexed="81"/>
            <rFont val="Tahoma"/>
            <family val="2"/>
          </rPr>
          <t xml:space="preserve">
Annette's balance </t>
        </r>
      </text>
    </comment>
    <comment ref="AM41" authorId="0" shapeId="0">
      <text>
        <r>
          <rPr>
            <b/>
            <sz val="9"/>
            <color indexed="81"/>
            <rFont val="Tahoma"/>
            <family val="2"/>
          </rPr>
          <t>Berg, Jenny:</t>
        </r>
        <r>
          <rPr>
            <sz val="9"/>
            <color indexed="81"/>
            <rFont val="Tahoma"/>
            <family val="2"/>
          </rPr>
          <t xml:space="preserve">
Balance transfer from 191010…matches Annette's balance.</t>
        </r>
      </text>
    </comment>
    <comment ref="O42" authorId="0" shapeId="0">
      <text>
        <r>
          <rPr>
            <b/>
            <sz val="9"/>
            <color indexed="81"/>
            <rFont val="Tahoma"/>
            <family val="2"/>
          </rPr>
          <t>Berg, Jenny:</t>
        </r>
        <r>
          <rPr>
            <sz val="9"/>
            <color indexed="81"/>
            <rFont val="Tahoma"/>
            <family val="2"/>
          </rPr>
          <t xml:space="preserve">
refund on "November 2016 Transfers" spreadsheet</t>
        </r>
      </text>
    </comment>
    <comment ref="AA42" authorId="0" shapeId="0">
      <text>
        <r>
          <rPr>
            <b/>
            <sz val="9"/>
            <color indexed="81"/>
            <rFont val="Tahoma"/>
            <family val="2"/>
          </rPr>
          <t>Berg, Jenny:</t>
        </r>
        <r>
          <rPr>
            <sz val="9"/>
            <color indexed="81"/>
            <rFont val="Tahoma"/>
            <family val="2"/>
          </rPr>
          <t xml:space="preserve">
refund on Temporary Refunds/Charges Rate Spreadsheet</t>
        </r>
      </text>
    </comment>
    <comment ref="AB42" authorId="0" shapeId="0">
      <text>
        <r>
          <rPr>
            <b/>
            <sz val="9"/>
            <color indexed="81"/>
            <rFont val="Tahoma"/>
            <family val="2"/>
          </rPr>
          <t>Berg, Jenny:</t>
        </r>
        <r>
          <rPr>
            <sz val="9"/>
            <color indexed="81"/>
            <rFont val="Tahoma"/>
            <family val="2"/>
          </rPr>
          <t xml:space="preserve">
moved from Nov column b/c actually booked in Dec and interest should reflect this.  The $459.10 is getting picked up in Jan'18.</t>
        </r>
      </text>
    </comment>
    <comment ref="AD42" authorId="0" shapeId="0">
      <text>
        <r>
          <rPr>
            <b/>
            <sz val="9"/>
            <color indexed="81"/>
            <rFont val="Tahoma"/>
            <family val="2"/>
          </rPr>
          <t>Berg, Jenny:</t>
        </r>
        <r>
          <rPr>
            <sz val="9"/>
            <color indexed="81"/>
            <rFont val="Tahoma"/>
            <family val="2"/>
          </rPr>
          <t xml:space="preserve">
to correct for $130,571.12 being too high - picked up wrong column on Annette's spreadsheet.</t>
        </r>
      </text>
    </comment>
    <comment ref="AM42" authorId="0" shapeId="0">
      <text>
        <r>
          <rPr>
            <b/>
            <sz val="9"/>
            <color indexed="81"/>
            <rFont val="Tahoma"/>
            <family val="2"/>
          </rPr>
          <t>Berg, Jenny:</t>
        </r>
        <r>
          <rPr>
            <sz val="9"/>
            <color indexed="81"/>
            <rFont val="Tahoma"/>
            <family val="2"/>
          </rPr>
          <t xml:space="preserve">
Large Customer Refund </t>
        </r>
      </text>
    </comment>
    <comment ref="O74" authorId="0" shapeId="0">
      <text>
        <r>
          <rPr>
            <b/>
            <sz val="9"/>
            <color indexed="81"/>
            <rFont val="Tahoma"/>
            <family val="2"/>
          </rPr>
          <t>Berg, Jenny:</t>
        </r>
        <r>
          <rPr>
            <sz val="9"/>
            <color indexed="81"/>
            <rFont val="Tahoma"/>
            <family val="2"/>
          </rPr>
          <t xml:space="preserve">
JP Amortization</t>
        </r>
      </text>
    </comment>
    <comment ref="P74" authorId="0" shapeId="0">
      <text>
        <r>
          <rPr>
            <b/>
            <sz val="9"/>
            <color indexed="81"/>
            <rFont val="Tahoma"/>
            <family val="2"/>
          </rPr>
          <t>Berg, Jenny:</t>
        </r>
        <r>
          <rPr>
            <sz val="9"/>
            <color indexed="81"/>
            <rFont val="Tahoma"/>
            <family val="2"/>
          </rPr>
          <t xml:space="preserve">
JP Amortization</t>
        </r>
      </text>
    </comment>
    <comment ref="AA74" authorId="0" shapeId="0">
      <text>
        <r>
          <rPr>
            <b/>
            <sz val="9"/>
            <color indexed="81"/>
            <rFont val="Tahoma"/>
            <family val="2"/>
          </rPr>
          <t>Berg, Jenny:</t>
        </r>
        <r>
          <rPr>
            <sz val="9"/>
            <color indexed="81"/>
            <rFont val="Tahoma"/>
            <family val="2"/>
          </rPr>
          <t xml:space="preserve">
Add October unbilled reversal…and then move remaining balance to 426500-ZZ-ZZ</t>
        </r>
      </text>
    </comment>
    <comment ref="Q75" authorId="0" shapeId="0">
      <text>
        <r>
          <rPr>
            <b/>
            <sz val="9"/>
            <color indexed="81"/>
            <rFont val="Tahoma"/>
            <family val="2"/>
          </rPr>
          <t>Berg, Jenny:</t>
        </r>
        <r>
          <rPr>
            <sz val="9"/>
            <color indexed="81"/>
            <rFont val="Tahoma"/>
            <family val="2"/>
          </rPr>
          <t xml:space="preserve">
Correction to backwards sign on $298 last month...</t>
        </r>
      </text>
    </comment>
    <comment ref="AB76" authorId="0" shapeId="0">
      <text>
        <r>
          <rPr>
            <b/>
            <sz val="9"/>
            <color indexed="81"/>
            <rFont val="Tahoma"/>
            <family val="2"/>
          </rPr>
          <t>Berg, Jenny:</t>
        </r>
        <r>
          <rPr>
            <sz val="9"/>
            <color indexed="81"/>
            <rFont val="Tahoma"/>
            <family val="2"/>
          </rPr>
          <t xml:space="preserve">
No more entry</t>
        </r>
      </text>
    </comment>
    <comment ref="AC76" authorId="0" shapeId="0">
      <text>
        <r>
          <rPr>
            <b/>
            <sz val="9"/>
            <color indexed="81"/>
            <rFont val="Tahoma"/>
            <family val="2"/>
          </rPr>
          <t>Berg, Jenny:</t>
        </r>
        <r>
          <rPr>
            <sz val="9"/>
            <color indexed="81"/>
            <rFont val="Tahoma"/>
            <family val="2"/>
          </rPr>
          <t xml:space="preserve">
No more entry</t>
        </r>
      </text>
    </comment>
    <comment ref="AD76" authorId="0" shapeId="0">
      <text>
        <r>
          <rPr>
            <b/>
            <sz val="9"/>
            <color indexed="81"/>
            <rFont val="Tahoma"/>
            <family val="2"/>
          </rPr>
          <t>Berg, Jenny:</t>
        </r>
        <r>
          <rPr>
            <sz val="9"/>
            <color indexed="81"/>
            <rFont val="Tahoma"/>
            <family val="2"/>
          </rPr>
          <t xml:space="preserve">
No more entry</t>
        </r>
      </text>
    </comment>
    <comment ref="AE76" authorId="0" shapeId="0">
      <text>
        <r>
          <rPr>
            <b/>
            <sz val="9"/>
            <color indexed="81"/>
            <rFont val="Tahoma"/>
            <family val="2"/>
          </rPr>
          <t>Berg, Jenny:</t>
        </r>
        <r>
          <rPr>
            <sz val="9"/>
            <color indexed="81"/>
            <rFont val="Tahoma"/>
            <family val="2"/>
          </rPr>
          <t xml:space="preserve">
No more entry</t>
        </r>
      </text>
    </comment>
    <comment ref="AF76" authorId="0" shapeId="0">
      <text>
        <r>
          <rPr>
            <b/>
            <sz val="9"/>
            <color indexed="81"/>
            <rFont val="Tahoma"/>
            <family val="2"/>
          </rPr>
          <t>Berg, Jenny:</t>
        </r>
        <r>
          <rPr>
            <sz val="9"/>
            <color indexed="81"/>
            <rFont val="Tahoma"/>
            <family val="2"/>
          </rPr>
          <t xml:space="preserve">
No more entry</t>
        </r>
      </text>
    </comment>
    <comment ref="AG76" authorId="0" shapeId="0">
      <text>
        <r>
          <rPr>
            <b/>
            <sz val="9"/>
            <color indexed="81"/>
            <rFont val="Tahoma"/>
            <family val="2"/>
          </rPr>
          <t>Berg, Jenny:</t>
        </r>
        <r>
          <rPr>
            <sz val="9"/>
            <color indexed="81"/>
            <rFont val="Tahoma"/>
            <family val="2"/>
          </rPr>
          <t xml:space="preserve">
No more entry</t>
        </r>
      </text>
    </comment>
    <comment ref="AH76" authorId="0" shapeId="0">
      <text>
        <r>
          <rPr>
            <b/>
            <sz val="9"/>
            <color indexed="81"/>
            <rFont val="Tahoma"/>
            <family val="2"/>
          </rPr>
          <t>Berg, Jenny:</t>
        </r>
        <r>
          <rPr>
            <sz val="9"/>
            <color indexed="81"/>
            <rFont val="Tahoma"/>
            <family val="2"/>
          </rPr>
          <t xml:space="preserve">
No more entry</t>
        </r>
      </text>
    </comment>
    <comment ref="AI76" authorId="0" shapeId="0">
      <text>
        <r>
          <rPr>
            <b/>
            <sz val="9"/>
            <color indexed="81"/>
            <rFont val="Tahoma"/>
            <family val="2"/>
          </rPr>
          <t>Berg, Jenny:</t>
        </r>
        <r>
          <rPr>
            <sz val="9"/>
            <color indexed="81"/>
            <rFont val="Tahoma"/>
            <family val="2"/>
          </rPr>
          <t xml:space="preserve">
No more entry</t>
        </r>
      </text>
    </comment>
    <comment ref="AJ76" authorId="0" shapeId="0">
      <text>
        <r>
          <rPr>
            <b/>
            <sz val="9"/>
            <color indexed="81"/>
            <rFont val="Tahoma"/>
            <family val="2"/>
          </rPr>
          <t>Berg, Jenny:</t>
        </r>
        <r>
          <rPr>
            <sz val="9"/>
            <color indexed="81"/>
            <rFont val="Tahoma"/>
            <family val="2"/>
          </rPr>
          <t xml:space="preserve">
No more entry</t>
        </r>
      </text>
    </comment>
    <comment ref="AK76" authorId="0" shapeId="0">
      <text>
        <r>
          <rPr>
            <b/>
            <sz val="9"/>
            <color indexed="81"/>
            <rFont val="Tahoma"/>
            <family val="2"/>
          </rPr>
          <t>Berg, Jenny:</t>
        </r>
        <r>
          <rPr>
            <sz val="9"/>
            <color indexed="81"/>
            <rFont val="Tahoma"/>
            <family val="2"/>
          </rPr>
          <t xml:space="preserve">
No more entry</t>
        </r>
      </text>
    </comment>
    <comment ref="AL76" authorId="0" shapeId="0">
      <text>
        <r>
          <rPr>
            <b/>
            <sz val="9"/>
            <color indexed="81"/>
            <rFont val="Tahoma"/>
            <family val="2"/>
          </rPr>
          <t>Berg, Jenny:</t>
        </r>
        <r>
          <rPr>
            <sz val="9"/>
            <color indexed="81"/>
            <rFont val="Tahoma"/>
            <family val="2"/>
          </rPr>
          <t xml:space="preserve">
No more entry</t>
        </r>
      </text>
    </comment>
    <comment ref="AM76" authorId="0" shapeId="0">
      <text>
        <r>
          <rPr>
            <b/>
            <sz val="9"/>
            <color indexed="81"/>
            <rFont val="Tahoma"/>
            <family val="2"/>
          </rPr>
          <t>Berg, Jenny:</t>
        </r>
        <r>
          <rPr>
            <sz val="9"/>
            <color indexed="81"/>
            <rFont val="Tahoma"/>
            <family val="2"/>
          </rPr>
          <t xml:space="preserve">
No more entry</t>
        </r>
      </text>
    </comment>
    <comment ref="AN76" authorId="0" shapeId="0">
      <text>
        <r>
          <rPr>
            <b/>
            <sz val="9"/>
            <color indexed="81"/>
            <rFont val="Tahoma"/>
            <family val="2"/>
          </rPr>
          <t>Berg, Jenny:</t>
        </r>
        <r>
          <rPr>
            <sz val="9"/>
            <color indexed="81"/>
            <rFont val="Tahoma"/>
            <family val="2"/>
          </rPr>
          <t xml:space="preserve">
No more entry</t>
        </r>
      </text>
    </comment>
    <comment ref="AO76" authorId="0" shapeId="0">
      <text>
        <r>
          <rPr>
            <b/>
            <sz val="9"/>
            <color indexed="81"/>
            <rFont val="Tahoma"/>
            <family val="2"/>
          </rPr>
          <t>Berg, Jenny:</t>
        </r>
        <r>
          <rPr>
            <sz val="9"/>
            <color indexed="81"/>
            <rFont val="Tahoma"/>
            <family val="2"/>
          </rPr>
          <t xml:space="preserve">
No more entry</t>
        </r>
      </text>
    </comment>
    <comment ref="AP76" authorId="0" shapeId="0">
      <text>
        <r>
          <rPr>
            <b/>
            <sz val="9"/>
            <color indexed="81"/>
            <rFont val="Tahoma"/>
            <family val="2"/>
          </rPr>
          <t>Berg, Jenny:</t>
        </r>
        <r>
          <rPr>
            <sz val="9"/>
            <color indexed="81"/>
            <rFont val="Tahoma"/>
            <family val="2"/>
          </rPr>
          <t xml:space="preserve">
No more entry</t>
        </r>
      </text>
    </comment>
    <comment ref="AQ76" authorId="0" shapeId="0">
      <text>
        <r>
          <rPr>
            <b/>
            <sz val="9"/>
            <color indexed="81"/>
            <rFont val="Tahoma"/>
            <family val="2"/>
          </rPr>
          <t>Berg, Jenny:</t>
        </r>
        <r>
          <rPr>
            <sz val="9"/>
            <color indexed="81"/>
            <rFont val="Tahoma"/>
            <family val="2"/>
          </rPr>
          <t xml:space="preserve">
No more entry</t>
        </r>
      </text>
    </comment>
    <comment ref="AR76" authorId="0" shapeId="0">
      <text>
        <r>
          <rPr>
            <b/>
            <sz val="9"/>
            <color indexed="81"/>
            <rFont val="Tahoma"/>
            <family val="2"/>
          </rPr>
          <t>Berg, Jenny:</t>
        </r>
        <r>
          <rPr>
            <sz val="9"/>
            <color indexed="81"/>
            <rFont val="Tahoma"/>
            <family val="2"/>
          </rPr>
          <t xml:space="preserve">
No more entry</t>
        </r>
      </text>
    </comment>
    <comment ref="AS76" authorId="0" shapeId="0">
      <text>
        <r>
          <rPr>
            <b/>
            <sz val="9"/>
            <color indexed="81"/>
            <rFont val="Tahoma"/>
            <family val="2"/>
          </rPr>
          <t>Berg, Jenny:</t>
        </r>
        <r>
          <rPr>
            <sz val="9"/>
            <color indexed="81"/>
            <rFont val="Tahoma"/>
            <family val="2"/>
          </rPr>
          <t xml:space="preserve">
No more entry</t>
        </r>
      </text>
    </comment>
    <comment ref="AT76" authorId="0" shapeId="0">
      <text>
        <r>
          <rPr>
            <b/>
            <sz val="9"/>
            <color indexed="81"/>
            <rFont val="Tahoma"/>
            <family val="2"/>
          </rPr>
          <t>Berg, Jenny:</t>
        </r>
        <r>
          <rPr>
            <sz val="9"/>
            <color indexed="81"/>
            <rFont val="Tahoma"/>
            <family val="2"/>
          </rPr>
          <t xml:space="preserve">
No more entry</t>
        </r>
      </text>
    </comment>
    <comment ref="AU76" authorId="0" shapeId="0">
      <text>
        <r>
          <rPr>
            <b/>
            <sz val="9"/>
            <color indexed="81"/>
            <rFont val="Tahoma"/>
            <family val="2"/>
          </rPr>
          <t>Berg, Jenny:</t>
        </r>
        <r>
          <rPr>
            <sz val="9"/>
            <color indexed="81"/>
            <rFont val="Tahoma"/>
            <family val="2"/>
          </rPr>
          <t xml:space="preserve">
No more entry</t>
        </r>
      </text>
    </comment>
    <comment ref="AV76" authorId="0" shapeId="0">
      <text>
        <r>
          <rPr>
            <b/>
            <sz val="9"/>
            <color indexed="81"/>
            <rFont val="Tahoma"/>
            <family val="2"/>
          </rPr>
          <t>Berg, Jenny:</t>
        </r>
        <r>
          <rPr>
            <sz val="9"/>
            <color indexed="81"/>
            <rFont val="Tahoma"/>
            <family val="2"/>
          </rPr>
          <t xml:space="preserve">
No more entry</t>
        </r>
      </text>
    </comment>
    <comment ref="AW76" authorId="0" shapeId="0">
      <text>
        <r>
          <rPr>
            <b/>
            <sz val="9"/>
            <color indexed="81"/>
            <rFont val="Tahoma"/>
            <family val="2"/>
          </rPr>
          <t>Berg, Jenny:</t>
        </r>
        <r>
          <rPr>
            <sz val="9"/>
            <color indexed="81"/>
            <rFont val="Tahoma"/>
            <family val="2"/>
          </rPr>
          <t xml:space="preserve">
No more entry</t>
        </r>
      </text>
    </comment>
    <comment ref="Z77" authorId="0" shapeId="0">
      <text>
        <r>
          <rPr>
            <b/>
            <sz val="9"/>
            <color indexed="81"/>
            <rFont val="Tahoma"/>
            <family val="2"/>
          </rPr>
          <t>Berg, Jenny:</t>
        </r>
        <r>
          <rPr>
            <sz val="9"/>
            <color indexed="81"/>
            <rFont val="Tahoma"/>
            <family val="2"/>
          </rPr>
          <t xml:space="preserve">
In November write off to 426500-ZZ-ZZ… </t>
        </r>
      </text>
    </comment>
  </commentList>
</comments>
</file>

<file path=xl/comments12.xml><?xml version="1.0" encoding="utf-8"?>
<comments xmlns="http://schemas.openxmlformats.org/spreadsheetml/2006/main">
  <authors>
    <author>CGroome</author>
  </authors>
  <commentList>
    <comment ref="E25" authorId="0" shapeId="0">
      <text>
        <r>
          <rPr>
            <b/>
            <sz val="8"/>
            <color indexed="81"/>
            <rFont val="Tahoma"/>
            <family val="2"/>
          </rPr>
          <t>CGroome:</t>
        </r>
        <r>
          <rPr>
            <sz val="8"/>
            <color indexed="81"/>
            <rFont val="Tahoma"/>
            <family val="2"/>
          </rPr>
          <t xml:space="preserve">
Once a year, Craig B. will supply $ (Large customer refund)</t>
        </r>
      </text>
    </comment>
    <comment ref="E48" authorId="0" shapeId="0">
      <text>
        <r>
          <rPr>
            <b/>
            <sz val="8"/>
            <color indexed="81"/>
            <rFont val="Tahoma"/>
            <family val="2"/>
          </rPr>
          <t>CGroome:</t>
        </r>
        <r>
          <rPr>
            <sz val="8"/>
            <color indexed="81"/>
            <rFont val="Tahoma"/>
            <family val="2"/>
          </rPr>
          <t xml:space="preserve">
Once a year, Craig B. will supply $ (Large customer refund)</t>
        </r>
      </text>
    </comment>
    <comment ref="E69" authorId="0" shapeId="0">
      <text>
        <r>
          <rPr>
            <b/>
            <sz val="8"/>
            <color indexed="81"/>
            <rFont val="Tahoma"/>
            <family val="2"/>
          </rPr>
          <t>CGroome:</t>
        </r>
        <r>
          <rPr>
            <sz val="8"/>
            <color indexed="81"/>
            <rFont val="Tahoma"/>
            <family val="2"/>
          </rPr>
          <t xml:space="preserve">
Once a year, Craig B. will supply $ (Large customer refund)</t>
        </r>
      </text>
    </comment>
    <comment ref="E90" authorId="0" shapeId="0">
      <text>
        <r>
          <rPr>
            <b/>
            <sz val="8"/>
            <color indexed="81"/>
            <rFont val="Tahoma"/>
            <family val="2"/>
          </rPr>
          <t>CGroome:</t>
        </r>
        <r>
          <rPr>
            <sz val="8"/>
            <color indexed="81"/>
            <rFont val="Tahoma"/>
            <family val="2"/>
          </rPr>
          <t xml:space="preserve">
Once a year, Craig B. will supply $ (Large customer refund)</t>
        </r>
      </text>
    </comment>
    <comment ref="E111" authorId="0" shapeId="0">
      <text>
        <r>
          <rPr>
            <b/>
            <sz val="8"/>
            <color indexed="81"/>
            <rFont val="Tahoma"/>
            <family val="2"/>
          </rPr>
          <t>CGroome:</t>
        </r>
        <r>
          <rPr>
            <sz val="8"/>
            <color indexed="81"/>
            <rFont val="Tahoma"/>
            <family val="2"/>
          </rPr>
          <t xml:space="preserve">
Once a year, Craig B. will supply $ (Large customer refund)</t>
        </r>
      </text>
    </comment>
    <comment ref="E132" authorId="0" shapeId="0">
      <text>
        <r>
          <rPr>
            <b/>
            <sz val="8"/>
            <color indexed="81"/>
            <rFont val="Tahoma"/>
            <family val="2"/>
          </rPr>
          <t>CGroome:</t>
        </r>
        <r>
          <rPr>
            <sz val="8"/>
            <color indexed="81"/>
            <rFont val="Tahoma"/>
            <family val="2"/>
          </rPr>
          <t xml:space="preserve">
Once a year, Craig B. will supply $ (Large customer refund)</t>
        </r>
      </text>
    </comment>
    <comment ref="E153" authorId="0" shapeId="0">
      <text>
        <r>
          <rPr>
            <b/>
            <sz val="8"/>
            <color indexed="81"/>
            <rFont val="Tahoma"/>
            <family val="2"/>
          </rPr>
          <t>CGroome:</t>
        </r>
        <r>
          <rPr>
            <sz val="8"/>
            <color indexed="81"/>
            <rFont val="Tahoma"/>
            <family val="2"/>
          </rPr>
          <t xml:space="preserve">
Once a year, Craig B. will supply $ (Large customer refund)</t>
        </r>
      </text>
    </comment>
    <comment ref="E174" authorId="0" shapeId="0">
      <text>
        <r>
          <rPr>
            <b/>
            <sz val="8"/>
            <color indexed="81"/>
            <rFont val="Tahoma"/>
            <family val="2"/>
          </rPr>
          <t>CGroome:</t>
        </r>
        <r>
          <rPr>
            <sz val="8"/>
            <color indexed="81"/>
            <rFont val="Tahoma"/>
            <family val="2"/>
          </rPr>
          <t xml:space="preserve">
Once a year, Craig B. will supply $ (Large customer refund)</t>
        </r>
      </text>
    </comment>
    <comment ref="E195" authorId="0" shapeId="0">
      <text>
        <r>
          <rPr>
            <b/>
            <sz val="8"/>
            <color indexed="81"/>
            <rFont val="Tahoma"/>
            <family val="2"/>
          </rPr>
          <t>CGroome:</t>
        </r>
        <r>
          <rPr>
            <sz val="8"/>
            <color indexed="81"/>
            <rFont val="Tahoma"/>
            <family val="2"/>
          </rPr>
          <t xml:space="preserve">
Once a year, Craig B. will supply $ (Large customer refund)</t>
        </r>
      </text>
    </comment>
    <comment ref="E216" authorId="0" shapeId="0">
      <text>
        <r>
          <rPr>
            <b/>
            <sz val="8"/>
            <color indexed="81"/>
            <rFont val="Tahoma"/>
            <family val="2"/>
          </rPr>
          <t>CGroome:</t>
        </r>
        <r>
          <rPr>
            <sz val="8"/>
            <color indexed="81"/>
            <rFont val="Tahoma"/>
            <family val="2"/>
          </rPr>
          <t xml:space="preserve">
Once a year, Craig B. will supply $ (Large customer refund)</t>
        </r>
      </text>
    </comment>
    <comment ref="E237" authorId="0" shapeId="0">
      <text>
        <r>
          <rPr>
            <b/>
            <sz val="8"/>
            <color indexed="81"/>
            <rFont val="Tahoma"/>
            <family val="2"/>
          </rPr>
          <t>CGroome:</t>
        </r>
        <r>
          <rPr>
            <sz val="8"/>
            <color indexed="81"/>
            <rFont val="Tahoma"/>
            <family val="2"/>
          </rPr>
          <t xml:space="preserve">
Once a year, Craig B. will supply $ (Large customer refund)</t>
        </r>
      </text>
    </comment>
    <comment ref="E258" authorId="0" shapeId="0">
      <text>
        <r>
          <rPr>
            <b/>
            <sz val="8"/>
            <color indexed="81"/>
            <rFont val="Tahoma"/>
            <family val="2"/>
          </rPr>
          <t>CGroome:</t>
        </r>
        <r>
          <rPr>
            <sz val="8"/>
            <color indexed="81"/>
            <rFont val="Tahoma"/>
            <family val="2"/>
          </rPr>
          <t xml:space="preserve">
Once a year, Craig B. will supply $ (Large customer refund)</t>
        </r>
      </text>
    </comment>
    <comment ref="E281" authorId="0" shapeId="0">
      <text>
        <r>
          <rPr>
            <b/>
            <sz val="8"/>
            <color indexed="81"/>
            <rFont val="Tahoma"/>
            <family val="2"/>
          </rPr>
          <t>CGroome:</t>
        </r>
        <r>
          <rPr>
            <sz val="8"/>
            <color indexed="81"/>
            <rFont val="Tahoma"/>
            <family val="2"/>
          </rPr>
          <t xml:space="preserve">
Once a year, Craig B. will supply $ (Large customer refund)</t>
        </r>
      </text>
    </comment>
    <comment ref="E302" authorId="0" shapeId="0">
      <text>
        <r>
          <rPr>
            <b/>
            <sz val="8"/>
            <color indexed="81"/>
            <rFont val="Tahoma"/>
            <family val="2"/>
          </rPr>
          <t>CGroome:</t>
        </r>
        <r>
          <rPr>
            <sz val="8"/>
            <color indexed="81"/>
            <rFont val="Tahoma"/>
            <family val="2"/>
          </rPr>
          <t xml:space="preserve">
Once a year, Craig B. will supply $ (Large customer refund)</t>
        </r>
      </text>
    </comment>
  </commentList>
</comments>
</file>

<file path=xl/comments2.xml><?xml version="1.0" encoding="utf-8"?>
<comments xmlns="http://schemas.openxmlformats.org/spreadsheetml/2006/main">
  <authors>
    <author>MGG9990</author>
    <author>Berg, Jenny</author>
  </authors>
  <commentList>
    <comment ref="I5" authorId="0" shapeId="0">
      <text>
        <r>
          <rPr>
            <sz val="8"/>
            <color indexed="81"/>
            <rFont val="Tahoma"/>
            <family val="2"/>
          </rPr>
          <t>Updated once per year; email (5 Day Peak Allocator) to be provided by rates with a memo on the allocation %. Usually changes effective Nov. 1.</t>
        </r>
      </text>
    </comment>
    <comment ref="C30" authorId="1" shapeId="0">
      <text>
        <r>
          <rPr>
            <b/>
            <sz val="9"/>
            <color indexed="81"/>
            <rFont val="Tahoma"/>
            <family val="2"/>
          </rPr>
          <t>Berg, Jenny:</t>
        </r>
        <r>
          <rPr>
            <sz val="9"/>
            <color indexed="81"/>
            <rFont val="Tahoma"/>
            <family val="2"/>
          </rPr>
          <t xml:space="preserve">
adjust for penny rounding</t>
        </r>
      </text>
    </comment>
  </commentList>
</comments>
</file>

<file path=xl/comments3.xml><?xml version="1.0" encoding="utf-8"?>
<comments xmlns="http://schemas.openxmlformats.org/spreadsheetml/2006/main">
  <authors>
    <author>Berg, Jenny</author>
    <author>MGG9990</author>
  </authors>
  <commentList>
    <comment ref="A3" authorId="0" shapeId="0">
      <text>
        <r>
          <rPr>
            <b/>
            <sz val="9"/>
            <color indexed="81"/>
            <rFont val="Tahoma"/>
            <family val="2"/>
          </rPr>
          <t>Berg, Jenny:</t>
        </r>
        <r>
          <rPr>
            <sz val="9"/>
            <color indexed="81"/>
            <rFont val="Tahoma"/>
            <family val="2"/>
          </rPr>
          <t xml:space="preserve">
Transportation = amount of capacity in the pipeline.</t>
        </r>
      </text>
    </comment>
    <comment ref="I5" authorId="1" shapeId="0">
      <text>
        <r>
          <rPr>
            <sz val="8"/>
            <color indexed="81"/>
            <rFont val="Tahoma"/>
            <family val="2"/>
          </rPr>
          <t>Updated once per year; email (5 Day Peak Allocator) to be provided by rates with a memo on the allocation %. Usually changes effective Nov. 1.</t>
        </r>
      </text>
    </comment>
  </commentList>
</comments>
</file>

<file path=xl/comments4.xml><?xml version="1.0" encoding="utf-8"?>
<comments xmlns="http://schemas.openxmlformats.org/spreadsheetml/2006/main">
  <authors>
    <author>MGG9990</author>
  </authors>
  <commentList>
    <comment ref="I5" authorId="0" shapeId="0">
      <text>
        <r>
          <rPr>
            <sz val="8"/>
            <color indexed="81"/>
            <rFont val="Tahoma"/>
            <family val="2"/>
          </rPr>
          <t>Updated once per year; email (5 Day Peak Allocator) to be provided by rates with a memo on the allocation %. Usually changes effective Nov. 1.</t>
        </r>
      </text>
    </comment>
  </commentList>
</comments>
</file>

<file path=xl/comments5.xml><?xml version="1.0" encoding="utf-8"?>
<comments xmlns="http://schemas.openxmlformats.org/spreadsheetml/2006/main">
  <authors>
    <author>MGG9990</author>
  </authors>
  <commentList>
    <comment ref="I5" authorId="0" shapeId="0">
      <text>
        <r>
          <rPr>
            <sz val="8"/>
            <color indexed="81"/>
            <rFont val="Tahoma"/>
            <family val="2"/>
          </rPr>
          <t>Updated once per year; email (5 Day Peak Allocator) to be provided by rates with a memo on the allocation %. Usually changes effective Nov. 1.</t>
        </r>
      </text>
    </comment>
  </commentList>
</comments>
</file>

<file path=xl/comments6.xml><?xml version="1.0" encoding="utf-8"?>
<comments xmlns="http://schemas.openxmlformats.org/spreadsheetml/2006/main">
  <authors>
    <author>MGG9990</author>
    <author>Berg, Jenny</author>
  </authors>
  <commentList>
    <comment ref="I5" authorId="0" shapeId="0">
      <text>
        <r>
          <rPr>
            <sz val="8"/>
            <color indexed="81"/>
            <rFont val="Tahoma"/>
            <family val="2"/>
          </rPr>
          <t>Updated once per year; email (5 Day Peak Allocator) to be provided by rates with a memo on the allocation %. Usually changes effective Nov. 1.</t>
        </r>
      </text>
    </comment>
    <comment ref="G52" authorId="1" shapeId="0">
      <text>
        <r>
          <rPr>
            <b/>
            <sz val="9"/>
            <color indexed="81"/>
            <rFont val="Tahoma"/>
            <family val="2"/>
          </rPr>
          <t>Berg, Jenny:</t>
        </r>
        <r>
          <rPr>
            <sz val="9"/>
            <color indexed="81"/>
            <rFont val="Tahoma"/>
            <family val="2"/>
          </rPr>
          <t xml:space="preserve">
Positive Amt = Net Expense
Negative Amt = Net Revenue</t>
        </r>
      </text>
    </comment>
    <comment ref="G53" authorId="1" shapeId="0">
      <text>
        <r>
          <rPr>
            <b/>
            <sz val="9"/>
            <color indexed="81"/>
            <rFont val="Tahoma"/>
            <family val="2"/>
          </rPr>
          <t>Berg, Jenny:</t>
        </r>
        <r>
          <rPr>
            <sz val="9"/>
            <color indexed="81"/>
            <rFont val="Tahoma"/>
            <family val="2"/>
          </rPr>
          <t xml:space="preserve">
Always Negative Amt = Revenue collected from borrowers based on current rates.</t>
        </r>
      </text>
    </comment>
  </commentList>
</comments>
</file>

<file path=xl/comments7.xml><?xml version="1.0" encoding="utf-8"?>
<comments xmlns="http://schemas.openxmlformats.org/spreadsheetml/2006/main">
  <authors>
    <author>MGG9990</author>
    <author>Berg, Jenny</author>
  </authors>
  <commentList>
    <comment ref="I5" authorId="0" shapeId="0">
      <text>
        <r>
          <rPr>
            <sz val="8"/>
            <color indexed="81"/>
            <rFont val="Tahoma"/>
            <family val="2"/>
          </rPr>
          <t>Updated once per year; email (5 Day Peak Allocator) to be provided by rates with a memo on the allocation %. Usually changes effective Nov. 1.</t>
        </r>
      </text>
    </comment>
    <comment ref="G52" authorId="1" shapeId="0">
      <text>
        <r>
          <rPr>
            <b/>
            <sz val="9"/>
            <color indexed="81"/>
            <rFont val="Tahoma"/>
            <family val="2"/>
          </rPr>
          <t>Berg, Jenny:</t>
        </r>
        <r>
          <rPr>
            <sz val="9"/>
            <color indexed="81"/>
            <rFont val="Tahoma"/>
            <family val="2"/>
          </rPr>
          <t xml:space="preserve">
Positive Amt = Net Expense
Negative Amt = Net Revenue</t>
        </r>
      </text>
    </comment>
    <comment ref="G53" authorId="1" shapeId="0">
      <text>
        <r>
          <rPr>
            <b/>
            <sz val="9"/>
            <color indexed="81"/>
            <rFont val="Tahoma"/>
            <family val="2"/>
          </rPr>
          <t>Berg, Jenny:</t>
        </r>
        <r>
          <rPr>
            <sz val="9"/>
            <color indexed="81"/>
            <rFont val="Tahoma"/>
            <family val="2"/>
          </rPr>
          <t xml:space="preserve">
Always Negative Amt = Revenue collected from borrowers based on current rates.</t>
        </r>
      </text>
    </comment>
  </commentList>
</comments>
</file>

<file path=xl/comments8.xml><?xml version="1.0" encoding="utf-8"?>
<comments xmlns="http://schemas.openxmlformats.org/spreadsheetml/2006/main">
  <authors>
    <author>MGG9990</author>
    <author>Berg, Jenny</author>
  </authors>
  <commentList>
    <comment ref="I5" authorId="0" shapeId="0">
      <text>
        <r>
          <rPr>
            <sz val="8"/>
            <color indexed="81"/>
            <rFont val="Tahoma"/>
            <family val="2"/>
          </rPr>
          <t>Updated once per year; email (5 Day Peak Allocator) to be provided by rates with a memo on the allocation %. Usually changes effective Nov. 1.</t>
        </r>
      </text>
    </comment>
    <comment ref="G52" authorId="1" shapeId="0">
      <text>
        <r>
          <rPr>
            <b/>
            <sz val="9"/>
            <color indexed="81"/>
            <rFont val="Tahoma"/>
            <family val="2"/>
          </rPr>
          <t>Berg, Jenny:</t>
        </r>
        <r>
          <rPr>
            <sz val="9"/>
            <color indexed="81"/>
            <rFont val="Tahoma"/>
            <family val="2"/>
          </rPr>
          <t xml:space="preserve">
Positive Amt = Net Expense
Negative Amt = Net Revenue</t>
        </r>
      </text>
    </comment>
    <comment ref="G53" authorId="1" shapeId="0">
      <text>
        <r>
          <rPr>
            <b/>
            <sz val="9"/>
            <color indexed="81"/>
            <rFont val="Tahoma"/>
            <family val="2"/>
          </rPr>
          <t>Berg, Jenny:</t>
        </r>
        <r>
          <rPr>
            <sz val="9"/>
            <color indexed="81"/>
            <rFont val="Tahoma"/>
            <family val="2"/>
          </rPr>
          <t xml:space="preserve">
Always Negative Amt = Revenue collected from borrowers based on current rates.</t>
        </r>
      </text>
    </comment>
  </commentList>
</comments>
</file>

<file path=xl/comments9.xml><?xml version="1.0" encoding="utf-8"?>
<comments xmlns="http://schemas.openxmlformats.org/spreadsheetml/2006/main">
  <authors>
    <author>MGG9990</author>
  </authors>
  <commentList>
    <comment ref="I5" authorId="0" shapeId="0">
      <text>
        <r>
          <rPr>
            <sz val="8"/>
            <color indexed="81"/>
            <rFont val="Tahoma"/>
            <family val="2"/>
          </rPr>
          <t>Updated once per year; email (5 Day Peak Allocator) to be provided by rates with a memo on the allocation %. Usually changes effective Nov. 1.</t>
        </r>
      </text>
    </comment>
  </commentList>
</comments>
</file>

<file path=xl/sharedStrings.xml><?xml version="1.0" encoding="utf-8"?>
<sst xmlns="http://schemas.openxmlformats.org/spreadsheetml/2006/main" count="4691" uniqueCount="385">
  <si>
    <t>State of Washington</t>
  </si>
  <si>
    <t>Balance</t>
  </si>
  <si>
    <t>Commodity</t>
  </si>
  <si>
    <t>Demand</t>
  </si>
  <si>
    <t>Interest</t>
  </si>
  <si>
    <t>NWP/PGT</t>
  </si>
  <si>
    <t>Capacity</t>
  </si>
  <si>
    <t>Deferral</t>
  </si>
  <si>
    <t>Refund</t>
  </si>
  <si>
    <t>Charges</t>
  </si>
  <si>
    <t>Tracker transfer</t>
  </si>
  <si>
    <t>Tracker Transfer</t>
  </si>
  <si>
    <t xml:space="preserve"> Interest</t>
  </si>
  <si>
    <t>Avista Corporation</t>
  </si>
  <si>
    <t>Misc</t>
  </si>
  <si>
    <t>Recap of Account 191010 GD WA</t>
  </si>
  <si>
    <t>Acct 191010</t>
  </si>
  <si>
    <t>191010 GD WA</t>
  </si>
  <si>
    <t>dr</t>
  </si>
  <si>
    <t>cr</t>
  </si>
  <si>
    <t>805120 GD WA</t>
  </si>
  <si>
    <t>Total</t>
  </si>
  <si>
    <t>Rates</t>
  </si>
  <si>
    <t>Amortization</t>
  </si>
  <si>
    <t>Schedule</t>
  </si>
  <si>
    <t>J0URNAL ENTRY</t>
  </si>
  <si>
    <t>805110 GD WA</t>
  </si>
  <si>
    <t>191000 GD WA</t>
  </si>
  <si>
    <t>Total Interest Income</t>
  </si>
  <si>
    <t xml:space="preserve">Total Interest Expense </t>
  </si>
  <si>
    <t>NWP Capacity Release</t>
  </si>
  <si>
    <t xml:space="preserve">NWP Variable </t>
  </si>
  <si>
    <t>System</t>
  </si>
  <si>
    <t>PGA</t>
  </si>
  <si>
    <t>Revenue</t>
  </si>
  <si>
    <t>Washington</t>
  </si>
  <si>
    <t>Rate</t>
  </si>
  <si>
    <t>Schedule 101</t>
  </si>
  <si>
    <t>Schedule 111</t>
  </si>
  <si>
    <t>Schedule 112</t>
  </si>
  <si>
    <t>Schedule 121</t>
  </si>
  <si>
    <t>Schedule 122</t>
  </si>
  <si>
    <t>Schedule 131</t>
  </si>
  <si>
    <t>Schedule 132</t>
  </si>
  <si>
    <t>Imbalance Cost Washington</t>
  </si>
  <si>
    <t>Imbalance Cost Idaho</t>
  </si>
  <si>
    <t>State of Idaho</t>
  </si>
  <si>
    <t>Analysis of Account 191010 GD ID</t>
  </si>
  <si>
    <t>Contract</t>
  </si>
  <si>
    <t>Cascade</t>
  </si>
  <si>
    <t>Off-Sys Sales</t>
  </si>
  <si>
    <t>Off-System Sales</t>
  </si>
  <si>
    <t>Admin &amp; Gen</t>
  </si>
  <si>
    <t>Marg-Commod</t>
  </si>
  <si>
    <t>Marg-Capacity</t>
  </si>
  <si>
    <t>Releases</t>
  </si>
  <si>
    <t>Ending Balance</t>
  </si>
  <si>
    <t xml:space="preserve">Interest </t>
  </si>
  <si>
    <t>191010 GD ID</t>
  </si>
  <si>
    <t>805120 GD ID</t>
  </si>
  <si>
    <t>805110 GD ID</t>
  </si>
  <si>
    <t>132J</t>
  </si>
  <si>
    <t>191000 GD ID</t>
  </si>
  <si>
    <t>Idaho</t>
  </si>
  <si>
    <t xml:space="preserve">Washington/Idaho Gas Costs </t>
  </si>
  <si>
    <t>Allocated to</t>
  </si>
  <si>
    <t xml:space="preserve">Commodity </t>
  </si>
  <si>
    <t xml:space="preserve">Allocated to </t>
  </si>
  <si>
    <t>Cost</t>
  </si>
  <si>
    <t xml:space="preserve">Total </t>
  </si>
  <si>
    <t xml:space="preserve">Idaho </t>
  </si>
  <si>
    <t>Amount to be Deferred</t>
  </si>
  <si>
    <t>Expense Calculation</t>
  </si>
  <si>
    <t>Deferral Calculation</t>
  </si>
  <si>
    <t>Schedule 146</t>
  </si>
  <si>
    <t>419600 GD WA</t>
  </si>
  <si>
    <t>431600 GD WA</t>
  </si>
  <si>
    <t>419600 GD ID</t>
  </si>
  <si>
    <t>431600 GD ID</t>
  </si>
  <si>
    <t>WA deferral</t>
  </si>
  <si>
    <t>Deferral exp</t>
  </si>
  <si>
    <t>ID deferral</t>
  </si>
  <si>
    <t>Interest Income</t>
  </si>
  <si>
    <t xml:space="preserve">Interest Expense </t>
  </si>
  <si>
    <t>Current Mo Deferrals</t>
  </si>
  <si>
    <t>Interest %</t>
  </si>
  <si>
    <t>Adjustments</t>
  </si>
  <si>
    <t>Subtotal</t>
  </si>
  <si>
    <t xml:space="preserve">NWP Fixed </t>
  </si>
  <si>
    <t>GTN Fixed</t>
  </si>
  <si>
    <t xml:space="preserve">GTN Variable </t>
  </si>
  <si>
    <t>GTN Capacity Release</t>
  </si>
  <si>
    <t>ANG Total</t>
  </si>
  <si>
    <t>WEI (Duke) Total</t>
  </si>
  <si>
    <t>Commodity Purchases (Natural Gas)</t>
  </si>
  <si>
    <t xml:space="preserve">Total Net Gas Costs </t>
  </si>
  <si>
    <t>Counterparty Invoice Total</t>
  </si>
  <si>
    <t>Total WA Amortization Expense</t>
  </si>
  <si>
    <t>WA Recoverable Gas Costs</t>
  </si>
  <si>
    <t>Total ID Amortization Expense</t>
  </si>
  <si>
    <t>ID Recoverable Gas Costs</t>
  </si>
  <si>
    <t>Volumes</t>
  </si>
  <si>
    <t>check</t>
  </si>
  <si>
    <t>Totals from above</t>
  </si>
  <si>
    <t xml:space="preserve"> Current Unrecovered PGA Deferred</t>
  </si>
  <si>
    <t>Large Customer</t>
  </si>
  <si>
    <t>WA CURR UNRECOV PGA DEFERRED</t>
  </si>
  <si>
    <t>ID CURR UNRECOV PGA DEFERRED</t>
  </si>
  <si>
    <t xml:space="preserve">Balance Sheet </t>
  </si>
  <si>
    <t>PGA Deferral Revenue from above</t>
  </si>
  <si>
    <r>
      <t>Demand (Transportation)</t>
    </r>
    <r>
      <rPr>
        <b/>
        <sz val="12"/>
        <color indexed="8"/>
        <rFont val="Arial"/>
        <family val="2"/>
      </rPr>
      <t xml:space="preserve"> Costs</t>
    </r>
  </si>
  <si>
    <r>
      <t>Total Demand</t>
    </r>
    <r>
      <rPr>
        <b/>
        <sz val="12"/>
        <color indexed="8"/>
        <rFont val="Arial"/>
        <family val="2"/>
      </rPr>
      <t xml:space="preserve"> Costs from Purchase Journals</t>
    </r>
  </si>
  <si>
    <t>WA/ID Buy/Sell Transportation Recovery</t>
  </si>
  <si>
    <t>less variable costs charged to Commodity</t>
  </si>
  <si>
    <t>Total Demand Costs to be Allocated</t>
  </si>
  <si>
    <t>804000 GD AN</t>
  </si>
  <si>
    <t xml:space="preserve">Total Demand Costs </t>
  </si>
  <si>
    <t>804001 GD AN</t>
  </si>
  <si>
    <t>plus variable costs from Demand</t>
  </si>
  <si>
    <t>Total Commodity Costs to be Allocated</t>
  </si>
  <si>
    <t>808100/808200 GD AN</t>
  </si>
  <si>
    <t>WA Imbalance</t>
  </si>
  <si>
    <t>ID Imbalance</t>
  </si>
  <si>
    <t>Total Commodity Costs from Purchase Journals</t>
  </si>
  <si>
    <t>WA/ID Off System Revenue</t>
  </si>
  <si>
    <t>Total Deferred Commodity Costs:</t>
  </si>
  <si>
    <t>DEMAND</t>
  </si>
  <si>
    <t xml:space="preserve">Total Demand </t>
  </si>
  <si>
    <t>COMMODITY</t>
  </si>
  <si>
    <t>Commodity Physical</t>
  </si>
  <si>
    <t>Broker Fees</t>
  </si>
  <si>
    <t>Financial Settlements</t>
  </si>
  <si>
    <t>804600 GD AN</t>
  </si>
  <si>
    <t>Total Commodity</t>
  </si>
  <si>
    <t>WASHINGTON</t>
  </si>
  <si>
    <t>IDAHO</t>
  </si>
  <si>
    <t>Total Deferral Expenses from above</t>
  </si>
  <si>
    <t>GST</t>
  </si>
  <si>
    <t>Total Commodity Costs before refund</t>
  </si>
  <si>
    <r>
      <t xml:space="preserve">Total Current Demand Costs </t>
    </r>
    <r>
      <rPr>
        <b/>
        <sz val="12"/>
        <rFont val="Arial"/>
        <family val="2"/>
      </rPr>
      <t>(excluding refund)</t>
    </r>
  </si>
  <si>
    <t>NWP Total (excluding Refund)</t>
  </si>
  <si>
    <t>WA 191000 Recoverable Gas Costs Amortized</t>
  </si>
  <si>
    <t>ID 191000 Recoverable Gas Costs Amortized</t>
  </si>
  <si>
    <t xml:space="preserve">Valley Hospital </t>
  </si>
  <si>
    <t>Terasen</t>
  </si>
  <si>
    <t xml:space="preserve">  Current Month Estimate</t>
  </si>
  <si>
    <t>Cochrane Credit</t>
  </si>
  <si>
    <t>811000 GD AN</t>
  </si>
  <si>
    <t>Misc Adjustment</t>
  </si>
  <si>
    <t>Questar</t>
  </si>
  <si>
    <t>Thermal Transport</t>
  </si>
  <si>
    <t>Spokane Rock Products</t>
  </si>
  <si>
    <t>804017 GD AN</t>
  </si>
  <si>
    <t>Foreign Exchange Hedge Activity</t>
  </si>
  <si>
    <t>Interest Revenue</t>
  </si>
  <si>
    <t>804010 GD AN</t>
  </si>
  <si>
    <t>Large Customer Refund</t>
  </si>
  <si>
    <t xml:space="preserve">Adjustments </t>
  </si>
  <si>
    <t>interest check</t>
  </si>
  <si>
    <t>Check</t>
  </si>
  <si>
    <t>From DJ 430</t>
  </si>
  <si>
    <t>Adj</t>
  </si>
  <si>
    <t>Def Rev Calc</t>
  </si>
  <si>
    <t>Spectra Westcoast Fixed</t>
  </si>
  <si>
    <t>Spectra Westcoast Variable</t>
  </si>
  <si>
    <t>Transcanada Foothills (BC System) Fixed</t>
  </si>
  <si>
    <t>Transcanada Foothills (BC System) Variable</t>
  </si>
  <si>
    <t>Intracompany Transportation Optimization</t>
  </si>
  <si>
    <t>FAFB Commodity for Anderson Elementary/Lignetics (semi-annual)</t>
  </si>
  <si>
    <t>WA/ID Gas Purchased from Interstate Asphalt (Annual)</t>
  </si>
  <si>
    <t>Analysis of Account 191000 GD ID</t>
  </si>
  <si>
    <t>Recovered PGA Deferred</t>
  </si>
  <si>
    <t>Analysis of Account 191000 GD WA</t>
  </si>
  <si>
    <t>WA Total</t>
  </si>
  <si>
    <t>ID Total</t>
  </si>
  <si>
    <t>Debits</t>
  </si>
  <si>
    <t>Credits</t>
  </si>
  <si>
    <t>Storage (Injections)/Withdrawals</t>
  </si>
  <si>
    <t>Interco Purchase from Thermal</t>
  </si>
  <si>
    <t>804730 GD AN</t>
  </si>
  <si>
    <t xml:space="preserve">NOVA Fixed charges </t>
  </si>
  <si>
    <t>(overcollected)/undercollected</t>
  </si>
  <si>
    <t>(rebate)/surcharge</t>
  </si>
  <si>
    <t>NOVA (AB System) Fixed</t>
  </si>
  <si>
    <t>NOVA (AB System) Variable</t>
  </si>
  <si>
    <t>NOVA Total</t>
  </si>
  <si>
    <t xml:space="preserve">Third party capacity release </t>
  </si>
  <si>
    <t>Manual Calc</t>
  </si>
  <si>
    <t>Other capacity release credit</t>
  </si>
  <si>
    <t>Other Pipeline Fixed charges</t>
  </si>
  <si>
    <t>495028 GD AN</t>
  </si>
  <si>
    <t>Avista Corp. - Resource Accounting</t>
  </si>
  <si>
    <t>Date of Graphs</t>
  </si>
  <si>
    <t>$ in Millions:  (+) Rebate; (-) Surcharge</t>
  </si>
  <si>
    <t>Washington Deferral</t>
  </si>
  <si>
    <t>WA 191025 WA GRC JACKSON PRAIRIE DEFERRAL</t>
  </si>
  <si>
    <t>WA GRC Jackson Prairie Deferral</t>
  </si>
  <si>
    <t>191025 GD WA</t>
  </si>
  <si>
    <t>Current Month Amortization</t>
  </si>
  <si>
    <t>Original</t>
  </si>
  <si>
    <t>Amortization of JP Deferral</t>
  </si>
  <si>
    <t>Analysis of Account 191015 GD ID</t>
  </si>
  <si>
    <t>ID Deferral Holdback</t>
  </si>
  <si>
    <t>Acct 191015</t>
  </si>
  <si>
    <t>Balance 10/1/12</t>
  </si>
  <si>
    <t>Tracker Transfer 191015</t>
  </si>
  <si>
    <t>Tracker Transfer 191000</t>
  </si>
  <si>
    <t>191015 GD ID</t>
  </si>
  <si>
    <t>Tracker Transfer 10/1/12</t>
  </si>
  <si>
    <t>ID Holdback</t>
  </si>
  <si>
    <t>Balance 11/1/12</t>
  </si>
  <si>
    <t>2012 Deferral Transfer</t>
  </si>
  <si>
    <t>Tracker Transfer 11/1/12</t>
  </si>
  <si>
    <t>CORRECTED</t>
  </si>
  <si>
    <t>J0URNAL ENTRY - ORIGINAL</t>
  </si>
  <si>
    <t>J0URNAL ENTRY CORRECTION - book 12/31</t>
  </si>
  <si>
    <t>ID CURR UNRECOV PGA DEFERRED - ORIGINALLY RECORDED</t>
  </si>
  <si>
    <t>ID CURR UNRECOV PGA DEFERRED Correcting Entry CORRECTING booked 12/31</t>
  </si>
  <si>
    <t>Correcting Adjustment for 12/2012</t>
  </si>
  <si>
    <t>11-30-2012 - Corrected</t>
  </si>
  <si>
    <t>Idaho Deferral (With Holdback)</t>
  </si>
  <si>
    <t>Mizuho Broker Fees</t>
  </si>
  <si>
    <t>Balance 10/1/13</t>
  </si>
  <si>
    <t>SEE ID AMORT 191015 TAB FOR AMORTIZATION BEGINNING 10/1/2013</t>
  </si>
  <si>
    <t>10/1/2013 Tracker Transfer</t>
  </si>
  <si>
    <t>10/1/13 Balance</t>
  </si>
  <si>
    <t>10/1/2013 Balance</t>
  </si>
  <si>
    <t>805111 GD ID</t>
  </si>
  <si>
    <t>= Var = Correction of rate used 10/2013 close</t>
  </si>
  <si>
    <t>PGA Tracker Transfer</t>
  </si>
  <si>
    <t>Balance 11/1/2013</t>
  </si>
  <si>
    <t>2013 Deferral Transfer</t>
  </si>
  <si>
    <t>Adjusted 11/1/2013 Balance</t>
  </si>
  <si>
    <t>Demand Allocation Correction NSJ</t>
  </si>
  <si>
    <t>WA CURR UNRECOV PGA DEFERRED - CORRECTED</t>
  </si>
  <si>
    <t>WA CURR UNRECOV PGA DEFERRED - ORIGINALLY RECORDED IN DJ431</t>
  </si>
  <si>
    <t>WA CURR UNRECOV PGA DEFERRED - CORRECTING ENTRY</t>
  </si>
  <si>
    <t>ID CURR UNRECOV PGA DEFERRED - CORRECTED</t>
  </si>
  <si>
    <t>ID CURR UNRECOV PGA DEFERRED - ORIGINALLY RECORDED IN DJ431</t>
  </si>
  <si>
    <t>ID CURR UNRECOV PGA DEFERRED - CORRECTING ENTRY</t>
  </si>
  <si>
    <t>Adjusted Ending Balance</t>
  </si>
  <si>
    <t>GL Wand Check</t>
  </si>
  <si>
    <t>Variance</t>
  </si>
  <si>
    <t>GL CHECK</t>
  </si>
  <si>
    <t>O</t>
  </si>
  <si>
    <t>2012-2013 PGA Deferral Balances</t>
  </si>
  <si>
    <t>NSJ025</t>
  </si>
  <si>
    <t>YTD</t>
  </si>
  <si>
    <t>PGA YTD</t>
  </si>
  <si>
    <t>Beginning Balance</t>
  </si>
  <si>
    <t>Demand Deferral</t>
  </si>
  <si>
    <t>Month</t>
  </si>
  <si>
    <t>Interest Rate</t>
  </si>
  <si>
    <t>Interest (Rev/Expense)</t>
  </si>
  <si>
    <t>PGA Transfer</t>
  </si>
  <si>
    <t>GLW Check</t>
  </si>
  <si>
    <t>Cumulative
Balance</t>
  </si>
  <si>
    <t>Commodity Adjustment</t>
  </si>
  <si>
    <t>Demand Adjustment</t>
  </si>
  <si>
    <t>Interest Adjustment</t>
  </si>
  <si>
    <t>Blue Text = Drag Formula to next month and copy/paste value in prior month</t>
  </si>
  <si>
    <t>Washington Current Deferral</t>
  </si>
  <si>
    <t>Washington Amortization</t>
  </si>
  <si>
    <t>Calendar Sales Check</t>
  </si>
  <si>
    <t>*Misc Adjustments*</t>
  </si>
  <si>
    <t>Project or GL entry</t>
  </si>
  <si>
    <t>Project</t>
  </si>
  <si>
    <t>Task</t>
  </si>
  <si>
    <t>Expenditure Type</t>
  </si>
  <si>
    <t>Organization</t>
  </si>
  <si>
    <t>Company</t>
  </si>
  <si>
    <t>FERC</t>
  </si>
  <si>
    <t>Service Code</t>
  </si>
  <si>
    <t>Rate Making Jurisdiction</t>
  </si>
  <si>
    <t>Statistical Indicator</t>
  </si>
  <si>
    <t>Quantity</t>
  </si>
  <si>
    <t>Credit (GL Only entries)</t>
  </si>
  <si>
    <t>Comments</t>
  </si>
  <si>
    <t>G</t>
  </si>
  <si>
    <t>GD</t>
  </si>
  <si>
    <t>WA</t>
  </si>
  <si>
    <t>DL</t>
  </si>
  <si>
    <t>GL</t>
  </si>
  <si>
    <t>WA Deferral Interest Income</t>
  </si>
  <si>
    <t>WA Deferral Interest Expense</t>
  </si>
  <si>
    <t>WA Deferral</t>
  </si>
  <si>
    <t>WA Deferral Expense</t>
  </si>
  <si>
    <t>WA Amortization Interest Income</t>
  </si>
  <si>
    <t>WA Amortization Interest Expense</t>
  </si>
  <si>
    <t>WA Amortization</t>
  </si>
  <si>
    <t>WA Amortization Expense</t>
  </si>
  <si>
    <t>WA Amortization JP</t>
  </si>
  <si>
    <t>WA Amortization Expense JP</t>
  </si>
  <si>
    <t>JET Entry</t>
  </si>
  <si>
    <t>Update JE date to pull current month values</t>
  </si>
  <si>
    <t>483000/483600/483730</t>
  </si>
  <si>
    <t>Idaho PGA Costs</t>
  </si>
  <si>
    <t>Washington PGA Costs</t>
  </si>
  <si>
    <t>2013-2014 PGA Costs</t>
  </si>
  <si>
    <t>Actual</t>
  </si>
  <si>
    <t>PGA Rate</t>
  </si>
  <si>
    <t>PGA Budget</t>
  </si>
  <si>
    <t>Deferral Check</t>
  </si>
  <si>
    <t>M Chemical Accrual</t>
  </si>
  <si>
    <t>Schedule 102</t>
  </si>
  <si>
    <t>Main Calc</t>
  </si>
  <si>
    <t>Wells Fargo Journal DJ 473</t>
  </si>
  <si>
    <t>Commodity Deferral</t>
  </si>
  <si>
    <t>Volume - Commodity &amp; Demand</t>
  </si>
  <si>
    <t>Volume - Demand only</t>
  </si>
  <si>
    <t>Deferred Exchange Revenue</t>
  </si>
  <si>
    <t>Other Capacity Release credit</t>
  </si>
  <si>
    <t>(   ) = Rebate</t>
  </si>
  <si>
    <t>Merchandise Processing Fee DJ 467</t>
  </si>
  <si>
    <t>804018 GD AN</t>
  </si>
  <si>
    <t>cost to allocate is negative…</t>
  </si>
  <si>
    <t>ZZ</t>
  </si>
  <si>
    <t>NO MORE ENTRY</t>
  </si>
  <si>
    <t>n/a</t>
  </si>
  <si>
    <t>Month Ending</t>
  </si>
  <si>
    <t>Prior Period Adjustments</t>
  </si>
  <si>
    <t>GL WAND BALANCES</t>
  </si>
  <si>
    <t>MONTHLY RECON</t>
  </si>
  <si>
    <t>201701</t>
  </si>
  <si>
    <t>201702</t>
  </si>
  <si>
    <t>201703</t>
  </si>
  <si>
    <t>201704</t>
  </si>
  <si>
    <t>201705</t>
  </si>
  <si>
    <t>201706</t>
  </si>
  <si>
    <t>201707</t>
  </si>
  <si>
    <t>201708</t>
  </si>
  <si>
    <t>201709</t>
  </si>
  <si>
    <t>201710</t>
  </si>
  <si>
    <t>201711</t>
  </si>
  <si>
    <t>201712</t>
  </si>
  <si>
    <t>201801</t>
  </si>
  <si>
    <t>201802</t>
  </si>
  <si>
    <t>201803</t>
  </si>
  <si>
    <t>Accounts 191010</t>
  </si>
  <si>
    <t>191010 - Current Unrecovered PGA Deferral</t>
  </si>
  <si>
    <t>Accounts 191000</t>
  </si>
  <si>
    <t>191000 - Recoverable Gas Costs Amortized</t>
  </si>
  <si>
    <t>Annual xfer of balance per PGA to 191000</t>
  </si>
  <si>
    <t>Annual xfer of balance per PGA to 191010</t>
  </si>
  <si>
    <t>201804</t>
  </si>
  <si>
    <t>201805</t>
  </si>
  <si>
    <t>201806</t>
  </si>
  <si>
    <t xml:space="preserve"> </t>
  </si>
  <si>
    <t>495000 GD WA/ID</t>
  </si>
  <si>
    <t>Misc (Entitlement Penalty)</t>
  </si>
  <si>
    <t>804000 GD WA</t>
  </si>
  <si>
    <t>804000 GD ID</t>
  </si>
  <si>
    <t>Entitlement Penalty</t>
  </si>
  <si>
    <t>495000 GD WA</t>
  </si>
  <si>
    <t>495000 GD ID</t>
  </si>
  <si>
    <t>201905 Revised</t>
  </si>
  <si>
    <t>Imbalance/Entitlement Cost Washington</t>
  </si>
  <si>
    <t>Imbalance/Entitlement Cost Idaho</t>
  </si>
  <si>
    <t>201905</t>
  </si>
  <si>
    <t>Revised</t>
  </si>
  <si>
    <t>Adjustment needed:</t>
  </si>
  <si>
    <t>Total adjustment</t>
  </si>
  <si>
    <t>Amort Interest</t>
  </si>
  <si>
    <t>Deferral Exp</t>
  </si>
  <si>
    <t>Amort</t>
  </si>
  <si>
    <t>Amort Exp</t>
  </si>
  <si>
    <t>Tax Reform Amort</t>
  </si>
  <si>
    <t>Tax Reform Tax Calc</t>
  </si>
  <si>
    <t>GD ID</t>
  </si>
  <si>
    <t>GD WA</t>
  </si>
  <si>
    <t>Questar Fixed</t>
  </si>
  <si>
    <r>
      <t>Total Current Demand Costs</t>
    </r>
    <r>
      <rPr>
        <sz val="9"/>
        <rFont val="Arial"/>
        <family val="2"/>
      </rPr>
      <t xml:space="preserve"> </t>
    </r>
    <r>
      <rPr>
        <b/>
        <sz val="9"/>
        <rFont val="Arial"/>
        <family val="2"/>
      </rPr>
      <t>(excluding refund)</t>
    </r>
  </si>
  <si>
    <t>495000 GD AN</t>
  </si>
  <si>
    <t>Misc - Entitlement Penalty</t>
  </si>
  <si>
    <t>TC Energy Foothills Fixed</t>
  </si>
  <si>
    <t>TC Energy Foothills Variable</t>
  </si>
  <si>
    <t>TC Energy GTN Fixed</t>
  </si>
  <si>
    <t xml:space="preserve">TC Energy GTN Variable </t>
  </si>
  <si>
    <t>TC Energy GTN Capacity Release</t>
  </si>
  <si>
    <t>TC Energy NOVA (AB System) Fixed</t>
  </si>
  <si>
    <t>TC Energy NOVA (AB System) Variable</t>
  </si>
  <si>
    <t>Foothills Total</t>
  </si>
  <si>
    <t>Spectra Total</t>
  </si>
  <si>
    <t>Questar Total</t>
  </si>
  <si>
    <t>Tie to Deferral Check</t>
  </si>
</sst>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5" formatCode="&quot;$&quot;#,##0_);\(&quot;$&quot;#,##0\)"/>
    <numFmt numFmtId="7" formatCode="&quot;$&quot;#,##0.00_);\(&quot;$&quot;#,##0.00\)"/>
    <numFmt numFmtId="8" formatCode="&quot;$&quot;#,##0.00_);[Red]\(&quot;$&quot;#,##0.00\)"/>
    <numFmt numFmtId="44" formatCode="_(&quot;$&quot;* #,##0.00_);_(&quot;$&quot;* \(#,##0.00\);_(&quot;$&quot;* &quot;-&quot;??_);_(@_)"/>
    <numFmt numFmtId="43" formatCode="_(* #,##0.00_);_(* \(#,##0.00\);_(* &quot;-&quot;??_);_(@_)"/>
    <numFmt numFmtId="164" formatCode="m/yy"/>
    <numFmt numFmtId="165" formatCode="0.000%"/>
    <numFmt numFmtId="166" formatCode="0.0000%"/>
    <numFmt numFmtId="167" formatCode="_(* #,##0.000_);_(* \(#,##0.000\);_(* &quot;-&quot;??_);_(@_)"/>
    <numFmt numFmtId="168" formatCode="General_)"/>
    <numFmt numFmtId="169" formatCode="0_)"/>
    <numFmt numFmtId="170" formatCode="&quot;$&quot;#,##0.00000_);\(&quot;$&quot;#,##0.00000\)"/>
    <numFmt numFmtId="171" formatCode="#,##0.00000_);\(#,##0.00000\)"/>
    <numFmt numFmtId="172" formatCode="mm/dd/yy_)"/>
    <numFmt numFmtId="173" formatCode="mm/dd/yy"/>
    <numFmt numFmtId="174" formatCode="#,##0.0000_);\(#,##0.0000\)"/>
    <numFmt numFmtId="175" formatCode="[$-409]mmm/yy;@"/>
    <numFmt numFmtId="176" formatCode="#,##0.0000_);[Red]\(#,##0.0000\)"/>
    <numFmt numFmtId="177" formatCode="_(&quot;$&quot;* #,##0.00000_);_(&quot;$&quot;* \(#,##0.00000\);_(&quot;$&quot;* &quot;-&quot;??_);_(@_)"/>
    <numFmt numFmtId="178" formatCode="&quot;$&quot;#,##0.00000_);[Red]\(&quot;$&quot;#,##0.00000\)"/>
    <numFmt numFmtId="179" formatCode="&quot;$&quot;#,##0.0_);\(&quot;$&quot;#,##0.0\)"/>
    <numFmt numFmtId="180" formatCode="&quot;$&quot;#,##0\ ;\(&quot;$&quot;#,##0\)"/>
    <numFmt numFmtId="181" formatCode="_(* #,##0.00_);_(* \(#,##0.00\);_(* &quot;-&quot;_);_(@_)"/>
    <numFmt numFmtId="182" formatCode="00000000"/>
    <numFmt numFmtId="183" formatCode="000"/>
    <numFmt numFmtId="184" formatCode="0.0000000"/>
  </numFmts>
  <fonts count="64">
    <font>
      <sz val="10"/>
      <name val="Helv"/>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Geneva"/>
    </font>
    <font>
      <sz val="10"/>
      <color indexed="12"/>
      <name val="Helv"/>
    </font>
    <font>
      <b/>
      <sz val="10"/>
      <name val="Helv"/>
    </font>
    <font>
      <sz val="8"/>
      <color indexed="81"/>
      <name val="Tahoma"/>
      <family val="2"/>
    </font>
    <font>
      <b/>
      <sz val="8"/>
      <color indexed="81"/>
      <name val="Tahoma"/>
      <family val="2"/>
    </font>
    <font>
      <sz val="10"/>
      <name val="Helv"/>
    </font>
    <font>
      <sz val="12"/>
      <name val="Arial"/>
      <family val="2"/>
    </font>
    <font>
      <b/>
      <sz val="12"/>
      <name val="Arial"/>
      <family val="2"/>
    </font>
    <font>
      <b/>
      <sz val="12"/>
      <color indexed="10"/>
      <name val="Arial"/>
      <family val="2"/>
    </font>
    <font>
      <sz val="12"/>
      <color indexed="10"/>
      <name val="Arial"/>
      <family val="2"/>
    </font>
    <font>
      <i/>
      <sz val="12"/>
      <name val="Arial"/>
      <family val="2"/>
    </font>
    <font>
      <b/>
      <sz val="12"/>
      <color indexed="12"/>
      <name val="Arial"/>
      <family val="2"/>
    </font>
    <font>
      <sz val="10"/>
      <name val="Arial"/>
      <family val="2"/>
    </font>
    <font>
      <sz val="10"/>
      <name val="Helv"/>
    </font>
    <font>
      <sz val="12"/>
      <color indexed="12"/>
      <name val="Arial"/>
      <family val="2"/>
    </font>
    <font>
      <b/>
      <sz val="12"/>
      <color indexed="8"/>
      <name val="Arial"/>
      <family val="2"/>
    </font>
    <font>
      <b/>
      <sz val="12"/>
      <color indexed="14"/>
      <name val="Arial"/>
      <family val="2"/>
    </font>
    <font>
      <sz val="12"/>
      <color indexed="9"/>
      <name val="Arial"/>
      <family val="2"/>
    </font>
    <font>
      <b/>
      <sz val="12"/>
      <color indexed="17"/>
      <name val="Arial"/>
      <family val="2"/>
    </font>
    <font>
      <sz val="12"/>
      <color indexed="10"/>
      <name val="Times New Roman"/>
      <family val="1"/>
    </font>
    <font>
      <b/>
      <sz val="12"/>
      <color rgb="FF008000"/>
      <name val="Arial"/>
      <family val="2"/>
    </font>
    <font>
      <sz val="12"/>
      <color theme="0"/>
      <name val="Arial"/>
      <family val="2"/>
    </font>
    <font>
      <b/>
      <sz val="12"/>
      <color rgb="FF0000FF"/>
      <name val="Arial"/>
      <family val="2"/>
    </font>
    <font>
      <b/>
      <sz val="18"/>
      <name val="Helv"/>
    </font>
    <font>
      <b/>
      <sz val="16"/>
      <name val="Helv"/>
    </font>
    <font>
      <sz val="10"/>
      <color rgb="FF0000FF"/>
      <name val="Helv"/>
    </font>
    <font>
      <sz val="11"/>
      <color theme="1"/>
      <name val="Calibri"/>
      <family val="2"/>
    </font>
    <font>
      <b/>
      <sz val="12"/>
      <color theme="1"/>
      <name val="Calibri"/>
      <family val="2"/>
    </font>
    <font>
      <sz val="8"/>
      <name val="Arial"/>
      <family val="2"/>
    </font>
    <font>
      <sz val="10"/>
      <color theme="1"/>
      <name val="Arial"/>
      <family val="2"/>
    </font>
    <font>
      <sz val="10"/>
      <name val="Arial"/>
      <family val="2"/>
    </font>
    <font>
      <sz val="12"/>
      <name val="Times New Roman"/>
      <family val="1"/>
    </font>
    <font>
      <sz val="10"/>
      <name val="Arial"/>
      <family val="2"/>
    </font>
    <font>
      <sz val="12"/>
      <color rgb="FFFF0000"/>
      <name val="Arial"/>
      <family val="2"/>
    </font>
    <font>
      <b/>
      <sz val="11"/>
      <color theme="1"/>
      <name val="Calibri"/>
      <family val="2"/>
      <scheme val="minor"/>
    </font>
    <font>
      <sz val="12"/>
      <name val="Helv"/>
    </font>
    <font>
      <sz val="11"/>
      <name val="Calibri"/>
      <family val="2"/>
      <scheme val="minor"/>
    </font>
    <font>
      <sz val="9"/>
      <color indexed="81"/>
      <name val="Tahoma"/>
      <family val="2"/>
    </font>
    <font>
      <b/>
      <sz val="9"/>
      <color indexed="81"/>
      <name val="Tahoma"/>
      <family val="2"/>
    </font>
    <font>
      <b/>
      <sz val="12"/>
      <color theme="0"/>
      <name val="Arial"/>
      <family val="2"/>
    </font>
    <font>
      <b/>
      <sz val="11"/>
      <name val="Arial"/>
      <family val="2"/>
    </font>
    <font>
      <b/>
      <sz val="14"/>
      <name val="Geneva"/>
    </font>
    <font>
      <strike/>
      <sz val="10"/>
      <name val="Arial"/>
      <family val="2"/>
    </font>
    <font>
      <b/>
      <sz val="10"/>
      <name val="Arial"/>
      <family val="2"/>
    </font>
    <font>
      <sz val="9"/>
      <name val="Arial"/>
      <family val="2"/>
    </font>
    <font>
      <b/>
      <sz val="9"/>
      <name val="Arial"/>
      <family val="2"/>
    </font>
    <font>
      <sz val="9"/>
      <color rgb="FF0000FF"/>
      <name val="Arial"/>
      <family val="2"/>
    </font>
    <font>
      <i/>
      <sz val="12"/>
      <color rgb="FF0000FF"/>
      <name val="Arial"/>
      <family val="2"/>
    </font>
    <font>
      <sz val="12"/>
      <color rgb="FF0000FF"/>
      <name val="Arial"/>
      <family val="2"/>
    </font>
    <font>
      <b/>
      <i/>
      <sz val="12"/>
      <name val="Arial"/>
      <family val="2"/>
    </font>
    <font>
      <b/>
      <i/>
      <sz val="11"/>
      <color theme="1"/>
      <name val="Calibri"/>
      <family val="2"/>
      <scheme val="minor"/>
    </font>
    <font>
      <i/>
      <sz val="11"/>
      <color theme="1"/>
      <name val="Calibri"/>
      <family val="2"/>
      <scheme val="minor"/>
    </font>
    <font>
      <sz val="10"/>
      <name val="Calibri"/>
      <family val="2"/>
      <scheme val="minor"/>
    </font>
    <font>
      <b/>
      <sz val="10"/>
      <name val="Calibri"/>
      <family val="2"/>
      <scheme val="minor"/>
    </font>
  </fonts>
  <fills count="10">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8" tint="0.59999389629810485"/>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146">
    <xf numFmtId="39" fontId="0" fillId="0" borderId="0"/>
    <xf numFmtId="40" fontId="10" fillId="0" borderId="0" applyFont="0" applyFill="0" applyBorder="0" applyAlignment="0" applyProtection="0"/>
    <xf numFmtId="8" fontId="10" fillId="0" borderId="0" applyFont="0" applyFill="0" applyBorder="0" applyAlignment="0" applyProtection="0"/>
    <xf numFmtId="0" fontId="29" fillId="2" borderId="0"/>
    <xf numFmtId="9" fontId="10" fillId="0" borderId="0" applyFont="0" applyFill="0" applyBorder="0" applyAlignment="0" applyProtection="0"/>
    <xf numFmtId="43" fontId="22" fillId="0" borderId="0" applyFont="0" applyFill="0" applyBorder="0" applyAlignment="0" applyProtection="0"/>
    <xf numFmtId="0" fontId="36" fillId="0" borderId="0"/>
    <xf numFmtId="44" fontId="36" fillId="0" borderId="0" applyFont="0" applyFill="0" applyBorder="0" applyAlignment="0" applyProtection="0"/>
    <xf numFmtId="43" fontId="36" fillId="0" borderId="0" applyFont="0" applyFill="0" applyBorder="0" applyAlignment="0" applyProtection="0"/>
    <xf numFmtId="43" fontId="9" fillId="0" borderId="0" applyFont="0" applyFill="0" applyBorder="0" applyAlignment="0" applyProtection="0"/>
    <xf numFmtId="43" fontId="22" fillId="0" borderId="0" applyFont="0" applyFill="0" applyBorder="0" applyAlignment="0" applyProtection="0"/>
    <xf numFmtId="3" fontId="38" fillId="0" borderId="0" applyFont="0" applyFill="0" applyBorder="0" applyAlignment="0" applyProtection="0"/>
    <xf numFmtId="44" fontId="3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9" fillId="0" borderId="0" applyFont="0" applyFill="0" applyBorder="0" applyAlignment="0" applyProtection="0"/>
    <xf numFmtId="180" fontId="38" fillId="0" borderId="0" applyFont="0" applyFill="0" applyBorder="0" applyAlignment="0" applyProtection="0"/>
    <xf numFmtId="0" fontId="38" fillId="0" borderId="0" applyFont="0" applyFill="0" applyBorder="0" applyAlignment="0" applyProtection="0"/>
    <xf numFmtId="2" fontId="38" fillId="0" borderId="0" applyFont="0" applyFill="0" applyBorder="0" applyAlignment="0" applyProtection="0"/>
    <xf numFmtId="0" fontId="38" fillId="0" borderId="0"/>
    <xf numFmtId="0" fontId="39" fillId="0" borderId="0"/>
    <xf numFmtId="0" fontId="22" fillId="0" borderId="0"/>
    <xf numFmtId="0" fontId="22" fillId="0" borderId="0"/>
    <xf numFmtId="0" fontId="22" fillId="0" borderId="0"/>
    <xf numFmtId="0" fontId="9" fillId="0" borderId="0"/>
    <xf numFmtId="0" fontId="22" fillId="0" borderId="0"/>
    <xf numFmtId="9" fontId="22" fillId="0" borderId="0" applyFont="0" applyFill="0" applyBorder="0" applyAlignment="0" applyProtection="0"/>
    <xf numFmtId="10" fontId="38" fillId="0" borderId="0" applyFont="0" applyFill="0" applyBorder="0" applyAlignment="0" applyProtection="0"/>
    <xf numFmtId="9" fontId="3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9" fillId="0" borderId="0" applyFont="0" applyFill="0" applyBorder="0" applyAlignment="0" applyProtection="0"/>
    <xf numFmtId="9" fontId="22" fillId="0" borderId="0" applyFont="0" applyFill="0" applyBorder="0" applyAlignment="0" applyProtection="0"/>
    <xf numFmtId="0" fontId="40" fillId="0" borderId="0"/>
    <xf numFmtId="0" fontId="41" fillId="0" borderId="0"/>
    <xf numFmtId="0" fontId="10" fillId="0" borderId="0"/>
    <xf numFmtId="43" fontId="22"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22" fillId="0" borderId="0"/>
    <xf numFmtId="0" fontId="42" fillId="0" borderId="0"/>
    <xf numFmtId="43" fontId="39" fillId="0" borderId="0" applyFont="0" applyFill="0" applyBorder="0" applyAlignment="0" applyProtection="0"/>
    <xf numFmtId="44" fontId="39"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0" fontId="39" fillId="0" borderId="0"/>
    <xf numFmtId="9" fontId="39"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0" fontId="22" fillId="0" borderId="0"/>
    <xf numFmtId="43" fontId="22" fillId="0" borderId="0" applyFont="0" applyFill="0" applyBorder="0" applyAlignment="0" applyProtection="0"/>
    <xf numFmtId="0" fontId="22" fillId="0" borderId="0"/>
    <xf numFmtId="44" fontId="22" fillId="0" borderId="0" applyFont="0" applyFill="0" applyBorder="0" applyAlignment="0" applyProtection="0"/>
    <xf numFmtId="9" fontId="22" fillId="0" borderId="0" applyFont="0" applyFill="0" applyBorder="0" applyAlignment="0" applyProtection="0"/>
    <xf numFmtId="44" fontId="22" fillId="0" borderId="0" applyFont="0" applyFill="0" applyBorder="0" applyAlignment="0" applyProtection="0"/>
    <xf numFmtId="0" fontId="7" fillId="0" borderId="0"/>
    <xf numFmtId="43" fontId="7" fillId="0" borderId="0" applyFont="0" applyFill="0" applyBorder="0" applyAlignment="0" applyProtection="0"/>
    <xf numFmtId="44" fontId="36" fillId="0" borderId="0" applyFont="0" applyFill="0" applyBorder="0" applyAlignment="0" applyProtection="0"/>
    <xf numFmtId="9" fontId="36" fillId="0" borderId="0" applyFont="0" applyFill="0" applyBorder="0" applyAlignment="0" applyProtection="0"/>
    <xf numFmtId="0" fontId="44" fillId="0" borderId="29" applyNumberFormat="0" applyFill="0" applyAlignment="0" applyProtection="0"/>
    <xf numFmtId="43" fontId="6"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22" fillId="0" borderId="0"/>
    <xf numFmtId="0" fontId="5" fillId="0" borderId="0"/>
    <xf numFmtId="43" fontId="5"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39" fontId="15"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cellStyleXfs>
  <cellXfs count="590">
    <xf numFmtId="39" fontId="0" fillId="0" borderId="0" xfId="0"/>
    <xf numFmtId="39" fontId="16" fillId="0" borderId="0" xfId="0" applyFont="1"/>
    <xf numFmtId="39" fontId="17" fillId="0" borderId="0" xfId="0" applyFont="1"/>
    <xf numFmtId="14" fontId="17" fillId="0" borderId="0" xfId="0" applyNumberFormat="1" applyFont="1"/>
    <xf numFmtId="43" fontId="18" fillId="0" borderId="0" xfId="0" applyNumberFormat="1" applyFont="1" applyFill="1"/>
    <xf numFmtId="39" fontId="16" fillId="0" borderId="0" xfId="0" applyFont="1" applyBorder="1"/>
    <xf numFmtId="39" fontId="16" fillId="0" borderId="0" xfId="0" applyFont="1" applyAlignment="1">
      <alignment horizontal="center"/>
    </xf>
    <xf numFmtId="39" fontId="16" fillId="0" borderId="0" xfId="0" applyFont="1" applyFill="1" applyBorder="1"/>
    <xf numFmtId="7" fontId="16" fillId="0" borderId="0" xfId="0" applyNumberFormat="1" applyFont="1" applyFill="1" applyBorder="1"/>
    <xf numFmtId="39" fontId="17" fillId="0" borderId="0" xfId="0" applyFont="1" applyAlignment="1">
      <alignment horizontal="right"/>
    </xf>
    <xf numFmtId="7" fontId="16" fillId="0" borderId="0" xfId="4" applyNumberFormat="1" applyFont="1" applyFill="1" applyBorder="1"/>
    <xf numFmtId="39" fontId="17" fillId="0" borderId="0" xfId="0" applyFont="1" applyFill="1" applyBorder="1"/>
    <xf numFmtId="39" fontId="17" fillId="0" borderId="0" xfId="0" applyFont="1" applyFill="1" applyBorder="1" applyAlignment="1">
      <alignment horizontal="center"/>
    </xf>
    <xf numFmtId="39" fontId="17" fillId="0" borderId="2" xfId="0" applyFont="1" applyFill="1" applyBorder="1" applyAlignment="1">
      <alignment horizontal="center"/>
    </xf>
    <xf numFmtId="39" fontId="18" fillId="0" borderId="4" xfId="0" applyFont="1" applyBorder="1"/>
    <xf numFmtId="39" fontId="17" fillId="0" borderId="0" xfId="0" applyFont="1" applyBorder="1"/>
    <xf numFmtId="37" fontId="17" fillId="0" borderId="0" xfId="0" applyNumberFormat="1" applyFont="1" applyAlignment="1">
      <alignment horizontal="center"/>
    </xf>
    <xf numFmtId="37" fontId="17" fillId="0" borderId="5" xfId="0" applyNumberFormat="1" applyFont="1" applyBorder="1" applyAlignment="1">
      <alignment horizontal="center"/>
    </xf>
    <xf numFmtId="39" fontId="11" fillId="0" borderId="0" xfId="0" applyFont="1" applyFill="1" applyBorder="1"/>
    <xf numFmtId="39" fontId="17" fillId="0" borderId="0" xfId="0" applyFont="1" applyAlignment="1">
      <alignment horizontal="left"/>
    </xf>
    <xf numFmtId="5" fontId="17" fillId="0" borderId="0" xfId="0" applyNumberFormat="1" applyFont="1" applyFill="1" applyAlignment="1">
      <alignment horizontal="center"/>
    </xf>
    <xf numFmtId="5" fontId="16" fillId="0" borderId="0" xfId="0" applyNumberFormat="1" applyFont="1" applyFill="1"/>
    <xf numFmtId="172" fontId="16" fillId="0" borderId="0" xfId="0" applyNumberFormat="1" applyFont="1" applyProtection="1"/>
    <xf numFmtId="39" fontId="16" fillId="0" borderId="9" xfId="0" applyFont="1" applyBorder="1"/>
    <xf numFmtId="43" fontId="16" fillId="0" borderId="0" xfId="0" applyNumberFormat="1" applyFont="1" applyFill="1" applyBorder="1"/>
    <xf numFmtId="39" fontId="16" fillId="0" borderId="9" xfId="0" applyFont="1" applyFill="1" applyBorder="1"/>
    <xf numFmtId="39" fontId="17" fillId="0" borderId="0" xfId="0" applyFont="1" applyFill="1"/>
    <xf numFmtId="164" fontId="17" fillId="0" borderId="0" xfId="0" applyNumberFormat="1" applyFont="1" applyAlignment="1">
      <alignment horizontal="left"/>
    </xf>
    <xf numFmtId="166" fontId="16" fillId="0" borderId="0" xfId="4" applyNumberFormat="1" applyFont="1"/>
    <xf numFmtId="164" fontId="16" fillId="0" borderId="0" xfId="0" applyNumberFormat="1" applyFont="1"/>
    <xf numFmtId="164" fontId="17" fillId="0" borderId="0" xfId="0" applyNumberFormat="1" applyFont="1" applyAlignment="1">
      <alignment horizontal="center"/>
    </xf>
    <xf numFmtId="39" fontId="17" fillId="0" borderId="0" xfId="0" applyFont="1" applyAlignment="1">
      <alignment horizontal="center"/>
    </xf>
    <xf numFmtId="39" fontId="17" fillId="0" borderId="0" xfId="0" applyFont="1" applyBorder="1" applyAlignment="1">
      <alignment horizontal="center"/>
    </xf>
    <xf numFmtId="166" fontId="17" fillId="0" borderId="0" xfId="4" applyNumberFormat="1" applyFont="1" applyFill="1"/>
    <xf numFmtId="164" fontId="21" fillId="0" borderId="0" xfId="0" applyNumberFormat="1" applyFont="1" applyFill="1" applyAlignment="1" applyProtection="1">
      <alignment horizontal="left"/>
      <protection locked="0"/>
    </xf>
    <xf numFmtId="39" fontId="17" fillId="0" borderId="0" xfId="0" applyFont="1" applyFill="1" applyAlignment="1">
      <alignment horizontal="left"/>
    </xf>
    <xf numFmtId="39" fontId="21" fillId="0" borderId="0" xfId="0" applyFont="1" applyFill="1" applyProtection="1">
      <protection locked="0"/>
    </xf>
    <xf numFmtId="164" fontId="17" fillId="0" borderId="0" xfId="0" applyNumberFormat="1" applyFont="1" applyFill="1"/>
    <xf numFmtId="164" fontId="17" fillId="0" borderId="0" xfId="0" applyNumberFormat="1" applyFont="1"/>
    <xf numFmtId="39" fontId="17" fillId="0" borderId="9" xfId="0" applyFont="1" applyFill="1" applyBorder="1"/>
    <xf numFmtId="39" fontId="16" fillId="0" borderId="0" xfId="0" applyFont="1" applyFill="1" applyBorder="1" applyAlignment="1">
      <alignment horizontal="right"/>
    </xf>
    <xf numFmtId="39" fontId="16" fillId="0" borderId="0" xfId="0" applyFont="1" applyFill="1" applyAlignment="1">
      <alignment horizontal="right"/>
    </xf>
    <xf numFmtId="8" fontId="17" fillId="0" borderId="0" xfId="2" applyFont="1" applyFill="1" applyBorder="1"/>
    <xf numFmtId="39" fontId="22" fillId="0" borderId="0" xfId="0" applyFont="1"/>
    <xf numFmtId="37" fontId="17" fillId="0" borderId="0" xfId="0" applyNumberFormat="1" applyFont="1" applyAlignment="1">
      <alignment horizontal="left"/>
    </xf>
    <xf numFmtId="37" fontId="17" fillId="0" borderId="0" xfId="0" applyNumberFormat="1" applyFont="1" applyBorder="1" applyAlignment="1">
      <alignment horizontal="center"/>
    </xf>
    <xf numFmtId="14" fontId="17" fillId="0" borderId="0" xfId="0" applyNumberFormat="1" applyFont="1" applyBorder="1" applyAlignment="1">
      <alignment horizontal="center"/>
    </xf>
    <xf numFmtId="39" fontId="17" fillId="0" borderId="18" xfId="0" applyFont="1" applyBorder="1" applyAlignment="1">
      <alignment horizontal="left"/>
    </xf>
    <xf numFmtId="39" fontId="16" fillId="0" borderId="19" xfId="0" applyFont="1" applyBorder="1" applyAlignment="1">
      <alignment horizontal="center"/>
    </xf>
    <xf numFmtId="39" fontId="17" fillId="0" borderId="19" xfId="0" applyFont="1" applyBorder="1" applyAlignment="1">
      <alignment horizontal="center"/>
    </xf>
    <xf numFmtId="173" fontId="21" fillId="0" borderId="19" xfId="0" applyNumberFormat="1" applyFont="1" applyFill="1" applyBorder="1" applyAlignment="1">
      <alignment horizontal="center"/>
    </xf>
    <xf numFmtId="43" fontId="17" fillId="0" borderId="8" xfId="0" applyNumberFormat="1" applyFont="1" applyBorder="1"/>
    <xf numFmtId="37" fontId="17" fillId="0" borderId="19" xfId="0" applyNumberFormat="1" applyFont="1" applyBorder="1" applyAlignment="1">
      <alignment horizontal="center"/>
    </xf>
    <xf numFmtId="39" fontId="17" fillId="0" borderId="19" xfId="0" applyFont="1" applyBorder="1"/>
    <xf numFmtId="14" fontId="17" fillId="0" borderId="19" xfId="0" applyNumberFormat="1" applyFont="1" applyBorder="1"/>
    <xf numFmtId="43" fontId="17" fillId="0" borderId="20" xfId="0" applyNumberFormat="1" applyFont="1" applyBorder="1"/>
    <xf numFmtId="39" fontId="17" fillId="0" borderId="0" xfId="0" applyFont="1" applyFill="1" applyBorder="1" applyAlignment="1">
      <alignment horizontal="left"/>
    </xf>
    <xf numFmtId="39" fontId="21" fillId="0" borderId="0" xfId="0" applyFont="1" applyFill="1"/>
    <xf numFmtId="39" fontId="23" fillId="0" borderId="0" xfId="0" applyFont="1" applyFill="1" applyBorder="1"/>
    <xf numFmtId="39" fontId="23" fillId="0" borderId="8" xfId="0" applyFont="1" applyFill="1" applyBorder="1"/>
    <xf numFmtId="14" fontId="17" fillId="0" borderId="0" xfId="0" applyNumberFormat="1" applyFont="1" applyFill="1"/>
    <xf numFmtId="164" fontId="15" fillId="0" borderId="0" xfId="0" quotePrefix="1" applyNumberFormat="1" applyFont="1" applyFill="1" applyBorder="1"/>
    <xf numFmtId="39" fontId="22" fillId="0" borderId="0" xfId="0" applyFont="1" applyFill="1" applyBorder="1"/>
    <xf numFmtId="39" fontId="23" fillId="0" borderId="11" xfId="0" applyFont="1" applyFill="1" applyBorder="1"/>
    <xf numFmtId="39" fontId="23" fillId="0" borderId="17" xfId="0" applyFont="1" applyFill="1" applyBorder="1"/>
    <xf numFmtId="37" fontId="17" fillId="0" borderId="0" xfId="0" applyNumberFormat="1" applyFont="1" applyFill="1" applyAlignment="1">
      <alignment horizontal="center"/>
    </xf>
    <xf numFmtId="7" fontId="16" fillId="0" borderId="3" xfId="0" applyNumberFormat="1" applyFont="1" applyFill="1" applyBorder="1"/>
    <xf numFmtId="39" fontId="16" fillId="0" borderId="8" xfId="0" applyFont="1" applyFill="1" applyBorder="1"/>
    <xf numFmtId="9" fontId="21" fillId="0" borderId="0" xfId="4" applyFont="1" applyFill="1" applyAlignment="1">
      <alignment horizontal="center"/>
    </xf>
    <xf numFmtId="44" fontId="16" fillId="0" borderId="0" xfId="0" applyNumberFormat="1" applyFont="1" applyFill="1" applyBorder="1"/>
    <xf numFmtId="39" fontId="17" fillId="0" borderId="10" xfId="0" applyFont="1" applyFill="1" applyBorder="1"/>
    <xf numFmtId="164" fontId="17" fillId="0" borderId="0" xfId="0" applyNumberFormat="1" applyFont="1" applyFill="1" applyAlignment="1">
      <alignment horizontal="left"/>
    </xf>
    <xf numFmtId="164" fontId="17" fillId="0" borderId="0" xfId="0" applyNumberFormat="1" applyFont="1" applyFill="1" applyAlignment="1" applyProtection="1">
      <alignment horizontal="left"/>
      <protection locked="0"/>
    </xf>
    <xf numFmtId="39" fontId="18" fillId="0" borderId="0" xfId="0" applyFont="1" applyFill="1"/>
    <xf numFmtId="39" fontId="26" fillId="0" borderId="0" xfId="0" applyFont="1" applyFill="1" applyAlignment="1">
      <alignment horizontal="center"/>
    </xf>
    <xf numFmtId="43" fontId="16" fillId="0" borderId="6" xfId="0" applyNumberFormat="1" applyFont="1" applyFill="1" applyBorder="1"/>
    <xf numFmtId="7" fontId="16" fillId="0" borderId="2" xfId="0" applyNumberFormat="1" applyFont="1" applyFill="1" applyBorder="1"/>
    <xf numFmtId="167" fontId="16" fillId="0" borderId="8" xfId="0" applyNumberFormat="1" applyFont="1" applyFill="1" applyBorder="1"/>
    <xf numFmtId="43" fontId="16" fillId="0" borderId="5" xfId="0" applyNumberFormat="1" applyFont="1" applyFill="1" applyBorder="1"/>
    <xf numFmtId="39" fontId="23" fillId="0" borderId="6" xfId="0" applyFont="1" applyFill="1" applyBorder="1"/>
    <xf numFmtId="39" fontId="23" fillId="0" borderId="0" xfId="0" applyFont="1" applyFill="1" applyBorder="1" applyAlignment="1">
      <alignment horizontal="right"/>
    </xf>
    <xf numFmtId="39" fontId="17" fillId="0" borderId="1" xfId="0" applyFont="1" applyFill="1" applyBorder="1"/>
    <xf numFmtId="37" fontId="16" fillId="0" borderId="0" xfId="0" applyNumberFormat="1" applyFont="1" applyFill="1" applyBorder="1" applyProtection="1"/>
    <xf numFmtId="44" fontId="17" fillId="0" borderId="0" xfId="2" applyNumberFormat="1" applyFont="1" applyFill="1" applyBorder="1" applyProtection="1"/>
    <xf numFmtId="39" fontId="23" fillId="0" borderId="5" xfId="0" applyFont="1" applyFill="1" applyBorder="1" applyAlignment="1">
      <alignment horizontal="right"/>
    </xf>
    <xf numFmtId="39" fontId="23" fillId="0" borderId="3" xfId="0" applyFont="1" applyFill="1" applyBorder="1" applyAlignment="1">
      <alignment horizontal="right"/>
    </xf>
    <xf numFmtId="39" fontId="23" fillId="0" borderId="5" xfId="0" applyFont="1" applyFill="1" applyBorder="1"/>
    <xf numFmtId="7" fontId="17" fillId="0" borderId="9" xfId="0" applyNumberFormat="1" applyFont="1" applyFill="1" applyBorder="1"/>
    <xf numFmtId="171" fontId="21" fillId="0" borderId="0" xfId="0" applyNumberFormat="1" applyFont="1" applyFill="1" applyAlignment="1">
      <alignment horizontal="right"/>
    </xf>
    <xf numFmtId="44" fontId="28" fillId="0" borderId="0" xfId="0" applyNumberFormat="1" applyFont="1" applyFill="1" applyBorder="1"/>
    <xf numFmtId="17" fontId="17" fillId="0" borderId="0" xfId="0" applyNumberFormat="1" applyFont="1" applyFill="1" applyBorder="1" applyAlignment="1">
      <alignment horizontal="left"/>
    </xf>
    <xf numFmtId="8" fontId="16" fillId="0" borderId="0" xfId="2" applyFont="1" applyFill="1"/>
    <xf numFmtId="39" fontId="17" fillId="0" borderId="14" xfId="0" applyFont="1" applyFill="1" applyBorder="1" applyAlignment="1">
      <alignment horizontal="center"/>
    </xf>
    <xf numFmtId="39" fontId="17" fillId="0" borderId="3" xfId="0" applyFont="1" applyFill="1" applyBorder="1" applyAlignment="1">
      <alignment horizontal="center"/>
    </xf>
    <xf numFmtId="39" fontId="17" fillId="0" borderId="6" xfId="0" applyFont="1" applyFill="1" applyBorder="1" applyAlignment="1">
      <alignment horizontal="center"/>
    </xf>
    <xf numFmtId="39" fontId="17" fillId="0" borderId="1" xfId="0" applyFont="1" applyFill="1" applyBorder="1" applyAlignment="1">
      <alignment horizontal="center"/>
    </xf>
    <xf numFmtId="39" fontId="17" fillId="0" borderId="4" xfId="0" applyFont="1" applyFill="1" applyBorder="1" applyAlignment="1">
      <alignment horizontal="center"/>
    </xf>
    <xf numFmtId="39" fontId="17" fillId="0" borderId="5" xfId="0" applyFont="1" applyFill="1" applyBorder="1" applyAlignment="1">
      <alignment horizontal="center"/>
    </xf>
    <xf numFmtId="44" fontId="17" fillId="0" borderId="15" xfId="2" applyNumberFormat="1" applyFont="1" applyFill="1" applyBorder="1" applyProtection="1"/>
    <xf numFmtId="10" fontId="17" fillId="0" borderId="0" xfId="4" applyNumberFormat="1" applyFont="1" applyFill="1"/>
    <xf numFmtId="10" fontId="28" fillId="0" borderId="0" xfId="4" applyNumberFormat="1" applyFont="1" applyFill="1"/>
    <xf numFmtId="171" fontId="21" fillId="0" borderId="0" xfId="0" applyNumberFormat="1" applyFont="1" applyFill="1"/>
    <xf numFmtId="37" fontId="17" fillId="0" borderId="0" xfId="0" applyNumberFormat="1" applyFont="1" applyFill="1" applyBorder="1" applyAlignment="1">
      <alignment horizontal="center"/>
    </xf>
    <xf numFmtId="14" fontId="17" fillId="0" borderId="0" xfId="0" applyNumberFormat="1" applyFont="1" applyFill="1" applyBorder="1"/>
    <xf numFmtId="39" fontId="17" fillId="0" borderId="4" xfId="0" applyFont="1" applyFill="1" applyBorder="1"/>
    <xf numFmtId="37" fontId="17" fillId="0" borderId="5" xfId="0" applyNumberFormat="1" applyFont="1" applyFill="1" applyBorder="1" applyAlignment="1">
      <alignment horizontal="center"/>
    </xf>
    <xf numFmtId="37" fontId="17" fillId="0" borderId="0" xfId="0" applyNumberFormat="1" applyFont="1" applyFill="1" applyAlignment="1">
      <alignment horizontal="left"/>
    </xf>
    <xf numFmtId="39" fontId="17" fillId="0" borderId="0" xfId="0" applyFont="1" applyFill="1" applyAlignment="1">
      <alignment horizontal="right"/>
    </xf>
    <xf numFmtId="17" fontId="16" fillId="0" borderId="0" xfId="0" applyNumberFormat="1" applyFont="1" applyFill="1" applyBorder="1"/>
    <xf numFmtId="0" fontId="16" fillId="0" borderId="0" xfId="0" applyNumberFormat="1" applyFont="1"/>
    <xf numFmtId="17" fontId="17" fillId="0" borderId="5" xfId="0" applyNumberFormat="1" applyFont="1" applyFill="1" applyBorder="1" applyAlignment="1">
      <alignment horizontal="left"/>
    </xf>
    <xf numFmtId="39" fontId="16" fillId="0" borderId="5" xfId="0" applyFont="1" applyFill="1" applyBorder="1"/>
    <xf numFmtId="39" fontId="16" fillId="0" borderId="11" xfId="0" applyFont="1" applyFill="1" applyBorder="1"/>
    <xf numFmtId="39" fontId="17" fillId="0" borderId="12" xfId="0" applyFont="1" applyFill="1" applyBorder="1" applyAlignment="1">
      <alignment horizontal="center"/>
    </xf>
    <xf numFmtId="39" fontId="17" fillId="0" borderId="13" xfId="0" applyFont="1" applyFill="1" applyBorder="1" applyAlignment="1">
      <alignment horizontal="center"/>
    </xf>
    <xf numFmtId="39" fontId="16" fillId="0" borderId="1" xfId="0" applyFont="1" applyFill="1" applyBorder="1"/>
    <xf numFmtId="39" fontId="16" fillId="0" borderId="2" xfId="0" applyFont="1" applyFill="1" applyBorder="1"/>
    <xf numFmtId="39" fontId="16" fillId="0" borderId="7" xfId="0" applyFont="1" applyFill="1" applyBorder="1"/>
    <xf numFmtId="39" fontId="16" fillId="0" borderId="4" xfId="0" applyFont="1" applyFill="1" applyBorder="1"/>
    <xf numFmtId="39" fontId="24" fillId="0" borderId="0" xfId="0" applyFont="1" applyFill="1"/>
    <xf numFmtId="43" fontId="17" fillId="0" borderId="9" xfId="0" applyNumberFormat="1" applyFont="1" applyFill="1" applyBorder="1"/>
    <xf numFmtId="39" fontId="17" fillId="0" borderId="22" xfId="0" applyFont="1" applyFill="1" applyBorder="1"/>
    <xf numFmtId="37" fontId="16" fillId="0" borderId="22" xfId="0" applyNumberFormat="1" applyFont="1" applyFill="1" applyBorder="1"/>
    <xf numFmtId="44" fontId="17" fillId="0" borderId="22" xfId="0" applyNumberFormat="1" applyFont="1" applyFill="1" applyBorder="1"/>
    <xf numFmtId="39" fontId="17" fillId="4" borderId="0" xfId="0" applyFont="1" applyFill="1"/>
    <xf numFmtId="169" fontId="17" fillId="0" borderId="14" xfId="0" applyNumberFormat="1" applyFont="1" applyFill="1" applyBorder="1" applyAlignment="1" applyProtection="1">
      <alignment horizontal="center"/>
    </xf>
    <xf numFmtId="169" fontId="17" fillId="0" borderId="15" xfId="0" applyNumberFormat="1" applyFont="1" applyFill="1" applyBorder="1" applyAlignment="1" applyProtection="1">
      <alignment horizontal="center"/>
    </xf>
    <xf numFmtId="39" fontId="17" fillId="0" borderId="15" xfId="0" applyFont="1" applyFill="1" applyBorder="1" applyAlignment="1">
      <alignment horizontal="center"/>
    </xf>
    <xf numFmtId="39" fontId="17" fillId="0" borderId="16" xfId="0" applyFont="1" applyFill="1" applyBorder="1" applyAlignment="1">
      <alignment horizontal="center"/>
    </xf>
    <xf numFmtId="168" fontId="16" fillId="0" borderId="0" xfId="0" applyNumberFormat="1" applyFont="1" applyFill="1" applyAlignment="1" applyProtection="1">
      <alignment horizontal="left"/>
    </xf>
    <xf numFmtId="44" fontId="16" fillId="0" borderId="0" xfId="0" applyNumberFormat="1" applyFont="1" applyFill="1" applyProtection="1">
      <protection locked="0"/>
    </xf>
    <xf numFmtId="44" fontId="16" fillId="0" borderId="0" xfId="0" applyNumberFormat="1" applyFont="1" applyFill="1"/>
    <xf numFmtId="39" fontId="16" fillId="0" borderId="0" xfId="0" applyFont="1" applyFill="1" applyAlignment="1">
      <alignment horizontal="left"/>
    </xf>
    <xf numFmtId="44" fontId="16" fillId="0" borderId="9" xfId="0" applyNumberFormat="1" applyFont="1" applyFill="1" applyBorder="1" applyProtection="1">
      <protection locked="0"/>
    </xf>
    <xf numFmtId="39" fontId="19" fillId="0" borderId="0" xfId="0" applyFont="1" applyFill="1"/>
    <xf numFmtId="39" fontId="19" fillId="0" borderId="0" xfId="0" applyFont="1" applyFill="1" applyAlignment="1">
      <alignment horizontal="right"/>
    </xf>
    <xf numFmtId="44" fontId="19" fillId="0" borderId="0" xfId="0" applyNumberFormat="1" applyFont="1" applyFill="1" applyAlignment="1" applyProtection="1">
      <alignment horizontal="center"/>
    </xf>
    <xf numFmtId="44" fontId="16" fillId="0" borderId="0" xfId="0" applyNumberFormat="1" applyFont="1" applyFill="1" applyProtection="1"/>
    <xf numFmtId="168" fontId="17" fillId="0" borderId="0" xfId="0" applyNumberFormat="1" applyFont="1" applyFill="1" applyAlignment="1" applyProtection="1">
      <alignment horizontal="left"/>
    </xf>
    <xf numFmtId="44" fontId="17" fillId="0" borderId="22" xfId="0" applyNumberFormat="1" applyFont="1" applyFill="1" applyBorder="1" applyProtection="1">
      <protection locked="0"/>
    </xf>
    <xf numFmtId="49" fontId="16" fillId="0" borderId="0" xfId="0" applyNumberFormat="1" applyFont="1" applyFill="1" applyProtection="1"/>
    <xf numFmtId="176" fontId="19" fillId="0" borderId="0" xfId="1" applyNumberFormat="1" applyFont="1" applyFill="1"/>
    <xf numFmtId="7" fontId="19" fillId="0" borderId="0" xfId="0" applyNumberFormat="1" applyFont="1" applyFill="1" applyAlignment="1" applyProtection="1">
      <alignment horizontal="center"/>
    </xf>
    <xf numFmtId="7" fontId="16" fillId="0" borderId="0" xfId="0" applyNumberFormat="1" applyFont="1" applyFill="1" applyProtection="1"/>
    <xf numFmtId="37" fontId="16" fillId="0" borderId="22" xfId="0" applyNumberFormat="1" applyFont="1" applyFill="1" applyBorder="1" applyProtection="1"/>
    <xf numFmtId="171" fontId="24" fillId="0" borderId="0" xfId="0" applyNumberFormat="1" applyFont="1" applyFill="1" applyBorder="1" applyAlignment="1" applyProtection="1">
      <alignment horizontal="center"/>
      <protection locked="0"/>
    </xf>
    <xf numFmtId="7" fontId="19" fillId="0" borderId="0" xfId="0" applyNumberFormat="1" applyFont="1" applyFill="1" applyBorder="1" applyAlignment="1" applyProtection="1">
      <alignment horizontal="center"/>
    </xf>
    <xf numFmtId="39" fontId="17" fillId="0" borderId="7" xfId="0" applyFont="1" applyFill="1" applyBorder="1"/>
    <xf numFmtId="39" fontId="17" fillId="0" borderId="8" xfId="0" applyFont="1" applyFill="1" applyBorder="1" applyAlignment="1">
      <alignment horizontal="center"/>
    </xf>
    <xf numFmtId="39" fontId="16" fillId="0" borderId="7" xfId="0" applyFont="1" applyFill="1" applyBorder="1" applyAlignment="1">
      <alignment horizontal="left"/>
    </xf>
    <xf numFmtId="171" fontId="16" fillId="0" borderId="0" xfId="0" applyNumberFormat="1" applyFont="1" applyFill="1" applyBorder="1" applyAlignment="1" applyProtection="1">
      <alignment horizontal="left"/>
      <protection locked="0"/>
    </xf>
    <xf numFmtId="39" fontId="16" fillId="0" borderId="4" xfId="0" applyFont="1" applyFill="1" applyBorder="1" applyAlignment="1">
      <alignment horizontal="left"/>
    </xf>
    <xf numFmtId="171" fontId="16" fillId="0" borderId="5" xfId="0" applyNumberFormat="1" applyFont="1" applyFill="1" applyBorder="1" applyAlignment="1" applyProtection="1">
      <alignment horizontal="left"/>
      <protection locked="0"/>
    </xf>
    <xf numFmtId="8" fontId="17" fillId="0" borderId="8" xfId="2" applyFont="1" applyFill="1" applyBorder="1"/>
    <xf numFmtId="8" fontId="16" fillId="0" borderId="0" xfId="2" applyFont="1" applyFill="1" applyBorder="1"/>
    <xf numFmtId="8" fontId="16" fillId="0" borderId="7" xfId="2" applyFont="1" applyFill="1" applyBorder="1"/>
    <xf numFmtId="165" fontId="16" fillId="0" borderId="0" xfId="4" applyNumberFormat="1" applyFont="1" applyFill="1" applyBorder="1"/>
    <xf numFmtId="39" fontId="17" fillId="0" borderId="4" xfId="0" applyFont="1" applyFill="1" applyBorder="1" applyAlignment="1">
      <alignment horizontal="left"/>
    </xf>
    <xf numFmtId="39" fontId="17" fillId="0" borderId="16" xfId="0" applyFont="1" applyFill="1" applyBorder="1"/>
    <xf numFmtId="44" fontId="16" fillId="0" borderId="8" xfId="2" applyNumberFormat="1" applyFont="1" applyFill="1" applyBorder="1"/>
    <xf numFmtId="44" fontId="17" fillId="0" borderId="21" xfId="2" applyNumberFormat="1" applyFont="1" applyFill="1" applyBorder="1"/>
    <xf numFmtId="8" fontId="16" fillId="0" borderId="8" xfId="2" applyFont="1" applyFill="1" applyBorder="1"/>
    <xf numFmtId="39" fontId="17" fillId="0" borderId="7" xfId="0" applyFont="1" applyFill="1" applyBorder="1" applyAlignment="1">
      <alignment horizontal="right"/>
    </xf>
    <xf numFmtId="39" fontId="16" fillId="0" borderId="7" xfId="0" applyFont="1" applyFill="1" applyBorder="1" applyAlignment="1">
      <alignment horizontal="right"/>
    </xf>
    <xf numFmtId="39" fontId="17" fillId="0" borderId="15" xfId="0" applyFont="1" applyFill="1" applyBorder="1"/>
    <xf numFmtId="39" fontId="16" fillId="4" borderId="0" xfId="0" applyFont="1" applyFill="1"/>
    <xf numFmtId="39" fontId="17" fillId="4" borderId="9" xfId="0" applyFont="1" applyFill="1" applyBorder="1"/>
    <xf numFmtId="39" fontId="16" fillId="0" borderId="3" xfId="0" applyFont="1" applyFill="1" applyBorder="1"/>
    <xf numFmtId="37" fontId="30" fillId="0" borderId="0" xfId="0" applyNumberFormat="1" applyFont="1" applyFill="1" applyAlignment="1">
      <alignment horizontal="right"/>
    </xf>
    <xf numFmtId="44" fontId="17" fillId="0" borderId="0" xfId="0" applyNumberFormat="1" applyFont="1" applyFill="1"/>
    <xf numFmtId="0" fontId="16" fillId="0" borderId="0" xfId="0" applyNumberFormat="1" applyFont="1" applyFill="1" applyBorder="1"/>
    <xf numFmtId="0" fontId="16" fillId="0" borderId="9" xfId="0" applyNumberFormat="1" applyFont="1" applyFill="1" applyBorder="1"/>
    <xf numFmtId="0" fontId="16" fillId="0" borderId="0" xfId="0" applyNumberFormat="1" applyFont="1" applyFill="1" applyBorder="1" applyAlignment="1">
      <alignment horizontal="left"/>
    </xf>
    <xf numFmtId="0" fontId="16" fillId="0" borderId="0" xfId="0" applyNumberFormat="1" applyFont="1" applyFill="1"/>
    <xf numFmtId="44" fontId="17" fillId="0" borderId="7" xfId="2" applyNumberFormat="1" applyFont="1" applyFill="1" applyBorder="1" applyProtection="1"/>
    <xf numFmtId="177" fontId="16" fillId="0" borderId="6" xfId="0" applyNumberFormat="1" applyFont="1" applyFill="1" applyBorder="1" applyAlignment="1">
      <alignment horizontal="right"/>
    </xf>
    <xf numFmtId="177" fontId="16" fillId="0" borderId="8" xfId="0" applyNumberFormat="1" applyFont="1" applyFill="1" applyBorder="1"/>
    <xf numFmtId="178" fontId="16" fillId="0" borderId="6" xfId="2" applyNumberFormat="1" applyFont="1" applyFill="1" applyBorder="1"/>
    <xf numFmtId="17" fontId="32" fillId="0" borderId="7" xfId="0" applyNumberFormat="1" applyFont="1" applyFill="1" applyBorder="1"/>
    <xf numFmtId="171" fontId="32" fillId="0" borderId="0" xfId="0" applyNumberFormat="1" applyFont="1" applyFill="1" applyAlignment="1">
      <alignment horizontal="right"/>
    </xf>
    <xf numFmtId="39" fontId="17" fillId="4" borderId="0" xfId="0" applyFont="1" applyFill="1" applyBorder="1"/>
    <xf numFmtId="7" fontId="16" fillId="0" borderId="8" xfId="4" applyNumberFormat="1" applyFont="1" applyFill="1" applyBorder="1"/>
    <xf numFmtId="7" fontId="16" fillId="0" borderId="8" xfId="0" applyNumberFormat="1" applyFont="1" applyFill="1" applyBorder="1"/>
    <xf numFmtId="37" fontId="32" fillId="0" borderId="0" xfId="0" applyNumberFormat="1" applyFont="1" applyFill="1"/>
    <xf numFmtId="10" fontId="32" fillId="0" borderId="0" xfId="0" applyNumberFormat="1" applyFont="1" applyFill="1" applyAlignment="1">
      <alignment horizontal="right"/>
    </xf>
    <xf numFmtId="8" fontId="32" fillId="0" borderId="9" xfId="2" applyFont="1" applyFill="1" applyBorder="1"/>
    <xf numFmtId="39" fontId="23" fillId="0" borderId="8" xfId="0" applyFont="1" applyFill="1" applyBorder="1" applyAlignment="1">
      <alignment horizontal="right"/>
    </xf>
    <xf numFmtId="39" fontId="16" fillId="0" borderId="17" xfId="0" applyFont="1" applyBorder="1"/>
    <xf numFmtId="37" fontId="31" fillId="0" borderId="0" xfId="0" applyNumberFormat="1" applyFont="1" applyFill="1" applyBorder="1"/>
    <xf numFmtId="37" fontId="32" fillId="0" borderId="0" xfId="0" applyNumberFormat="1" applyFont="1" applyFill="1" applyBorder="1" applyProtection="1"/>
    <xf numFmtId="37" fontId="32" fillId="0" borderId="5" xfId="0" applyNumberFormat="1" applyFont="1" applyFill="1" applyBorder="1" applyProtection="1"/>
    <xf numFmtId="171" fontId="32" fillId="0" borderId="0" xfId="0" applyNumberFormat="1" applyFont="1" applyFill="1" applyBorder="1" applyAlignment="1" applyProtection="1">
      <alignment horizontal="center"/>
      <protection locked="0"/>
    </xf>
    <xf numFmtId="44" fontId="32" fillId="0" borderId="10" xfId="2" applyNumberFormat="1" applyFont="1" applyFill="1" applyBorder="1" applyProtection="1"/>
    <xf numFmtId="44" fontId="32" fillId="0" borderId="11" xfId="2" applyNumberFormat="1" applyFont="1" applyFill="1" applyBorder="1" applyProtection="1"/>
    <xf numFmtId="44" fontId="32" fillId="0" borderId="17" xfId="2" applyNumberFormat="1" applyFont="1" applyFill="1" applyBorder="1" applyProtection="1"/>
    <xf numFmtId="10" fontId="21" fillId="0" borderId="0" xfId="4" applyNumberFormat="1" applyFont="1" applyFill="1"/>
    <xf numFmtId="171" fontId="32" fillId="0" borderId="0" xfId="0" applyNumberFormat="1" applyFont="1" applyFill="1" applyAlignment="1">
      <alignment horizontal="center"/>
    </xf>
    <xf numFmtId="39" fontId="28" fillId="4" borderId="0" xfId="0" applyFont="1" applyFill="1" applyProtection="1">
      <protection locked="0"/>
    </xf>
    <xf numFmtId="39" fontId="21" fillId="4" borderId="0" xfId="0" applyFont="1" applyFill="1" applyProtection="1">
      <protection locked="0"/>
    </xf>
    <xf numFmtId="39" fontId="21" fillId="4" borderId="0" xfId="0" applyFont="1" applyFill="1"/>
    <xf numFmtId="39" fontId="30" fillId="4" borderId="0" xfId="0" applyNumberFormat="1" applyFont="1" applyFill="1" applyAlignment="1">
      <alignment horizontal="right"/>
    </xf>
    <xf numFmtId="39" fontId="28" fillId="4" borderId="0" xfId="0" applyFont="1" applyFill="1"/>
    <xf numFmtId="2" fontId="16" fillId="0" borderId="0" xfId="0" applyNumberFormat="1" applyFont="1" applyFill="1" applyBorder="1" applyAlignment="1">
      <alignment horizontal="right"/>
    </xf>
    <xf numFmtId="39" fontId="17" fillId="5" borderId="0" xfId="0" applyFont="1" applyFill="1"/>
    <xf numFmtId="39" fontId="28" fillId="5" borderId="0" xfId="0" applyFont="1" applyFill="1" applyProtection="1">
      <protection locked="0"/>
    </xf>
    <xf numFmtId="39" fontId="21" fillId="5" borderId="0" xfId="0" applyFont="1" applyFill="1" applyProtection="1">
      <protection locked="0"/>
    </xf>
    <xf numFmtId="39" fontId="21" fillId="5" borderId="0" xfId="0" applyFont="1" applyFill="1"/>
    <xf numFmtId="37" fontId="21" fillId="5" borderId="0" xfId="0" applyNumberFormat="1" applyFont="1" applyFill="1"/>
    <xf numFmtId="37" fontId="28" fillId="5" borderId="0" xfId="0" applyNumberFormat="1" applyFont="1" applyFill="1" applyBorder="1" applyAlignment="1" applyProtection="1">
      <alignment horizontal="center"/>
    </xf>
    <xf numFmtId="37" fontId="21" fillId="5" borderId="0" xfId="0" applyNumberFormat="1" applyFont="1" applyFill="1" applyAlignment="1">
      <alignment horizontal="right"/>
    </xf>
    <xf numFmtId="37" fontId="16" fillId="5" borderId="22" xfId="0" applyNumberFormat="1" applyFont="1" applyFill="1" applyBorder="1"/>
    <xf numFmtId="37" fontId="32" fillId="5" borderId="0" xfId="0" applyNumberFormat="1" applyFont="1" applyFill="1"/>
    <xf numFmtId="164" fontId="16" fillId="4" borderId="0" xfId="0" applyNumberFormat="1" applyFont="1" applyFill="1"/>
    <xf numFmtId="44" fontId="16" fillId="4" borderId="0" xfId="0" applyNumberFormat="1" applyFont="1" applyFill="1" applyBorder="1"/>
    <xf numFmtId="39" fontId="17" fillId="4" borderId="22" xfId="0" applyFont="1" applyFill="1" applyBorder="1"/>
    <xf numFmtId="39" fontId="17" fillId="4" borderId="0" xfId="0" applyFont="1" applyFill="1" applyAlignment="1">
      <alignment horizontal="right"/>
    </xf>
    <xf numFmtId="7" fontId="16" fillId="3" borderId="0" xfId="0" applyNumberFormat="1" applyFont="1" applyFill="1" applyBorder="1"/>
    <xf numFmtId="44" fontId="17" fillId="0" borderId="26" xfId="2" applyNumberFormat="1" applyFont="1" applyFill="1" applyBorder="1" applyProtection="1"/>
    <xf numFmtId="38" fontId="28" fillId="0" borderId="0" xfId="1" applyNumberFormat="1" applyFont="1" applyFill="1" applyBorder="1" applyProtection="1"/>
    <xf numFmtId="38" fontId="16" fillId="0" borderId="0" xfId="1" applyNumberFormat="1" applyFont="1" applyFill="1" applyBorder="1" applyProtection="1"/>
    <xf numFmtId="38" fontId="28" fillId="0" borderId="9" xfId="1" applyNumberFormat="1" applyFont="1" applyFill="1" applyBorder="1" applyProtection="1"/>
    <xf numFmtId="39" fontId="12" fillId="0" borderId="0" xfId="0" applyFont="1" applyFill="1" applyBorder="1"/>
    <xf numFmtId="175" fontId="35" fillId="6" borderId="0" xfId="0" applyNumberFormat="1" applyFont="1" applyFill="1"/>
    <xf numFmtId="39" fontId="12" fillId="0" borderId="0" xfId="0" applyFont="1"/>
    <xf numFmtId="39" fontId="0" fillId="0" borderId="27" xfId="0" applyBorder="1"/>
    <xf numFmtId="39" fontId="0" fillId="0" borderId="27" xfId="0" applyBorder="1" applyAlignment="1">
      <alignment horizontal="center"/>
    </xf>
    <xf numFmtId="179" fontId="0" fillId="0" borderId="0" xfId="1" applyNumberFormat="1" applyFont="1"/>
    <xf numFmtId="39" fontId="12" fillId="0" borderId="27" xfId="0" applyFont="1" applyBorder="1"/>
    <xf numFmtId="179" fontId="12" fillId="0" borderId="27" xfId="1" applyNumberFormat="1" applyFont="1" applyBorder="1"/>
    <xf numFmtId="0" fontId="37" fillId="0" borderId="0" xfId="6" applyFont="1"/>
    <xf numFmtId="0" fontId="36" fillId="0" borderId="0" xfId="6"/>
    <xf numFmtId="37" fontId="17" fillId="0" borderId="0" xfId="6" applyNumberFormat="1" applyFont="1" applyFill="1" applyBorder="1" applyAlignment="1">
      <alignment horizontal="center"/>
    </xf>
    <xf numFmtId="39" fontId="17" fillId="0" borderId="0" xfId="6" applyNumberFormat="1" applyFont="1" applyFill="1" applyBorder="1" applyAlignment="1">
      <alignment horizontal="center"/>
    </xf>
    <xf numFmtId="14" fontId="17" fillId="0" borderId="0" xfId="6" applyNumberFormat="1" applyFont="1" applyFill="1" applyBorder="1"/>
    <xf numFmtId="43" fontId="17" fillId="0" borderId="8" xfId="6" applyNumberFormat="1" applyFont="1" applyBorder="1"/>
    <xf numFmtId="39" fontId="17" fillId="0" borderId="4" xfId="6" applyNumberFormat="1" applyFont="1" applyFill="1" applyBorder="1"/>
    <xf numFmtId="37" fontId="17" fillId="0" borderId="5" xfId="6" applyNumberFormat="1" applyFont="1" applyFill="1" applyBorder="1" applyAlignment="1">
      <alignment horizontal="center"/>
    </xf>
    <xf numFmtId="39" fontId="17" fillId="0" borderId="5" xfId="6" applyNumberFormat="1" applyFont="1" applyFill="1" applyBorder="1" applyAlignment="1">
      <alignment horizontal="center"/>
    </xf>
    <xf numFmtId="39" fontId="17" fillId="0" borderId="6" xfId="6" applyNumberFormat="1" applyFont="1" applyFill="1" applyBorder="1" applyAlignment="1">
      <alignment horizontal="center"/>
    </xf>
    <xf numFmtId="39" fontId="17" fillId="0" borderId="0" xfId="6" applyNumberFormat="1" applyFont="1" applyFill="1"/>
    <xf numFmtId="37" fontId="17" fillId="0" borderId="0" xfId="6" applyNumberFormat="1" applyFont="1" applyFill="1" applyAlignment="1">
      <alignment horizontal="center"/>
    </xf>
    <xf numFmtId="37" fontId="30" fillId="0" borderId="0" xfId="6" applyNumberFormat="1" applyFont="1" applyFill="1" applyAlignment="1">
      <alignment horizontal="right"/>
    </xf>
    <xf numFmtId="171" fontId="32" fillId="0" borderId="0" xfId="6" applyNumberFormat="1" applyFont="1" applyFill="1" applyBorder="1" applyAlignment="1" applyProtection="1">
      <alignment horizontal="center"/>
      <protection locked="0"/>
    </xf>
    <xf numFmtId="44" fontId="16" fillId="0" borderId="0" xfId="6" applyNumberFormat="1" applyFont="1" applyFill="1"/>
    <xf numFmtId="17" fontId="17" fillId="0" borderId="0" xfId="6" applyNumberFormat="1" applyFont="1" applyFill="1" applyBorder="1" applyAlignment="1">
      <alignment horizontal="left"/>
    </xf>
    <xf numFmtId="39" fontId="16" fillId="0" borderId="0" xfId="6" applyNumberFormat="1" applyFont="1" applyFill="1"/>
    <xf numFmtId="39" fontId="17" fillId="0" borderId="23" xfId="6" applyNumberFormat="1" applyFont="1" applyFill="1" applyBorder="1"/>
    <xf numFmtId="39" fontId="16" fillId="0" borderId="23" xfId="6" applyNumberFormat="1" applyFont="1" applyFill="1" applyBorder="1"/>
    <xf numFmtId="39" fontId="17" fillId="0" borderId="23" xfId="6" applyNumberFormat="1" applyFont="1" applyFill="1" applyBorder="1" applyAlignment="1">
      <alignment horizontal="center"/>
    </xf>
    <xf numFmtId="39" fontId="16" fillId="0" borderId="7" xfId="6" applyNumberFormat="1" applyFont="1" applyFill="1" applyBorder="1"/>
    <xf numFmtId="39" fontId="16" fillId="0" borderId="0" xfId="6" applyNumberFormat="1" applyFont="1" applyFill="1" applyBorder="1"/>
    <xf numFmtId="44" fontId="16" fillId="0" borderId="0" xfId="6" applyNumberFormat="1" applyFont="1" applyFill="1" applyBorder="1"/>
    <xf numFmtId="43" fontId="16" fillId="0" borderId="8" xfId="8" applyFont="1" applyFill="1" applyBorder="1"/>
    <xf numFmtId="39" fontId="16" fillId="0" borderId="4" xfId="6" applyNumberFormat="1" applyFont="1" applyFill="1" applyBorder="1"/>
    <xf numFmtId="39" fontId="16" fillId="0" borderId="5" xfId="6" applyNumberFormat="1" applyFont="1" applyFill="1" applyBorder="1"/>
    <xf numFmtId="43" fontId="16" fillId="0" borderId="5" xfId="6" applyNumberFormat="1" applyFont="1" applyFill="1" applyBorder="1"/>
    <xf numFmtId="43" fontId="16" fillId="0" borderId="6" xfId="6" applyNumberFormat="1" applyFont="1" applyFill="1" applyBorder="1"/>
    <xf numFmtId="44" fontId="16" fillId="3" borderId="0" xfId="6" applyNumberFormat="1" applyFont="1" applyFill="1" applyBorder="1"/>
    <xf numFmtId="44" fontId="16" fillId="0" borderId="9" xfId="6" applyNumberFormat="1" applyFont="1" applyFill="1" applyBorder="1"/>
    <xf numFmtId="37" fontId="16" fillId="0" borderId="22" xfId="6" applyNumberFormat="1" applyFont="1" applyFill="1" applyBorder="1"/>
    <xf numFmtId="39" fontId="17" fillId="0" borderId="0" xfId="6" applyNumberFormat="1" applyFont="1" applyFill="1" applyAlignment="1">
      <alignment horizontal="right"/>
    </xf>
    <xf numFmtId="44" fontId="17" fillId="0" borderId="0" xfId="6" applyNumberFormat="1" applyFont="1" applyFill="1"/>
    <xf numFmtId="37" fontId="31" fillId="0" borderId="0" xfId="6" applyNumberFormat="1" applyFont="1" applyFill="1" applyBorder="1"/>
    <xf numFmtId="14" fontId="17" fillId="0" borderId="0" xfId="6" applyNumberFormat="1" applyFont="1" applyFill="1"/>
    <xf numFmtId="43" fontId="17" fillId="0" borderId="0" xfId="6" applyNumberFormat="1" applyFont="1" applyFill="1" applyBorder="1"/>
    <xf numFmtId="37" fontId="32" fillId="7" borderId="0" xfId="6" applyNumberFormat="1" applyFont="1" applyFill="1"/>
    <xf numFmtId="39" fontId="17" fillId="5" borderId="0" xfId="0" applyFont="1" applyFill="1" applyBorder="1"/>
    <xf numFmtId="37" fontId="31" fillId="5" borderId="0" xfId="0" applyNumberFormat="1" applyFont="1" applyFill="1" applyBorder="1"/>
    <xf numFmtId="181" fontId="16" fillId="0" borderId="0" xfId="0" applyNumberFormat="1" applyFont="1"/>
    <xf numFmtId="181" fontId="17" fillId="0" borderId="20" xfId="0" applyNumberFormat="1" applyFont="1" applyBorder="1" applyAlignment="1">
      <alignment horizontal="center"/>
    </xf>
    <xf numFmtId="181" fontId="17" fillId="0" borderId="8" xfId="0" applyNumberFormat="1" applyFont="1" applyBorder="1" applyAlignment="1">
      <alignment horizontal="center"/>
    </xf>
    <xf numFmtId="181" fontId="17" fillId="0" borderId="6" xfId="0" applyNumberFormat="1" applyFont="1" applyFill="1" applyBorder="1" applyAlignment="1">
      <alignment horizontal="center"/>
    </xf>
    <xf numFmtId="181" fontId="16" fillId="0" borderId="0" xfId="0" applyNumberFormat="1" applyFont="1" applyFill="1"/>
    <xf numFmtId="181" fontId="32" fillId="0" borderId="9" xfId="0" applyNumberFormat="1" applyFont="1" applyFill="1" applyBorder="1"/>
    <xf numFmtId="181" fontId="17" fillId="0" borderId="0" xfId="0" applyNumberFormat="1" applyFont="1" applyFill="1"/>
    <xf numFmtId="181" fontId="16" fillId="0" borderId="9" xfId="0" applyNumberFormat="1" applyFont="1" applyFill="1" applyBorder="1"/>
    <xf numFmtId="181" fontId="17" fillId="0" borderId="9" xfId="0" applyNumberFormat="1" applyFont="1" applyFill="1" applyBorder="1"/>
    <xf numFmtId="181" fontId="17" fillId="0" borderId="22" xfId="0" applyNumberFormat="1" applyFont="1" applyFill="1" applyBorder="1"/>
    <xf numFmtId="7" fontId="16" fillId="4" borderId="0" xfId="0" applyNumberFormat="1" applyFont="1" applyFill="1" applyBorder="1"/>
    <xf numFmtId="39" fontId="16" fillId="0" borderId="0" xfId="0" applyFont="1"/>
    <xf numFmtId="39" fontId="16" fillId="0" borderId="11" xfId="0" applyFont="1" applyBorder="1"/>
    <xf numFmtId="39" fontId="16" fillId="0" borderId="0" xfId="0" applyFont="1" applyFill="1"/>
    <xf numFmtId="39" fontId="15" fillId="0" borderId="7" xfId="0" applyFont="1" applyFill="1" applyBorder="1"/>
    <xf numFmtId="39" fontId="22" fillId="0" borderId="0" xfId="0" applyFont="1" applyFill="1" applyBorder="1"/>
    <xf numFmtId="39" fontId="12" fillId="0" borderId="10" xfId="0" applyFont="1" applyFill="1" applyBorder="1"/>
    <xf numFmtId="39" fontId="22" fillId="0" borderId="8" xfId="0" applyFont="1" applyFill="1" applyBorder="1"/>
    <xf numFmtId="44" fontId="16" fillId="3" borderId="0" xfId="0" applyNumberFormat="1" applyFont="1" applyFill="1" applyBorder="1"/>
    <xf numFmtId="164" fontId="15" fillId="0" borderId="0" xfId="0" applyNumberFormat="1" applyFont="1" applyFill="1" applyBorder="1"/>
    <xf numFmtId="9" fontId="15" fillId="0" borderId="7" xfId="0" applyNumberFormat="1" applyFont="1" applyFill="1" applyBorder="1"/>
    <xf numFmtId="164" fontId="15" fillId="0" borderId="5" xfId="0" quotePrefix="1" applyNumberFormat="1" applyFont="1" applyFill="1" applyBorder="1"/>
    <xf numFmtId="39" fontId="22" fillId="0" borderId="7" xfId="0" applyFont="1" applyFill="1" applyBorder="1"/>
    <xf numFmtId="39" fontId="22" fillId="0" borderId="4" xfId="0" applyFont="1" applyFill="1" applyBorder="1"/>
    <xf numFmtId="39" fontId="15" fillId="0" borderId="0" xfId="0" applyFont="1" applyFill="1" applyBorder="1"/>
    <xf numFmtId="39" fontId="15" fillId="0" borderId="1" xfId="0" applyFont="1" applyFill="1" applyBorder="1"/>
    <xf numFmtId="164" fontId="15" fillId="0" borderId="2" xfId="0" applyNumberFormat="1" applyFont="1" applyFill="1" applyBorder="1"/>
    <xf numFmtId="39" fontId="0" fillId="0" borderId="7" xfId="0" applyFill="1" applyBorder="1"/>
    <xf numFmtId="164" fontId="0" fillId="0" borderId="0" xfId="0" applyNumberFormat="1" applyFill="1" applyBorder="1"/>
    <xf numFmtId="39" fontId="16" fillId="0" borderId="10" xfId="0" applyNumberFormat="1" applyFont="1" applyFill="1" applyBorder="1"/>
    <xf numFmtId="39" fontId="28" fillId="5" borderId="0" xfId="0" applyFont="1" applyFill="1" applyBorder="1" applyProtection="1">
      <protection locked="0"/>
    </xf>
    <xf numFmtId="39" fontId="21" fillId="5" borderId="0" xfId="0" applyFont="1" applyFill="1" applyBorder="1" applyProtection="1">
      <protection locked="0"/>
    </xf>
    <xf numFmtId="39" fontId="21" fillId="5" borderId="0" xfId="0" applyFont="1" applyFill="1" applyBorder="1"/>
    <xf numFmtId="164" fontId="16" fillId="5" borderId="0" xfId="0" applyNumberFormat="1" applyFont="1" applyFill="1" applyBorder="1"/>
    <xf numFmtId="39" fontId="16" fillId="5" borderId="0" xfId="0" applyFont="1" applyFill="1" applyBorder="1"/>
    <xf numFmtId="39" fontId="12" fillId="5" borderId="0" xfId="0" applyFont="1" applyFill="1" applyBorder="1"/>
    <xf numFmtId="164" fontId="21" fillId="5" borderId="0" xfId="0" applyNumberFormat="1" applyFont="1" applyFill="1" applyBorder="1" applyAlignment="1" applyProtection="1">
      <alignment horizontal="left"/>
      <protection locked="0"/>
    </xf>
    <xf numFmtId="39" fontId="17" fillId="5" borderId="0" xfId="0" applyFont="1" applyFill="1" applyBorder="1" applyAlignment="1">
      <alignment horizontal="left"/>
    </xf>
    <xf numFmtId="39" fontId="26" fillId="5" borderId="0" xfId="0" applyFont="1" applyFill="1" applyBorder="1" applyAlignment="1">
      <alignment horizontal="center"/>
    </xf>
    <xf numFmtId="39" fontId="15" fillId="5" borderId="0" xfId="0" applyFont="1" applyFill="1" applyBorder="1"/>
    <xf numFmtId="164" fontId="15" fillId="5" borderId="0" xfId="0" applyNumberFormat="1" applyFont="1" applyFill="1" applyBorder="1"/>
    <xf numFmtId="39" fontId="23" fillId="5" borderId="0" xfId="0" applyFont="1" applyFill="1" applyBorder="1" applyAlignment="1">
      <alignment horizontal="right"/>
    </xf>
    <xf numFmtId="164" fontId="17" fillId="5" borderId="0" xfId="0" applyNumberFormat="1" applyFont="1" applyFill="1" applyBorder="1"/>
    <xf numFmtId="39" fontId="0" fillId="5" borderId="0" xfId="0" applyFill="1" applyBorder="1"/>
    <xf numFmtId="164" fontId="0" fillId="5" borderId="0" xfId="0" applyNumberFormat="1" applyFill="1" applyBorder="1"/>
    <xf numFmtId="39" fontId="18" fillId="5" borderId="0" xfId="0" applyFont="1" applyFill="1" applyBorder="1"/>
    <xf numFmtId="9" fontId="15" fillId="5" borderId="0" xfId="0" applyNumberFormat="1" applyFont="1" applyFill="1" applyBorder="1"/>
    <xf numFmtId="39" fontId="23" fillId="5" borderId="0" xfId="0" applyFont="1" applyFill="1" applyBorder="1"/>
    <xf numFmtId="9" fontId="21" fillId="5" borderId="0" xfId="4" applyFont="1" applyFill="1" applyBorder="1" applyAlignment="1">
      <alignment horizontal="center"/>
    </xf>
    <xf numFmtId="39" fontId="22" fillId="5" borderId="0" xfId="0" applyFont="1" applyFill="1" applyBorder="1"/>
    <xf numFmtId="164" fontId="17" fillId="5" borderId="0" xfId="0" applyNumberFormat="1" applyFont="1" applyFill="1" applyBorder="1" applyAlignment="1" applyProtection="1">
      <alignment horizontal="left"/>
      <protection locked="0"/>
    </xf>
    <xf numFmtId="164" fontId="15" fillId="5" borderId="0" xfId="0" quotePrefix="1" applyNumberFormat="1" applyFont="1" applyFill="1" applyBorder="1"/>
    <xf numFmtId="44" fontId="16" fillId="5" borderId="0" xfId="0" applyNumberFormat="1" applyFont="1" applyFill="1" applyBorder="1"/>
    <xf numFmtId="7" fontId="16" fillId="5" borderId="0" xfId="0" applyNumberFormat="1" applyFont="1" applyFill="1" applyBorder="1"/>
    <xf numFmtId="39" fontId="16" fillId="5" borderId="0" xfId="0" applyFont="1" applyFill="1" applyBorder="1" applyAlignment="1">
      <alignment horizontal="left" indent="2"/>
    </xf>
    <xf numFmtId="39" fontId="17" fillId="5" borderId="0" xfId="0" applyFont="1" applyFill="1" applyBorder="1" applyAlignment="1">
      <alignment horizontal="center"/>
    </xf>
    <xf numFmtId="39" fontId="15" fillId="5" borderId="0" xfId="0" applyFont="1" applyFill="1" applyBorder="1" applyAlignment="1">
      <alignment horizontal="right"/>
    </xf>
    <xf numFmtId="40" fontId="16" fillId="5" borderId="0" xfId="1" applyFont="1" applyFill="1" applyBorder="1"/>
    <xf numFmtId="164" fontId="16" fillId="5" borderId="0" xfId="0" applyNumberFormat="1" applyFont="1" applyFill="1"/>
    <xf numFmtId="39" fontId="17" fillId="5" borderId="9" xfId="0" applyFont="1" applyFill="1" applyBorder="1"/>
    <xf numFmtId="39" fontId="16" fillId="5" borderId="0" xfId="0" applyFont="1" applyFill="1"/>
    <xf numFmtId="39" fontId="17" fillId="5" borderId="22" xfId="0" applyFont="1" applyFill="1" applyBorder="1"/>
    <xf numFmtId="39" fontId="16" fillId="0" borderId="0" xfId="0" applyFont="1"/>
    <xf numFmtId="39" fontId="16" fillId="0" borderId="0" xfId="0" applyFont="1" applyFill="1"/>
    <xf numFmtId="39" fontId="17" fillId="4" borderId="0" xfId="0" applyFont="1" applyFill="1" applyBorder="1"/>
    <xf numFmtId="171" fontId="32" fillId="0" borderId="0" xfId="0" applyNumberFormat="1" applyFont="1" applyFill="1" applyBorder="1" applyAlignment="1" applyProtection="1">
      <alignment horizontal="center"/>
      <protection locked="0"/>
    </xf>
    <xf numFmtId="39" fontId="17" fillId="4" borderId="22" xfId="0" applyFont="1" applyFill="1" applyBorder="1"/>
    <xf numFmtId="39" fontId="23" fillId="0" borderId="6" xfId="0" applyFont="1" applyFill="1" applyBorder="1" applyAlignment="1">
      <alignment horizontal="right"/>
    </xf>
    <xf numFmtId="39" fontId="0" fillId="0" borderId="1" xfId="0" applyFill="1" applyBorder="1"/>
    <xf numFmtId="164" fontId="0" fillId="0" borderId="2" xfId="0" applyNumberFormat="1" applyFill="1" applyBorder="1"/>
    <xf numFmtId="181" fontId="16" fillId="0" borderId="3" xfId="4" applyNumberFormat="1" applyFont="1" applyFill="1" applyBorder="1"/>
    <xf numFmtId="181" fontId="16" fillId="0" borderId="0" xfId="4" applyNumberFormat="1" applyFont="1" applyFill="1" applyBorder="1"/>
    <xf numFmtId="39" fontId="16" fillId="0" borderId="0" xfId="0" applyFont="1" applyFill="1" applyBorder="1" applyAlignment="1">
      <alignment horizontal="center"/>
    </xf>
    <xf numFmtId="39" fontId="16" fillId="0" borderId="0" xfId="0" applyFont="1" applyFill="1" applyBorder="1" applyAlignment="1">
      <alignment horizontal="center"/>
    </xf>
    <xf numFmtId="17" fontId="17" fillId="4" borderId="5" xfId="0" applyNumberFormat="1" applyFont="1" applyFill="1" applyBorder="1" applyAlignment="1">
      <alignment horizontal="left"/>
    </xf>
    <xf numFmtId="39" fontId="16" fillId="4" borderId="5" xfId="0" applyFont="1" applyFill="1" applyBorder="1"/>
    <xf numFmtId="39" fontId="17" fillId="4" borderId="10" xfId="0" applyFont="1" applyFill="1" applyBorder="1"/>
    <xf numFmtId="39" fontId="16" fillId="4" borderId="11" xfId="0" applyFont="1" applyFill="1" applyBorder="1"/>
    <xf numFmtId="39" fontId="17" fillId="4" borderId="12" xfId="0" applyFont="1" applyFill="1" applyBorder="1" applyAlignment="1">
      <alignment horizontal="center"/>
    </xf>
    <xf numFmtId="39" fontId="17" fillId="4" borderId="13" xfId="0" applyFont="1" applyFill="1" applyBorder="1" applyAlignment="1">
      <alignment horizontal="center"/>
    </xf>
    <xf numFmtId="39" fontId="16" fillId="4" borderId="1" xfId="0" applyFont="1" applyFill="1" applyBorder="1"/>
    <xf numFmtId="39" fontId="16" fillId="4" borderId="2" xfId="0" applyFont="1" applyFill="1" applyBorder="1"/>
    <xf numFmtId="7" fontId="16" fillId="4" borderId="2" xfId="0" applyNumberFormat="1" applyFont="1" applyFill="1" applyBorder="1"/>
    <xf numFmtId="181" fontId="16" fillId="4" borderId="3" xfId="4" applyNumberFormat="1" applyFont="1" applyFill="1" applyBorder="1"/>
    <xf numFmtId="39" fontId="16" fillId="4" borderId="7" xfId="0" applyFont="1" applyFill="1" applyBorder="1"/>
    <xf numFmtId="39" fontId="16" fillId="4" borderId="0" xfId="0" applyFont="1" applyFill="1" applyBorder="1"/>
    <xf numFmtId="181" fontId="16" fillId="4" borderId="0" xfId="4" applyNumberFormat="1" applyFont="1" applyFill="1" applyBorder="1"/>
    <xf numFmtId="7" fontId="16" fillId="4" borderId="8" xfId="4" applyNumberFormat="1" applyFont="1" applyFill="1" applyBorder="1"/>
    <xf numFmtId="39" fontId="16" fillId="4" borderId="8" xfId="0" applyFont="1" applyFill="1" applyBorder="1"/>
    <xf numFmtId="167" fontId="16" fillId="4" borderId="8" xfId="0" applyNumberFormat="1" applyFont="1" applyFill="1" applyBorder="1"/>
    <xf numFmtId="39" fontId="16" fillId="4" borderId="4" xfId="0" applyFont="1" applyFill="1" applyBorder="1"/>
    <xf numFmtId="43" fontId="16" fillId="4" borderId="5" xfId="0" applyNumberFormat="1" applyFont="1" applyFill="1" applyBorder="1"/>
    <xf numFmtId="7" fontId="16" fillId="4" borderId="6" xfId="0" applyNumberFormat="1" applyFont="1" applyFill="1" applyBorder="1"/>
    <xf numFmtId="39" fontId="12" fillId="4" borderId="10" xfId="0" applyFont="1" applyFill="1" applyBorder="1"/>
    <xf numFmtId="39" fontId="16" fillId="4" borderId="17" xfId="0" applyFont="1" applyFill="1" applyBorder="1"/>
    <xf numFmtId="164" fontId="21" fillId="4" borderId="0" xfId="0" applyNumberFormat="1" applyFont="1" applyFill="1" applyAlignment="1" applyProtection="1">
      <alignment horizontal="left"/>
      <protection locked="0"/>
    </xf>
    <xf numFmtId="39" fontId="17" fillId="4" borderId="0" xfId="0" applyFont="1" applyFill="1" applyAlignment="1">
      <alignment horizontal="left"/>
    </xf>
    <xf numFmtId="39" fontId="26" fillId="4" borderId="0" xfId="0" applyFont="1" applyFill="1" applyAlignment="1">
      <alignment horizontal="center"/>
    </xf>
    <xf numFmtId="39" fontId="15" fillId="4" borderId="1" xfId="0" applyFont="1" applyFill="1" applyBorder="1"/>
    <xf numFmtId="164" fontId="15" fillId="4" borderId="2" xfId="0" applyNumberFormat="1" applyFont="1" applyFill="1" applyBorder="1"/>
    <xf numFmtId="39" fontId="23" fillId="4" borderId="0" xfId="0" applyFont="1" applyFill="1" applyBorder="1" applyAlignment="1">
      <alignment horizontal="right"/>
    </xf>
    <xf numFmtId="39" fontId="23" fillId="4" borderId="3" xfId="0" applyFont="1" applyFill="1" applyBorder="1" applyAlignment="1">
      <alignment horizontal="right"/>
    </xf>
    <xf numFmtId="164" fontId="17" fillId="4" borderId="0" xfId="0" applyNumberFormat="1" applyFont="1" applyFill="1"/>
    <xf numFmtId="39" fontId="0" fillId="4" borderId="7" xfId="0" applyFill="1" applyBorder="1"/>
    <xf numFmtId="164" fontId="0" fillId="4" borderId="0" xfId="0" applyNumberFormat="1" applyFill="1" applyBorder="1"/>
    <xf numFmtId="39" fontId="23" fillId="4" borderId="8" xfId="0" applyFont="1" applyFill="1" applyBorder="1" applyAlignment="1">
      <alignment horizontal="right"/>
    </xf>
    <xf numFmtId="39" fontId="18" fillId="4" borderId="0" xfId="0" applyFont="1" applyFill="1"/>
    <xf numFmtId="9" fontId="21" fillId="4" borderId="0" xfId="4" applyFont="1" applyFill="1" applyAlignment="1">
      <alignment horizontal="center"/>
    </xf>
    <xf numFmtId="9" fontId="15" fillId="4" borderId="7" xfId="0" applyNumberFormat="1" applyFont="1" applyFill="1" applyBorder="1"/>
    <xf numFmtId="164" fontId="15" fillId="4" borderId="0" xfId="0" applyNumberFormat="1" applyFont="1" applyFill="1" applyBorder="1"/>
    <xf numFmtId="39" fontId="23" fillId="4" borderId="0" xfId="0" applyFont="1" applyFill="1" applyBorder="1"/>
    <xf numFmtId="39" fontId="23" fillId="4" borderId="8" xfId="0" applyFont="1" applyFill="1" applyBorder="1"/>
    <xf numFmtId="164" fontId="17" fillId="4" borderId="0" xfId="0" applyNumberFormat="1" applyFont="1" applyFill="1" applyAlignment="1" applyProtection="1">
      <alignment horizontal="left"/>
      <protection locked="0"/>
    </xf>
    <xf numFmtId="39" fontId="22" fillId="4" borderId="7" xfId="0" applyFont="1" applyFill="1" applyBorder="1"/>
    <xf numFmtId="39" fontId="22" fillId="4" borderId="4" xfId="0" applyFont="1" applyFill="1" applyBorder="1"/>
    <xf numFmtId="164" fontId="15" fillId="4" borderId="5" xfId="0" quotePrefix="1" applyNumberFormat="1" applyFont="1" applyFill="1" applyBorder="1"/>
    <xf numFmtId="39" fontId="23" fillId="4" borderId="5" xfId="0" applyFont="1" applyFill="1" applyBorder="1"/>
    <xf numFmtId="39" fontId="23" fillId="4" borderId="6" xfId="0" applyFont="1" applyFill="1" applyBorder="1"/>
    <xf numFmtId="14" fontId="17" fillId="0" borderId="0" xfId="0" applyNumberFormat="1" applyFont="1" applyFill="1" applyAlignment="1">
      <alignment horizontal="right"/>
    </xf>
    <xf numFmtId="39" fontId="17" fillId="0" borderId="0" xfId="0" applyNumberFormat="1" applyFont="1" applyFill="1"/>
    <xf numFmtId="166" fontId="17" fillId="0" borderId="0" xfId="4" applyNumberFormat="1" applyFont="1" applyFill="1" applyAlignment="1">
      <alignment horizontal="center"/>
    </xf>
    <xf numFmtId="39" fontId="16" fillId="0" borderId="0" xfId="0" applyFont="1" applyFill="1" applyBorder="1" applyAlignment="1">
      <alignment horizontal="center"/>
    </xf>
    <xf numFmtId="0" fontId="37" fillId="0" borderId="0" xfId="6" applyFont="1" applyAlignment="1">
      <alignment horizontal="left"/>
    </xf>
    <xf numFmtId="39" fontId="16" fillId="0" borderId="0" xfId="0" applyFont="1" applyFill="1" applyBorder="1" applyAlignment="1">
      <alignment horizontal="center"/>
    </xf>
    <xf numFmtId="39" fontId="16" fillId="0" borderId="23" xfId="0" applyNumberFormat="1" applyFont="1" applyFill="1" applyBorder="1"/>
    <xf numFmtId="39" fontId="16" fillId="0" borderId="0" xfId="0" applyFont="1" applyFill="1" applyBorder="1" applyAlignment="1">
      <alignment horizontal="center"/>
    </xf>
    <xf numFmtId="39" fontId="16" fillId="0" borderId="0" xfId="0" applyFont="1" applyFill="1" applyBorder="1" applyAlignment="1">
      <alignment horizontal="center"/>
    </xf>
    <xf numFmtId="39" fontId="16" fillId="0" borderId="0" xfId="0" applyFont="1" applyFill="1" applyBorder="1" applyAlignment="1">
      <alignment horizontal="center"/>
    </xf>
    <xf numFmtId="39" fontId="16" fillId="0" borderId="0" xfId="0" applyFont="1" applyFill="1" applyBorder="1" applyAlignment="1">
      <alignment horizontal="center"/>
    </xf>
    <xf numFmtId="39" fontId="16" fillId="0" borderId="0" xfId="0" applyFont="1" applyFill="1" applyBorder="1" applyAlignment="1">
      <alignment horizontal="center"/>
    </xf>
    <xf numFmtId="39" fontId="16" fillId="0" borderId="0" xfId="0" applyFont="1" applyFill="1" applyBorder="1" applyAlignment="1">
      <alignment horizontal="center"/>
    </xf>
    <xf numFmtId="39" fontId="16" fillId="0" borderId="0" xfId="0" applyFont="1" applyFill="1" applyBorder="1" applyAlignment="1">
      <alignment horizontal="center"/>
    </xf>
    <xf numFmtId="39" fontId="16" fillId="0" borderId="0" xfId="0" applyFont="1" applyFill="1" applyBorder="1" applyAlignment="1">
      <alignment horizontal="center"/>
    </xf>
    <xf numFmtId="164" fontId="16" fillId="4" borderId="0" xfId="0" applyNumberFormat="1" applyFont="1" applyFill="1" applyBorder="1"/>
    <xf numFmtId="40" fontId="16" fillId="0" borderId="8" xfId="1" applyFont="1" applyFill="1" applyBorder="1"/>
    <xf numFmtId="17" fontId="17" fillId="0" borderId="0" xfId="0" applyNumberFormat="1" applyFont="1" applyFill="1" applyBorder="1" applyAlignment="1">
      <alignment horizontal="right"/>
    </xf>
    <xf numFmtId="40" fontId="16" fillId="0" borderId="5" xfId="1" applyFont="1" applyFill="1" applyBorder="1"/>
    <xf numFmtId="181" fontId="17" fillId="4" borderId="0" xfId="0" applyNumberFormat="1" applyFont="1" applyFill="1" applyBorder="1"/>
    <xf numFmtId="181" fontId="17" fillId="4" borderId="22" xfId="0" applyNumberFormat="1" applyFont="1" applyFill="1" applyBorder="1"/>
    <xf numFmtId="0" fontId="16" fillId="0" borderId="8" xfId="2" applyNumberFormat="1" applyFont="1" applyFill="1" applyBorder="1"/>
    <xf numFmtId="39" fontId="16" fillId="0" borderId="0" xfId="0" applyFont="1" applyFill="1" applyBorder="1" applyAlignment="1">
      <alignment horizontal="center"/>
    </xf>
    <xf numFmtId="39" fontId="16" fillId="0" borderId="0" xfId="0" quotePrefix="1" applyFont="1" applyFill="1" applyBorder="1"/>
    <xf numFmtId="40" fontId="16" fillId="0" borderId="2" xfId="1" applyFont="1" applyFill="1" applyBorder="1"/>
    <xf numFmtId="40" fontId="16" fillId="0" borderId="3" xfId="1" applyFont="1" applyFill="1" applyBorder="1"/>
    <xf numFmtId="40" fontId="16" fillId="0" borderId="0" xfId="1" applyFont="1" applyFill="1" applyBorder="1"/>
    <xf numFmtId="40" fontId="16" fillId="0" borderId="6" xfId="1" applyFont="1" applyFill="1" applyBorder="1"/>
    <xf numFmtId="39" fontId="16" fillId="0" borderId="0" xfId="0" applyFont="1" applyFill="1" applyBorder="1" applyAlignment="1">
      <alignment horizontal="center"/>
    </xf>
    <xf numFmtId="39" fontId="17" fillId="0" borderId="28" xfId="0" applyFont="1" applyFill="1" applyBorder="1"/>
    <xf numFmtId="39" fontId="17" fillId="8" borderId="0" xfId="0" applyFont="1" applyFill="1" applyBorder="1" applyAlignment="1">
      <alignment horizontal="right"/>
    </xf>
    <xf numFmtId="39" fontId="17" fillId="8" borderId="0" xfId="0" applyFont="1" applyFill="1" applyBorder="1"/>
    <xf numFmtId="0" fontId="17" fillId="8" borderId="0" xfId="0" applyNumberFormat="1" applyFont="1" applyFill="1" applyBorder="1"/>
    <xf numFmtId="0" fontId="46" fillId="0" borderId="0" xfId="69" applyFont="1" applyFill="1" applyBorder="1" applyAlignment="1">
      <alignment horizontal="center"/>
    </xf>
    <xf numFmtId="182" fontId="46" fillId="0" borderId="0" xfId="69" applyNumberFormat="1" applyFont="1" applyFill="1" applyBorder="1" applyAlignment="1">
      <alignment horizontal="left"/>
    </xf>
    <xf numFmtId="0" fontId="46" fillId="0" borderId="0" xfId="69" applyFont="1" applyFill="1" applyBorder="1"/>
    <xf numFmtId="183" fontId="46" fillId="0" borderId="0" xfId="69" applyNumberFormat="1" applyFont="1" applyFill="1" applyBorder="1" applyAlignment="1">
      <alignment horizontal="left"/>
    </xf>
    <xf numFmtId="43" fontId="46" fillId="0" borderId="0" xfId="74" applyFont="1" applyFill="1" applyBorder="1" applyAlignment="1">
      <alignment horizontal="center"/>
    </xf>
    <xf numFmtId="0" fontId="6" fillId="0" borderId="0" xfId="69" applyFont="1" applyBorder="1" applyAlignment="1">
      <alignment horizontal="center"/>
    </xf>
    <xf numFmtId="0" fontId="6" fillId="0" borderId="0" xfId="69" applyFont="1" applyBorder="1"/>
    <xf numFmtId="0" fontId="46" fillId="0" borderId="0" xfId="69" applyNumberFormat="1" applyFont="1" applyFill="1" applyBorder="1" applyAlignment="1">
      <alignment horizontal="center"/>
    </xf>
    <xf numFmtId="43" fontId="0" fillId="0" borderId="0" xfId="74" applyFont="1" applyFill="1" applyBorder="1" applyAlignment="1">
      <alignment horizontal="center"/>
    </xf>
    <xf numFmtId="39" fontId="6" fillId="0" borderId="0" xfId="69" applyNumberFormat="1" applyFont="1" applyAlignment="1"/>
    <xf numFmtId="0" fontId="32" fillId="0" borderId="0" xfId="0" applyNumberFormat="1" applyFont="1" applyFill="1" applyAlignment="1">
      <alignment horizontal="center"/>
    </xf>
    <xf numFmtId="0" fontId="17" fillId="0" borderId="0" xfId="0" applyNumberFormat="1" applyFont="1" applyFill="1" applyAlignment="1">
      <alignment horizontal="center"/>
    </xf>
    <xf numFmtId="7" fontId="0" fillId="0" borderId="0" xfId="1" applyNumberFormat="1" applyFont="1"/>
    <xf numFmtId="39" fontId="46" fillId="0" borderId="0" xfId="0" applyNumberFormat="1" applyFont="1" applyFill="1"/>
    <xf numFmtId="39" fontId="0" fillId="0" borderId="27" xfId="0" applyBorder="1" applyAlignment="1">
      <alignment horizontal="center"/>
    </xf>
    <xf numFmtId="39" fontId="0" fillId="0" borderId="27" xfId="0" applyBorder="1" applyAlignment="1">
      <alignment horizontal="center"/>
    </xf>
    <xf numFmtId="39" fontId="0" fillId="0" borderId="0" xfId="0"/>
    <xf numFmtId="39" fontId="0" fillId="0" borderId="27" xfId="0" applyBorder="1" applyAlignment="1">
      <alignment horizontal="center"/>
    </xf>
    <xf numFmtId="39" fontId="49" fillId="0" borderId="0" xfId="0" applyFont="1" applyFill="1"/>
    <xf numFmtId="0" fontId="16" fillId="0" borderId="5" xfId="0" applyNumberFormat="1" applyFont="1" applyFill="1" applyBorder="1"/>
    <xf numFmtId="39" fontId="4" fillId="0" borderId="0" xfId="69" applyNumberFormat="1" applyFont="1" applyAlignment="1"/>
    <xf numFmtId="44" fontId="28" fillId="0" borderId="9" xfId="0" applyNumberFormat="1" applyFont="1" applyFill="1" applyBorder="1"/>
    <xf numFmtId="178" fontId="16" fillId="0" borderId="0" xfId="2" applyNumberFormat="1" applyFont="1" applyFill="1" applyBorder="1"/>
    <xf numFmtId="8" fontId="28" fillId="0" borderId="0" xfId="0" applyNumberFormat="1" applyFont="1" applyFill="1" applyBorder="1"/>
    <xf numFmtId="8" fontId="28" fillId="0" borderId="9" xfId="0" applyNumberFormat="1" applyFont="1" applyFill="1" applyBorder="1"/>
    <xf numFmtId="44" fontId="17" fillId="0" borderId="0" xfId="0" applyNumberFormat="1" applyFont="1" applyFill="1" applyBorder="1"/>
    <xf numFmtId="39" fontId="16" fillId="0" borderId="0" xfId="0" applyFont="1" applyFill="1" applyAlignment="1">
      <alignment horizontal="center"/>
    </xf>
    <xf numFmtId="7" fontId="32" fillId="0" borderId="0" xfId="0" applyNumberFormat="1" applyFont="1" applyFill="1" applyBorder="1"/>
    <xf numFmtId="164" fontId="50" fillId="0" borderId="0" xfId="93" applyNumberFormat="1" applyFont="1" applyAlignment="1">
      <alignment horizontal="left"/>
    </xf>
    <xf numFmtId="0" fontId="16" fillId="0" borderId="0" xfId="93" applyFont="1"/>
    <xf numFmtId="39" fontId="45" fillId="0" borderId="0" xfId="137" applyFont="1" applyFill="1" applyBorder="1"/>
    <xf numFmtId="164" fontId="51" fillId="0" borderId="0" xfId="93" applyNumberFormat="1" applyFont="1" applyAlignment="1">
      <alignment horizontal="left"/>
    </xf>
    <xf numFmtId="0" fontId="22" fillId="0" borderId="0" xfId="93"/>
    <xf numFmtId="39" fontId="15" fillId="0" borderId="0" xfId="137" applyFill="1" applyBorder="1"/>
    <xf numFmtId="0" fontId="52" fillId="0" borderId="0" xfId="138" applyFont="1" applyFill="1" applyBorder="1"/>
    <xf numFmtId="0" fontId="2" fillId="0" borderId="0" xfId="138"/>
    <xf numFmtId="0" fontId="2" fillId="0" borderId="0" xfId="138" applyFill="1" applyBorder="1"/>
    <xf numFmtId="184" fontId="22" fillId="0" borderId="0" xfId="138" applyNumberFormat="1" applyFont="1" applyFill="1" applyBorder="1" applyAlignment="1"/>
    <xf numFmtId="0" fontId="16" fillId="0" borderId="0" xfId="138" applyFont="1"/>
    <xf numFmtId="0" fontId="53" fillId="0" borderId="32" xfId="138" applyFont="1" applyBorder="1" applyAlignment="1">
      <alignment horizontal="center" wrapText="1"/>
    </xf>
    <xf numFmtId="0" fontId="53" fillId="0" borderId="30" xfId="138" applyFont="1" applyBorder="1" applyAlignment="1">
      <alignment horizontal="center" wrapText="1"/>
    </xf>
    <xf numFmtId="0" fontId="53" fillId="0" borderId="0" xfId="138" applyFont="1" applyFill="1" applyBorder="1" applyAlignment="1">
      <alignment horizontal="center" wrapText="1"/>
    </xf>
    <xf numFmtId="0" fontId="53" fillId="0" borderId="34" xfId="138" applyFont="1" applyBorder="1" applyAlignment="1">
      <alignment horizontal="center" wrapText="1"/>
    </xf>
    <xf numFmtId="0" fontId="53" fillId="9" borderId="30" xfId="138" applyFont="1" applyFill="1" applyBorder="1" applyAlignment="1">
      <alignment horizontal="center" wrapText="1"/>
    </xf>
    <xf numFmtId="14" fontId="53" fillId="0" borderId="30" xfId="138" quotePrefix="1" applyNumberFormat="1" applyFont="1" applyFill="1" applyBorder="1" applyAlignment="1">
      <alignment horizontal="right"/>
    </xf>
    <xf numFmtId="43" fontId="54" fillId="0" borderId="30" xfId="139" applyFont="1" applyFill="1" applyBorder="1"/>
    <xf numFmtId="43" fontId="54" fillId="9" borderId="30" xfId="139" applyFont="1" applyFill="1" applyBorder="1"/>
    <xf numFmtId="43" fontId="55" fillId="9" borderId="30" xfId="139" applyFont="1" applyFill="1" applyBorder="1"/>
    <xf numFmtId="165" fontId="56" fillId="6" borderId="30" xfId="140" applyNumberFormat="1" applyFont="1" applyFill="1" applyBorder="1"/>
    <xf numFmtId="165" fontId="56" fillId="0" borderId="0" xfId="140" applyNumberFormat="1" applyFont="1" applyFill="1" applyBorder="1"/>
    <xf numFmtId="43" fontId="56" fillId="6" borderId="30" xfId="139" applyFont="1" applyFill="1" applyBorder="1"/>
    <xf numFmtId="43" fontId="56" fillId="0" borderId="0" xfId="139" applyFont="1" applyFill="1" applyBorder="1"/>
    <xf numFmtId="14" fontId="53" fillId="0" borderId="35" xfId="138" quotePrefix="1" applyNumberFormat="1" applyFont="1" applyFill="1" applyBorder="1" applyAlignment="1">
      <alignment horizontal="right"/>
    </xf>
    <xf numFmtId="165" fontId="56" fillId="6" borderId="35" xfId="140" applyNumberFormat="1" applyFont="1" applyFill="1" applyBorder="1"/>
    <xf numFmtId="43" fontId="56" fillId="6" borderId="35" xfId="139" applyFont="1" applyFill="1" applyBorder="1"/>
    <xf numFmtId="43" fontId="54" fillId="0" borderId="35" xfId="139" applyFont="1" applyFill="1" applyBorder="1"/>
    <xf numFmtId="43" fontId="54" fillId="9" borderId="35" xfId="139" applyFont="1" applyFill="1" applyBorder="1"/>
    <xf numFmtId="43" fontId="55" fillId="9" borderId="35" xfId="139" applyFont="1" applyFill="1" applyBorder="1"/>
    <xf numFmtId="14" fontId="53" fillId="0" borderId="34" xfId="138" quotePrefix="1" applyNumberFormat="1" applyFont="1" applyFill="1" applyBorder="1" applyAlignment="1">
      <alignment horizontal="right"/>
    </xf>
    <xf numFmtId="165" fontId="56" fillId="6" borderId="34" xfId="140" applyNumberFormat="1" applyFont="1" applyFill="1" applyBorder="1"/>
    <xf numFmtId="43" fontId="56" fillId="6" borderId="34" xfId="139" applyFont="1" applyFill="1" applyBorder="1"/>
    <xf numFmtId="43" fontId="54" fillId="0" borderId="34" xfId="139" applyFont="1" applyFill="1" applyBorder="1"/>
    <xf numFmtId="43" fontId="54" fillId="9" borderId="34" xfId="139" applyFont="1" applyFill="1" applyBorder="1"/>
    <xf numFmtId="0" fontId="22" fillId="0" borderId="0" xfId="138" applyFont="1" applyFill="1" applyBorder="1"/>
    <xf numFmtId="43" fontId="22" fillId="0" borderId="0" xfId="139" applyFont="1" applyFill="1" applyBorder="1"/>
    <xf numFmtId="1" fontId="16" fillId="0" borderId="0" xfId="63" applyNumberFormat="1" applyFont="1" applyFill="1" applyBorder="1" applyAlignment="1">
      <alignment horizontal="left"/>
    </xf>
    <xf numFmtId="0" fontId="2" fillId="0" borderId="0" xfId="138" applyFont="1"/>
    <xf numFmtId="43" fontId="16" fillId="0" borderId="0" xfId="138" applyNumberFormat="1" applyFont="1"/>
    <xf numFmtId="0" fontId="53" fillId="9" borderId="34" xfId="138" applyFont="1" applyFill="1" applyBorder="1" applyAlignment="1">
      <alignment horizontal="center" wrapText="1"/>
    </xf>
    <xf numFmtId="0" fontId="53" fillId="0" borderId="0" xfId="138" applyFont="1" applyFill="1" applyBorder="1" applyAlignment="1"/>
    <xf numFmtId="0" fontId="53" fillId="0" borderId="9" xfId="138" applyFont="1" applyFill="1" applyBorder="1" applyAlignment="1"/>
    <xf numFmtId="184" fontId="22" fillId="0" borderId="9" xfId="138" applyNumberFormat="1" applyFont="1" applyFill="1" applyBorder="1" applyAlignment="1"/>
    <xf numFmtId="40" fontId="54" fillId="0" borderId="0" xfId="1" applyFont="1"/>
    <xf numFmtId="10" fontId="16" fillId="0" borderId="0" xfId="4" applyNumberFormat="1" applyFont="1" applyFill="1"/>
    <xf numFmtId="39" fontId="58" fillId="0" borderId="0" xfId="0" applyFont="1" applyFill="1"/>
    <xf numFmtId="39" fontId="17" fillId="0" borderId="29" xfId="73" applyNumberFormat="1" applyFont="1" applyFill="1"/>
    <xf numFmtId="39" fontId="17" fillId="0" borderId="0" xfId="0" applyFont="1" applyFill="1" applyAlignment="1"/>
    <xf numFmtId="0" fontId="17" fillId="0" borderId="0" xfId="0" applyNumberFormat="1" applyFont="1" applyFill="1"/>
    <xf numFmtId="37" fontId="17" fillId="0" borderId="29" xfId="73" applyNumberFormat="1" applyFont="1" applyFill="1"/>
    <xf numFmtId="38" fontId="16" fillId="0" borderId="0" xfId="1" applyNumberFormat="1" applyFont="1" applyFill="1"/>
    <xf numFmtId="171" fontId="16" fillId="0" borderId="0" xfId="0" applyNumberFormat="1" applyFont="1" applyFill="1"/>
    <xf numFmtId="37" fontId="16" fillId="0" borderId="0" xfId="0" applyNumberFormat="1" applyFont="1" applyFill="1"/>
    <xf numFmtId="171" fontId="16" fillId="0" borderId="0" xfId="0" applyNumberFormat="1" applyFont="1" applyFill="1" applyAlignment="1">
      <alignment horizontal="right"/>
    </xf>
    <xf numFmtId="0" fontId="17" fillId="0" borderId="0" xfId="0" applyNumberFormat="1" applyFont="1" applyFill="1" applyAlignment="1">
      <alignment horizontal="right"/>
    </xf>
    <xf numFmtId="0" fontId="44" fillId="0" borderId="0" xfId="144" applyFont="1"/>
    <xf numFmtId="43" fontId="44" fillId="0" borderId="0" xfId="145" applyFont="1"/>
    <xf numFmtId="0" fontId="60" fillId="0" borderId="0" xfId="144" applyFont="1"/>
    <xf numFmtId="43" fontId="61" fillId="0" borderId="0" xfId="144" applyNumberFormat="1" applyFont="1"/>
    <xf numFmtId="43" fontId="60" fillId="0" borderId="0" xfId="144" applyNumberFormat="1" applyFont="1"/>
    <xf numFmtId="0" fontId="61" fillId="0" borderId="0" xfId="144" applyFont="1"/>
    <xf numFmtId="0" fontId="1" fillId="0" borderId="0" xfId="144" applyFont="1"/>
    <xf numFmtId="43" fontId="1" fillId="0" borderId="0" xfId="144" applyNumberFormat="1" applyFont="1"/>
    <xf numFmtId="43" fontId="62" fillId="0" borderId="0" xfId="145" applyFont="1"/>
    <xf numFmtId="0" fontId="44" fillId="0" borderId="0" xfId="144" applyFont="1" applyAlignment="1">
      <alignment horizontal="center"/>
    </xf>
    <xf numFmtId="43" fontId="44" fillId="0" borderId="0" xfId="145" quotePrefix="1" applyFont="1" applyAlignment="1">
      <alignment horizontal="center"/>
    </xf>
    <xf numFmtId="43" fontId="44" fillId="0" borderId="0" xfId="145" applyFont="1" applyAlignment="1">
      <alignment horizontal="center"/>
    </xf>
    <xf numFmtId="0" fontId="17" fillId="0" borderId="10" xfId="0" applyNumberFormat="1" applyFont="1" applyFill="1" applyBorder="1"/>
    <xf numFmtId="39" fontId="16" fillId="0" borderId="0" xfId="0" applyFont="1" applyFill="1" applyBorder="1" applyAlignment="1">
      <alignment horizontal="center"/>
    </xf>
    <xf numFmtId="39" fontId="12" fillId="0" borderId="0" xfId="0" applyFont="1" applyAlignment="1">
      <alignment horizontal="center"/>
    </xf>
    <xf numFmtId="39" fontId="33" fillId="0" borderId="0" xfId="0" applyFont="1" applyAlignment="1">
      <alignment horizontal="center"/>
    </xf>
    <xf numFmtId="39" fontId="0" fillId="0" borderId="0" xfId="0" applyAlignment="1">
      <alignment horizontal="center"/>
    </xf>
    <xf numFmtId="39" fontId="34" fillId="0" borderId="0" xfId="0" applyFont="1" applyAlignment="1">
      <alignment horizontal="center"/>
    </xf>
    <xf numFmtId="0" fontId="53" fillId="0" borderId="10" xfId="138" applyFont="1" applyFill="1" applyBorder="1" applyAlignment="1">
      <alignment horizontal="center"/>
    </xf>
    <xf numFmtId="0" fontId="53" fillId="0" borderId="11" xfId="138" applyFont="1" applyFill="1" applyBorder="1" applyAlignment="1">
      <alignment horizontal="center"/>
    </xf>
    <xf numFmtId="0" fontId="53" fillId="0" borderId="17" xfId="138" applyFont="1" applyFill="1" applyBorder="1" applyAlignment="1">
      <alignment horizontal="center"/>
    </xf>
    <xf numFmtId="39" fontId="16" fillId="0" borderId="0" xfId="0" applyFont="1" applyFill="1" applyBorder="1" applyAlignment="1">
      <alignment horizontal="center"/>
    </xf>
    <xf numFmtId="39" fontId="16" fillId="0" borderId="8" xfId="0" applyFont="1" applyFill="1" applyBorder="1" applyAlignment="1">
      <alignment horizontal="center"/>
    </xf>
    <xf numFmtId="39" fontId="17" fillId="0" borderId="10" xfId="0" applyFont="1" applyFill="1" applyBorder="1" applyAlignment="1">
      <alignment horizontal="center"/>
    </xf>
    <xf numFmtId="39" fontId="17" fillId="0" borderId="11" xfId="0" applyFont="1" applyFill="1" applyBorder="1" applyAlignment="1">
      <alignment horizontal="center"/>
    </xf>
    <xf numFmtId="39" fontId="17" fillId="0" borderId="17" xfId="0" applyFont="1" applyFill="1" applyBorder="1" applyAlignment="1">
      <alignment horizontal="center"/>
    </xf>
    <xf numFmtId="43" fontId="63" fillId="0" borderId="10" xfId="145" applyFont="1" applyBorder="1" applyAlignment="1">
      <alignment horizontal="center"/>
    </xf>
    <xf numFmtId="43" fontId="63" fillId="0" borderId="11" xfId="145" applyFont="1" applyBorder="1" applyAlignment="1">
      <alignment horizontal="center"/>
    </xf>
    <xf numFmtId="43" fontId="63" fillId="0" borderId="17" xfId="145" applyFont="1" applyBorder="1" applyAlignment="1">
      <alignment horizontal="center"/>
    </xf>
    <xf numFmtId="164" fontId="17" fillId="4" borderId="0" xfId="0" applyNumberFormat="1" applyFont="1" applyFill="1" applyAlignment="1">
      <alignment horizontal="center"/>
    </xf>
    <xf numFmtId="39" fontId="17" fillId="0" borderId="18" xfId="6" applyNumberFormat="1" applyFont="1" applyBorder="1" applyAlignment="1">
      <alignment horizontal="left"/>
    </xf>
    <xf numFmtId="39" fontId="17" fillId="0" borderId="19" xfId="6" applyNumberFormat="1" applyFont="1" applyBorder="1" applyAlignment="1">
      <alignment horizontal="left"/>
    </xf>
    <xf numFmtId="39" fontId="17" fillId="0" borderId="20" xfId="6" applyNumberFormat="1" applyFont="1" applyBorder="1" applyAlignment="1">
      <alignment horizontal="left"/>
    </xf>
    <xf numFmtId="39" fontId="16" fillId="0" borderId="2" xfId="0" applyFont="1" applyFill="1" applyBorder="1" applyAlignment="1">
      <alignment horizontal="left" vertical="top" wrapText="1"/>
    </xf>
    <xf numFmtId="39" fontId="16" fillId="0" borderId="0" xfId="0" applyFont="1" applyFill="1" applyAlignment="1">
      <alignment horizontal="left" vertical="top" wrapText="1"/>
    </xf>
    <xf numFmtId="39" fontId="57" fillId="0" borderId="0" xfId="0" applyFont="1" applyFill="1"/>
    <xf numFmtId="39" fontId="17" fillId="0" borderId="0" xfId="0" applyFont="1" applyFill="1" applyAlignment="1">
      <alignment horizontal="center"/>
    </xf>
    <xf numFmtId="39" fontId="17" fillId="0" borderId="0" xfId="0" applyFont="1" applyFill="1" applyAlignment="1">
      <alignment horizontal="center" wrapText="1"/>
    </xf>
    <xf numFmtId="0" fontId="32" fillId="0" borderId="1" xfId="0" applyNumberFormat="1" applyFont="1" applyFill="1" applyBorder="1"/>
    <xf numFmtId="0" fontId="16" fillId="0" borderId="2" xfId="0" applyNumberFormat="1" applyFont="1" applyFill="1" applyBorder="1"/>
    <xf numFmtId="39" fontId="16" fillId="0" borderId="17" xfId="0" applyFont="1" applyFill="1" applyBorder="1"/>
    <xf numFmtId="39" fontId="58" fillId="0" borderId="4" xfId="0" applyFont="1" applyFill="1" applyBorder="1"/>
    <xf numFmtId="39" fontId="58" fillId="0" borderId="5" xfId="0" applyFont="1" applyFill="1" applyBorder="1"/>
    <xf numFmtId="39" fontId="58" fillId="0" borderId="6" xfId="0" applyFont="1" applyFill="1" applyBorder="1"/>
    <xf numFmtId="39" fontId="16" fillId="0" borderId="32" xfId="0" applyFont="1" applyFill="1" applyBorder="1"/>
    <xf numFmtId="39" fontId="16" fillId="0" borderId="33" xfId="0" applyFont="1" applyFill="1" applyBorder="1"/>
    <xf numFmtId="39" fontId="16" fillId="0" borderId="6" xfId="0" applyFont="1" applyFill="1" applyBorder="1"/>
    <xf numFmtId="39" fontId="16" fillId="0" borderId="34" xfId="0" applyFont="1" applyFill="1" applyBorder="1"/>
    <xf numFmtId="39" fontId="17" fillId="0" borderId="31" xfId="73" applyNumberFormat="1" applyFont="1" applyFill="1" applyBorder="1"/>
    <xf numFmtId="171" fontId="16" fillId="0" borderId="0" xfId="0" applyNumberFormat="1" applyFont="1" applyFill="1" applyAlignment="1">
      <alignment horizontal="center"/>
    </xf>
    <xf numFmtId="0" fontId="17" fillId="0" borderId="1" xfId="0" applyNumberFormat="1" applyFont="1" applyFill="1" applyBorder="1"/>
    <xf numFmtId="40" fontId="16" fillId="0" borderId="0" xfId="1" applyNumberFormat="1" applyFont="1" applyFill="1"/>
    <xf numFmtId="39" fontId="16" fillId="0" borderId="30" xfId="0" applyFont="1" applyFill="1" applyBorder="1"/>
    <xf numFmtId="40" fontId="16" fillId="0" borderId="0" xfId="0" applyNumberFormat="1" applyFont="1" applyFill="1"/>
    <xf numFmtId="0" fontId="16" fillId="0" borderId="11" xfId="0" applyNumberFormat="1" applyFont="1" applyFill="1" applyBorder="1"/>
    <xf numFmtId="0" fontId="59" fillId="0" borderId="11" xfId="0" applyNumberFormat="1" applyFont="1" applyFill="1" applyBorder="1"/>
    <xf numFmtId="39" fontId="16" fillId="0" borderId="10" xfId="0" applyFont="1" applyFill="1" applyBorder="1"/>
    <xf numFmtId="17" fontId="17" fillId="0" borderId="10" xfId="0" applyNumberFormat="1" applyFont="1" applyFill="1" applyBorder="1"/>
    <xf numFmtId="17" fontId="17" fillId="0" borderId="17" xfId="0" applyNumberFormat="1" applyFont="1" applyFill="1" applyBorder="1"/>
    <xf numFmtId="17" fontId="17" fillId="0" borderId="0" xfId="0" applyNumberFormat="1" applyFont="1" applyFill="1"/>
    <xf numFmtId="10" fontId="17" fillId="0" borderId="0" xfId="4" applyNumberFormat="1" applyFont="1" applyFill="1" applyAlignment="1">
      <alignment horizontal="center"/>
    </xf>
    <xf numFmtId="44" fontId="17" fillId="0" borderId="23" xfId="0" applyNumberFormat="1" applyFont="1" applyFill="1" applyBorder="1"/>
    <xf numFmtId="7" fontId="16" fillId="0" borderId="0" xfId="0" applyNumberFormat="1" applyFont="1" applyFill="1"/>
    <xf numFmtId="39" fontId="16" fillId="0" borderId="0" xfId="0" applyNumberFormat="1" applyFont="1" applyFill="1"/>
    <xf numFmtId="7" fontId="20" fillId="0" borderId="0" xfId="0" applyNumberFormat="1" applyFont="1" applyFill="1"/>
    <xf numFmtId="39" fontId="16" fillId="0" borderId="0" xfId="0" applyNumberFormat="1" applyFont="1" applyFill="1" applyAlignment="1">
      <alignment horizontal="left" vertical="top"/>
    </xf>
    <xf numFmtId="39" fontId="16" fillId="0" borderId="0" xfId="0" applyNumberFormat="1" applyFont="1" applyFill="1" applyAlignment="1">
      <alignment horizontal="center" vertical="top"/>
    </xf>
    <xf numFmtId="39" fontId="16" fillId="0" borderId="25" xfId="0" applyFont="1" applyFill="1" applyBorder="1"/>
    <xf numFmtId="39" fontId="16" fillId="0" borderId="16" xfId="0" applyFont="1" applyFill="1" applyBorder="1"/>
    <xf numFmtId="39" fontId="17" fillId="0" borderId="0" xfId="0" applyNumberFormat="1" applyFont="1" applyFill="1" applyAlignment="1">
      <alignment horizontal="left" vertical="top"/>
    </xf>
    <xf numFmtId="39" fontId="31" fillId="0" borderId="0" xfId="0" applyFont="1" applyFill="1"/>
    <xf numFmtId="44" fontId="16" fillId="0" borderId="24" xfId="0" applyNumberFormat="1" applyFont="1" applyFill="1" applyBorder="1"/>
    <xf numFmtId="39" fontId="16" fillId="0" borderId="0" xfId="0" applyNumberFormat="1" applyFont="1" applyFill="1" applyProtection="1"/>
    <xf numFmtId="39" fontId="43" fillId="0" borderId="0" xfId="0" applyNumberFormat="1" applyFont="1" applyFill="1"/>
    <xf numFmtId="174" fontId="16" fillId="0" borderId="0" xfId="0" applyNumberFormat="1" applyFont="1" applyFill="1"/>
    <xf numFmtId="39" fontId="27" fillId="0" borderId="0" xfId="0" applyFont="1" applyFill="1"/>
    <xf numFmtId="2" fontId="16" fillId="0" borderId="0" xfId="0" applyNumberFormat="1" applyFont="1" applyFill="1"/>
    <xf numFmtId="39" fontId="43" fillId="0" borderId="0" xfId="0" applyNumberFormat="1" applyFont="1" applyFill="1" applyAlignment="1">
      <alignment horizontal="right"/>
    </xf>
    <xf numFmtId="165" fontId="24" fillId="0" borderId="0" xfId="0" applyNumberFormat="1" applyFont="1" applyFill="1" applyBorder="1" applyProtection="1"/>
    <xf numFmtId="7" fontId="16" fillId="0" borderId="0" xfId="1" applyNumberFormat="1" applyFont="1" applyFill="1"/>
    <xf numFmtId="39" fontId="16" fillId="0" borderId="0" xfId="0" applyNumberFormat="1" applyFont="1" applyFill="1" applyBorder="1"/>
    <xf numFmtId="165" fontId="19" fillId="0" borderId="0" xfId="0" applyNumberFormat="1" applyFont="1" applyFill="1" applyProtection="1">
      <protection locked="0"/>
    </xf>
    <xf numFmtId="165" fontId="24" fillId="0" borderId="0" xfId="0" applyNumberFormat="1" applyFont="1" applyFill="1" applyProtection="1">
      <protection locked="0"/>
    </xf>
    <xf numFmtId="165" fontId="16" fillId="0" borderId="0" xfId="0" applyNumberFormat="1" applyFont="1" applyFill="1" applyProtection="1"/>
    <xf numFmtId="165" fontId="16" fillId="0" borderId="0" xfId="0" applyNumberFormat="1" applyFont="1" applyFill="1" applyProtection="1">
      <protection locked="0"/>
    </xf>
    <xf numFmtId="170" fontId="16" fillId="0" borderId="0" xfId="0" applyNumberFormat="1" applyFont="1" applyFill="1" applyProtection="1"/>
    <xf numFmtId="5" fontId="16" fillId="0" borderId="0" xfId="0" applyNumberFormat="1" applyFont="1" applyFill="1" applyProtection="1"/>
  </cellXfs>
  <cellStyles count="146">
    <cellStyle name="Comma" xfId="1" builtinId="3"/>
    <cellStyle name="Comma 2" xfId="8"/>
    <cellStyle name="Comma 2 2" xfId="43"/>
    <cellStyle name="Comma 2 3" xfId="55"/>
    <cellStyle name="Comma 3" xfId="5"/>
    <cellStyle name="Comma 3 2" xfId="64"/>
    <cellStyle name="Comma 4" xfId="9"/>
    <cellStyle name="Comma 4 2" xfId="44"/>
    <cellStyle name="Comma 4 2 2" xfId="84"/>
    <cellStyle name="Comma 4 2 2 2" xfId="126"/>
    <cellStyle name="Comma 4 2 3" xfId="105"/>
    <cellStyle name="Comma 4 3" xfId="75"/>
    <cellStyle name="Comma 4 3 2" xfId="117"/>
    <cellStyle name="Comma 4 4" xfId="96"/>
    <cellStyle name="Comma 4 5" xfId="139"/>
    <cellStyle name="Comma 5" xfId="10"/>
    <cellStyle name="Comma 5 2" xfId="142"/>
    <cellStyle name="Comma 6" xfId="70"/>
    <cellStyle name="Comma 6 2" xfId="74"/>
    <cellStyle name="Comma 6 2 2" xfId="116"/>
    <cellStyle name="Comma 6 3" xfId="95"/>
    <cellStyle name="Comma 6 3 2" xfId="136"/>
    <cellStyle name="Comma 6 4" xfId="115"/>
    <cellStyle name="Comma 7" xfId="145"/>
    <cellStyle name="Comma0" xfId="11"/>
    <cellStyle name="Currency" xfId="2" builtinId="4"/>
    <cellStyle name="Currency 2" xfId="7"/>
    <cellStyle name="Currency 2 2" xfId="57"/>
    <cellStyle name="Currency 2 3" xfId="56"/>
    <cellStyle name="Currency 3" xfId="12"/>
    <cellStyle name="Currency 3 2" xfId="66"/>
    <cellStyle name="Currency 3 3" xfId="58"/>
    <cellStyle name="Currency 4" xfId="13"/>
    <cellStyle name="Currency 4 2" xfId="14"/>
    <cellStyle name="Currency 4 2 2" xfId="46"/>
    <cellStyle name="Currency 4 2 2 2" xfId="86"/>
    <cellStyle name="Currency 4 2 2 2 2" xfId="128"/>
    <cellStyle name="Currency 4 2 2 3" xfId="107"/>
    <cellStyle name="Currency 4 2 3" xfId="77"/>
    <cellStyle name="Currency 4 2 3 2" xfId="119"/>
    <cellStyle name="Currency 4 2 4" xfId="98"/>
    <cellStyle name="Currency 4 3" xfId="45"/>
    <cellStyle name="Currency 4 3 2" xfId="85"/>
    <cellStyle name="Currency 4 3 2 2" xfId="127"/>
    <cellStyle name="Currency 4 3 3" xfId="106"/>
    <cellStyle name="Currency 4 4" xfId="68"/>
    <cellStyle name="Currency 4 5" xfId="76"/>
    <cellStyle name="Currency 4 5 2" xfId="118"/>
    <cellStyle name="Currency 4 6" xfId="97"/>
    <cellStyle name="Currency 5" xfId="15"/>
    <cellStyle name="Currency 6" xfId="16"/>
    <cellStyle name="Currency 6 2" xfId="17"/>
    <cellStyle name="Currency 7" xfId="18"/>
    <cellStyle name="Currency 7 2" xfId="47"/>
    <cellStyle name="Currency 7 2 2" xfId="87"/>
    <cellStyle name="Currency 7 2 2 2" xfId="129"/>
    <cellStyle name="Currency 7 2 3" xfId="108"/>
    <cellStyle name="Currency 7 3" xfId="78"/>
    <cellStyle name="Currency 7 3 2" xfId="120"/>
    <cellStyle name="Currency 7 4" xfId="99"/>
    <cellStyle name="Currency 8" xfId="71"/>
    <cellStyle name="Currency0" xfId="19"/>
    <cellStyle name="Date" xfId="20"/>
    <cellStyle name="Fixed" xfId="21"/>
    <cellStyle name="Manual-Input" xfId="3"/>
    <cellStyle name="Normal" xfId="0" builtinId="0"/>
    <cellStyle name="Normal 10" xfId="42"/>
    <cellStyle name="Normal 11" xfId="54"/>
    <cellStyle name="Normal 11 2" xfId="93"/>
    <cellStyle name="Normal 12" xfId="69"/>
    <cellStyle name="Normal 12 2" xfId="94"/>
    <cellStyle name="Normal 12 2 2" xfId="135"/>
    <cellStyle name="Normal 12 3" xfId="114"/>
    <cellStyle name="Normal 13" xfId="144"/>
    <cellStyle name="Normal 2" xfId="6"/>
    <cellStyle name="Normal 2 2" xfId="41"/>
    <cellStyle name="Normal 2 3" xfId="59"/>
    <cellStyle name="Normal 3" xfId="22"/>
    <cellStyle name="Normal 3 2" xfId="65"/>
    <cellStyle name="Normal 4" xfId="23"/>
    <cellStyle name="Normal 4 2" xfId="63"/>
    <cellStyle name="Normal 5" xfId="24"/>
    <cellStyle name="Normal 5 2" xfId="138"/>
    <cellStyle name="Normal 6" xfId="25"/>
    <cellStyle name="Normal 6 2" xfId="26"/>
    <cellStyle name="Normal 6 3" xfId="141"/>
    <cellStyle name="Normal 7" xfId="27"/>
    <cellStyle name="Normal 7 2" xfId="48"/>
    <cellStyle name="Normal 7 2 2" xfId="88"/>
    <cellStyle name="Normal 7 2 2 2" xfId="130"/>
    <cellStyle name="Normal 7 2 3" xfId="109"/>
    <cellStyle name="Normal 7 3" xfId="79"/>
    <cellStyle name="Normal 7 3 2" xfId="121"/>
    <cellStyle name="Normal 7 4" xfId="100"/>
    <cellStyle name="Normal 8" xfId="28"/>
    <cellStyle name="Normal 9" xfId="40"/>
    <cellStyle name="Normal 9 2" xfId="53"/>
    <cellStyle name="Normal_02-06 WA-Id Deferral &amp; Amort" xfId="137"/>
    <cellStyle name="Percent" xfId="4" builtinId="5"/>
    <cellStyle name="Percent 10" xfId="72"/>
    <cellStyle name="Percent 2" xfId="29"/>
    <cellStyle name="Percent 2 2" xfId="61"/>
    <cellStyle name="Percent 2 3" xfId="60"/>
    <cellStyle name="Percent 2 4" xfId="140"/>
    <cellStyle name="Percent 3" xfId="30"/>
    <cellStyle name="Percent 3 2" xfId="67"/>
    <cellStyle name="Percent 3 3" xfId="62"/>
    <cellStyle name="Percent 3 4" xfId="143"/>
    <cellStyle name="Percent 4" xfId="31"/>
    <cellStyle name="Percent 5" xfId="32"/>
    <cellStyle name="Percent 5 2" xfId="33"/>
    <cellStyle name="Percent 5 2 2" xfId="34"/>
    <cellStyle name="Percent 5 2 2 2" xfId="51"/>
    <cellStyle name="Percent 5 2 2 2 2" xfId="91"/>
    <cellStyle name="Percent 5 2 2 2 2 2" xfId="133"/>
    <cellStyle name="Percent 5 2 2 2 3" xfId="112"/>
    <cellStyle name="Percent 5 2 2 3" xfId="82"/>
    <cellStyle name="Percent 5 2 2 3 2" xfId="124"/>
    <cellStyle name="Percent 5 2 2 4" xfId="103"/>
    <cellStyle name="Percent 5 2 3" xfId="50"/>
    <cellStyle name="Percent 5 2 3 2" xfId="90"/>
    <cellStyle name="Percent 5 2 3 2 2" xfId="132"/>
    <cellStyle name="Percent 5 2 3 3" xfId="111"/>
    <cellStyle name="Percent 5 2 4" xfId="81"/>
    <cellStyle name="Percent 5 2 4 2" xfId="123"/>
    <cellStyle name="Percent 5 2 5" xfId="102"/>
    <cellStyle name="Percent 5 3" xfId="49"/>
    <cellStyle name="Percent 5 3 2" xfId="89"/>
    <cellStyle name="Percent 5 3 2 2" xfId="131"/>
    <cellStyle name="Percent 5 3 3" xfId="110"/>
    <cellStyle name="Percent 5 4" xfId="80"/>
    <cellStyle name="Percent 5 4 2" xfId="122"/>
    <cellStyle name="Percent 5 5" xfId="101"/>
    <cellStyle name="Percent 6" xfId="35"/>
    <cellStyle name="Percent 7" xfId="36"/>
    <cellStyle name="Percent 7 2" xfId="37"/>
    <cellStyle name="Percent 8" xfId="38"/>
    <cellStyle name="Percent 8 2" xfId="52"/>
    <cellStyle name="Percent 8 2 2" xfId="92"/>
    <cellStyle name="Percent 8 2 2 2" xfId="134"/>
    <cellStyle name="Percent 8 2 3" xfId="113"/>
    <cellStyle name="Percent 8 3" xfId="83"/>
    <cellStyle name="Percent 8 3 2" xfId="125"/>
    <cellStyle name="Percent 8 4" xfId="104"/>
    <cellStyle name="Percent 9" xfId="39"/>
    <cellStyle name="Total" xfId="73" builtinId="25"/>
  </cellStyles>
  <dxfs count="288">
    <dxf>
      <fill>
        <patternFill>
          <bgColor indexed="10"/>
        </patternFill>
      </fill>
    </dxf>
    <dxf>
      <fill>
        <patternFill>
          <bgColor indexed="11"/>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indexed="11"/>
        </patternFill>
      </fill>
    </dxf>
    <dxf>
      <fill>
        <patternFill>
          <bgColor indexed="10"/>
        </patternFill>
      </fill>
    </dxf>
    <dxf>
      <fill>
        <patternFill>
          <bgColor indexed="11"/>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ont>
        <color theme="5" tint="0.39994506668294322"/>
      </font>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ont>
        <color theme="5" tint="0.39994506668294322"/>
      </font>
    </dxf>
    <dxf>
      <fill>
        <patternFill>
          <bgColor theme="5" tint="0.39994506668294322"/>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33CC"/>
      <color rgb="FFFFFF99"/>
      <color rgb="FF00CC66"/>
      <color rgb="FF66FF33"/>
      <color rgb="FF0000FF"/>
      <color rgb="FF008000"/>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a:t>Washington </a:t>
            </a:r>
            <a:endParaRPr lang="en-US" sz="1800" baseline="0"/>
          </a:p>
        </c:rich>
      </c:tx>
      <c:overlay val="0"/>
    </c:title>
    <c:autoTitleDeleted val="0"/>
    <c:plotArea>
      <c:layout>
        <c:manualLayout>
          <c:layoutTarget val="inner"/>
          <c:xMode val="edge"/>
          <c:yMode val="edge"/>
          <c:x val="4.6396582122003933E-2"/>
          <c:y val="4.7804438524449114E-2"/>
          <c:w val="0.89767419371909363"/>
          <c:h val="0.87406888904368474"/>
        </c:manualLayout>
      </c:layout>
      <c:barChart>
        <c:barDir val="col"/>
        <c:grouping val="stacked"/>
        <c:varyColors val="0"/>
        <c:ser>
          <c:idx val="0"/>
          <c:order val="0"/>
          <c:tx>
            <c:strRef>
              <c:f>'PGA Graphs 2012-13'!$A$8</c:f>
              <c:strCache>
                <c:ptCount val="1"/>
                <c:pt idx="0">
                  <c:v>Commodity</c:v>
                </c:pt>
              </c:strCache>
            </c:strRef>
          </c:tx>
          <c:spPr>
            <a:solidFill>
              <a:srgbClr val="008000"/>
            </a:solidFill>
            <a:ln>
              <a:solidFill>
                <a:sysClr val="windowText" lastClr="000000"/>
              </a:solidFill>
            </a:ln>
          </c:spPr>
          <c:invertIfNegative val="0"/>
          <c:dLbls>
            <c:dLbl>
              <c:idx val="0"/>
              <c:layout>
                <c:manualLayout>
                  <c:x val="0"/>
                  <c:y val="-3.9557880513114242E-2"/>
                </c:manualLayout>
              </c:layout>
              <c:spPr/>
              <c:txPr>
                <a:bodyPr/>
                <a:lstStyle/>
                <a:p>
                  <a:pPr>
                    <a:defRPr sz="900" b="1">
                      <a:solidFill>
                        <a:sysClr val="windowText" lastClr="000000"/>
                      </a:solidFill>
                    </a:defRPr>
                  </a:pPr>
                  <a:endParaRPr lang="en-US"/>
                </a:p>
              </c:txP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900"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'PGA Graphs 2012-13'!$C$7:$N$7</c:f>
              <c:strCache>
                <c:ptCount val="12"/>
                <c:pt idx="0">
                  <c:v>N-12</c:v>
                </c:pt>
                <c:pt idx="1">
                  <c:v>D</c:v>
                </c:pt>
                <c:pt idx="2">
                  <c:v>J-13</c:v>
                </c:pt>
                <c:pt idx="3">
                  <c:v>F-13</c:v>
                </c:pt>
                <c:pt idx="4">
                  <c:v>M</c:v>
                </c:pt>
                <c:pt idx="5">
                  <c:v>A</c:v>
                </c:pt>
                <c:pt idx="6">
                  <c:v>M</c:v>
                </c:pt>
                <c:pt idx="7">
                  <c:v>J</c:v>
                </c:pt>
                <c:pt idx="8">
                  <c:v>J</c:v>
                </c:pt>
                <c:pt idx="9">
                  <c:v>A</c:v>
                </c:pt>
                <c:pt idx="10">
                  <c:v>S</c:v>
                </c:pt>
                <c:pt idx="11">
                  <c:v>O</c:v>
                </c:pt>
              </c:strCache>
            </c:strRef>
          </c:cat>
          <c:val>
            <c:numRef>
              <c:f>'PGA Graphs 2012-13'!$C$8:$N$8</c:f>
              <c:numCache>
                <c:formatCode>"$"#,##0.0_);\("$"#,##0.0\)</c:formatCode>
                <c:ptCount val="12"/>
                <c:pt idx="0">
                  <c:v>0.90240319623620857</c:v>
                </c:pt>
                <c:pt idx="1">
                  <c:v>-0.24153536134178891</c:v>
                </c:pt>
                <c:pt idx="2">
                  <c:v>1.612370665690211</c:v>
                </c:pt>
                <c:pt idx="3">
                  <c:v>0.64834278387021227</c:v>
                </c:pt>
                <c:pt idx="4">
                  <c:v>0.33671900480321282</c:v>
                </c:pt>
                <c:pt idx="5">
                  <c:v>0.63119416496921332</c:v>
                </c:pt>
                <c:pt idx="6">
                  <c:v>1.2090547576992148</c:v>
                </c:pt>
                <c:pt idx="7">
                  <c:v>1.3830479967132137</c:v>
                </c:pt>
                <c:pt idx="8">
                  <c:v>1.8775711130472124</c:v>
                </c:pt>
                <c:pt idx="9">
                  <c:v>2.5238373414722122</c:v>
                </c:pt>
                <c:pt idx="10">
                  <c:v>3.3385260271402131</c:v>
                </c:pt>
                <c:pt idx="11">
                  <c:v>-6.0831075290700021</c:v>
                </c:pt>
              </c:numCache>
            </c:numRef>
          </c:val>
        </c:ser>
        <c:ser>
          <c:idx val="1"/>
          <c:order val="1"/>
          <c:tx>
            <c:strRef>
              <c:f>'PGA Graphs 2012-13'!$A$9</c:f>
              <c:strCache>
                <c:ptCount val="1"/>
                <c:pt idx="0">
                  <c:v>Demand</c:v>
                </c:pt>
              </c:strCache>
            </c:strRef>
          </c:tx>
          <c:spPr>
            <a:solidFill>
              <a:srgbClr val="92D050"/>
            </a:solidFill>
            <a:ln>
              <a:solidFill>
                <a:sysClr val="windowText" lastClr="000000"/>
              </a:solidFill>
            </a:ln>
          </c:spPr>
          <c:invertIfNegative val="0"/>
          <c:dLbls>
            <c:spPr>
              <a:noFill/>
              <a:ln>
                <a:noFill/>
              </a:ln>
              <a:effectLst/>
            </c:spPr>
            <c:txPr>
              <a:bodyPr/>
              <a:lstStyle/>
              <a:p>
                <a:pPr>
                  <a:defRPr sz="9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'PGA Graphs 2012-13'!$C$7:$N$7</c:f>
              <c:strCache>
                <c:ptCount val="12"/>
                <c:pt idx="0">
                  <c:v>N-12</c:v>
                </c:pt>
                <c:pt idx="1">
                  <c:v>D</c:v>
                </c:pt>
                <c:pt idx="2">
                  <c:v>J-13</c:v>
                </c:pt>
                <c:pt idx="3">
                  <c:v>F-13</c:v>
                </c:pt>
                <c:pt idx="4">
                  <c:v>M</c:v>
                </c:pt>
                <c:pt idx="5">
                  <c:v>A</c:v>
                </c:pt>
                <c:pt idx="6">
                  <c:v>M</c:v>
                </c:pt>
                <c:pt idx="7">
                  <c:v>J</c:v>
                </c:pt>
                <c:pt idx="8">
                  <c:v>J</c:v>
                </c:pt>
                <c:pt idx="9">
                  <c:v>A</c:v>
                </c:pt>
                <c:pt idx="10">
                  <c:v>S</c:v>
                </c:pt>
                <c:pt idx="11">
                  <c:v>O</c:v>
                </c:pt>
              </c:strCache>
            </c:strRef>
          </c:cat>
          <c:val>
            <c:numRef>
              <c:f>'PGA Graphs 2012-13'!$C$9:$N$9</c:f>
              <c:numCache>
                <c:formatCode>"$"#,##0.0_);\("$"#,##0.0\)</c:formatCode>
                <c:ptCount val="12"/>
                <c:pt idx="0">
                  <c:v>-3.8730244701439993</c:v>
                </c:pt>
                <c:pt idx="1">
                  <c:v>-3.0674777859969997</c:v>
                </c:pt>
                <c:pt idx="2">
                  <c:v>-1.6934499394870002</c:v>
                </c:pt>
                <c:pt idx="3">
                  <c:v>-0.95669013858100027</c:v>
                </c:pt>
                <c:pt idx="4">
                  <c:v>-0.56131225301100107</c:v>
                </c:pt>
                <c:pt idx="5">
                  <c:v>-0.69541010451100072</c:v>
                </c:pt>
                <c:pt idx="6">
                  <c:v>-1.5643559408390004</c:v>
                </c:pt>
                <c:pt idx="7">
                  <c:v>-2.5778206653800004</c:v>
                </c:pt>
                <c:pt idx="8">
                  <c:v>-3.8494386956210014</c:v>
                </c:pt>
                <c:pt idx="9">
                  <c:v>-5.0597053680260018</c:v>
                </c:pt>
                <c:pt idx="10">
                  <c:v>-6.0831075290700021</c:v>
                </c:pt>
                <c:pt idx="11">
                  <c:v>3.1801240000000015E-2</c:v>
                </c:pt>
              </c:numCache>
            </c:numRef>
          </c:val>
        </c:ser>
        <c:dLbls>
          <c:showLegendKey val="0"/>
          <c:showVal val="0"/>
          <c:showCatName val="0"/>
          <c:showSerName val="0"/>
          <c:showPercent val="0"/>
          <c:showBubbleSize val="0"/>
        </c:dLbls>
        <c:gapWidth val="23"/>
        <c:overlap val="100"/>
        <c:axId val="567365632"/>
        <c:axId val="567366024"/>
      </c:barChart>
      <c:lineChart>
        <c:grouping val="standard"/>
        <c:varyColors val="0"/>
        <c:ser>
          <c:idx val="2"/>
          <c:order val="2"/>
          <c:tx>
            <c:strRef>
              <c:f>'PGA Graphs 2012-13'!$A$10</c:f>
              <c:strCache>
                <c:ptCount val="1"/>
                <c:pt idx="0">
                  <c:v>Total</c:v>
                </c:pt>
              </c:strCache>
            </c:strRef>
          </c:tx>
          <c:spPr>
            <a:ln>
              <a:noFill/>
            </a:ln>
          </c:spPr>
          <c:marker>
            <c:symbol val="none"/>
          </c:marker>
          <c:dLbls>
            <c:dLbl>
              <c:idx val="0"/>
              <c:layout>
                <c:manualLayout>
                  <c:x val="-4.7766573430354023E-2"/>
                  <c:y val="8.2711931981965914E-2"/>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4.4956730203654163E-2"/>
                  <c:y val="4.3154051468851776E-2"/>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4.2147077332839927E-2"/>
                  <c:y val="0.13305832536229756"/>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4.4564597079407894E-2"/>
                  <c:y val="7.5519590070490639E-2"/>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4.1754753852707972E-2"/>
                  <c:y val="5.7538735291802402E-2"/>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4.7374249950222123E-2"/>
                  <c:y val="6.8327248159015183E-2"/>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4.4956730203654163E-2"/>
                  <c:y val="9.7096615804916492E-2"/>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4.2147077332839927E-2"/>
                  <c:y val="0.10788512867212972"/>
                </c:manualLayout>
              </c:layout>
              <c:showLegendKey val="0"/>
              <c:showVal val="1"/>
              <c:showCatName val="0"/>
              <c:showSerName val="0"/>
              <c:showPercent val="0"/>
              <c:showBubbleSize val="0"/>
              <c:extLst>
                <c:ext xmlns:c15="http://schemas.microsoft.com/office/drawing/2012/chart" uri="{CE6537A1-D6FC-4f65-9D91-7224C49458BB}"/>
              </c:extLst>
            </c:dLbl>
            <c:dLbl>
              <c:idx val="8"/>
              <c:layout>
                <c:manualLayout>
                  <c:x val="-4.4564597079407894E-2"/>
                  <c:y val="0.13665449631803064"/>
                </c:manualLayout>
              </c:layout>
              <c:showLegendKey val="0"/>
              <c:showVal val="1"/>
              <c:showCatName val="0"/>
              <c:showSerName val="0"/>
              <c:showPercent val="0"/>
              <c:showBubbleSize val="0"/>
              <c:extLst>
                <c:ext xmlns:c15="http://schemas.microsoft.com/office/drawing/2012/chart" uri="{CE6537A1-D6FC-4f65-9D91-7224C49458BB}"/>
              </c:extLst>
            </c:dLbl>
            <c:dLbl>
              <c:idx val="9"/>
              <c:layout>
                <c:manualLayout>
                  <c:x val="-5.2601612923489499E-2"/>
                  <c:y val="0.18340471874262568"/>
                </c:manualLayout>
              </c:layout>
              <c:showLegendKey val="0"/>
              <c:showVal val="1"/>
              <c:showCatName val="0"/>
              <c:showSerName val="0"/>
              <c:showPercent val="0"/>
              <c:showBubbleSize val="0"/>
              <c:extLst>
                <c:ext xmlns:c15="http://schemas.microsoft.com/office/drawing/2012/chart" uri="{CE6537A1-D6FC-4f65-9D91-7224C49458BB}"/>
              </c:extLst>
            </c:dLbl>
            <c:dLbl>
              <c:idx val="10"/>
              <c:layout>
                <c:manualLayout>
                  <c:x val="-4.9791769696789723E-2"/>
                  <c:y val="0.11507747058360476"/>
                </c:manualLayout>
              </c:layout>
              <c:showLegendKey val="0"/>
              <c:showVal val="1"/>
              <c:showCatName val="0"/>
              <c:showSerName val="0"/>
              <c:showPercent val="0"/>
              <c:showBubbleSize val="0"/>
              <c:extLst>
                <c:ext xmlns:c15="http://schemas.microsoft.com/office/drawing/2012/chart" uri="{CE6537A1-D6FC-4f65-9D91-7224C49458BB}"/>
              </c:extLst>
            </c:dLbl>
            <c:dLbl>
              <c:idx val="11"/>
              <c:layout>
                <c:manualLayout>
                  <c:x val="-5.3386219541039524E-2"/>
                  <c:y val="-5.0346393380327092E-2"/>
                </c:manualLayout>
              </c:layout>
              <c:showLegendKey val="0"/>
              <c:showVal val="1"/>
              <c:showCatName val="0"/>
              <c:showSerName val="0"/>
              <c:showPercent val="0"/>
              <c:showBubbleSize val="0"/>
              <c:extLst>
                <c:ext xmlns:c15="http://schemas.microsoft.com/office/drawing/2012/chart" uri="{CE6537A1-D6FC-4f65-9D91-7224C49458BB}"/>
              </c:extLst>
            </c:dLbl>
            <c:numFmt formatCode="&quot;$&quot;#,##0.0" sourceLinked="0"/>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'PGA Graphs 2012-13'!$C$7:$N$7</c:f>
              <c:strCache>
                <c:ptCount val="12"/>
                <c:pt idx="0">
                  <c:v>N-12</c:v>
                </c:pt>
                <c:pt idx="1">
                  <c:v>D</c:v>
                </c:pt>
                <c:pt idx="2">
                  <c:v>J-13</c:v>
                </c:pt>
                <c:pt idx="3">
                  <c:v>F-13</c:v>
                </c:pt>
                <c:pt idx="4">
                  <c:v>M</c:v>
                </c:pt>
                <c:pt idx="5">
                  <c:v>A</c:v>
                </c:pt>
                <c:pt idx="6">
                  <c:v>M</c:v>
                </c:pt>
                <c:pt idx="7">
                  <c:v>J</c:v>
                </c:pt>
                <c:pt idx="8">
                  <c:v>J</c:v>
                </c:pt>
                <c:pt idx="9">
                  <c:v>A</c:v>
                </c:pt>
                <c:pt idx="10">
                  <c:v>S</c:v>
                </c:pt>
                <c:pt idx="11">
                  <c:v>O</c:v>
                </c:pt>
              </c:strCache>
            </c:strRef>
          </c:cat>
          <c:val>
            <c:numRef>
              <c:f>'PGA Graphs 2012-13'!$C$10:$N$10</c:f>
              <c:numCache>
                <c:formatCode>"$"#,##0.0_);\("$"#,##0.0\)</c:formatCode>
                <c:ptCount val="12"/>
                <c:pt idx="0">
                  <c:v>-2.9706212739077906</c:v>
                </c:pt>
                <c:pt idx="1">
                  <c:v>-3.3090131473387885</c:v>
                </c:pt>
                <c:pt idx="2">
                  <c:v>-8.1079273796789142E-2</c:v>
                </c:pt>
                <c:pt idx="3">
                  <c:v>-0.308347354710788</c:v>
                </c:pt>
                <c:pt idx="4">
                  <c:v>-0.22459324820778825</c:v>
                </c:pt>
                <c:pt idx="5">
                  <c:v>-6.4215939541787392E-2</c:v>
                </c:pt>
                <c:pt idx="6">
                  <c:v>-0.35530118313978565</c:v>
                </c:pt>
                <c:pt idx="7">
                  <c:v>-1.1947726686667868</c:v>
                </c:pt>
                <c:pt idx="8">
                  <c:v>-1.971867582573789</c:v>
                </c:pt>
                <c:pt idx="9">
                  <c:v>-2.5358680265537896</c:v>
                </c:pt>
                <c:pt idx="10">
                  <c:v>-2.744581501929789</c:v>
                </c:pt>
                <c:pt idx="11">
                  <c:v>-6.051306289070002</c:v>
                </c:pt>
              </c:numCache>
            </c:numRef>
          </c:val>
          <c:smooth val="0"/>
        </c:ser>
        <c:dLbls>
          <c:showLegendKey val="0"/>
          <c:showVal val="0"/>
          <c:showCatName val="0"/>
          <c:showSerName val="0"/>
          <c:showPercent val="0"/>
          <c:showBubbleSize val="0"/>
        </c:dLbls>
        <c:marker val="1"/>
        <c:smooth val="0"/>
        <c:axId val="567365632"/>
        <c:axId val="567366024"/>
      </c:lineChart>
      <c:catAx>
        <c:axId val="567365632"/>
        <c:scaling>
          <c:orientation val="minMax"/>
        </c:scaling>
        <c:delete val="0"/>
        <c:axPos val="b"/>
        <c:numFmt formatCode="General" sourceLinked="1"/>
        <c:majorTickMark val="out"/>
        <c:minorTickMark val="none"/>
        <c:tickLblPos val="low"/>
        <c:spPr>
          <a:ln w="25400">
            <a:solidFill>
              <a:schemeClr val="tx1"/>
            </a:solidFill>
          </a:ln>
        </c:spPr>
        <c:txPr>
          <a:bodyPr/>
          <a:lstStyle/>
          <a:p>
            <a:pPr>
              <a:defRPr b="1"/>
            </a:pPr>
            <a:endParaRPr lang="en-US"/>
          </a:p>
        </c:txPr>
        <c:crossAx val="567366024"/>
        <c:crosses val="autoZero"/>
        <c:auto val="1"/>
        <c:lblAlgn val="ctr"/>
        <c:lblOffset val="10"/>
        <c:noMultiLvlLbl val="0"/>
      </c:catAx>
      <c:valAx>
        <c:axId val="567366024"/>
        <c:scaling>
          <c:orientation val="minMax"/>
          <c:max val="9"/>
          <c:min val="-5.5"/>
        </c:scaling>
        <c:delete val="0"/>
        <c:axPos val="r"/>
        <c:numFmt formatCode="&quot;$&quot;#,##0.0" sourceLinked="0"/>
        <c:majorTickMark val="out"/>
        <c:minorTickMark val="none"/>
        <c:tickLblPos val="none"/>
        <c:crossAx val="567365632"/>
        <c:crosses val="max"/>
        <c:crossBetween val="between"/>
      </c:valAx>
    </c:plotArea>
    <c:legend>
      <c:legendPos val="r"/>
      <c:legendEntry>
        <c:idx val="2"/>
        <c:delete val="1"/>
      </c:legendEntry>
      <c:layout>
        <c:manualLayout>
          <c:xMode val="edge"/>
          <c:yMode val="edge"/>
          <c:x val="0.70573721217717333"/>
          <c:y val="6.8211717627523899E-2"/>
          <c:w val="0.18659635681678463"/>
          <c:h val="0.1474684938613198"/>
        </c:manualLayout>
      </c:layout>
      <c:overlay val="0"/>
      <c:spPr>
        <a:solidFill>
          <a:schemeClr val="bg1"/>
        </a:solidFill>
        <a:ln w="25400">
          <a:solidFill>
            <a:sysClr val="windowText" lastClr="000000"/>
          </a:solidFill>
        </a:ln>
      </c:spPr>
      <c:txPr>
        <a:bodyPr/>
        <a:lstStyle/>
        <a:p>
          <a:pPr>
            <a:defRPr sz="1200" b="1"/>
          </a:pPr>
          <a:endParaRPr lang="en-US"/>
        </a:p>
      </c:txPr>
    </c:legend>
    <c:plotVisOnly val="1"/>
    <c:dispBlanksAs val="gap"/>
    <c:showDLblsOverMax val="0"/>
  </c:chart>
  <c:spPr>
    <a:ln w="31750">
      <a:solidFill>
        <a:sysClr val="windowText" lastClr="000000"/>
      </a:solidFill>
    </a:ln>
  </c:sp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a:t>Idaho (With Holdback)</a:t>
            </a:r>
            <a:endParaRPr lang="en-US" sz="1800" baseline="0"/>
          </a:p>
        </c:rich>
      </c:tx>
      <c:overlay val="0"/>
    </c:title>
    <c:autoTitleDeleted val="0"/>
    <c:plotArea>
      <c:layout>
        <c:manualLayout>
          <c:layoutTarget val="inner"/>
          <c:xMode val="edge"/>
          <c:yMode val="edge"/>
          <c:x val="3.6726533128107232E-2"/>
          <c:y val="4.4208267568710935E-2"/>
          <c:w val="0.88800420717924078"/>
          <c:h val="0.8417034691316001"/>
        </c:manualLayout>
      </c:layout>
      <c:barChart>
        <c:barDir val="col"/>
        <c:grouping val="stacked"/>
        <c:varyColors val="0"/>
        <c:ser>
          <c:idx val="0"/>
          <c:order val="0"/>
          <c:tx>
            <c:strRef>
              <c:f>'PGA Graphs 2012-13'!$A$14</c:f>
              <c:strCache>
                <c:ptCount val="1"/>
                <c:pt idx="0">
                  <c:v>Commodity</c:v>
                </c:pt>
              </c:strCache>
            </c:strRef>
          </c:tx>
          <c:spPr>
            <a:solidFill>
              <a:schemeClr val="bg2">
                <a:lumMod val="25000"/>
              </a:schemeClr>
            </a:solidFill>
            <a:ln>
              <a:solidFill>
                <a:sysClr val="windowText" lastClr="000000"/>
              </a:solidFill>
            </a:ln>
          </c:spPr>
          <c:invertIfNegative val="0"/>
          <c:dLbls>
            <c:spPr>
              <a:noFill/>
              <a:ln>
                <a:noFill/>
              </a:ln>
              <a:effectLst/>
            </c:spPr>
            <c:txPr>
              <a:bodyPr/>
              <a:lstStyle/>
              <a:p>
                <a:pPr>
                  <a:defRPr sz="900"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'PGA Graphs 2012-13'!$B$13:$M$13</c:f>
              <c:strCache>
                <c:ptCount val="12"/>
                <c:pt idx="0">
                  <c:v>O-12</c:v>
                </c:pt>
                <c:pt idx="1">
                  <c:v>N</c:v>
                </c:pt>
                <c:pt idx="2">
                  <c:v>D</c:v>
                </c:pt>
                <c:pt idx="3">
                  <c:v>J-13</c:v>
                </c:pt>
                <c:pt idx="4">
                  <c:v>F-13</c:v>
                </c:pt>
                <c:pt idx="5">
                  <c:v>M</c:v>
                </c:pt>
                <c:pt idx="6">
                  <c:v>A</c:v>
                </c:pt>
                <c:pt idx="7">
                  <c:v>M</c:v>
                </c:pt>
                <c:pt idx="8">
                  <c:v>J</c:v>
                </c:pt>
                <c:pt idx="9">
                  <c:v>J</c:v>
                </c:pt>
                <c:pt idx="10">
                  <c:v>A</c:v>
                </c:pt>
                <c:pt idx="11">
                  <c:v>S</c:v>
                </c:pt>
              </c:strCache>
            </c:strRef>
          </c:cat>
          <c:val>
            <c:numRef>
              <c:f>'PGA Graphs 2012-13'!$B$14:$M$14</c:f>
              <c:numCache>
                <c:formatCode>"$"#,##0.0_);\("$"#,##0.0\)</c:formatCode>
                <c:ptCount val="12"/>
                <c:pt idx="0">
                  <c:v>2.1383911983473967</c:v>
                </c:pt>
                <c:pt idx="1">
                  <c:v>1.2444255776995812</c:v>
                </c:pt>
                <c:pt idx="2">
                  <c:v>0.87195540999758092</c:v>
                </c:pt>
                <c:pt idx="3">
                  <c:v>1.6660490220255828</c:v>
                </c:pt>
                <c:pt idx="4">
                  <c:v>1.2966995405455823</c:v>
                </c:pt>
                <c:pt idx="5">
                  <c:v>1.1561449650525837</c:v>
                </c:pt>
                <c:pt idx="6">
                  <c:v>1.2996516898465837</c:v>
                </c:pt>
                <c:pt idx="7">
                  <c:v>1.5610150065365844</c:v>
                </c:pt>
                <c:pt idx="8">
                  <c:v>1.6482739833225839</c:v>
                </c:pt>
                <c:pt idx="9">
                  <c:v>1.8954571715485831</c:v>
                </c:pt>
                <c:pt idx="10">
                  <c:v>2.2528616869035827</c:v>
                </c:pt>
                <c:pt idx="11">
                  <c:v>2.7080381318555831</c:v>
                </c:pt>
              </c:numCache>
            </c:numRef>
          </c:val>
        </c:ser>
        <c:ser>
          <c:idx val="1"/>
          <c:order val="1"/>
          <c:tx>
            <c:strRef>
              <c:f>'PGA Graphs 2012-13'!$A$15</c:f>
              <c:strCache>
                <c:ptCount val="1"/>
                <c:pt idx="0">
                  <c:v>Demand</c:v>
                </c:pt>
              </c:strCache>
            </c:strRef>
          </c:tx>
          <c:spPr>
            <a:solidFill>
              <a:schemeClr val="bg2">
                <a:lumMod val="75000"/>
              </a:schemeClr>
            </a:solidFill>
            <a:ln>
              <a:solidFill>
                <a:sysClr val="windowText" lastClr="000000"/>
              </a:solidFill>
            </a:ln>
          </c:spPr>
          <c:invertIfNegative val="0"/>
          <c:dLbls>
            <c:dLbl>
              <c:idx val="0"/>
              <c:delete val="1"/>
              <c:extLst>
                <c:ext xmlns:c15="http://schemas.microsoft.com/office/drawing/2012/chart" uri="{CE6537A1-D6FC-4f65-9D91-7224C49458BB}"/>
              </c:extLst>
            </c:dLbl>
            <c:spPr>
              <a:noFill/>
              <a:ln>
                <a:noFill/>
              </a:ln>
              <a:effectLst/>
            </c:spPr>
            <c:txPr>
              <a:bodyPr/>
              <a:lstStyle/>
              <a:p>
                <a:pPr>
                  <a:defRPr sz="9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'PGA Graphs 2012-13'!$B$13:$M$13</c:f>
              <c:strCache>
                <c:ptCount val="12"/>
                <c:pt idx="0">
                  <c:v>O-12</c:v>
                </c:pt>
                <c:pt idx="1">
                  <c:v>N</c:v>
                </c:pt>
                <c:pt idx="2">
                  <c:v>D</c:v>
                </c:pt>
                <c:pt idx="3">
                  <c:v>J-13</c:v>
                </c:pt>
                <c:pt idx="4">
                  <c:v>F-13</c:v>
                </c:pt>
                <c:pt idx="5">
                  <c:v>M</c:v>
                </c:pt>
                <c:pt idx="6">
                  <c:v>A</c:v>
                </c:pt>
                <c:pt idx="7">
                  <c:v>M</c:v>
                </c:pt>
                <c:pt idx="8">
                  <c:v>J</c:v>
                </c:pt>
                <c:pt idx="9">
                  <c:v>J</c:v>
                </c:pt>
                <c:pt idx="10">
                  <c:v>A</c:v>
                </c:pt>
                <c:pt idx="11">
                  <c:v>S</c:v>
                </c:pt>
              </c:strCache>
            </c:strRef>
          </c:cat>
          <c:val>
            <c:numRef>
              <c:f>'PGA Graphs 2012-13'!$B$15:$M$15</c:f>
              <c:numCache>
                <c:formatCode>"$"#,##0.0_);\("$"#,##0.0\)</c:formatCode>
                <c:ptCount val="12"/>
                <c:pt idx="0">
                  <c:v>-0.82418407251353221</c:v>
                </c:pt>
                <c:pt idx="1">
                  <c:v>-0.80322416033553246</c:v>
                </c:pt>
                <c:pt idx="2">
                  <c:v>-0.39310178017253256</c:v>
                </c:pt>
                <c:pt idx="3">
                  <c:v>0.17129077183746722</c:v>
                </c:pt>
                <c:pt idx="4">
                  <c:v>0.35307272873146694</c:v>
                </c:pt>
                <c:pt idx="5">
                  <c:v>0.56382016840146643</c:v>
                </c:pt>
                <c:pt idx="6">
                  <c:v>0.53955121001146655</c:v>
                </c:pt>
                <c:pt idx="7">
                  <c:v>0.18205832733946647</c:v>
                </c:pt>
                <c:pt idx="8">
                  <c:v>-0.22184721294953361</c:v>
                </c:pt>
                <c:pt idx="9">
                  <c:v>-0.73848372468853407</c:v>
                </c:pt>
                <c:pt idx="10">
                  <c:v>-1.2085874236835343</c:v>
                </c:pt>
                <c:pt idx="11">
                  <c:v>-1.5854874293295345</c:v>
                </c:pt>
              </c:numCache>
            </c:numRef>
          </c:val>
        </c:ser>
        <c:dLbls>
          <c:showLegendKey val="0"/>
          <c:showVal val="0"/>
          <c:showCatName val="0"/>
          <c:showSerName val="0"/>
          <c:showPercent val="0"/>
          <c:showBubbleSize val="0"/>
        </c:dLbls>
        <c:gapWidth val="23"/>
        <c:overlap val="100"/>
        <c:axId val="567366808"/>
        <c:axId val="567367200"/>
      </c:barChart>
      <c:lineChart>
        <c:grouping val="standard"/>
        <c:varyColors val="0"/>
        <c:ser>
          <c:idx val="2"/>
          <c:order val="2"/>
          <c:tx>
            <c:strRef>
              <c:f>'PGA Graphs 2012-13'!$A$16</c:f>
              <c:strCache>
                <c:ptCount val="1"/>
                <c:pt idx="0">
                  <c:v>Total</c:v>
                </c:pt>
              </c:strCache>
            </c:strRef>
          </c:tx>
          <c:spPr>
            <a:ln>
              <a:noFill/>
            </a:ln>
          </c:spPr>
          <c:marker>
            <c:symbol val="none"/>
          </c:marker>
          <c:dLbls>
            <c:dLbl>
              <c:idx val="0"/>
              <c:layout>
                <c:manualLayout>
                  <c:x val="-4.5349053683786077E-2"/>
                  <c:y val="-0.18700117286143547"/>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4.4956730203654163E-2"/>
                  <c:y val="-0.20857791543278353"/>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4.2147015427135108E-2"/>
                  <c:y val="-3.2365538601638801E-2"/>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4.2147015427135108E-2"/>
                  <c:y val="-3.5961709557376452E-2"/>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3.9337214398659406E-2"/>
                  <c:y val="-3.5961709557376452E-2"/>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4.4956816455610824E-2"/>
                  <c:y val="-2.8769367645901201E-2"/>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4.4956816455610824E-2"/>
                  <c:y val="-3.2365538601638835E-2"/>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4.2147015427135108E-2"/>
                  <c:y val="-3.9557880513114242E-2"/>
                </c:manualLayout>
              </c:layout>
              <c:showLegendKey val="0"/>
              <c:showVal val="1"/>
              <c:showCatName val="0"/>
              <c:showSerName val="0"/>
              <c:showPercent val="0"/>
              <c:showBubbleSize val="0"/>
              <c:extLst>
                <c:ext xmlns:c15="http://schemas.microsoft.com/office/drawing/2012/chart" uri="{CE6537A1-D6FC-4f65-9D91-7224C49458BB}"/>
              </c:extLst>
            </c:dLbl>
            <c:dLbl>
              <c:idx val="8"/>
              <c:layout>
                <c:manualLayout>
                  <c:x val="-4.2147077332839927E-2"/>
                  <c:y val="-6.1134906247540033E-2"/>
                </c:manualLayout>
              </c:layout>
              <c:showLegendKey val="0"/>
              <c:showVal val="1"/>
              <c:showCatName val="0"/>
              <c:showSerName val="0"/>
              <c:showPercent val="0"/>
              <c:showBubbleSize val="0"/>
              <c:extLst>
                <c:ext xmlns:c15="http://schemas.microsoft.com/office/drawing/2012/chart" uri="{CE6537A1-D6FC-4f65-9D91-7224C49458BB}"/>
              </c:extLst>
            </c:dLbl>
            <c:dLbl>
              <c:idx val="9"/>
              <c:layout>
                <c:manualLayout>
                  <c:x val="-4.7766573430354023E-2"/>
                  <c:y val="-0.11867364153934259"/>
                </c:manualLayout>
              </c:layout>
              <c:showLegendKey val="0"/>
              <c:showVal val="1"/>
              <c:showCatName val="0"/>
              <c:showSerName val="0"/>
              <c:showPercent val="0"/>
              <c:showBubbleSize val="0"/>
              <c:extLst>
                <c:ext xmlns:c15="http://schemas.microsoft.com/office/drawing/2012/chart" uri="{CE6537A1-D6FC-4f65-9D91-7224C49458BB}"/>
              </c:extLst>
            </c:dLbl>
            <c:dLbl>
              <c:idx val="10"/>
              <c:layout>
                <c:manualLayout>
                  <c:x val="-4.4956730203654163E-2"/>
                  <c:y val="-0.16542386396393172"/>
                </c:manualLayout>
              </c:layout>
              <c:showLegendKey val="0"/>
              <c:showVal val="1"/>
              <c:showCatName val="0"/>
              <c:showSerName val="0"/>
              <c:showPercent val="0"/>
              <c:showBubbleSize val="0"/>
              <c:extLst>
                <c:ext xmlns:c15="http://schemas.microsoft.com/office/drawing/2012/chart" uri="{CE6537A1-D6FC-4f65-9D91-7224C49458BB}"/>
              </c:extLst>
            </c:dLbl>
            <c:dLbl>
              <c:idx val="11"/>
              <c:layout>
                <c:manualLayout>
                  <c:x val="-4.8551220390617801E-2"/>
                  <c:y val="-0.21577025734425889"/>
                </c:manualLayout>
              </c:layout>
              <c:showLegendKey val="0"/>
              <c:showVal val="1"/>
              <c:showCatName val="0"/>
              <c:showSerName val="0"/>
              <c:showPercent val="0"/>
              <c:showBubbleSize val="0"/>
              <c:extLst>
                <c:ext xmlns:c15="http://schemas.microsoft.com/office/drawing/2012/chart" uri="{CE6537A1-D6FC-4f65-9D91-7224C49458BB}"/>
              </c:extLst>
            </c:dLbl>
            <c:numFmt formatCode="&quot;$&quot;#,##0.0" sourceLinked="0"/>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'PGA Graphs 2012-13'!$B$13:$M$13</c:f>
              <c:strCache>
                <c:ptCount val="12"/>
                <c:pt idx="0">
                  <c:v>O-12</c:v>
                </c:pt>
                <c:pt idx="1">
                  <c:v>N</c:v>
                </c:pt>
                <c:pt idx="2">
                  <c:v>D</c:v>
                </c:pt>
                <c:pt idx="3">
                  <c:v>J-13</c:v>
                </c:pt>
                <c:pt idx="4">
                  <c:v>F-13</c:v>
                </c:pt>
                <c:pt idx="5">
                  <c:v>M</c:v>
                </c:pt>
                <c:pt idx="6">
                  <c:v>A</c:v>
                </c:pt>
                <c:pt idx="7">
                  <c:v>M</c:v>
                </c:pt>
                <c:pt idx="8">
                  <c:v>J</c:v>
                </c:pt>
                <c:pt idx="9">
                  <c:v>J</c:v>
                </c:pt>
                <c:pt idx="10">
                  <c:v>A</c:v>
                </c:pt>
                <c:pt idx="11">
                  <c:v>S</c:v>
                </c:pt>
              </c:strCache>
            </c:strRef>
          </c:cat>
          <c:val>
            <c:numRef>
              <c:f>'PGA Graphs 2012-13'!$B$16:$M$16</c:f>
              <c:numCache>
                <c:formatCode>"$"#,##0.0_);\("$"#,##0.0\)</c:formatCode>
                <c:ptCount val="12"/>
                <c:pt idx="0">
                  <c:v>1.3142071258338643</c:v>
                </c:pt>
                <c:pt idx="1">
                  <c:v>0.44120141736404872</c:v>
                </c:pt>
                <c:pt idx="2">
                  <c:v>0.47885362982504837</c:v>
                </c:pt>
                <c:pt idx="3">
                  <c:v>1.83733979386305</c:v>
                </c:pt>
                <c:pt idx="4">
                  <c:v>1.6497722692770493</c:v>
                </c:pt>
                <c:pt idx="5">
                  <c:v>1.7199651334540502</c:v>
                </c:pt>
                <c:pt idx="6">
                  <c:v>1.8392028998580503</c:v>
                </c:pt>
                <c:pt idx="7">
                  <c:v>1.7430733338760509</c:v>
                </c:pt>
                <c:pt idx="8">
                  <c:v>1.4264267703730502</c:v>
                </c:pt>
                <c:pt idx="9">
                  <c:v>1.156973446860049</c:v>
                </c:pt>
                <c:pt idx="10">
                  <c:v>1.0442742632200483</c:v>
                </c:pt>
                <c:pt idx="11">
                  <c:v>1.1225507025260486</c:v>
                </c:pt>
              </c:numCache>
            </c:numRef>
          </c:val>
          <c:smooth val="0"/>
        </c:ser>
        <c:dLbls>
          <c:showLegendKey val="0"/>
          <c:showVal val="0"/>
          <c:showCatName val="0"/>
          <c:showSerName val="0"/>
          <c:showPercent val="0"/>
          <c:showBubbleSize val="0"/>
        </c:dLbls>
        <c:marker val="1"/>
        <c:smooth val="0"/>
        <c:axId val="567366808"/>
        <c:axId val="567367200"/>
      </c:lineChart>
      <c:catAx>
        <c:axId val="567366808"/>
        <c:scaling>
          <c:orientation val="minMax"/>
        </c:scaling>
        <c:delete val="0"/>
        <c:axPos val="b"/>
        <c:numFmt formatCode="General" sourceLinked="1"/>
        <c:majorTickMark val="out"/>
        <c:minorTickMark val="none"/>
        <c:tickLblPos val="low"/>
        <c:spPr>
          <a:ln w="25400">
            <a:solidFill>
              <a:schemeClr val="tx1"/>
            </a:solidFill>
          </a:ln>
        </c:spPr>
        <c:txPr>
          <a:bodyPr/>
          <a:lstStyle/>
          <a:p>
            <a:pPr>
              <a:defRPr b="1"/>
            </a:pPr>
            <a:endParaRPr lang="en-US"/>
          </a:p>
        </c:txPr>
        <c:crossAx val="567367200"/>
        <c:crosses val="autoZero"/>
        <c:auto val="1"/>
        <c:lblAlgn val="ctr"/>
        <c:lblOffset val="0"/>
        <c:noMultiLvlLbl val="0"/>
      </c:catAx>
      <c:valAx>
        <c:axId val="567367200"/>
        <c:scaling>
          <c:orientation val="minMax"/>
          <c:max val="6"/>
          <c:min val="-2"/>
        </c:scaling>
        <c:delete val="1"/>
        <c:axPos val="l"/>
        <c:numFmt formatCode="&quot;$&quot;#,##0.0" sourceLinked="0"/>
        <c:majorTickMark val="out"/>
        <c:minorTickMark val="none"/>
        <c:tickLblPos val="none"/>
        <c:crossAx val="567366808"/>
        <c:crosses val="autoZero"/>
        <c:crossBetween val="between"/>
      </c:valAx>
    </c:plotArea>
    <c:legend>
      <c:legendPos val="r"/>
      <c:legendEntry>
        <c:idx val="2"/>
        <c:delete val="1"/>
      </c:legendEntry>
      <c:layout>
        <c:manualLayout>
          <c:xMode val="edge"/>
          <c:yMode val="edge"/>
          <c:x val="0.72024233065654875"/>
          <c:y val="7.180788858326155E-2"/>
          <c:w val="0.24347564720049344"/>
          <c:h val="0.10607798197610629"/>
        </c:manualLayout>
      </c:layout>
      <c:overlay val="0"/>
      <c:spPr>
        <a:solidFill>
          <a:schemeClr val="bg1"/>
        </a:solidFill>
        <a:ln w="25400">
          <a:solidFill>
            <a:sysClr val="windowText" lastClr="000000"/>
          </a:solidFill>
        </a:ln>
      </c:spPr>
      <c:txPr>
        <a:bodyPr/>
        <a:lstStyle/>
        <a:p>
          <a:pPr>
            <a:defRPr sz="1200" b="1"/>
          </a:pPr>
          <a:endParaRPr lang="en-US"/>
        </a:p>
      </c:txPr>
    </c:legend>
    <c:plotVisOnly val="1"/>
    <c:dispBlanksAs val="gap"/>
    <c:showDLblsOverMax val="0"/>
  </c:chart>
  <c:spPr>
    <a:ln w="31750">
      <a:solidFill>
        <a:sysClr val="windowText" lastClr="000000"/>
      </a:solidFill>
    </a:ln>
  </c:sp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WA PGA Commodity</a:t>
            </a:r>
          </a:p>
        </c:rich>
      </c:tx>
      <c:overlay val="0"/>
    </c:title>
    <c:autoTitleDeleted val="0"/>
    <c:plotArea>
      <c:layout/>
      <c:lineChart>
        <c:grouping val="standard"/>
        <c:varyColors val="0"/>
        <c:ser>
          <c:idx val="0"/>
          <c:order val="0"/>
          <c:tx>
            <c:strRef>
              <c:f>'PGA Graphs 2013-14'!$A$8</c:f>
              <c:strCache>
                <c:ptCount val="1"/>
                <c:pt idx="0">
                  <c:v>PGA Rate</c:v>
                </c:pt>
              </c:strCache>
            </c:strRef>
          </c:tx>
          <c:marker>
            <c:symbol val="none"/>
          </c:marker>
          <c:cat>
            <c:strRef>
              <c:f>'PGA Graphs 2013-14'!$B$7:$N$7</c:f>
              <c:strCache>
                <c:ptCount val="13"/>
                <c:pt idx="0">
                  <c:v>O-13</c:v>
                </c:pt>
                <c:pt idx="1">
                  <c:v>N-13</c:v>
                </c:pt>
                <c:pt idx="2">
                  <c:v>D-13</c:v>
                </c:pt>
                <c:pt idx="3">
                  <c:v>J-14</c:v>
                </c:pt>
                <c:pt idx="4">
                  <c:v>F-14</c:v>
                </c:pt>
                <c:pt idx="5">
                  <c:v>M-14</c:v>
                </c:pt>
                <c:pt idx="6">
                  <c:v>A-14</c:v>
                </c:pt>
                <c:pt idx="7">
                  <c:v>M-14</c:v>
                </c:pt>
                <c:pt idx="8">
                  <c:v>J-14</c:v>
                </c:pt>
                <c:pt idx="9">
                  <c:v>J-14</c:v>
                </c:pt>
                <c:pt idx="10">
                  <c:v>A-14</c:v>
                </c:pt>
                <c:pt idx="11">
                  <c:v>S-14</c:v>
                </c:pt>
                <c:pt idx="12">
                  <c:v>O-14</c:v>
                </c:pt>
              </c:strCache>
            </c:strRef>
          </c:cat>
          <c:val>
            <c:numRef>
              <c:f>'PGA Graphs 2013-14'!$B$8:$N$8</c:f>
              <c:numCache>
                <c:formatCode>"$"#,##0.00_);\("$"#,##0.00\)</c:formatCode>
                <c:ptCount val="13"/>
                <c:pt idx="0">
                  <c:v>3.3051999999999997</c:v>
                </c:pt>
                <c:pt idx="1">
                  <c:v>3.6246661221178802</c:v>
                </c:pt>
                <c:pt idx="2">
                  <c:v>3.6234780920677898</c:v>
                </c:pt>
                <c:pt idx="3">
                  <c:v>1.7066999999999999</c:v>
                </c:pt>
                <c:pt idx="4">
                  <c:v>1.7066999999999999</c:v>
                </c:pt>
                <c:pt idx="5">
                  <c:v>1.4024836723360967</c:v>
                </c:pt>
                <c:pt idx="6">
                  <c:v>1.4024836723360967</c:v>
                </c:pt>
                <c:pt idx="7">
                  <c:v>1.4024836723360967</c:v>
                </c:pt>
                <c:pt idx="8">
                  <c:v>1.4024836723360967</c:v>
                </c:pt>
                <c:pt idx="9">
                  <c:v>1.4024836723360967</c:v>
                </c:pt>
                <c:pt idx="10">
                  <c:v>1.4024836723360967</c:v>
                </c:pt>
                <c:pt idx="11">
                  <c:v>1.4024836723360967</c:v>
                </c:pt>
                <c:pt idx="12">
                  <c:v>1.4024836723360967</c:v>
                </c:pt>
              </c:numCache>
            </c:numRef>
          </c:val>
          <c:smooth val="0"/>
        </c:ser>
        <c:ser>
          <c:idx val="2"/>
          <c:order val="1"/>
          <c:tx>
            <c:strRef>
              <c:f>'PGA Graphs 2013-14'!$A$9</c:f>
              <c:strCache>
                <c:ptCount val="1"/>
                <c:pt idx="0">
                  <c:v>PGA Budget</c:v>
                </c:pt>
              </c:strCache>
            </c:strRef>
          </c:tx>
          <c:marker>
            <c:symbol val="none"/>
          </c:marker>
          <c:val>
            <c:numRef>
              <c:f>'PGA Graphs 2013-14'!$B$9:$N$9</c:f>
              <c:numCache>
                <c:formatCode>"$"#,##0.00_);\("$"#,##0.00\)</c:formatCode>
                <c:ptCount val="13"/>
                <c:pt idx="0">
                  <c:v>3.5167999999999999</c:v>
                </c:pt>
                <c:pt idx="1">
                  <c:v>3.8812999999999995</c:v>
                </c:pt>
                <c:pt idx="2">
                  <c:v>3.6348000000000003</c:v>
                </c:pt>
                <c:pt idx="3">
                  <c:v>3.6143999999999998</c:v>
                </c:pt>
                <c:pt idx="4">
                  <c:v>3.6770000000000005</c:v>
                </c:pt>
                <c:pt idx="5">
                  <c:v>3.9145000000000003</c:v>
                </c:pt>
                <c:pt idx="6">
                  <c:v>3.3395999999999999</c:v>
                </c:pt>
                <c:pt idx="7">
                  <c:v>3.3895</c:v>
                </c:pt>
                <c:pt idx="8">
                  <c:v>3.3272000000000004</c:v>
                </c:pt>
                <c:pt idx="9">
                  <c:v>3.3701999999999996</c:v>
                </c:pt>
                <c:pt idx="10">
                  <c:v>3.3369</c:v>
                </c:pt>
                <c:pt idx="11">
                  <c:v>3.3742000000000001</c:v>
                </c:pt>
                <c:pt idx="12">
                  <c:v>3.5167999999999999</c:v>
                </c:pt>
              </c:numCache>
            </c:numRef>
          </c:val>
          <c:smooth val="0"/>
        </c:ser>
        <c:ser>
          <c:idx val="1"/>
          <c:order val="2"/>
          <c:tx>
            <c:strRef>
              <c:f>'PGA Graphs 2013-14'!$A$10</c:f>
              <c:strCache>
                <c:ptCount val="1"/>
                <c:pt idx="0">
                  <c:v>Actual</c:v>
                </c:pt>
              </c:strCache>
            </c:strRef>
          </c:tx>
          <c:marker>
            <c:symbol val="none"/>
          </c:marker>
          <c:cat>
            <c:strRef>
              <c:f>'PGA Graphs 2013-14'!$B$7:$N$7</c:f>
              <c:strCache>
                <c:ptCount val="13"/>
                <c:pt idx="0">
                  <c:v>O-13</c:v>
                </c:pt>
                <c:pt idx="1">
                  <c:v>N-13</c:v>
                </c:pt>
                <c:pt idx="2">
                  <c:v>D-13</c:v>
                </c:pt>
                <c:pt idx="3">
                  <c:v>J-14</c:v>
                </c:pt>
                <c:pt idx="4">
                  <c:v>F-14</c:v>
                </c:pt>
                <c:pt idx="5">
                  <c:v>M-14</c:v>
                </c:pt>
                <c:pt idx="6">
                  <c:v>A-14</c:v>
                </c:pt>
                <c:pt idx="7">
                  <c:v>M-14</c:v>
                </c:pt>
                <c:pt idx="8">
                  <c:v>J-14</c:v>
                </c:pt>
                <c:pt idx="9">
                  <c:v>J-14</c:v>
                </c:pt>
                <c:pt idx="10">
                  <c:v>A-14</c:v>
                </c:pt>
                <c:pt idx="11">
                  <c:v>S-14</c:v>
                </c:pt>
                <c:pt idx="12">
                  <c:v>O-14</c:v>
                </c:pt>
              </c:strCache>
            </c:strRef>
          </c:cat>
          <c:val>
            <c:numRef>
              <c:f>'PGA Graphs 2013-14'!$B$10:$N$10</c:f>
              <c:numCache>
                <c:formatCode>"$"#,##0.00_);\("$"#,##0.00\)</c:formatCode>
                <c:ptCount val="13"/>
                <c:pt idx="0">
                  <c:v>2.7800856064110402</c:v>
                </c:pt>
                <c:pt idx="1">
                  <c:v>3.4540440792083</c:v>
                </c:pt>
                <c:pt idx="2">
                  <c:v>3.1876161555634601</c:v>
                </c:pt>
                <c:pt idx="3">
                  <c:v>2.0034461902419394</c:v>
                </c:pt>
                <c:pt idx="4">
                  <c:v>3.9828052868257489</c:v>
                </c:pt>
                <c:pt idx="5">
                  <c:v>6.3147693348967726</c:v>
                </c:pt>
              </c:numCache>
            </c:numRef>
          </c:val>
          <c:smooth val="0"/>
        </c:ser>
        <c:dLbls>
          <c:showLegendKey val="0"/>
          <c:showVal val="0"/>
          <c:showCatName val="0"/>
          <c:showSerName val="0"/>
          <c:showPercent val="0"/>
          <c:showBubbleSize val="0"/>
        </c:dLbls>
        <c:smooth val="0"/>
        <c:axId val="571841288"/>
        <c:axId val="571841680"/>
      </c:lineChart>
      <c:catAx>
        <c:axId val="571841288"/>
        <c:scaling>
          <c:orientation val="minMax"/>
        </c:scaling>
        <c:delete val="0"/>
        <c:axPos val="b"/>
        <c:numFmt formatCode="General" sourceLinked="0"/>
        <c:majorTickMark val="out"/>
        <c:minorTickMark val="none"/>
        <c:tickLblPos val="nextTo"/>
        <c:txPr>
          <a:bodyPr rot="5400000" vert="horz"/>
          <a:lstStyle/>
          <a:p>
            <a:pPr>
              <a:defRPr/>
            </a:pPr>
            <a:endParaRPr lang="en-US"/>
          </a:p>
        </c:txPr>
        <c:crossAx val="571841680"/>
        <c:crosses val="autoZero"/>
        <c:auto val="1"/>
        <c:lblAlgn val="ctr"/>
        <c:lblOffset val="100"/>
        <c:noMultiLvlLbl val="0"/>
      </c:catAx>
      <c:valAx>
        <c:axId val="571841680"/>
        <c:scaling>
          <c:orientation val="minMax"/>
        </c:scaling>
        <c:delete val="0"/>
        <c:axPos val="l"/>
        <c:majorGridlines/>
        <c:numFmt formatCode="&quot;$&quot;#,##0.00_);\(&quot;$&quot;#,##0.00\)" sourceLinked="1"/>
        <c:majorTickMark val="out"/>
        <c:minorTickMark val="none"/>
        <c:tickLblPos val="nextTo"/>
        <c:crossAx val="571841288"/>
        <c:crosses val="autoZero"/>
        <c:crossBetween val="between"/>
      </c:valAx>
    </c:plotArea>
    <c:legend>
      <c:legendPos val="r"/>
      <c:overlay val="0"/>
    </c:legend>
    <c:plotVisOnly val="1"/>
    <c:dispBlanksAs val="gap"/>
    <c:showDLblsOverMax val="0"/>
  </c:chart>
  <c:printSettings>
    <c:headerFooter/>
    <c:pageMargins b="0.75000000000001266" l="0.70000000000000062" r="0.70000000000000062" t="0.750000000000012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WA PGA Demand</a:t>
            </a:r>
          </a:p>
        </c:rich>
      </c:tx>
      <c:overlay val="0"/>
    </c:title>
    <c:autoTitleDeleted val="0"/>
    <c:plotArea>
      <c:layout/>
      <c:lineChart>
        <c:grouping val="standard"/>
        <c:varyColors val="0"/>
        <c:ser>
          <c:idx val="0"/>
          <c:order val="0"/>
          <c:tx>
            <c:strRef>
              <c:f>'PGA Graphs 2013-14'!$A$11</c:f>
              <c:strCache>
                <c:ptCount val="1"/>
                <c:pt idx="0">
                  <c:v>PGA Rate</c:v>
                </c:pt>
              </c:strCache>
            </c:strRef>
          </c:tx>
          <c:marker>
            <c:symbol val="none"/>
          </c:marker>
          <c:cat>
            <c:strRef>
              <c:f>'PGA Graphs 2013-14'!$B$7:$N$7</c:f>
              <c:strCache>
                <c:ptCount val="13"/>
                <c:pt idx="0">
                  <c:v>O-13</c:v>
                </c:pt>
                <c:pt idx="1">
                  <c:v>N-13</c:v>
                </c:pt>
                <c:pt idx="2">
                  <c:v>D-13</c:v>
                </c:pt>
                <c:pt idx="3">
                  <c:v>J-14</c:v>
                </c:pt>
                <c:pt idx="4">
                  <c:v>F-14</c:v>
                </c:pt>
                <c:pt idx="5">
                  <c:v>M-14</c:v>
                </c:pt>
                <c:pt idx="6">
                  <c:v>A-14</c:v>
                </c:pt>
                <c:pt idx="7">
                  <c:v>M-14</c:v>
                </c:pt>
                <c:pt idx="8">
                  <c:v>J-14</c:v>
                </c:pt>
                <c:pt idx="9">
                  <c:v>J-14</c:v>
                </c:pt>
                <c:pt idx="10">
                  <c:v>A-14</c:v>
                </c:pt>
                <c:pt idx="11">
                  <c:v>S-14</c:v>
                </c:pt>
                <c:pt idx="12">
                  <c:v>O-14</c:v>
                </c:pt>
              </c:strCache>
            </c:strRef>
          </c:cat>
          <c:val>
            <c:numRef>
              <c:f>'PGA Graphs 2013-14'!$B$11:$N$11</c:f>
              <c:numCache>
                <c:formatCode>"$"#,##0.00_);\("$"#,##0.00\)</c:formatCode>
                <c:ptCount val="13"/>
                <c:pt idx="0">
                  <c:v>0.86508677222961405</c:v>
                </c:pt>
                <c:pt idx="1">
                  <c:v>0.98017103319810395</c:v>
                </c:pt>
                <c:pt idx="2">
                  <c:v>0.99766447491792298</c:v>
                </c:pt>
                <c:pt idx="3">
                  <c:v>0.87764381401243774</c:v>
                </c:pt>
                <c:pt idx="4">
                  <c:v>0.88880033854060725</c:v>
                </c:pt>
                <c:pt idx="5">
                  <c:v>0.77882064837662346</c:v>
                </c:pt>
              </c:numCache>
            </c:numRef>
          </c:val>
          <c:smooth val="0"/>
        </c:ser>
        <c:ser>
          <c:idx val="2"/>
          <c:order val="1"/>
          <c:tx>
            <c:strRef>
              <c:f>'PGA Graphs 2013-14'!$A$12</c:f>
              <c:strCache>
                <c:ptCount val="1"/>
                <c:pt idx="0">
                  <c:v>PGA Budget</c:v>
                </c:pt>
              </c:strCache>
            </c:strRef>
          </c:tx>
          <c:marker>
            <c:symbol val="none"/>
          </c:marker>
          <c:val>
            <c:numRef>
              <c:f>'PGA Graphs 2013-14'!$B$12:$N$12</c:f>
              <c:numCache>
                <c:formatCode>"$"#,##0.00_);\("$"#,##0.00\)</c:formatCode>
                <c:ptCount val="13"/>
                <c:pt idx="0">
                  <c:v>1.4529330378220591</c:v>
                </c:pt>
                <c:pt idx="1">
                  <c:v>0.79431349782690841</c:v>
                </c:pt>
                <c:pt idx="2">
                  <c:v>0.60296290558547094</c:v>
                </c:pt>
                <c:pt idx="3">
                  <c:v>0.60895264158951812</c:v>
                </c:pt>
                <c:pt idx="4">
                  <c:v>0.60656225946654285</c:v>
                </c:pt>
                <c:pt idx="5">
                  <c:v>0.87532504655494603</c:v>
                </c:pt>
                <c:pt idx="6">
                  <c:v>1.1232232940560019</c:v>
                </c:pt>
                <c:pt idx="7">
                  <c:v>2.0020366178222502</c:v>
                </c:pt>
                <c:pt idx="8">
                  <c:v>2.9050208439006555</c:v>
                </c:pt>
                <c:pt idx="9">
                  <c:v>3.9176133126746118</c:v>
                </c:pt>
                <c:pt idx="10">
                  <c:v>3.8752231593583324</c:v>
                </c:pt>
                <c:pt idx="11">
                  <c:v>3.4387986026867114</c:v>
                </c:pt>
                <c:pt idx="12">
                  <c:v>1.4529330378220591</c:v>
                </c:pt>
              </c:numCache>
            </c:numRef>
          </c:val>
          <c:smooth val="0"/>
        </c:ser>
        <c:ser>
          <c:idx val="1"/>
          <c:order val="2"/>
          <c:tx>
            <c:strRef>
              <c:f>'PGA Graphs 2013-14'!$A$13</c:f>
              <c:strCache>
                <c:ptCount val="1"/>
                <c:pt idx="0">
                  <c:v>Actual</c:v>
                </c:pt>
              </c:strCache>
            </c:strRef>
          </c:tx>
          <c:marker>
            <c:symbol val="none"/>
          </c:marker>
          <c:cat>
            <c:strRef>
              <c:f>'PGA Graphs 2013-14'!$B$7:$N$7</c:f>
              <c:strCache>
                <c:ptCount val="13"/>
                <c:pt idx="0">
                  <c:v>O-13</c:v>
                </c:pt>
                <c:pt idx="1">
                  <c:v>N-13</c:v>
                </c:pt>
                <c:pt idx="2">
                  <c:v>D-13</c:v>
                </c:pt>
                <c:pt idx="3">
                  <c:v>J-14</c:v>
                </c:pt>
                <c:pt idx="4">
                  <c:v>F-14</c:v>
                </c:pt>
                <c:pt idx="5">
                  <c:v>M-14</c:v>
                </c:pt>
                <c:pt idx="6">
                  <c:v>A-14</c:v>
                </c:pt>
                <c:pt idx="7">
                  <c:v>M-14</c:v>
                </c:pt>
                <c:pt idx="8">
                  <c:v>J-14</c:v>
                </c:pt>
                <c:pt idx="9">
                  <c:v>J-14</c:v>
                </c:pt>
                <c:pt idx="10">
                  <c:v>A-14</c:v>
                </c:pt>
                <c:pt idx="11">
                  <c:v>S-14</c:v>
                </c:pt>
                <c:pt idx="12">
                  <c:v>O-14</c:v>
                </c:pt>
              </c:strCache>
            </c:strRef>
          </c:cat>
          <c:val>
            <c:numRef>
              <c:f>'PGA Graphs 2013-14'!$B$13:$N$13</c:f>
              <c:numCache>
                <c:formatCode>"$"#,##0.00_);\("$"#,##0.00\)</c:formatCode>
                <c:ptCount val="13"/>
                <c:pt idx="0">
                  <c:v>1.02504522593617</c:v>
                </c:pt>
                <c:pt idx="1">
                  <c:v>0.65827334268652904</c:v>
                </c:pt>
                <c:pt idx="2">
                  <c:v>0.51365176254981604</c:v>
                </c:pt>
                <c:pt idx="3">
                  <c:v>0.47774333843624833</c:v>
                </c:pt>
                <c:pt idx="4">
                  <c:v>0.40227702942960486</c:v>
                </c:pt>
                <c:pt idx="5">
                  <c:v>0.5309920186518855</c:v>
                </c:pt>
              </c:numCache>
            </c:numRef>
          </c:val>
          <c:smooth val="0"/>
        </c:ser>
        <c:dLbls>
          <c:showLegendKey val="0"/>
          <c:showVal val="0"/>
          <c:showCatName val="0"/>
          <c:showSerName val="0"/>
          <c:showPercent val="0"/>
          <c:showBubbleSize val="0"/>
        </c:dLbls>
        <c:smooth val="0"/>
        <c:axId val="571842464"/>
        <c:axId val="571842856"/>
      </c:lineChart>
      <c:catAx>
        <c:axId val="571842464"/>
        <c:scaling>
          <c:orientation val="minMax"/>
        </c:scaling>
        <c:delete val="0"/>
        <c:axPos val="b"/>
        <c:numFmt formatCode="General" sourceLinked="0"/>
        <c:majorTickMark val="out"/>
        <c:minorTickMark val="none"/>
        <c:tickLblPos val="nextTo"/>
        <c:txPr>
          <a:bodyPr rot="5400000" vert="horz"/>
          <a:lstStyle/>
          <a:p>
            <a:pPr>
              <a:defRPr/>
            </a:pPr>
            <a:endParaRPr lang="en-US"/>
          </a:p>
        </c:txPr>
        <c:crossAx val="571842856"/>
        <c:crosses val="autoZero"/>
        <c:auto val="1"/>
        <c:lblAlgn val="ctr"/>
        <c:lblOffset val="100"/>
        <c:noMultiLvlLbl val="0"/>
      </c:catAx>
      <c:valAx>
        <c:axId val="571842856"/>
        <c:scaling>
          <c:orientation val="minMax"/>
        </c:scaling>
        <c:delete val="0"/>
        <c:axPos val="l"/>
        <c:majorGridlines/>
        <c:numFmt formatCode="&quot;$&quot;#,##0.00_);\(&quot;$&quot;#,##0.00\)" sourceLinked="1"/>
        <c:majorTickMark val="out"/>
        <c:minorTickMark val="none"/>
        <c:tickLblPos val="nextTo"/>
        <c:crossAx val="571842464"/>
        <c:crosses val="autoZero"/>
        <c:crossBetween val="between"/>
      </c:valAx>
    </c:plotArea>
    <c:legend>
      <c:legendPos val="r"/>
      <c:overlay val="0"/>
    </c:legend>
    <c:plotVisOnly val="1"/>
    <c:dispBlanksAs val="gap"/>
    <c:showDLblsOverMax val="0"/>
  </c:chart>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ID PGA Demand</a:t>
            </a:r>
          </a:p>
        </c:rich>
      </c:tx>
      <c:overlay val="0"/>
    </c:title>
    <c:autoTitleDeleted val="0"/>
    <c:plotArea>
      <c:layout/>
      <c:lineChart>
        <c:grouping val="standard"/>
        <c:varyColors val="0"/>
        <c:ser>
          <c:idx val="0"/>
          <c:order val="0"/>
          <c:tx>
            <c:strRef>
              <c:f>'PGA Graphs 2013-14'!$A$20</c:f>
              <c:strCache>
                <c:ptCount val="1"/>
                <c:pt idx="0">
                  <c:v>PGA Rate</c:v>
                </c:pt>
              </c:strCache>
            </c:strRef>
          </c:tx>
          <c:marker>
            <c:symbol val="none"/>
          </c:marker>
          <c:cat>
            <c:strRef>
              <c:f>'PGA Graphs 2013-14'!$B$7:$N$7</c:f>
              <c:strCache>
                <c:ptCount val="13"/>
                <c:pt idx="0">
                  <c:v>O-13</c:v>
                </c:pt>
                <c:pt idx="1">
                  <c:v>N-13</c:v>
                </c:pt>
                <c:pt idx="2">
                  <c:v>D-13</c:v>
                </c:pt>
                <c:pt idx="3">
                  <c:v>J-14</c:v>
                </c:pt>
                <c:pt idx="4">
                  <c:v>F-14</c:v>
                </c:pt>
                <c:pt idx="5">
                  <c:v>M-14</c:v>
                </c:pt>
                <c:pt idx="6">
                  <c:v>A-14</c:v>
                </c:pt>
                <c:pt idx="7">
                  <c:v>M-14</c:v>
                </c:pt>
                <c:pt idx="8">
                  <c:v>J-14</c:v>
                </c:pt>
                <c:pt idx="9">
                  <c:v>J-14</c:v>
                </c:pt>
                <c:pt idx="10">
                  <c:v>A-14</c:v>
                </c:pt>
                <c:pt idx="11">
                  <c:v>S-14</c:v>
                </c:pt>
                <c:pt idx="12">
                  <c:v>O-14</c:v>
                </c:pt>
              </c:strCache>
            </c:strRef>
          </c:cat>
          <c:val>
            <c:numRef>
              <c:f>'PGA Graphs 2013-14'!$B$20:$N$20</c:f>
              <c:numCache>
                <c:formatCode>"$"#,##0.00_);\("$"#,##0.00\)</c:formatCode>
                <c:ptCount val="13"/>
                <c:pt idx="0">
                  <c:v>1.0742522128918399</c:v>
                </c:pt>
                <c:pt idx="1">
                  <c:v>1.0741263842636799</c:v>
                </c:pt>
                <c:pt idx="2">
                  <c:v>1.0744</c:v>
                </c:pt>
                <c:pt idx="3">
                  <c:v>0.95839999999999992</c:v>
                </c:pt>
                <c:pt idx="4">
                  <c:v>0.95840000000000014</c:v>
                </c:pt>
                <c:pt idx="5">
                  <c:v>0.97133976054333671</c:v>
                </c:pt>
                <c:pt idx="6">
                  <c:v>0.95839999999999981</c:v>
                </c:pt>
                <c:pt idx="7">
                  <c:v>0.95839999999999992</c:v>
                </c:pt>
                <c:pt idx="8">
                  <c:v>0.95839999999999981</c:v>
                </c:pt>
                <c:pt idx="9">
                  <c:v>0.95839999999999992</c:v>
                </c:pt>
                <c:pt idx="10">
                  <c:v>0.95839999999999992</c:v>
                </c:pt>
                <c:pt idx="11">
                  <c:v>0</c:v>
                </c:pt>
                <c:pt idx="12">
                  <c:v>0</c:v>
                </c:pt>
              </c:numCache>
            </c:numRef>
          </c:val>
          <c:smooth val="0"/>
        </c:ser>
        <c:ser>
          <c:idx val="2"/>
          <c:order val="1"/>
          <c:tx>
            <c:strRef>
              <c:f>'PGA Graphs 2013-14'!$A$21</c:f>
              <c:strCache>
                <c:ptCount val="1"/>
                <c:pt idx="0">
                  <c:v>PGA Budget</c:v>
                </c:pt>
              </c:strCache>
            </c:strRef>
          </c:tx>
          <c:marker>
            <c:symbol val="none"/>
          </c:marker>
          <c:val>
            <c:numRef>
              <c:f>'PGA Graphs 2013-14'!$B$21:$N$21</c:f>
              <c:numCache>
                <c:formatCode>"$"#,##0.00_);\("$"#,##0.00\)</c:formatCode>
                <c:ptCount val="13"/>
                <c:pt idx="0">
                  <c:v>1.2942886206113142</c:v>
                </c:pt>
                <c:pt idx="1">
                  <c:v>0.74518730633512642</c:v>
                </c:pt>
                <c:pt idx="2">
                  <c:v>0.58083452630008092</c:v>
                </c:pt>
                <c:pt idx="3">
                  <c:v>0.60843027300764696</c:v>
                </c:pt>
                <c:pt idx="4">
                  <c:v>0.68505702536755764</c:v>
                </c:pt>
                <c:pt idx="5">
                  <c:v>0.81792088296424315</c:v>
                </c:pt>
                <c:pt idx="6">
                  <c:v>1.0438035301560928</c:v>
                </c:pt>
                <c:pt idx="7">
                  <c:v>1.8765356717896455</c:v>
                </c:pt>
                <c:pt idx="8">
                  <c:v>2.5204558648798452</c:v>
                </c:pt>
                <c:pt idx="9">
                  <c:v>3.0722913458699082</c:v>
                </c:pt>
                <c:pt idx="10">
                  <c:v>3.0936566161461703</c:v>
                </c:pt>
                <c:pt idx="11">
                  <c:v>2.484887676291045</c:v>
                </c:pt>
                <c:pt idx="12">
                  <c:v>1.1747692347018237</c:v>
                </c:pt>
              </c:numCache>
            </c:numRef>
          </c:val>
          <c:smooth val="0"/>
        </c:ser>
        <c:ser>
          <c:idx val="1"/>
          <c:order val="2"/>
          <c:tx>
            <c:strRef>
              <c:f>'PGA Graphs 2013-14'!$A$22</c:f>
              <c:strCache>
                <c:ptCount val="1"/>
                <c:pt idx="0">
                  <c:v>Actual</c:v>
                </c:pt>
              </c:strCache>
            </c:strRef>
          </c:tx>
          <c:marker>
            <c:symbol val="none"/>
          </c:marker>
          <c:cat>
            <c:numRef>
              <c:f>'PGA Graphs 2013-14'!$B$15:$N$15</c:f>
              <c:numCache>
                <c:formatCode>#,##0.00_);\(#,##0.00\)</c:formatCode>
                <c:ptCount val="13"/>
              </c:numCache>
            </c:numRef>
          </c:cat>
          <c:val>
            <c:numRef>
              <c:f>'PGA Graphs 2013-14'!$B$22:$N$22</c:f>
              <c:numCache>
                <c:formatCode>"$"#,##0.00_);\("$"#,##0.00\)</c:formatCode>
                <c:ptCount val="13"/>
                <c:pt idx="0">
                  <c:v>1.2115295970631399</c:v>
                </c:pt>
                <c:pt idx="1">
                  <c:v>0.708429666562987</c:v>
                </c:pt>
                <c:pt idx="2">
                  <c:v>0.54697005486642902</c:v>
                </c:pt>
                <c:pt idx="3">
                  <c:v>0.54685866082697709</c:v>
                </c:pt>
                <c:pt idx="4">
                  <c:v>0.42490904223956638</c:v>
                </c:pt>
                <c:pt idx="5">
                  <c:v>0.64099573706312185</c:v>
                </c:pt>
                <c:pt idx="6">
                  <c:v>1.0670667900181983</c:v>
                </c:pt>
                <c:pt idx="7">
                  <c:v>1.9888615279714641</c:v>
                </c:pt>
                <c:pt idx="8">
                  <c:v>2.5949233777823704</c:v>
                </c:pt>
                <c:pt idx="9">
                  <c:v>2.9448608844649655</c:v>
                </c:pt>
                <c:pt idx="10">
                  <c:v>2.9238742515850111</c:v>
                </c:pt>
                <c:pt idx="11">
                  <c:v>0</c:v>
                </c:pt>
                <c:pt idx="12">
                  <c:v>0</c:v>
                </c:pt>
              </c:numCache>
            </c:numRef>
          </c:val>
          <c:smooth val="0"/>
        </c:ser>
        <c:dLbls>
          <c:showLegendKey val="0"/>
          <c:showVal val="0"/>
          <c:showCatName val="0"/>
          <c:showSerName val="0"/>
          <c:showPercent val="0"/>
          <c:showBubbleSize val="0"/>
        </c:dLbls>
        <c:smooth val="0"/>
        <c:axId val="571840896"/>
        <c:axId val="571840504"/>
      </c:lineChart>
      <c:catAx>
        <c:axId val="571840896"/>
        <c:scaling>
          <c:orientation val="minMax"/>
        </c:scaling>
        <c:delete val="0"/>
        <c:axPos val="b"/>
        <c:numFmt formatCode="General" sourceLinked="0"/>
        <c:majorTickMark val="out"/>
        <c:minorTickMark val="none"/>
        <c:tickLblPos val="nextTo"/>
        <c:txPr>
          <a:bodyPr rot="5400000" vert="horz"/>
          <a:lstStyle/>
          <a:p>
            <a:pPr>
              <a:defRPr/>
            </a:pPr>
            <a:endParaRPr lang="en-US"/>
          </a:p>
        </c:txPr>
        <c:crossAx val="571840504"/>
        <c:crosses val="autoZero"/>
        <c:auto val="1"/>
        <c:lblAlgn val="ctr"/>
        <c:lblOffset val="100"/>
        <c:noMultiLvlLbl val="0"/>
      </c:catAx>
      <c:valAx>
        <c:axId val="571840504"/>
        <c:scaling>
          <c:orientation val="minMax"/>
        </c:scaling>
        <c:delete val="0"/>
        <c:axPos val="l"/>
        <c:majorGridlines/>
        <c:numFmt formatCode="&quot;$&quot;#,##0.00_);\(&quot;$&quot;#,##0.00\)" sourceLinked="1"/>
        <c:majorTickMark val="out"/>
        <c:minorTickMark val="none"/>
        <c:tickLblPos val="nextTo"/>
        <c:crossAx val="571840896"/>
        <c:crosses val="autoZero"/>
        <c:crossBetween val="between"/>
      </c:valAx>
    </c:plotArea>
    <c:legend>
      <c:legendPos val="r"/>
      <c:overlay val="0"/>
    </c:legend>
    <c:plotVisOnly val="1"/>
    <c:dispBlanksAs val="gap"/>
    <c:showDLblsOverMax val="0"/>
  </c:chart>
  <c:printSettings>
    <c:headerFooter/>
    <c:pageMargins b="0.75000000000001266" l="0.70000000000000062" r="0.70000000000000062" t="0.750000000000012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ID</a:t>
            </a:r>
            <a:r>
              <a:rPr lang="en-US" baseline="0"/>
              <a:t> PGA Commodity</a:t>
            </a:r>
            <a:endParaRPr lang="en-US"/>
          </a:p>
        </c:rich>
      </c:tx>
      <c:overlay val="0"/>
    </c:title>
    <c:autoTitleDeleted val="0"/>
    <c:plotArea>
      <c:layout/>
      <c:lineChart>
        <c:grouping val="standard"/>
        <c:varyColors val="0"/>
        <c:ser>
          <c:idx val="0"/>
          <c:order val="0"/>
          <c:tx>
            <c:strRef>
              <c:f>'PGA Graphs 2013-14'!$A$17</c:f>
              <c:strCache>
                <c:ptCount val="1"/>
                <c:pt idx="0">
                  <c:v>PGA Rate</c:v>
                </c:pt>
              </c:strCache>
            </c:strRef>
          </c:tx>
          <c:marker>
            <c:symbol val="none"/>
          </c:marker>
          <c:cat>
            <c:strRef>
              <c:f>'PGA Graphs 2013-14'!$B$7:$N$7</c:f>
              <c:strCache>
                <c:ptCount val="13"/>
                <c:pt idx="0">
                  <c:v>O-13</c:v>
                </c:pt>
                <c:pt idx="1">
                  <c:v>N-13</c:v>
                </c:pt>
                <c:pt idx="2">
                  <c:v>D-13</c:v>
                </c:pt>
                <c:pt idx="3">
                  <c:v>J-14</c:v>
                </c:pt>
                <c:pt idx="4">
                  <c:v>F-14</c:v>
                </c:pt>
                <c:pt idx="5">
                  <c:v>M-14</c:v>
                </c:pt>
                <c:pt idx="6">
                  <c:v>A-14</c:v>
                </c:pt>
                <c:pt idx="7">
                  <c:v>M-14</c:v>
                </c:pt>
                <c:pt idx="8">
                  <c:v>J-14</c:v>
                </c:pt>
                <c:pt idx="9">
                  <c:v>J-14</c:v>
                </c:pt>
                <c:pt idx="10">
                  <c:v>A-14</c:v>
                </c:pt>
                <c:pt idx="11">
                  <c:v>S-14</c:v>
                </c:pt>
                <c:pt idx="12">
                  <c:v>O-14</c:v>
                </c:pt>
              </c:strCache>
            </c:strRef>
          </c:cat>
          <c:val>
            <c:numRef>
              <c:f>'PGA Graphs 2013-14'!$B$17:$N$17</c:f>
              <c:numCache>
                <c:formatCode>"$"#,##0.00_);\("$"#,##0.00\)</c:formatCode>
                <c:ptCount val="13"/>
                <c:pt idx="0">
                  <c:v>3.7138086914005299</c:v>
                </c:pt>
                <c:pt idx="1">
                  <c:v>3.71000032320786</c:v>
                </c:pt>
                <c:pt idx="2">
                  <c:v>3.7124000000000001</c:v>
                </c:pt>
                <c:pt idx="3">
                  <c:v>1.6885999999999999</c:v>
                </c:pt>
                <c:pt idx="4">
                  <c:v>1.6885999999999999</c:v>
                </c:pt>
                <c:pt idx="5">
                  <c:v>1.5021009403511651</c:v>
                </c:pt>
                <c:pt idx="6">
                  <c:v>1.6886000000000001</c:v>
                </c:pt>
                <c:pt idx="7">
                  <c:v>1.6886000000000001</c:v>
                </c:pt>
                <c:pt idx="8">
                  <c:v>1.6885999999999999</c:v>
                </c:pt>
                <c:pt idx="9">
                  <c:v>1.6886000000000003</c:v>
                </c:pt>
                <c:pt idx="10">
                  <c:v>1.6886000000000003</c:v>
                </c:pt>
                <c:pt idx="11">
                  <c:v>0</c:v>
                </c:pt>
                <c:pt idx="12">
                  <c:v>0</c:v>
                </c:pt>
              </c:numCache>
            </c:numRef>
          </c:val>
          <c:smooth val="0"/>
        </c:ser>
        <c:ser>
          <c:idx val="2"/>
          <c:order val="1"/>
          <c:tx>
            <c:strRef>
              <c:f>'PGA Graphs 2013-14'!$A$18</c:f>
              <c:strCache>
                <c:ptCount val="1"/>
                <c:pt idx="0">
                  <c:v>PGA Budget</c:v>
                </c:pt>
              </c:strCache>
            </c:strRef>
          </c:tx>
          <c:marker>
            <c:symbol val="none"/>
          </c:marker>
          <c:val>
            <c:numRef>
              <c:f>'PGA Graphs 2013-14'!$B$18:$N$18</c:f>
              <c:numCache>
                <c:formatCode>"$"#,##0.00_);\("$"#,##0.00\)</c:formatCode>
                <c:ptCount val="13"/>
                <c:pt idx="0">
                  <c:v>2.9957000000000003</c:v>
                </c:pt>
                <c:pt idx="1">
                  <c:v>3.9822000000000002</c:v>
                </c:pt>
                <c:pt idx="2">
                  <c:v>3.8203999999999998</c:v>
                </c:pt>
                <c:pt idx="3">
                  <c:v>3.7982</c:v>
                </c:pt>
                <c:pt idx="4">
                  <c:v>3.8423000000000003</c:v>
                </c:pt>
                <c:pt idx="5">
                  <c:v>4.0292000000000003</c:v>
                </c:pt>
                <c:pt idx="6">
                  <c:v>3.4569000000000001</c:v>
                </c:pt>
                <c:pt idx="7">
                  <c:v>3.5224000000000002</c:v>
                </c:pt>
                <c:pt idx="8">
                  <c:v>3.4592000000000001</c:v>
                </c:pt>
                <c:pt idx="9">
                  <c:v>3.4888000000000003</c:v>
                </c:pt>
                <c:pt idx="10">
                  <c:v>3.4600999999999997</c:v>
                </c:pt>
                <c:pt idx="11">
                  <c:v>3.4959000000000002</c:v>
                </c:pt>
                <c:pt idx="12">
                  <c:v>3.6281000000000003</c:v>
                </c:pt>
              </c:numCache>
            </c:numRef>
          </c:val>
          <c:smooth val="0"/>
        </c:ser>
        <c:ser>
          <c:idx val="1"/>
          <c:order val="2"/>
          <c:tx>
            <c:strRef>
              <c:f>'PGA Graphs 2013-14'!$A$19</c:f>
              <c:strCache>
                <c:ptCount val="1"/>
                <c:pt idx="0">
                  <c:v>Actual</c:v>
                </c:pt>
              </c:strCache>
            </c:strRef>
          </c:tx>
          <c:marker>
            <c:symbol val="none"/>
          </c:marker>
          <c:cat>
            <c:strRef>
              <c:f>'PGA Graphs 2013-14'!$B$7:$N$7</c:f>
              <c:strCache>
                <c:ptCount val="13"/>
                <c:pt idx="0">
                  <c:v>O-13</c:v>
                </c:pt>
                <c:pt idx="1">
                  <c:v>N-13</c:v>
                </c:pt>
                <c:pt idx="2">
                  <c:v>D-13</c:v>
                </c:pt>
                <c:pt idx="3">
                  <c:v>J-14</c:v>
                </c:pt>
                <c:pt idx="4">
                  <c:v>F-14</c:v>
                </c:pt>
                <c:pt idx="5">
                  <c:v>M-14</c:v>
                </c:pt>
                <c:pt idx="6">
                  <c:v>A-14</c:v>
                </c:pt>
                <c:pt idx="7">
                  <c:v>M-14</c:v>
                </c:pt>
                <c:pt idx="8">
                  <c:v>J-14</c:v>
                </c:pt>
                <c:pt idx="9">
                  <c:v>J-14</c:v>
                </c:pt>
                <c:pt idx="10">
                  <c:v>A-14</c:v>
                </c:pt>
                <c:pt idx="11">
                  <c:v>S-14</c:v>
                </c:pt>
                <c:pt idx="12">
                  <c:v>O-14</c:v>
                </c:pt>
              </c:strCache>
            </c:strRef>
          </c:cat>
          <c:val>
            <c:numRef>
              <c:f>'PGA Graphs 2013-14'!$B$19:$N$19</c:f>
              <c:numCache>
                <c:formatCode>"$"#,##0.00_);\("$"#,##0.00\)</c:formatCode>
                <c:ptCount val="13"/>
                <c:pt idx="0">
                  <c:v>2.76346512007138</c:v>
                </c:pt>
                <c:pt idx="1">
                  <c:v>3.4542924833702302</c:v>
                </c:pt>
                <c:pt idx="2">
                  <c:v>3.1868860970503601</c:v>
                </c:pt>
                <c:pt idx="3">
                  <c:v>2.0011184090684204</c:v>
                </c:pt>
                <c:pt idx="4">
                  <c:v>3.982185171742993</c:v>
                </c:pt>
                <c:pt idx="5">
                  <c:v>6.3101008698751793</c:v>
                </c:pt>
                <c:pt idx="6">
                  <c:v>1.6752330986146986</c:v>
                </c:pt>
                <c:pt idx="7">
                  <c:v>-0.54536187788809687</c:v>
                </c:pt>
                <c:pt idx="8">
                  <c:v>-1.7127780368858496</c:v>
                </c:pt>
                <c:pt idx="9">
                  <c:v>-3.0102585697176112</c:v>
                </c:pt>
                <c:pt idx="10">
                  <c:v>-3.1942689865811613</c:v>
                </c:pt>
                <c:pt idx="11">
                  <c:v>0</c:v>
                </c:pt>
                <c:pt idx="12">
                  <c:v>0</c:v>
                </c:pt>
              </c:numCache>
            </c:numRef>
          </c:val>
          <c:smooth val="0"/>
        </c:ser>
        <c:dLbls>
          <c:showLegendKey val="0"/>
          <c:showVal val="0"/>
          <c:showCatName val="0"/>
          <c:showSerName val="0"/>
          <c:showPercent val="0"/>
          <c:showBubbleSize val="0"/>
        </c:dLbls>
        <c:smooth val="0"/>
        <c:axId val="571839720"/>
        <c:axId val="572140192"/>
      </c:lineChart>
      <c:catAx>
        <c:axId val="571839720"/>
        <c:scaling>
          <c:orientation val="minMax"/>
        </c:scaling>
        <c:delete val="0"/>
        <c:axPos val="b"/>
        <c:numFmt formatCode="General" sourceLinked="0"/>
        <c:majorTickMark val="out"/>
        <c:minorTickMark val="none"/>
        <c:tickLblPos val="nextTo"/>
        <c:txPr>
          <a:bodyPr rot="5400000" vert="horz"/>
          <a:lstStyle/>
          <a:p>
            <a:pPr>
              <a:defRPr/>
            </a:pPr>
            <a:endParaRPr lang="en-US"/>
          </a:p>
        </c:txPr>
        <c:crossAx val="572140192"/>
        <c:crosses val="autoZero"/>
        <c:auto val="1"/>
        <c:lblAlgn val="ctr"/>
        <c:lblOffset val="100"/>
        <c:noMultiLvlLbl val="0"/>
      </c:catAx>
      <c:valAx>
        <c:axId val="572140192"/>
        <c:scaling>
          <c:orientation val="minMax"/>
        </c:scaling>
        <c:delete val="0"/>
        <c:axPos val="l"/>
        <c:majorGridlines/>
        <c:numFmt formatCode="&quot;$&quot;#,##0.00_);\(&quot;$&quot;#,##0.00\)" sourceLinked="1"/>
        <c:majorTickMark val="out"/>
        <c:minorTickMark val="none"/>
        <c:tickLblPos val="nextTo"/>
        <c:crossAx val="571839720"/>
        <c:crosses val="autoZero"/>
        <c:crossBetween val="between"/>
      </c:valAx>
    </c:plotArea>
    <c:legend>
      <c:legendPos val="r"/>
      <c:overlay val="0"/>
    </c:legend>
    <c:plotVisOnly val="1"/>
    <c:dispBlanksAs val="gap"/>
    <c:showDLblsOverMax val="0"/>
  </c:chart>
  <c:printSettings>
    <c:headerFooter/>
    <c:pageMargins b="0.75000000000001266" l="0.70000000000000062" r="0.70000000000000062" t="0.75000000000001266"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542924</xdr:colOff>
      <xdr:row>16</xdr:row>
      <xdr:rowOff>104774</xdr:rowOff>
    </xdr:from>
    <xdr:to>
      <xdr:col>10</xdr:col>
      <xdr:colOff>514349</xdr:colOff>
      <xdr:row>63</xdr:row>
      <xdr:rowOff>85724</xdr:rowOff>
    </xdr:to>
    <xdr:sp macro="" textlink="">
      <xdr:nvSpPr>
        <xdr:cNvPr id="2" name="Rounded Rectangle 1"/>
        <xdr:cNvSpPr/>
      </xdr:nvSpPr>
      <xdr:spPr bwMode="auto">
        <a:xfrm>
          <a:off x="1790699" y="2962274"/>
          <a:ext cx="5543550" cy="7553325"/>
        </a:xfrm>
        <a:prstGeom prst="roundRect">
          <a:avLst>
            <a:gd name="adj" fmla="val 4192"/>
          </a:avLst>
        </a:prstGeom>
        <a:solidFill>
          <a:schemeClr val="bg1">
            <a:lumMod val="75000"/>
          </a:schemeClr>
        </a:solidFill>
        <a:ln w="4445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lang="en-US" sz="1100"/>
        </a:p>
      </xdr:txBody>
    </xdr:sp>
    <xdr:clientData/>
  </xdr:twoCellAnchor>
  <xdr:twoCellAnchor>
    <xdr:from>
      <xdr:col>2</xdr:col>
      <xdr:colOff>47625</xdr:colOff>
      <xdr:row>17</xdr:row>
      <xdr:rowOff>76200</xdr:rowOff>
    </xdr:from>
    <xdr:to>
      <xdr:col>10</xdr:col>
      <xdr:colOff>347943</xdr:colOff>
      <xdr:row>39</xdr:row>
      <xdr:rowOff>45384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76200</xdr:colOff>
      <xdr:row>40</xdr:row>
      <xdr:rowOff>47625</xdr:rowOff>
    </xdr:from>
    <xdr:to>
      <xdr:col>10</xdr:col>
      <xdr:colOff>376518</xdr:colOff>
      <xdr:row>62</xdr:row>
      <xdr:rowOff>54909</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0.92496</cdr:x>
      <cdr:y>0.09979</cdr:y>
    </cdr:from>
    <cdr:to>
      <cdr:x>0.99637</cdr:x>
      <cdr:y>0.94992</cdr:y>
    </cdr:to>
    <cdr:grpSp>
      <cdr:nvGrpSpPr>
        <cdr:cNvPr id="2" name="Group 1"/>
        <cdr:cNvGrpSpPr/>
      </cdr:nvGrpSpPr>
      <cdr:grpSpPr>
        <a:xfrm xmlns:a="http://schemas.openxmlformats.org/drawingml/2006/main">
          <a:off x="5102495" y="340085"/>
          <a:ext cx="393929" cy="2897250"/>
          <a:chOff x="0" y="-22224"/>
          <a:chExt cx="216754" cy="1954945"/>
        </a:xfrm>
        <a:solidFill xmlns:a="http://schemas.openxmlformats.org/drawingml/2006/main">
          <a:sysClr val="window" lastClr="FFFFFF">
            <a:lumMod val="85000"/>
          </a:sysClr>
        </a:solidFill>
      </cdr:grpSpPr>
      <cdr:sp macro="" textlink="">
        <cdr:nvSpPr>
          <cdr:cNvPr id="3" name="Down Arrow 2"/>
          <cdr:cNvSpPr/>
        </cdr:nvSpPr>
        <cdr:spPr>
          <a:xfrm xmlns:a="http://schemas.openxmlformats.org/drawingml/2006/main" flipV="1">
            <a:off x="0" y="-22224"/>
            <a:ext cx="216754" cy="1123941"/>
          </a:xfrm>
          <a:prstGeom xmlns:a="http://schemas.openxmlformats.org/drawingml/2006/main" prst="downArrow">
            <a:avLst/>
          </a:prstGeom>
          <a:grpFill xmlns:a="http://schemas.openxmlformats.org/drawingml/2006/main"/>
          <a:ln xmlns:a="http://schemas.openxmlformats.org/drawingml/2006/main" w="25400" cap="flat" cmpd="sng" algn="ctr">
            <a:solidFill>
              <a:sysClr val="windowText" lastClr="000000"/>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vert" wrap="square" rtlCol="0" anchor="ctr"/>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pPr algn="ctr"/>
            <a:r>
              <a:rPr lang="en-US" sz="1000" b="1">
                <a:solidFill>
                  <a:sysClr val="windowText" lastClr="000000"/>
                </a:solidFill>
              </a:rPr>
              <a:t>Rebate</a:t>
            </a:r>
          </a:p>
        </cdr:txBody>
      </cdr:sp>
      <cdr:sp macro="" textlink="">
        <cdr:nvSpPr>
          <cdr:cNvPr id="4" name="Down Arrow 3"/>
          <cdr:cNvSpPr/>
        </cdr:nvSpPr>
        <cdr:spPr>
          <a:xfrm xmlns:a="http://schemas.openxmlformats.org/drawingml/2006/main">
            <a:off x="0" y="1099132"/>
            <a:ext cx="216754" cy="833589"/>
          </a:xfrm>
          <a:prstGeom xmlns:a="http://schemas.openxmlformats.org/drawingml/2006/main" prst="downArrow">
            <a:avLst/>
          </a:prstGeom>
          <a:grpFill xmlns:a="http://schemas.openxmlformats.org/drawingml/2006/main"/>
          <a:ln xmlns:a="http://schemas.openxmlformats.org/drawingml/2006/main" w="25400" cap="flat" cmpd="sng" algn="ctr">
            <a:solidFill>
              <a:sysClr val="windowText" lastClr="000000"/>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vert270" wrap="square" rtlCol="0" anchor="ctr"/>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pPr algn="ctr"/>
            <a:r>
              <a:rPr lang="en-US" sz="1000" b="1">
                <a:solidFill>
                  <a:sysClr val="windowText" lastClr="000000"/>
                </a:solidFill>
              </a:rPr>
              <a:t>Surcharge</a:t>
            </a:r>
          </a:p>
        </cdr:txBody>
      </cdr:sp>
    </cdr:grpSp>
  </cdr:relSizeAnchor>
</c:userShapes>
</file>

<file path=xl/drawings/drawing3.xml><?xml version="1.0" encoding="utf-8"?>
<c:userShapes xmlns:c="http://schemas.openxmlformats.org/drawingml/2006/chart">
  <cdr:relSizeAnchor xmlns:cdr="http://schemas.openxmlformats.org/drawingml/2006/chartDrawing">
    <cdr:from>
      <cdr:x>0.92859</cdr:x>
      <cdr:y>0.35221</cdr:y>
    </cdr:from>
    <cdr:to>
      <cdr:x>1</cdr:x>
      <cdr:y>0.91755</cdr:y>
    </cdr:to>
    <cdr:grpSp>
      <cdr:nvGrpSpPr>
        <cdr:cNvPr id="2" name="Group 1"/>
        <cdr:cNvGrpSpPr/>
      </cdr:nvGrpSpPr>
      <cdr:grpSpPr>
        <a:xfrm xmlns:a="http://schemas.openxmlformats.org/drawingml/2006/main">
          <a:off x="5122519" y="1200307"/>
          <a:ext cx="393930" cy="1926640"/>
          <a:chOff x="0" y="-22224"/>
          <a:chExt cx="216754" cy="1979754"/>
        </a:xfrm>
        <a:solidFill xmlns:a="http://schemas.openxmlformats.org/drawingml/2006/main">
          <a:sysClr val="window" lastClr="FFFFFF">
            <a:lumMod val="85000"/>
          </a:sysClr>
        </a:solidFill>
      </cdr:grpSpPr>
      <cdr:sp macro="" textlink="">
        <cdr:nvSpPr>
          <cdr:cNvPr id="3" name="Down Arrow 2"/>
          <cdr:cNvSpPr/>
        </cdr:nvSpPr>
        <cdr:spPr>
          <a:xfrm xmlns:a="http://schemas.openxmlformats.org/drawingml/2006/main" flipV="1">
            <a:off x="0" y="-22224"/>
            <a:ext cx="216754" cy="1123941"/>
          </a:xfrm>
          <a:prstGeom xmlns:a="http://schemas.openxmlformats.org/drawingml/2006/main" prst="downArrow">
            <a:avLst/>
          </a:prstGeom>
          <a:grpFill xmlns:a="http://schemas.openxmlformats.org/drawingml/2006/main"/>
          <a:ln xmlns:a="http://schemas.openxmlformats.org/drawingml/2006/main" w="25400" cap="flat" cmpd="sng" algn="ctr">
            <a:solidFill>
              <a:sysClr val="windowText" lastClr="000000"/>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vert" wrap="square" rtlCol="0" anchor="ctr"/>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pPr algn="ctr"/>
            <a:r>
              <a:rPr lang="en-US" sz="1000" b="1">
                <a:solidFill>
                  <a:sysClr val="windowText" lastClr="000000"/>
                </a:solidFill>
              </a:rPr>
              <a:t>Rebate</a:t>
            </a:r>
          </a:p>
        </cdr:txBody>
      </cdr:sp>
      <cdr:sp macro="" textlink="">
        <cdr:nvSpPr>
          <cdr:cNvPr id="4" name="Down Arrow 3"/>
          <cdr:cNvSpPr/>
        </cdr:nvSpPr>
        <cdr:spPr>
          <a:xfrm xmlns:a="http://schemas.openxmlformats.org/drawingml/2006/main">
            <a:off x="0" y="1123941"/>
            <a:ext cx="216754" cy="833589"/>
          </a:xfrm>
          <a:prstGeom xmlns:a="http://schemas.openxmlformats.org/drawingml/2006/main" prst="downArrow">
            <a:avLst/>
          </a:prstGeom>
          <a:grpFill xmlns:a="http://schemas.openxmlformats.org/drawingml/2006/main"/>
          <a:ln xmlns:a="http://schemas.openxmlformats.org/drawingml/2006/main" w="25400" cap="flat" cmpd="sng" algn="ctr">
            <a:solidFill>
              <a:sysClr val="windowText" lastClr="000000"/>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vert270" wrap="square" rtlCol="0" anchor="ctr"/>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pPr algn="ctr"/>
            <a:r>
              <a:rPr lang="en-US" sz="1000" b="1">
                <a:solidFill>
                  <a:sysClr val="windowText" lastClr="000000"/>
                </a:solidFill>
              </a:rPr>
              <a:t>Surcharge</a:t>
            </a:r>
          </a:p>
        </cdr:txBody>
      </cdr:sp>
    </cdr:grpSp>
  </cdr:relSizeAnchor>
  <cdr:relSizeAnchor xmlns:cdr="http://schemas.openxmlformats.org/drawingml/2006/chartDrawing">
    <cdr:from>
      <cdr:x>0.92859</cdr:x>
      <cdr:y>0.35221</cdr:y>
    </cdr:from>
    <cdr:to>
      <cdr:x>1</cdr:x>
      <cdr:y>0.91755</cdr:y>
    </cdr:to>
    <cdr:grpSp>
      <cdr:nvGrpSpPr>
        <cdr:cNvPr id="5" name="Group 1"/>
        <cdr:cNvGrpSpPr/>
      </cdr:nvGrpSpPr>
      <cdr:grpSpPr>
        <a:xfrm xmlns:a="http://schemas.openxmlformats.org/drawingml/2006/main">
          <a:off x="5122519" y="1200307"/>
          <a:ext cx="393930" cy="1926640"/>
          <a:chOff x="0" y="-22224"/>
          <a:chExt cx="216754" cy="1979754"/>
        </a:xfrm>
        <a:solidFill xmlns:a="http://schemas.openxmlformats.org/drawingml/2006/main">
          <a:sysClr val="window" lastClr="FFFFFF">
            <a:lumMod val="85000"/>
          </a:sysClr>
        </a:solidFill>
      </cdr:grpSpPr>
      <cdr:sp macro="" textlink="">
        <cdr:nvSpPr>
          <cdr:cNvPr id="6" name="Down Arrow 2"/>
          <cdr:cNvSpPr/>
        </cdr:nvSpPr>
        <cdr:spPr>
          <a:xfrm xmlns:a="http://schemas.openxmlformats.org/drawingml/2006/main" flipV="1">
            <a:off x="0" y="-22224"/>
            <a:ext cx="216754" cy="1123941"/>
          </a:xfrm>
          <a:prstGeom xmlns:a="http://schemas.openxmlformats.org/drawingml/2006/main" prst="downArrow">
            <a:avLst/>
          </a:prstGeom>
          <a:grpFill xmlns:a="http://schemas.openxmlformats.org/drawingml/2006/main"/>
          <a:ln xmlns:a="http://schemas.openxmlformats.org/drawingml/2006/main" w="25400" cap="flat" cmpd="sng" algn="ctr">
            <a:solidFill>
              <a:sysClr val="windowText" lastClr="000000"/>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vert" wrap="square" rtlCol="0" anchor="ctr"/>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pPr algn="ctr"/>
            <a:r>
              <a:rPr lang="en-US" sz="1000" b="1">
                <a:solidFill>
                  <a:sysClr val="windowText" lastClr="000000"/>
                </a:solidFill>
              </a:rPr>
              <a:t>Rebate</a:t>
            </a:r>
          </a:p>
        </cdr:txBody>
      </cdr:sp>
      <cdr:sp macro="" textlink="">
        <cdr:nvSpPr>
          <cdr:cNvPr id="7" name="Down Arrow 3"/>
          <cdr:cNvSpPr/>
        </cdr:nvSpPr>
        <cdr:spPr>
          <a:xfrm xmlns:a="http://schemas.openxmlformats.org/drawingml/2006/main">
            <a:off x="0" y="1123941"/>
            <a:ext cx="216754" cy="833589"/>
          </a:xfrm>
          <a:prstGeom xmlns:a="http://schemas.openxmlformats.org/drawingml/2006/main" prst="downArrow">
            <a:avLst/>
          </a:prstGeom>
          <a:grpFill xmlns:a="http://schemas.openxmlformats.org/drawingml/2006/main"/>
          <a:ln xmlns:a="http://schemas.openxmlformats.org/drawingml/2006/main" w="25400" cap="flat" cmpd="sng" algn="ctr">
            <a:solidFill>
              <a:sysClr val="windowText" lastClr="000000"/>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vert270" wrap="square" rtlCol="0" anchor="ctr"/>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pPr algn="ctr"/>
            <a:r>
              <a:rPr lang="en-US" sz="1000" b="1">
                <a:solidFill>
                  <a:sysClr val="windowText" lastClr="000000"/>
                </a:solidFill>
              </a:rPr>
              <a:t>Surcharge</a:t>
            </a:r>
          </a:p>
        </cdr:txBody>
      </cdr:sp>
    </cdr:grpSp>
  </cdr:relSizeAnchor>
</c:userShapes>
</file>

<file path=xl/drawings/drawing4.xml><?xml version="1.0" encoding="utf-8"?>
<xdr:wsDr xmlns:xdr="http://schemas.openxmlformats.org/drawingml/2006/spreadsheetDrawing" xmlns:a="http://schemas.openxmlformats.org/drawingml/2006/main">
  <xdr:twoCellAnchor>
    <xdr:from>
      <xdr:col>0</xdr:col>
      <xdr:colOff>327660</xdr:colOff>
      <xdr:row>19</xdr:row>
      <xdr:rowOff>45720</xdr:rowOff>
    </xdr:from>
    <xdr:to>
      <xdr:col>14</xdr:col>
      <xdr:colOff>0</xdr:colOff>
      <xdr:row>28</xdr:row>
      <xdr:rowOff>83820</xdr:rowOff>
    </xdr:to>
    <xdr:sp macro="" textlink="">
      <xdr:nvSpPr>
        <xdr:cNvPr id="2" name="TextBox 1"/>
        <xdr:cNvSpPr txBox="1"/>
      </xdr:nvSpPr>
      <xdr:spPr>
        <a:xfrm>
          <a:off x="327660" y="3535680"/>
          <a:ext cx="10751820" cy="168402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KM:</a:t>
          </a:r>
        </a:p>
        <a:p>
          <a:r>
            <a:rPr lang="en-US" sz="1100"/>
            <a:t>201905 Entitlement Penalty input under AN on monthly tab, which resulted in incorrect allocation of that item to WA/ID. </a:t>
          </a:r>
        </a:p>
        <a:p>
          <a:endParaRPr lang="en-US" sz="1100"/>
        </a:p>
        <a:p>
          <a:r>
            <a:rPr lang="en-US" sz="1100"/>
            <a:t>The Entitlement Penalty had specific dollars listed for both WA &amp; ID, therefore needed to be input into each state's section on monthly tab in order to get allocated to each state correctly.</a:t>
          </a:r>
        </a:p>
        <a:p>
          <a:endParaRPr lang="en-US" sz="1100"/>
        </a:p>
        <a:p>
          <a:r>
            <a:rPr lang="en-US" sz="1100"/>
            <a:t>"201905 Revised" is what should have been recorded if allocation had been done correctly.</a:t>
          </a:r>
        </a:p>
        <a:p>
          <a:endParaRPr lang="en-US" sz="1100"/>
        </a:p>
        <a:p>
          <a:r>
            <a:rPr lang="en-US" sz="1100"/>
            <a:t>True</a:t>
          </a:r>
          <a:r>
            <a:rPr lang="en-US" sz="1100" baseline="0"/>
            <a:t> up entry for both WA &amp; ID will be recorded along with JE in 201906</a:t>
          </a:r>
          <a:endParaRPr lang="en-US" sz="1100"/>
        </a:p>
        <a:p>
          <a:endParaRPr lang="en-US" sz="1100"/>
        </a:p>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34697</xdr:colOff>
      <xdr:row>24</xdr:row>
      <xdr:rowOff>48745</xdr:rowOff>
    </xdr:from>
    <xdr:to>
      <xdr:col>14</xdr:col>
      <xdr:colOff>22412</xdr:colOff>
      <xdr:row>63</xdr:row>
      <xdr:rowOff>44825</xdr:rowOff>
    </xdr:to>
    <xdr:sp macro="" textlink="">
      <xdr:nvSpPr>
        <xdr:cNvPr id="2" name="Rounded Rectangle 1"/>
        <xdr:cNvSpPr/>
      </xdr:nvSpPr>
      <xdr:spPr bwMode="auto">
        <a:xfrm>
          <a:off x="34697" y="3455333"/>
          <a:ext cx="9243774" cy="6080874"/>
        </a:xfrm>
        <a:prstGeom prst="roundRect">
          <a:avLst>
            <a:gd name="adj" fmla="val 4192"/>
          </a:avLst>
        </a:prstGeom>
        <a:solidFill>
          <a:schemeClr val="bg1">
            <a:lumMod val="75000"/>
          </a:schemeClr>
        </a:solidFill>
        <a:ln w="4445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lang="en-US" sz="1100"/>
        </a:p>
      </xdr:txBody>
    </xdr:sp>
    <xdr:clientData/>
  </xdr:twoCellAnchor>
  <xdr:twoCellAnchor>
    <xdr:from>
      <xdr:col>0</xdr:col>
      <xdr:colOff>78439</xdr:colOff>
      <xdr:row>25</xdr:row>
      <xdr:rowOff>78441</xdr:rowOff>
    </xdr:from>
    <xdr:to>
      <xdr:col>6</xdr:col>
      <xdr:colOff>324968</xdr:colOff>
      <xdr:row>43</xdr:row>
      <xdr:rowOff>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67234</xdr:colOff>
      <xdr:row>43</xdr:row>
      <xdr:rowOff>156871</xdr:rowOff>
    </xdr:from>
    <xdr:to>
      <xdr:col>6</xdr:col>
      <xdr:colOff>313763</xdr:colOff>
      <xdr:row>61</xdr:row>
      <xdr:rowOff>112047</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358587</xdr:colOff>
      <xdr:row>43</xdr:row>
      <xdr:rowOff>156872</xdr:rowOff>
    </xdr:from>
    <xdr:to>
      <xdr:col>13</xdr:col>
      <xdr:colOff>616323</xdr:colOff>
      <xdr:row>61</xdr:row>
      <xdr:rowOff>112048</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369793</xdr:colOff>
      <xdr:row>25</xdr:row>
      <xdr:rowOff>78441</xdr:rowOff>
    </xdr:from>
    <xdr:to>
      <xdr:col>13</xdr:col>
      <xdr:colOff>627529</xdr:colOff>
      <xdr:row>43</xdr:row>
      <xdr:rowOff>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Natural%20Gas%20Accounting\Gas%20Cost%20Data%20Bases\History\OR%20Gas%20Costs%201999-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Etemp\Temporary%20Internet%20Files\OLK2\Agency%20Capacity%20Releas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01m84\c01m84\Power%20Deferrals\Power%20Deferral%20Journals\REC%20Deferral\2016%20DJ475%20WA%20REC%20new%20forma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egon Gas Costs - 1999"/>
      <sheetName val="Oregon Gas Costs - 2000"/>
      <sheetName val="Oregon Gas Costs - 2001"/>
      <sheetName val="Oregon Gas Costs - 2002"/>
      <sheetName val="Oregon Gas Costs - 2003"/>
      <sheetName val="Oregon Gas Costs - 2004 "/>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b 2001"/>
      <sheetName val="Jan 2001"/>
      <sheetName val="Dec 2000"/>
      <sheetName val="Nov 2000"/>
      <sheetName val="Oct 2000"/>
      <sheetName val="Sep 2000"/>
      <sheetName val="Sheet1"/>
      <sheetName val="Aug 2000"/>
      <sheetName val="Jul 2000"/>
      <sheetName val="Jun 2000"/>
      <sheetName val="May 2000"/>
      <sheetName val="April 2000"/>
      <sheetName val="Mar 2000"/>
      <sheetName val="Feb 2000"/>
      <sheetName val="Jan 2000"/>
      <sheetName val="Dec 99"/>
      <sheetName val="Nov 99"/>
      <sheetName val="Oct 99"/>
      <sheetName val="Sep 99"/>
      <sheetName val="Mar 2001 "/>
      <sheetName val="April 2001"/>
      <sheetName val="May 2001"/>
      <sheetName val="June 2001"/>
      <sheetName val="July 2001 "/>
      <sheetName val="Aug 01"/>
      <sheetName val="Sept 01"/>
      <sheetName val="Oct 01"/>
      <sheetName val="Nov 01"/>
      <sheetName val="Dec 01"/>
      <sheetName val="Jan 02"/>
      <sheetName val="Feb 2002"/>
      <sheetName val="Mar 02"/>
      <sheetName val="Apr 02"/>
      <sheetName val="May 02"/>
      <sheetName val="Jun 02"/>
      <sheetName val="Jul 02 "/>
      <sheetName val="Aug 02"/>
      <sheetName val="Sep 02"/>
      <sheetName val="Oct 02"/>
      <sheetName val="Nov 02"/>
      <sheetName val="Dec 02"/>
      <sheetName val="Jan 03"/>
      <sheetName val="Feb 03"/>
      <sheetName val="Mar 03"/>
      <sheetName val="Apr 03"/>
      <sheetName val="May 03"/>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186322 WA REC - Amortizing"/>
      <sheetName val="186323 WA REC - Current"/>
      <sheetName val="186324 WA REC - Current 2"/>
      <sheetName val="Company Bands"/>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H51"/>
  <sheetViews>
    <sheetView workbookViewId="0">
      <selection sqref="A1:N64"/>
    </sheetView>
  </sheetViews>
  <sheetFormatPr defaultRowHeight="12.75"/>
  <cols>
    <col min="1" max="1" width="18.7109375" bestFit="1" customWidth="1"/>
    <col min="2" max="14" width="9.28515625" customWidth="1"/>
    <col min="16" max="16" width="2.42578125" customWidth="1"/>
    <col min="17" max="23" width="10.7109375" customWidth="1"/>
    <col min="24" max="24" width="5.7109375" customWidth="1"/>
  </cols>
  <sheetData>
    <row r="1" spans="1:34">
      <c r="C1" s="517" t="s">
        <v>191</v>
      </c>
      <c r="D1" s="517"/>
      <c r="E1" s="517"/>
      <c r="F1" s="517"/>
      <c r="G1" s="517"/>
      <c r="H1" s="517"/>
      <c r="I1" s="517"/>
      <c r="J1" s="517"/>
      <c r="K1" s="517"/>
      <c r="P1" s="519"/>
      <c r="Q1" s="519"/>
      <c r="R1" s="519"/>
      <c r="S1" s="519"/>
      <c r="T1" s="519"/>
      <c r="U1" s="519"/>
      <c r="V1" s="519"/>
      <c r="W1" s="519"/>
      <c r="X1" s="519"/>
    </row>
    <row r="2" spans="1:34" ht="23.25">
      <c r="C2" s="518" t="s">
        <v>245</v>
      </c>
      <c r="D2" s="518"/>
      <c r="E2" s="518"/>
      <c r="F2" s="518"/>
      <c r="G2" s="518"/>
      <c r="H2" s="518"/>
      <c r="I2" s="518"/>
      <c r="J2" s="518"/>
      <c r="K2" s="518"/>
      <c r="P2" s="517"/>
      <c r="Q2" s="517"/>
      <c r="R2" s="517"/>
      <c r="S2" s="517"/>
      <c r="T2" s="517"/>
      <c r="U2" s="517"/>
      <c r="V2" s="517"/>
      <c r="W2" s="517"/>
      <c r="X2" s="517"/>
      <c r="Z2" s="517"/>
      <c r="AA2" s="517"/>
      <c r="AB2" s="517"/>
      <c r="AC2" s="517"/>
      <c r="AD2" s="517"/>
      <c r="AE2" s="517"/>
      <c r="AF2" s="517"/>
      <c r="AG2" s="517"/>
      <c r="AH2" s="517"/>
    </row>
    <row r="3" spans="1:34" ht="23.25">
      <c r="C3" s="517" t="s">
        <v>193</v>
      </c>
      <c r="D3" s="517"/>
      <c r="E3" s="517"/>
      <c r="F3" s="517"/>
      <c r="G3" s="517"/>
      <c r="H3" s="517"/>
      <c r="I3" s="517"/>
      <c r="J3" s="517"/>
      <c r="K3" s="517"/>
      <c r="P3" s="518"/>
      <c r="Q3" s="518"/>
      <c r="R3" s="518"/>
      <c r="S3" s="518"/>
      <c r="T3" s="518"/>
      <c r="U3" s="518"/>
      <c r="V3" s="518"/>
      <c r="W3" s="518"/>
      <c r="X3" s="518"/>
      <c r="Z3" s="520"/>
      <c r="AA3" s="520"/>
      <c r="AB3" s="520"/>
      <c r="AC3" s="520"/>
      <c r="AD3" s="520"/>
      <c r="AE3" s="520"/>
      <c r="AF3" s="520"/>
      <c r="AG3" s="520"/>
      <c r="AH3" s="520"/>
    </row>
    <row r="4" spans="1:34">
      <c r="A4" t="s">
        <v>192</v>
      </c>
      <c r="B4" s="222">
        <v>41183</v>
      </c>
      <c r="C4" s="222">
        <v>41214</v>
      </c>
      <c r="D4" s="222">
        <v>41244</v>
      </c>
      <c r="E4" s="222">
        <v>41275</v>
      </c>
      <c r="F4" s="222">
        <v>41306</v>
      </c>
      <c r="G4" s="222">
        <v>41334</v>
      </c>
      <c r="H4" s="222">
        <v>41365</v>
      </c>
      <c r="I4" s="222">
        <v>41395</v>
      </c>
      <c r="J4" s="222">
        <v>41426</v>
      </c>
      <c r="K4" s="222">
        <v>41456</v>
      </c>
      <c r="L4" s="222">
        <v>41487</v>
      </c>
      <c r="M4" s="222">
        <v>41518</v>
      </c>
      <c r="N4" s="222">
        <v>41548</v>
      </c>
      <c r="P4" s="517"/>
      <c r="Q4" s="517"/>
      <c r="R4" s="517"/>
      <c r="S4" s="517"/>
      <c r="T4" s="517"/>
      <c r="U4" s="517"/>
      <c r="V4" s="517"/>
      <c r="W4" s="517"/>
      <c r="X4" s="517"/>
      <c r="Z4" s="517"/>
      <c r="AA4" s="517"/>
      <c r="AB4" s="517"/>
      <c r="AC4" s="517"/>
      <c r="AD4" s="517"/>
      <c r="AE4" s="517"/>
      <c r="AF4" s="517"/>
      <c r="AG4" s="517"/>
    </row>
    <row r="6" spans="1:34">
      <c r="A6" s="223" t="s">
        <v>194</v>
      </c>
    </row>
    <row r="7" spans="1:34">
      <c r="A7" s="224"/>
      <c r="B7" s="225" t="str">
        <f>TEXT(B4,"mmmmm-YY")</f>
        <v>O-12</v>
      </c>
      <c r="C7" s="225" t="str">
        <f>TEXT(C4,"mmmmm-YY")</f>
        <v>N-12</v>
      </c>
      <c r="D7" s="225" t="str">
        <f>TEXT(D4,"mmmmm")</f>
        <v>D</v>
      </c>
      <c r="E7" s="225" t="str">
        <f>TEXT(E4,"mmmmm-YY")</f>
        <v>J-13</v>
      </c>
      <c r="F7" s="225" t="str">
        <f>TEXT(F4,"mmmmm-YY")</f>
        <v>F-13</v>
      </c>
      <c r="G7" s="225" t="str">
        <f t="shared" ref="G7:N7" si="0">TEXT(G4,"mmmmm")</f>
        <v>M</v>
      </c>
      <c r="H7" s="225" t="str">
        <f t="shared" si="0"/>
        <v>A</v>
      </c>
      <c r="I7" s="225" t="str">
        <f t="shared" si="0"/>
        <v>M</v>
      </c>
      <c r="J7" s="225" t="str">
        <f t="shared" si="0"/>
        <v>J</v>
      </c>
      <c r="K7" s="225" t="str">
        <f t="shared" si="0"/>
        <v>J</v>
      </c>
      <c r="L7" s="225" t="str">
        <f t="shared" si="0"/>
        <v>A</v>
      </c>
      <c r="M7" s="225" t="str">
        <f t="shared" si="0"/>
        <v>S</v>
      </c>
      <c r="N7" s="225" t="str">
        <f t="shared" si="0"/>
        <v>O</v>
      </c>
    </row>
    <row r="8" spans="1:34">
      <c r="A8" t="s">
        <v>2</v>
      </c>
      <c r="B8" s="226">
        <f>'WA Def 191010'!D8/-1000000</f>
        <v>6.691252092754679</v>
      </c>
      <c r="C8" s="226">
        <f>'WA Def 191010'!D19/-1000000</f>
        <v>0.90240319623620857</v>
      </c>
      <c r="D8" s="226">
        <f>'WA Def 191010'!D27/-1000000</f>
        <v>-0.24153536134178891</v>
      </c>
      <c r="E8" s="226">
        <f>'WA Def 191010'!D35/-1000000</f>
        <v>1.612370665690211</v>
      </c>
      <c r="F8" s="226">
        <f>'WA Def 191010'!D43/-1000000</f>
        <v>0.64834278387021227</v>
      </c>
      <c r="G8" s="226">
        <f>'WA Def 191010'!D51/-1000000</f>
        <v>0.33671900480321282</v>
      </c>
      <c r="H8" s="226">
        <f>'WA Def 191010'!D59/-1000000</f>
        <v>0.63119416496921332</v>
      </c>
      <c r="I8" s="226">
        <f>'WA Def 191010'!D67/-1000000</f>
        <v>1.2090547576992148</v>
      </c>
      <c r="J8" s="226">
        <f>'WA Def 191010'!D75/-1000000</f>
        <v>1.3830479967132137</v>
      </c>
      <c r="K8" s="226">
        <f>'WA Def 191010'!D83/-1000000</f>
        <v>1.8775711130472124</v>
      </c>
      <c r="L8" s="226">
        <f>'WA Def 191010'!D91/-1000000</f>
        <v>2.5238373414722122</v>
      </c>
      <c r="M8" s="226">
        <f>'WA Def 191010'!D99/-1000000</f>
        <v>3.3385260271402131</v>
      </c>
      <c r="N8" s="226">
        <f>'WA Def 191010'!E99/-1000000</f>
        <v>-6.0831075290700021</v>
      </c>
    </row>
    <row r="9" spans="1:34">
      <c r="A9" t="s">
        <v>3</v>
      </c>
      <c r="B9" s="226">
        <f>'WA Def 191010'!E8/-1000000</f>
        <v>-0.80916936732299949</v>
      </c>
      <c r="C9" s="226">
        <f>'WA Def 191010'!E19/-1000000</f>
        <v>-3.8730244701439993</v>
      </c>
      <c r="D9" s="226">
        <f>'WA Def 191010'!E27/-1000000</f>
        <v>-3.0674777859969997</v>
      </c>
      <c r="E9" s="226">
        <f>'WA Def 191010'!E35/-1000000</f>
        <v>-1.6934499394870002</v>
      </c>
      <c r="F9" s="226">
        <f>'WA Def 191010'!E43/-1000000</f>
        <v>-0.95669013858100027</v>
      </c>
      <c r="G9" s="226">
        <f>'WA Def 191010'!E51/-1000000</f>
        <v>-0.56131225301100107</v>
      </c>
      <c r="H9" s="226">
        <f>'WA Def 191010'!E59/-1000000</f>
        <v>-0.69541010451100072</v>
      </c>
      <c r="I9" s="226">
        <f>'WA Def 191010'!E67/-1000000</f>
        <v>-1.5643559408390004</v>
      </c>
      <c r="J9" s="226">
        <f>'WA Def 191010'!E75/-1000000</f>
        <v>-2.5778206653800004</v>
      </c>
      <c r="K9" s="226">
        <f>'WA Def 191010'!E83/-1000000</f>
        <v>-3.8494386956210014</v>
      </c>
      <c r="L9" s="226">
        <f>'WA Def 191010'!E91/-1000000</f>
        <v>-5.0597053680260018</v>
      </c>
      <c r="M9" s="226">
        <f>'WA Def 191010'!E99/-1000000</f>
        <v>-6.0831075290700021</v>
      </c>
      <c r="N9" s="226">
        <f>'WA Def 191010'!F99/-1000000</f>
        <v>3.1801240000000015E-2</v>
      </c>
    </row>
    <row r="10" spans="1:34">
      <c r="A10" s="227" t="s">
        <v>21</v>
      </c>
      <c r="B10" s="228">
        <f>SUM(B8:B9)</f>
        <v>5.8820827254316796</v>
      </c>
      <c r="C10" s="228">
        <f>SUM(C8:C9)</f>
        <v>-2.9706212739077906</v>
      </c>
      <c r="D10" s="228">
        <f t="shared" ref="D10:N10" si="1">SUM(D8:D9)</f>
        <v>-3.3090131473387885</v>
      </c>
      <c r="E10" s="228">
        <f t="shared" si="1"/>
        <v>-8.1079273796789142E-2</v>
      </c>
      <c r="F10" s="228">
        <f t="shared" ref="F10" si="2">SUM(F8:F9)</f>
        <v>-0.308347354710788</v>
      </c>
      <c r="G10" s="228">
        <f t="shared" si="1"/>
        <v>-0.22459324820778825</v>
      </c>
      <c r="H10" s="228">
        <f t="shared" si="1"/>
        <v>-6.4215939541787392E-2</v>
      </c>
      <c r="I10" s="228">
        <f t="shared" si="1"/>
        <v>-0.35530118313978565</v>
      </c>
      <c r="J10" s="228">
        <f t="shared" si="1"/>
        <v>-1.1947726686667868</v>
      </c>
      <c r="K10" s="228">
        <f t="shared" ref="K10" si="3">SUM(K8:K9)</f>
        <v>-1.971867582573789</v>
      </c>
      <c r="L10" s="228">
        <f t="shared" si="1"/>
        <v>-2.5358680265537896</v>
      </c>
      <c r="M10" s="228">
        <f t="shared" ref="M10" si="4">SUM(M8:M9)</f>
        <v>-2.744581501929789</v>
      </c>
      <c r="N10" s="228">
        <f t="shared" si="1"/>
        <v>-6.051306289070002</v>
      </c>
    </row>
    <row r="12" spans="1:34">
      <c r="A12" s="223" t="s">
        <v>220</v>
      </c>
    </row>
    <row r="13" spans="1:34">
      <c r="A13" s="224"/>
      <c r="B13" s="225" t="str">
        <f>TEXT(B4,"mmmmm-YY")</f>
        <v>O-12</v>
      </c>
      <c r="C13" s="225" t="str">
        <f>TEXT(C4,"mmmmm")</f>
        <v>N</v>
      </c>
      <c r="D13" s="225" t="str">
        <f>TEXT(D4,"mmmmm")</f>
        <v>D</v>
      </c>
      <c r="E13" s="225" t="str">
        <f t="shared" ref="E13:F13" si="5">TEXT(E4,"mmmmm-YY")</f>
        <v>J-13</v>
      </c>
      <c r="F13" s="225" t="str">
        <f t="shared" si="5"/>
        <v>F-13</v>
      </c>
      <c r="G13" s="225" t="str">
        <f t="shared" ref="G13:L13" si="6">TEXT(G4,"mmmmm")</f>
        <v>M</v>
      </c>
      <c r="H13" s="225" t="str">
        <f t="shared" si="6"/>
        <v>A</v>
      </c>
      <c r="I13" s="225" t="str">
        <f t="shared" si="6"/>
        <v>M</v>
      </c>
      <c r="J13" s="225" t="str">
        <f t="shared" si="6"/>
        <v>J</v>
      </c>
      <c r="K13" s="225" t="str">
        <f t="shared" ref="K13" si="7">TEXT(K4,"mmmmm")</f>
        <v>J</v>
      </c>
      <c r="L13" s="225" t="str">
        <f t="shared" si="6"/>
        <v>A</v>
      </c>
      <c r="M13" s="225" t="str">
        <f t="shared" ref="M13" si="8">TEXT(M4,"mmmmm")</f>
        <v>S</v>
      </c>
      <c r="N13" s="225" t="s">
        <v>244</v>
      </c>
    </row>
    <row r="14" spans="1:34">
      <c r="A14" t="s">
        <v>2</v>
      </c>
      <c r="B14" s="226">
        <f>('ID Def 191010'!D20+'ID Holdback 191015'!D16)/-1000000</f>
        <v>2.1383911983473967</v>
      </c>
      <c r="C14" s="226">
        <f>('ID Def 191010'!D29+'ID Holdback 191015'!D23)/-1000000</f>
        <v>1.2444255776995812</v>
      </c>
      <c r="D14" s="226">
        <f>('ID Def 191010'!D47+'ID Holdback 191015'!D30)/-1000000</f>
        <v>0.87195540999758092</v>
      </c>
      <c r="E14" s="226">
        <f>('ID Def 191010'!D56+'ID Holdback 191015'!D37)/-1000000</f>
        <v>1.6660490220255828</v>
      </c>
      <c r="F14" s="226">
        <f>('ID Def 191010'!D65+'ID Holdback 191015'!D45)/-1000000</f>
        <v>1.2966995405455823</v>
      </c>
      <c r="G14" s="226">
        <f>('ID Def 191010'!D74+'ID Holdback 191015'!D53)/-1000000</f>
        <v>1.1561449650525837</v>
      </c>
      <c r="H14" s="226">
        <f>('ID Def 191010'!D83+'ID Holdback 191015'!D61)/-1000000</f>
        <v>1.2996516898465837</v>
      </c>
      <c r="I14" s="226">
        <f>('ID Def 191010'!D92+'ID Holdback 191015'!D69)/-1000000</f>
        <v>1.5610150065365844</v>
      </c>
      <c r="J14" s="226">
        <f>('ID Def 191010'!D101+'ID Holdback 191015'!D77)/-1000000</f>
        <v>1.6482739833225839</v>
      </c>
      <c r="K14" s="226">
        <f>('ID Def 191010'!D110+'ID Holdback 191015'!D85)/-1000000</f>
        <v>1.8954571715485831</v>
      </c>
      <c r="L14" s="226">
        <f>('ID Def 191010'!D119+'ID Holdback 191015'!D93)/-1000000</f>
        <v>2.2528616869035827</v>
      </c>
      <c r="M14" s="226">
        <f>('ID Def 191010'!D128+'ID Holdback 191015'!D101)/-1000000</f>
        <v>2.7080381318555831</v>
      </c>
      <c r="N14" s="226">
        <f>('ID Def 191010'!D137+'ID Holdback 191015'!D109)/-1000000</f>
        <v>0.56600077745999999</v>
      </c>
    </row>
    <row r="15" spans="1:34">
      <c r="A15" t="s">
        <v>3</v>
      </c>
      <c r="B15" s="226">
        <f>('ID Def 191010'!E20+'ID Holdback 191015'!E16)/-1000000</f>
        <v>-0.82418407251353221</v>
      </c>
      <c r="C15" s="226">
        <f>('ID Def 191010'!E29+'ID Holdback 191015'!E23)/-1000000</f>
        <v>-0.80322416033553246</v>
      </c>
      <c r="D15" s="226">
        <f>('ID Def 191010'!E47+'ID Holdback 191015'!E30)/-1000000</f>
        <v>-0.39310178017253256</v>
      </c>
      <c r="E15" s="226">
        <f>('ID Def 191010'!E56+'ID Holdback 191015'!E37)/-1000000</f>
        <v>0.17129077183746722</v>
      </c>
      <c r="F15" s="226">
        <f>('ID Def 191010'!E65+'ID Holdback 191015'!E45)/-1000000</f>
        <v>0.35307272873146694</v>
      </c>
      <c r="G15" s="226">
        <f>('ID Def 191010'!E74+'ID Holdback 191015'!E53)/-1000000</f>
        <v>0.56382016840146643</v>
      </c>
      <c r="H15" s="226">
        <f>('ID Def 191010'!E83+'ID Holdback 191015'!E61)/-1000000</f>
        <v>0.53955121001146655</v>
      </c>
      <c r="I15" s="226">
        <f>('ID Def 191010'!E92+'ID Holdback 191015'!E69)/-1000000</f>
        <v>0.18205832733946647</v>
      </c>
      <c r="J15" s="226">
        <f>('ID Def 191010'!E101+'ID Holdback 191015'!E77)/-1000000</f>
        <v>-0.22184721294953361</v>
      </c>
      <c r="K15" s="226">
        <f>('ID Def 191010'!E110+'ID Holdback 191015'!E85)/-1000000</f>
        <v>-0.73848372468853407</v>
      </c>
      <c r="L15" s="226">
        <f>('ID Def 191010'!E119+'ID Holdback 191015'!E93)/-1000000</f>
        <v>-1.2085874236835343</v>
      </c>
      <c r="M15" s="226">
        <f>('ID Def 191010'!E128+'ID Holdback 191015'!E101)/-1000000</f>
        <v>-1.5854874293295345</v>
      </c>
      <c r="N15" s="226">
        <f>('ID Def 191010'!E137+'ID Holdback 191015'!E109)/-1000000</f>
        <v>-8.1480250077000355E-2</v>
      </c>
    </row>
    <row r="16" spans="1:34">
      <c r="A16" s="227" t="s">
        <v>21</v>
      </c>
      <c r="B16" s="228">
        <f>SUM(B14:B15)</f>
        <v>1.3142071258338643</v>
      </c>
      <c r="C16" s="228">
        <f>SUM(C14:C15)</f>
        <v>0.44120141736404872</v>
      </c>
      <c r="D16" s="228">
        <f t="shared" ref="D16:L16" si="9">SUM(D14:D15)</f>
        <v>0.47885362982504837</v>
      </c>
      <c r="E16" s="228">
        <f t="shared" si="9"/>
        <v>1.83733979386305</v>
      </c>
      <c r="F16" s="228">
        <f t="shared" ref="F16" si="10">SUM(F14:F15)</f>
        <v>1.6497722692770493</v>
      </c>
      <c r="G16" s="228">
        <f t="shared" si="9"/>
        <v>1.7199651334540502</v>
      </c>
      <c r="H16" s="228">
        <f t="shared" si="9"/>
        <v>1.8392028998580503</v>
      </c>
      <c r="I16" s="228">
        <f t="shared" si="9"/>
        <v>1.7430733338760509</v>
      </c>
      <c r="J16" s="228">
        <f t="shared" si="9"/>
        <v>1.4264267703730502</v>
      </c>
      <c r="K16" s="228">
        <f t="shared" si="9"/>
        <v>1.156973446860049</v>
      </c>
      <c r="L16" s="228">
        <f t="shared" si="9"/>
        <v>1.0442742632200483</v>
      </c>
      <c r="M16" s="228">
        <f t="shared" ref="M16:N16" si="11">SUM(M14:M15)</f>
        <v>1.1225507025260486</v>
      </c>
      <c r="N16" s="228">
        <f t="shared" si="11"/>
        <v>0.48452052738299967</v>
      </c>
    </row>
    <row r="51" ht="9.75" customHeight="1"/>
  </sheetData>
  <mergeCells count="10">
    <mergeCell ref="C1:K1"/>
    <mergeCell ref="C2:K2"/>
    <mergeCell ref="C3:K3"/>
    <mergeCell ref="P4:X4"/>
    <mergeCell ref="Z4:AG4"/>
    <mergeCell ref="P1:X1"/>
    <mergeCell ref="P2:X2"/>
    <mergeCell ref="Z2:AH2"/>
    <mergeCell ref="P3:X3"/>
    <mergeCell ref="Z3:AH3"/>
  </mergeCells>
  <printOptions horizontalCentered="1"/>
  <pageMargins left="0.7" right="0.7" top="0.75" bottom="0.5" header="0.3" footer="0.3"/>
  <pageSetup scale="79" orientation="landscape" r:id="rId1"/>
  <headerFooter>
    <oddFooter>&amp;L&amp;F - &amp;A</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9">
    <tabColor rgb="FF00CC66"/>
    <pageSetUpPr fitToPage="1"/>
  </sheetPr>
  <dimension ref="A1:U1485"/>
  <sheetViews>
    <sheetView showGridLines="0" zoomScale="70" zoomScaleNormal="70" workbookViewId="0">
      <selection sqref="A1:XFD1048576"/>
    </sheetView>
  </sheetViews>
  <sheetFormatPr defaultColWidth="16" defaultRowHeight="15"/>
  <cols>
    <col min="1" max="1" width="44.85546875" style="331" customWidth="1"/>
    <col min="2" max="2" width="25.5703125" style="331" customWidth="1"/>
    <col min="3" max="3" width="25.28515625" style="331" customWidth="1"/>
    <col min="4" max="4" width="2.7109375" style="331" customWidth="1"/>
    <col min="5" max="5" width="4.28515625" style="331" customWidth="1"/>
    <col min="6" max="6" width="26.7109375" style="331" customWidth="1"/>
    <col min="7" max="7" width="19" style="331" customWidth="1"/>
    <col min="8" max="8" width="22" style="331" customWidth="1"/>
    <col min="9" max="9" width="20.42578125" style="331" customWidth="1"/>
    <col min="10" max="10" width="26.28515625" style="331" customWidth="1"/>
    <col min="11" max="11" width="21.85546875" style="331" bestFit="1" customWidth="1"/>
    <col min="12" max="12" width="23.85546875" style="331" customWidth="1"/>
    <col min="13" max="13" width="20.85546875" style="331" bestFit="1" customWidth="1"/>
    <col min="14" max="15" width="16" style="331"/>
    <col min="16" max="16" width="16.28515625" style="331" bestFit="1" customWidth="1"/>
    <col min="17" max="16384" width="16" style="331"/>
  </cols>
  <sheetData>
    <row r="1" spans="1:12" ht="16.5" thickBot="1">
      <c r="A1" s="560" t="s">
        <v>64</v>
      </c>
      <c r="B1" s="561"/>
      <c r="C1" s="430">
        <f>Mar!C1+1</f>
        <v>201904</v>
      </c>
      <c r="F1" s="430">
        <f>C1</f>
        <v>201904</v>
      </c>
      <c r="H1" s="125" t="s">
        <v>69</v>
      </c>
      <c r="I1" s="92" t="s">
        <v>3</v>
      </c>
      <c r="J1" s="92" t="s">
        <v>3</v>
      </c>
      <c r="K1" s="92" t="s">
        <v>66</v>
      </c>
      <c r="L1" s="92" t="s">
        <v>66</v>
      </c>
    </row>
    <row r="2" spans="1:12" ht="15.75">
      <c r="C2" s="20"/>
      <c r="H2" s="126" t="s">
        <v>32</v>
      </c>
      <c r="I2" s="127" t="s">
        <v>65</v>
      </c>
      <c r="J2" s="127" t="s">
        <v>65</v>
      </c>
      <c r="K2" s="127" t="s">
        <v>67</v>
      </c>
      <c r="L2" s="127" t="s">
        <v>67</v>
      </c>
    </row>
    <row r="3" spans="1:12" ht="16.5" thickBot="1">
      <c r="A3" s="39" t="s">
        <v>110</v>
      </c>
      <c r="C3" s="21"/>
      <c r="D3" s="562"/>
      <c r="F3" s="26" t="s">
        <v>72</v>
      </c>
      <c r="H3" s="128" t="s">
        <v>68</v>
      </c>
      <c r="I3" s="128" t="s">
        <v>35</v>
      </c>
      <c r="J3" s="128" t="s">
        <v>63</v>
      </c>
      <c r="K3" s="128" t="s">
        <v>35</v>
      </c>
      <c r="L3" s="128" t="s">
        <v>63</v>
      </c>
    </row>
    <row r="4" spans="1:12" ht="15.75">
      <c r="A4" s="331" t="s">
        <v>88</v>
      </c>
      <c r="C4" s="89">
        <v>3514539.59</v>
      </c>
      <c r="D4" s="20"/>
      <c r="H4" s="11"/>
    </row>
    <row r="5" spans="1:12" ht="14.25" customHeight="1">
      <c r="A5" s="331" t="s">
        <v>31</v>
      </c>
      <c r="C5" s="89">
        <f>23381.19-341.29</f>
        <v>23039.899999999998</v>
      </c>
      <c r="D5" s="20"/>
      <c r="H5" s="11"/>
      <c r="I5" s="563">
        <v>0.69099999999999995</v>
      </c>
      <c r="J5" s="563">
        <v>0.309</v>
      </c>
      <c r="K5" s="388">
        <f>ROUND(G45/(G45+K43),4)</f>
        <v>0.67949999999999999</v>
      </c>
      <c r="L5" s="388">
        <f>1-K5</f>
        <v>0.32050000000000001</v>
      </c>
    </row>
    <row r="6" spans="1:12" ht="16.5" thickBot="1">
      <c r="A6" s="25" t="s">
        <v>30</v>
      </c>
      <c r="C6" s="440">
        <f>-1436921.83-409846.5-117099-131736.38-75528.86-94334.95</f>
        <v>-2265467.52</v>
      </c>
      <c r="D6" s="20"/>
    </row>
    <row r="7" spans="1:12" ht="16.5" thickBot="1">
      <c r="A7" s="41" t="s">
        <v>140</v>
      </c>
      <c r="C7" s="69">
        <f>SUM(C4:C6)</f>
        <v>1272111.9699999997</v>
      </c>
      <c r="D7" s="21"/>
      <c r="F7" s="129" t="s">
        <v>139</v>
      </c>
      <c r="G7" s="129"/>
      <c r="H7" s="564">
        <f>C34</f>
        <v>2195688.8299999996</v>
      </c>
      <c r="I7" s="130">
        <f>H7*I5</f>
        <v>1517220.9815299995</v>
      </c>
      <c r="J7" s="130">
        <f>H7*J5</f>
        <v>678467.84846999985</v>
      </c>
      <c r="K7" s="130"/>
      <c r="L7" s="130"/>
    </row>
    <row r="8" spans="1:12" ht="15.75">
      <c r="A8" s="331" t="s">
        <v>89</v>
      </c>
      <c r="C8" s="89">
        <v>166900.87</v>
      </c>
      <c r="D8" s="21"/>
      <c r="H8" s="131"/>
      <c r="I8" s="131"/>
      <c r="J8" s="131"/>
      <c r="K8" s="131"/>
      <c r="L8" s="131"/>
    </row>
    <row r="9" spans="1:12" ht="15.75">
      <c r="A9" s="331" t="s">
        <v>90</v>
      </c>
      <c r="C9" s="89">
        <f>11845.1-553.48</f>
        <v>11291.62</v>
      </c>
      <c r="D9" s="565"/>
      <c r="F9" s="129" t="s">
        <v>119</v>
      </c>
      <c r="H9" s="130">
        <f>C56</f>
        <v>2588108.9000000013</v>
      </c>
      <c r="I9" s="130"/>
      <c r="J9" s="130"/>
      <c r="K9" s="130">
        <f>H9*K5</f>
        <v>1758619.9975500009</v>
      </c>
      <c r="L9" s="130">
        <f>H9*L5</f>
        <v>829488.9024500004</v>
      </c>
    </row>
    <row r="10" spans="1:12" ht="15.75">
      <c r="A10" s="25" t="s">
        <v>91</v>
      </c>
      <c r="C10" s="440">
        <v>-2979.2</v>
      </c>
      <c r="D10" s="565"/>
      <c r="F10" s="132" t="s">
        <v>44</v>
      </c>
      <c r="H10" s="130">
        <f>C57</f>
        <v>530086.78</v>
      </c>
      <c r="I10" s="130"/>
      <c r="J10" s="130"/>
      <c r="K10" s="130">
        <f>H10</f>
        <v>530086.78</v>
      </c>
      <c r="L10" s="130"/>
    </row>
    <row r="11" spans="1:12">
      <c r="A11" s="41" t="s">
        <v>145</v>
      </c>
      <c r="C11" s="69">
        <f>SUM(C8:C10)</f>
        <v>175213.28999999998</v>
      </c>
      <c r="D11" s="565"/>
      <c r="F11" s="132" t="s">
        <v>45</v>
      </c>
      <c r="H11" s="133">
        <f>C58</f>
        <v>235666.35</v>
      </c>
      <c r="I11" s="130"/>
      <c r="J11" s="130"/>
      <c r="K11" s="133"/>
      <c r="L11" s="133">
        <f>H11</f>
        <v>235666.35</v>
      </c>
    </row>
    <row r="12" spans="1:12" ht="15.75">
      <c r="A12" s="331" t="s">
        <v>165</v>
      </c>
      <c r="C12" s="89">
        <f>231817.24+122.26</f>
        <v>231939.5</v>
      </c>
      <c r="D12" s="565"/>
      <c r="F12" s="132" t="s">
        <v>138</v>
      </c>
      <c r="H12" s="130">
        <f>H9+H10+H11</f>
        <v>3353862.0300000017</v>
      </c>
      <c r="I12" s="130"/>
      <c r="J12" s="130"/>
      <c r="K12" s="130">
        <f>SUM(K9:K11)</f>
        <v>2288706.7775500007</v>
      </c>
      <c r="L12" s="130">
        <f>SUM(L9:L11)</f>
        <v>1065155.2524500005</v>
      </c>
    </row>
    <row r="13" spans="1:12" ht="16.5" thickBot="1">
      <c r="A13" s="25" t="s">
        <v>166</v>
      </c>
      <c r="C13" s="440">
        <v>0</v>
      </c>
      <c r="D13" s="565"/>
      <c r="F13" s="134"/>
      <c r="G13" s="135"/>
      <c r="H13" s="136"/>
      <c r="I13" s="137"/>
      <c r="J13" s="136"/>
      <c r="K13" s="131"/>
      <c r="L13" s="136"/>
    </row>
    <row r="14" spans="1:12" ht="16.5" thickBot="1">
      <c r="A14" s="41" t="s">
        <v>92</v>
      </c>
      <c r="C14" s="69">
        <f>SUM(C12:C13)</f>
        <v>231939.5</v>
      </c>
      <c r="D14" s="8"/>
      <c r="F14" s="26" t="s">
        <v>69</v>
      </c>
      <c r="G14" s="138"/>
      <c r="H14" s="564">
        <f>H12+H7</f>
        <v>5549550.8600000013</v>
      </c>
      <c r="I14" s="139">
        <f>SUM(I7:I13)</f>
        <v>1517220.9815299995</v>
      </c>
      <c r="J14" s="139">
        <f>SUM(J7:J13)</f>
        <v>678467.84846999985</v>
      </c>
      <c r="K14" s="139">
        <f>K12</f>
        <v>2288706.7775500007</v>
      </c>
      <c r="L14" s="139">
        <f>L12</f>
        <v>1065155.2524500005</v>
      </c>
    </row>
    <row r="15" spans="1:12" ht="15.75">
      <c r="A15" s="331" t="s">
        <v>183</v>
      </c>
      <c r="C15" s="89">
        <f>434828.2+229.93</f>
        <v>435058.13</v>
      </c>
      <c r="D15" s="565"/>
      <c r="F15" s="134"/>
      <c r="G15" s="135" t="s">
        <v>102</v>
      </c>
      <c r="H15" s="136">
        <f>H14-C61</f>
        <v>0</v>
      </c>
      <c r="I15" s="140"/>
      <c r="J15" s="136">
        <f>J7+I7-H7</f>
        <v>0</v>
      </c>
      <c r="L15" s="136">
        <f>H12-K14-L14</f>
        <v>0</v>
      </c>
    </row>
    <row r="16" spans="1:12" ht="15.75">
      <c r="A16" s="25" t="s">
        <v>184</v>
      </c>
      <c r="C16" s="440">
        <v>0</v>
      </c>
      <c r="D16" s="565"/>
      <c r="F16" s="141"/>
      <c r="G16" s="135"/>
      <c r="H16" s="142"/>
      <c r="I16" s="143"/>
      <c r="J16" s="142"/>
      <c r="L16" s="142"/>
    </row>
    <row r="17" spans="1:13" ht="15.75" thickBot="1">
      <c r="A17" s="41" t="s">
        <v>185</v>
      </c>
      <c r="C17" s="69">
        <f>SUM(C15:C16)</f>
        <v>435058.13</v>
      </c>
      <c r="D17" s="8"/>
      <c r="F17" s="134"/>
      <c r="G17" s="135"/>
      <c r="H17" s="142"/>
      <c r="I17" s="143"/>
      <c r="J17" s="146"/>
      <c r="L17" s="142"/>
    </row>
    <row r="18" spans="1:13" ht="16.5" thickBot="1">
      <c r="A18" s="331" t="s">
        <v>163</v>
      </c>
      <c r="C18" s="89">
        <f>100770.1+9711+55.76</f>
        <v>110536.86</v>
      </c>
      <c r="D18" s="565"/>
      <c r="F18" s="526" t="s">
        <v>134</v>
      </c>
      <c r="G18" s="527"/>
      <c r="H18" s="527"/>
      <c r="I18" s="528"/>
      <c r="J18" s="526" t="s">
        <v>135</v>
      </c>
      <c r="K18" s="527"/>
      <c r="L18" s="527"/>
      <c r="M18" s="528"/>
    </row>
    <row r="19" spans="1:13" ht="15.75">
      <c r="A19" s="25" t="s">
        <v>164</v>
      </c>
      <c r="C19" s="440">
        <v>-18808.349999999999</v>
      </c>
      <c r="D19" s="565"/>
      <c r="F19" s="164" t="s">
        <v>108</v>
      </c>
      <c r="G19" s="127" t="s">
        <v>33</v>
      </c>
      <c r="H19" s="127" t="s">
        <v>33</v>
      </c>
      <c r="I19" s="127" t="s">
        <v>33</v>
      </c>
      <c r="J19" s="164" t="s">
        <v>108</v>
      </c>
      <c r="K19" s="127" t="s">
        <v>33</v>
      </c>
      <c r="L19" s="127" t="s">
        <v>33</v>
      </c>
      <c r="M19" s="148" t="s">
        <v>33</v>
      </c>
    </row>
    <row r="20" spans="1:13" ht="16.5" thickBot="1">
      <c r="A20" s="40" t="s">
        <v>93</v>
      </c>
      <c r="C20" s="69">
        <f>SUM(C18:C19)</f>
        <v>91728.510000000009</v>
      </c>
      <c r="D20" s="565"/>
      <c r="F20" s="158" t="s">
        <v>162</v>
      </c>
      <c r="G20" s="128" t="s">
        <v>101</v>
      </c>
      <c r="H20" s="128" t="s">
        <v>36</v>
      </c>
      <c r="I20" s="128" t="s">
        <v>34</v>
      </c>
      <c r="J20" s="158" t="s">
        <v>162</v>
      </c>
      <c r="K20" s="128" t="s">
        <v>101</v>
      </c>
      <c r="L20" s="128" t="s">
        <v>36</v>
      </c>
      <c r="M20" s="128" t="s">
        <v>34</v>
      </c>
    </row>
    <row r="21" spans="1:13" ht="15.75">
      <c r="A21" s="25" t="s">
        <v>149</v>
      </c>
      <c r="C21" s="440">
        <v>13702.72</v>
      </c>
      <c r="D21" s="565"/>
      <c r="F21" s="147"/>
      <c r="G21" s="12"/>
      <c r="H21" s="12"/>
      <c r="I21" s="148"/>
      <c r="J21" s="95"/>
      <c r="K21" s="13"/>
      <c r="L21" s="13"/>
      <c r="M21" s="167"/>
    </row>
    <row r="22" spans="1:13" ht="18" customHeight="1">
      <c r="A22" s="40" t="s">
        <v>149</v>
      </c>
      <c r="C22" s="69">
        <f>SUM(C21)</f>
        <v>13702.72</v>
      </c>
      <c r="D22" s="565"/>
      <c r="F22" s="162" t="s">
        <v>126</v>
      </c>
      <c r="G22" s="7"/>
      <c r="H22" s="7"/>
      <c r="I22" s="67"/>
      <c r="J22" s="162" t="s">
        <v>126</v>
      </c>
      <c r="K22" s="7"/>
      <c r="L22" s="7"/>
      <c r="M22" s="67"/>
    </row>
    <row r="23" spans="1:13" ht="15.75">
      <c r="A23" s="170" t="s">
        <v>180</v>
      </c>
      <c r="C23" s="69">
        <v>0</v>
      </c>
      <c r="D23" s="565"/>
      <c r="F23" s="163" t="s">
        <v>37</v>
      </c>
      <c r="G23" s="218">
        <v>8678511</v>
      </c>
      <c r="H23" s="333">
        <v>0.10238999999999999</v>
      </c>
      <c r="I23" s="159">
        <f t="shared" ref="I23:I31" si="0">G23*H23</f>
        <v>888592.74128999992</v>
      </c>
      <c r="J23" s="163" t="s">
        <v>37</v>
      </c>
      <c r="K23" s="218">
        <v>4435648</v>
      </c>
      <c r="L23" s="333">
        <v>9.5839999999999995E-2</v>
      </c>
      <c r="M23" s="159">
        <f>K23*L23</f>
        <v>425112.50431999995</v>
      </c>
    </row>
    <row r="24" spans="1:13" ht="15.75">
      <c r="A24" s="170" t="s">
        <v>186</v>
      </c>
      <c r="C24" s="89">
        <v>0</v>
      </c>
      <c r="D24" s="565"/>
      <c r="F24" s="163" t="s">
        <v>304</v>
      </c>
      <c r="G24" s="218">
        <v>9640</v>
      </c>
      <c r="H24" s="333">
        <v>0.10238999999999999</v>
      </c>
      <c r="I24" s="159">
        <f t="shared" si="0"/>
        <v>987.03959999999995</v>
      </c>
      <c r="J24" s="163" t="s">
        <v>38</v>
      </c>
      <c r="K24" s="218">
        <v>1909235</v>
      </c>
      <c r="L24" s="333">
        <v>9.5839999999999995E-2</v>
      </c>
      <c r="M24" s="159">
        <f t="shared" ref="M24:M27" si="1">K24*L24</f>
        <v>182981.08239999998</v>
      </c>
    </row>
    <row r="25" spans="1:13" ht="15.75">
      <c r="A25" s="170" t="s">
        <v>189</v>
      </c>
      <c r="C25" s="442">
        <v>0</v>
      </c>
      <c r="D25" s="565"/>
      <c r="F25" s="163" t="s">
        <v>38</v>
      </c>
      <c r="G25" s="218">
        <v>4528915</v>
      </c>
      <c r="H25" s="333">
        <v>9.239E-2</v>
      </c>
      <c r="I25" s="159">
        <f t="shared" si="0"/>
        <v>418426.45685000002</v>
      </c>
      <c r="J25" s="163" t="s">
        <v>39</v>
      </c>
      <c r="K25" s="218">
        <v>13368</v>
      </c>
      <c r="L25" s="333">
        <v>9.5839999999999995E-2</v>
      </c>
      <c r="M25" s="159">
        <f t="shared" si="1"/>
        <v>1281.18912</v>
      </c>
    </row>
    <row r="26" spans="1:13" ht="15.75">
      <c r="A26" s="171" t="s">
        <v>188</v>
      </c>
      <c r="C26" s="443">
        <v>0</v>
      </c>
      <c r="D26" s="565"/>
      <c r="F26" s="163" t="s">
        <v>39</v>
      </c>
      <c r="G26" s="218">
        <v>11138</v>
      </c>
      <c r="H26" s="333">
        <v>9.239E-2</v>
      </c>
      <c r="I26" s="159">
        <f t="shared" si="0"/>
        <v>1029.03982</v>
      </c>
      <c r="J26" s="163" t="s">
        <v>40</v>
      </c>
      <c r="K26" s="218">
        <v>0</v>
      </c>
      <c r="L26" s="333">
        <v>9.5839999999999995E-2</v>
      </c>
      <c r="M26" s="159">
        <f t="shared" si="1"/>
        <v>0</v>
      </c>
    </row>
    <row r="27" spans="1:13" ht="15.75">
      <c r="A27" s="40" t="s">
        <v>96</v>
      </c>
      <c r="C27" s="69">
        <f>SUM(C23:C26)</f>
        <v>0</v>
      </c>
      <c r="D27" s="565"/>
      <c r="F27" s="163" t="s">
        <v>40</v>
      </c>
      <c r="G27" s="218">
        <v>108923</v>
      </c>
      <c r="H27" s="333">
        <v>9.2249999999999999E-2</v>
      </c>
      <c r="I27" s="159">
        <f t="shared" si="0"/>
        <v>10048.14675</v>
      </c>
      <c r="J27" s="163" t="s">
        <v>41</v>
      </c>
      <c r="K27" s="218">
        <v>0</v>
      </c>
      <c r="L27" s="333">
        <v>9.5839999999999995E-2</v>
      </c>
      <c r="M27" s="159">
        <f t="shared" si="1"/>
        <v>0</v>
      </c>
    </row>
    <row r="28" spans="1:13" ht="16.5" thickBot="1">
      <c r="A28" s="172" t="s">
        <v>150</v>
      </c>
      <c r="C28" s="89">
        <v>0</v>
      </c>
      <c r="D28" s="8"/>
      <c r="F28" s="163" t="s">
        <v>41</v>
      </c>
      <c r="G28" s="218">
        <v>42472</v>
      </c>
      <c r="H28" s="333">
        <v>9.2249999999999999E-2</v>
      </c>
      <c r="I28" s="159">
        <f t="shared" si="0"/>
        <v>3918.0419999999999</v>
      </c>
      <c r="J28" s="162" t="s">
        <v>127</v>
      </c>
      <c r="K28" s="144">
        <f>SUM(K23:K27)</f>
        <v>6358251</v>
      </c>
      <c r="L28" s="145"/>
      <c r="M28" s="160">
        <f>SUM(M23:M27)</f>
        <v>609374.7758399999</v>
      </c>
    </row>
    <row r="29" spans="1:13" ht="17.25" thickTop="1" thickBot="1">
      <c r="A29" s="172" t="s">
        <v>167</v>
      </c>
      <c r="C29" s="89">
        <v>0</v>
      </c>
      <c r="D29" s="565"/>
      <c r="F29" s="163" t="s">
        <v>42</v>
      </c>
      <c r="G29" s="218">
        <v>0</v>
      </c>
      <c r="H29" s="333">
        <v>5.9499999999999997E-2</v>
      </c>
      <c r="I29" s="159">
        <f t="shared" si="0"/>
        <v>0</v>
      </c>
      <c r="J29" s="162"/>
      <c r="K29" s="189">
        <v>6358251</v>
      </c>
      <c r="L29" s="150" t="s">
        <v>102</v>
      </c>
      <c r="M29" s="407">
        <f>M28/K28</f>
        <v>9.5839999999999981E-2</v>
      </c>
    </row>
    <row r="30" spans="1:13" ht="16.5" thickBot="1">
      <c r="A30" s="26" t="s">
        <v>111</v>
      </c>
      <c r="C30" s="564">
        <f>C7+C11+C14+C17+C20+C22+C27+C28+C29</f>
        <v>2219754.1199999996</v>
      </c>
      <c r="D30" s="8"/>
      <c r="F30" s="163" t="s">
        <v>43</v>
      </c>
      <c r="G30" s="218">
        <v>97799</v>
      </c>
      <c r="H30" s="333">
        <v>5.9499999999999997E-2</v>
      </c>
      <c r="I30" s="159">
        <f t="shared" si="0"/>
        <v>5819.0405000000001</v>
      </c>
      <c r="J30" s="163"/>
      <c r="K30" s="188">
        <f>K28-K29</f>
        <v>0</v>
      </c>
      <c r="L30" s="145"/>
      <c r="M30" s="161"/>
    </row>
    <row r="31" spans="1:13" ht="15.75">
      <c r="A31" s="331" t="s">
        <v>112</v>
      </c>
      <c r="C31" s="89">
        <v>-8542.1200000000008</v>
      </c>
      <c r="D31" s="566"/>
      <c r="F31" s="163" t="s">
        <v>74</v>
      </c>
      <c r="G31" s="218">
        <v>3113093</v>
      </c>
      <c r="H31" s="333">
        <v>5.4000000000000001E-4</v>
      </c>
      <c r="I31" s="159">
        <f t="shared" si="0"/>
        <v>1681.0702200000001</v>
      </c>
      <c r="J31" s="117"/>
      <c r="K31" s="7"/>
      <c r="L31" s="145"/>
      <c r="M31" s="161"/>
    </row>
    <row r="32" spans="1:13" ht="16.5" thickBot="1">
      <c r="A32" s="26" t="s">
        <v>116</v>
      </c>
      <c r="B32" s="26" t="s">
        <v>117</v>
      </c>
      <c r="C32" s="444">
        <f>C30+C31</f>
        <v>2211211.9999999995</v>
      </c>
      <c r="D32" s="567"/>
      <c r="F32" s="162" t="s">
        <v>127</v>
      </c>
      <c r="G32" s="144">
        <f>SUM(G23:G31)</f>
        <v>16590491</v>
      </c>
      <c r="H32" s="7"/>
      <c r="I32" s="160">
        <f>SUM(I23:I31)</f>
        <v>1330501.57703</v>
      </c>
      <c r="J32" s="155"/>
      <c r="K32" s="156"/>
      <c r="L32" s="7"/>
      <c r="M32" s="153"/>
    </row>
    <row r="33" spans="1:17" ht="17.25" thickTop="1" thickBot="1">
      <c r="A33" s="331" t="s">
        <v>113</v>
      </c>
      <c r="C33" s="444">
        <f>-C5-C9-C13-C16-C19</f>
        <v>-15523.169999999998</v>
      </c>
      <c r="D33" s="565"/>
      <c r="F33" s="149"/>
      <c r="G33" s="189">
        <f>13477398+3113093</f>
        <v>16590491</v>
      </c>
      <c r="H33" s="150" t="s">
        <v>102</v>
      </c>
      <c r="I33" s="176">
        <f>I32/G32</f>
        <v>8.0196636557049464E-2</v>
      </c>
      <c r="J33" s="155"/>
      <c r="K33" s="156"/>
      <c r="L33" s="7"/>
      <c r="M33" s="67"/>
    </row>
    <row r="34" spans="1:17" ht="16.5" thickBot="1">
      <c r="A34" s="26" t="s">
        <v>114</v>
      </c>
      <c r="C34" s="564">
        <f>SUM(C32:C33)</f>
        <v>2195688.8299999996</v>
      </c>
      <c r="D34" s="565"/>
      <c r="F34" s="117"/>
      <c r="G34" s="188">
        <f>G32-G33</f>
        <v>0</v>
      </c>
      <c r="H34" s="7"/>
      <c r="I34" s="67"/>
      <c r="J34" s="155"/>
      <c r="K34" s="154"/>
      <c r="L34" s="7"/>
      <c r="M34" s="67"/>
    </row>
    <row r="35" spans="1:17" ht="18" customHeight="1">
      <c r="A35" s="26"/>
      <c r="C35" s="444"/>
      <c r="D35" s="565"/>
      <c r="F35" s="147"/>
      <c r="G35" s="12"/>
      <c r="H35" s="12"/>
      <c r="I35" s="148"/>
      <c r="J35" s="162" t="s">
        <v>128</v>
      </c>
      <c r="K35" s="524"/>
      <c r="L35" s="524"/>
      <c r="M35" s="525"/>
    </row>
    <row r="36" spans="1:17" ht="15.75">
      <c r="A36" s="11" t="s">
        <v>94</v>
      </c>
      <c r="B36" s="26"/>
      <c r="C36" s="69"/>
      <c r="D36" s="565"/>
      <c r="F36" s="162" t="s">
        <v>128</v>
      </c>
      <c r="G36" s="7"/>
      <c r="H36" s="7"/>
      <c r="I36" s="67"/>
      <c r="J36" s="163" t="s">
        <v>37</v>
      </c>
      <c r="K36" s="219">
        <f>K23</f>
        <v>4435648</v>
      </c>
      <c r="L36" s="333">
        <v>0.16886000000000001</v>
      </c>
      <c r="M36" s="159">
        <f t="shared" ref="M36:M42" si="2">K36*L36</f>
        <v>749003.5212800001</v>
      </c>
      <c r="P36" s="498"/>
      <c r="Q36" s="498"/>
    </row>
    <row r="37" spans="1:17" ht="15.75">
      <c r="A37" s="7" t="s">
        <v>129</v>
      </c>
      <c r="B37" s="516" t="s">
        <v>115</v>
      </c>
      <c r="C37" s="89">
        <v>6051139.6600000001</v>
      </c>
      <c r="D37" s="565"/>
      <c r="F37" s="163" t="s">
        <v>37</v>
      </c>
      <c r="G37" s="219">
        <f>G23</f>
        <v>8678511</v>
      </c>
      <c r="H37" s="333">
        <v>0.17066999999999999</v>
      </c>
      <c r="I37" s="159">
        <f t="shared" ref="I37:I44" si="3">G37*H37</f>
        <v>1481161.4723699999</v>
      </c>
      <c r="J37" s="163" t="s">
        <v>38</v>
      </c>
      <c r="K37" s="219">
        <f>K24</f>
        <v>1909235</v>
      </c>
      <c r="L37" s="333">
        <v>0.16886000000000001</v>
      </c>
      <c r="M37" s="159">
        <f t="shared" si="2"/>
        <v>322393.42210000003</v>
      </c>
      <c r="P37" s="498"/>
      <c r="Q37" s="498"/>
    </row>
    <row r="38" spans="1:17" ht="15.75">
      <c r="A38" s="173" t="s">
        <v>14</v>
      </c>
      <c r="B38" s="516" t="s">
        <v>115</v>
      </c>
      <c r="C38" s="89"/>
      <c r="D38" s="565"/>
      <c r="F38" s="163" t="s">
        <v>304</v>
      </c>
      <c r="G38" s="219">
        <f>G24</f>
        <v>9640</v>
      </c>
      <c r="H38" s="333">
        <v>0.17066999999999999</v>
      </c>
      <c r="I38" s="159">
        <f t="shared" si="3"/>
        <v>1645.2587999999998</v>
      </c>
      <c r="J38" s="163" t="s">
        <v>39</v>
      </c>
      <c r="K38" s="219">
        <f>K25</f>
        <v>13368</v>
      </c>
      <c r="L38" s="333">
        <v>0.16886000000000001</v>
      </c>
      <c r="M38" s="159">
        <f t="shared" si="2"/>
        <v>2257.3204800000003</v>
      </c>
      <c r="P38" s="498"/>
      <c r="Q38" s="498"/>
    </row>
    <row r="39" spans="1:17" ht="15.75">
      <c r="A39" s="7" t="s">
        <v>146</v>
      </c>
      <c r="B39" s="516" t="s">
        <v>147</v>
      </c>
      <c r="C39" s="89">
        <v>-50848.81</v>
      </c>
      <c r="D39" s="565"/>
      <c r="F39" s="163" t="s">
        <v>38</v>
      </c>
      <c r="G39" s="219">
        <f t="shared" ref="G39:G44" si="4">G25</f>
        <v>4528915</v>
      </c>
      <c r="H39" s="333">
        <v>0.17066999999999999</v>
      </c>
      <c r="I39" s="159">
        <f t="shared" si="3"/>
        <v>772949.92304999998</v>
      </c>
      <c r="J39" s="163" t="s">
        <v>40</v>
      </c>
      <c r="K39" s="219">
        <f>K26</f>
        <v>0</v>
      </c>
      <c r="L39" s="333">
        <v>0.16886000000000001</v>
      </c>
      <c r="M39" s="159">
        <f t="shared" si="2"/>
        <v>0</v>
      </c>
      <c r="P39" s="498"/>
      <c r="Q39" s="498"/>
    </row>
    <row r="40" spans="1:17" ht="15.75">
      <c r="A40" s="7" t="s">
        <v>131</v>
      </c>
      <c r="B40" s="516" t="s">
        <v>132</v>
      </c>
      <c r="C40" s="89">
        <v>-142303.66</v>
      </c>
      <c r="D40" s="565"/>
      <c r="F40" s="163" t="s">
        <v>39</v>
      </c>
      <c r="G40" s="219">
        <f t="shared" si="4"/>
        <v>11138</v>
      </c>
      <c r="H40" s="333">
        <v>0.17066999999999999</v>
      </c>
      <c r="I40" s="159">
        <f t="shared" si="3"/>
        <v>1900.9224599999998</v>
      </c>
      <c r="J40" s="163" t="s">
        <v>41</v>
      </c>
      <c r="K40" s="219">
        <f>K27</f>
        <v>0</v>
      </c>
      <c r="L40" s="333">
        <v>0.16886000000000001</v>
      </c>
      <c r="M40" s="159">
        <f t="shared" si="2"/>
        <v>0</v>
      </c>
      <c r="P40" s="498"/>
      <c r="Q40" s="498"/>
    </row>
    <row r="41" spans="1:17" ht="15.75">
      <c r="A41" s="7" t="s">
        <v>153</v>
      </c>
      <c r="B41" s="445" t="s">
        <v>155</v>
      </c>
      <c r="C41" s="89">
        <v>5433.61</v>
      </c>
      <c r="D41" s="565"/>
      <c r="F41" s="163" t="s">
        <v>40</v>
      </c>
      <c r="G41" s="219">
        <f t="shared" si="4"/>
        <v>108923</v>
      </c>
      <c r="H41" s="333">
        <v>0.17066999999999999</v>
      </c>
      <c r="I41" s="159">
        <f t="shared" si="3"/>
        <v>18589.88841</v>
      </c>
      <c r="J41" s="163" t="s">
        <v>42</v>
      </c>
      <c r="K41" s="218">
        <v>0</v>
      </c>
      <c r="L41" s="333">
        <v>0.16886000000000001</v>
      </c>
      <c r="M41" s="159">
        <f t="shared" si="2"/>
        <v>0</v>
      </c>
      <c r="P41" s="498"/>
      <c r="Q41" s="498"/>
    </row>
    <row r="42" spans="1:17" ht="16.5" thickBot="1">
      <c r="A42" s="7" t="s">
        <v>178</v>
      </c>
      <c r="B42" s="516" t="s">
        <v>179</v>
      </c>
      <c r="C42" s="89">
        <v>439403.91</v>
      </c>
      <c r="D42" s="8"/>
      <c r="F42" s="163" t="s">
        <v>41</v>
      </c>
      <c r="G42" s="219">
        <f t="shared" si="4"/>
        <v>42472</v>
      </c>
      <c r="H42" s="333">
        <v>0.17066999999999999</v>
      </c>
      <c r="I42" s="159">
        <f t="shared" si="3"/>
        <v>7248.6962399999993</v>
      </c>
      <c r="J42" s="163" t="s">
        <v>43</v>
      </c>
      <c r="K42" s="220">
        <v>0</v>
      </c>
      <c r="L42" s="333">
        <v>0.16886000000000001</v>
      </c>
      <c r="M42" s="159">
        <f t="shared" si="2"/>
        <v>0</v>
      </c>
      <c r="P42" s="498"/>
      <c r="Q42" s="498"/>
    </row>
    <row r="43" spans="1:17" ht="16.5" thickBot="1">
      <c r="A43" s="56" t="s">
        <v>123</v>
      </c>
      <c r="B43" s="12"/>
      <c r="C43" s="564">
        <f>SUM(C37:C42)</f>
        <v>6302824.7100000009</v>
      </c>
      <c r="D43" s="565"/>
      <c r="F43" s="163" t="s">
        <v>42</v>
      </c>
      <c r="G43" s="219">
        <f t="shared" si="4"/>
        <v>0</v>
      </c>
      <c r="H43" s="333">
        <v>0.17066999999999999</v>
      </c>
      <c r="I43" s="159">
        <f t="shared" si="3"/>
        <v>0</v>
      </c>
      <c r="J43" s="162" t="s">
        <v>133</v>
      </c>
      <c r="K43" s="144">
        <f>SUM(K36:K42)</f>
        <v>6358251</v>
      </c>
      <c r="L43" s="145"/>
      <c r="M43" s="160">
        <f>SUM(M36:M42)</f>
        <v>1073654.2638600001</v>
      </c>
    </row>
    <row r="44" spans="1:17" ht="16.5" thickBot="1">
      <c r="A44" s="568" t="s">
        <v>177</v>
      </c>
      <c r="B44" s="569" t="s">
        <v>120</v>
      </c>
      <c r="C44" s="89">
        <v>458408.6</v>
      </c>
      <c r="D44" s="8"/>
      <c r="F44" s="163" t="s">
        <v>43</v>
      </c>
      <c r="G44" s="219">
        <f t="shared" si="4"/>
        <v>97799</v>
      </c>
      <c r="H44" s="333">
        <v>0.17066999999999999</v>
      </c>
      <c r="I44" s="159">
        <f t="shared" si="3"/>
        <v>16691.355329999999</v>
      </c>
      <c r="J44" s="157"/>
      <c r="K44" s="190">
        <v>6358251</v>
      </c>
      <c r="L44" s="152" t="s">
        <v>102</v>
      </c>
      <c r="M44" s="177">
        <f>M43/K43</f>
        <v>0.16886000000000001</v>
      </c>
    </row>
    <row r="45" spans="1:17" ht="16.5" thickBot="1">
      <c r="A45" s="173" t="s">
        <v>168</v>
      </c>
      <c r="B45" s="445" t="s">
        <v>115</v>
      </c>
      <c r="C45" s="89">
        <v>0</v>
      </c>
      <c r="D45" s="566"/>
      <c r="F45" s="162" t="s">
        <v>133</v>
      </c>
      <c r="G45" s="144">
        <f>SUM(G37:G44)</f>
        <v>13477398</v>
      </c>
      <c r="H45" s="145"/>
      <c r="I45" s="160">
        <f>SUM(I37:I44)</f>
        <v>2300187.5166600002</v>
      </c>
      <c r="J45" s="56"/>
      <c r="K45" s="188">
        <f>K43-K44</f>
        <v>0</v>
      </c>
      <c r="L45" s="150"/>
      <c r="M45" s="441"/>
    </row>
    <row r="46" spans="1:17" ht="19.5" customHeight="1" thickTop="1" thickBot="1">
      <c r="A46" s="173" t="s">
        <v>169</v>
      </c>
      <c r="B46" s="445" t="s">
        <v>115</v>
      </c>
      <c r="C46" s="89">
        <v>0</v>
      </c>
      <c r="D46" s="567"/>
      <c r="F46" s="151"/>
      <c r="G46" s="190">
        <v>13477398</v>
      </c>
      <c r="H46" s="152" t="s">
        <v>102</v>
      </c>
      <c r="I46" s="175">
        <f>I45/G45</f>
        <v>0.17067000000000002</v>
      </c>
      <c r="J46" s="56"/>
      <c r="K46" s="189"/>
      <c r="L46" s="150"/>
      <c r="M46" s="441"/>
    </row>
    <row r="47" spans="1:17" ht="19.5" customHeight="1">
      <c r="A47" s="331" t="s">
        <v>137</v>
      </c>
      <c r="B47" s="445" t="s">
        <v>115</v>
      </c>
      <c r="C47" s="89"/>
      <c r="D47" s="565"/>
      <c r="G47" s="188">
        <f>G45-G46</f>
        <v>0</v>
      </c>
      <c r="J47" s="91"/>
      <c r="K47" s="188"/>
      <c r="M47" s="91"/>
    </row>
    <row r="48" spans="1:17" ht="16.5" thickBot="1">
      <c r="A48" s="173" t="s">
        <v>303</v>
      </c>
      <c r="B48" s="445" t="s">
        <v>115</v>
      </c>
      <c r="C48" s="89">
        <v>7000</v>
      </c>
      <c r="D48" s="565"/>
      <c r="J48" s="91"/>
      <c r="K48" s="82"/>
      <c r="M48" s="42"/>
    </row>
    <row r="49" spans="1:21" ht="15.75">
      <c r="A49" s="7" t="s">
        <v>130</v>
      </c>
      <c r="B49" s="516" t="s">
        <v>152</v>
      </c>
      <c r="C49" s="89">
        <v>36415.74</v>
      </c>
      <c r="D49" s="565"/>
      <c r="G49" s="82"/>
      <c r="H49" s="95" t="s">
        <v>35</v>
      </c>
      <c r="I49" s="13" t="s">
        <v>35</v>
      </c>
      <c r="J49" s="13" t="s">
        <v>63</v>
      </c>
      <c r="K49" s="93" t="s">
        <v>70</v>
      </c>
      <c r="L49" s="91"/>
    </row>
    <row r="50" spans="1:21" ht="16.5" thickBot="1">
      <c r="A50" s="7" t="s">
        <v>221</v>
      </c>
      <c r="B50" s="516" t="s">
        <v>152</v>
      </c>
      <c r="C50" s="89">
        <v>1983.96</v>
      </c>
      <c r="D50" s="8"/>
      <c r="F50" s="26" t="s">
        <v>73</v>
      </c>
      <c r="H50" s="96" t="s">
        <v>2</v>
      </c>
      <c r="I50" s="97" t="s">
        <v>3</v>
      </c>
      <c r="J50" s="97" t="s">
        <v>2</v>
      </c>
      <c r="K50" s="94" t="s">
        <v>3</v>
      </c>
    </row>
    <row r="51" spans="1:21" ht="15.75">
      <c r="A51" s="7" t="s">
        <v>306</v>
      </c>
      <c r="B51" s="516" t="s">
        <v>152</v>
      </c>
      <c r="C51" s="89">
        <v>1671.65</v>
      </c>
      <c r="D51" s="565"/>
      <c r="H51" s="115"/>
      <c r="I51" s="116"/>
      <c r="J51" s="116"/>
      <c r="K51" s="116"/>
      <c r="L51" s="92" t="s">
        <v>103</v>
      </c>
    </row>
    <row r="52" spans="1:21" ht="15.75">
      <c r="A52" s="132" t="s">
        <v>118</v>
      </c>
      <c r="B52" s="445"/>
      <c r="C52" s="69">
        <f>-C33</f>
        <v>15523.169999999998</v>
      </c>
      <c r="D52" s="562"/>
      <c r="F52" s="331" t="s">
        <v>136</v>
      </c>
      <c r="H52" s="174">
        <f>K12</f>
        <v>2288706.7775500007</v>
      </c>
      <c r="I52" s="83">
        <f>I14</f>
        <v>1517220.9815299995</v>
      </c>
      <c r="J52" s="83">
        <f>L12</f>
        <v>1065155.2524500005</v>
      </c>
      <c r="K52" s="83">
        <f>J14</f>
        <v>678467.84846999985</v>
      </c>
      <c r="L52" s="98">
        <f>SUM(H52:K52)</f>
        <v>5549550.8600000003</v>
      </c>
    </row>
    <row r="53" spans="1:21" ht="16.5" thickBot="1">
      <c r="A53" s="331" t="s">
        <v>313</v>
      </c>
      <c r="B53" s="516" t="s">
        <v>314</v>
      </c>
      <c r="C53" s="89">
        <v>10762.11</v>
      </c>
      <c r="D53" s="565"/>
      <c r="F53" s="331" t="s">
        <v>109</v>
      </c>
      <c r="H53" s="174">
        <f>-I45</f>
        <v>-2300187.5166600002</v>
      </c>
      <c r="I53" s="83">
        <f>-I32</f>
        <v>-1330501.57703</v>
      </c>
      <c r="J53" s="83">
        <f>-M43</f>
        <v>-1073654.2638600001</v>
      </c>
      <c r="K53" s="83">
        <f>-M28</f>
        <v>-609374.7758399999</v>
      </c>
      <c r="L53" s="217">
        <f>SUM(H53:K53)</f>
        <v>-5313718.133390001</v>
      </c>
    </row>
    <row r="54" spans="1:21" ht="16.5" thickBot="1">
      <c r="A54" s="331" t="s">
        <v>124</v>
      </c>
      <c r="B54" s="445" t="s">
        <v>295</v>
      </c>
      <c r="C54" s="89">
        <v>-3871481.04</v>
      </c>
      <c r="D54" s="565"/>
      <c r="F54" s="331" t="s">
        <v>86</v>
      </c>
      <c r="H54" s="192">
        <v>0</v>
      </c>
      <c r="I54" s="193">
        <v>0</v>
      </c>
      <c r="J54" s="193">
        <v>0</v>
      </c>
      <c r="K54" s="194">
        <v>0</v>
      </c>
      <c r="L54" s="570">
        <f>SUM(L52:L53)</f>
        <v>235832.72660999931</v>
      </c>
    </row>
    <row r="55" spans="1:21" ht="16.5" thickBot="1">
      <c r="A55" s="331" t="s">
        <v>310</v>
      </c>
      <c r="B55" s="445" t="s">
        <v>190</v>
      </c>
      <c r="C55" s="89">
        <v>-375000</v>
      </c>
      <c r="D55" s="565"/>
      <c r="F55" s="331" t="s">
        <v>71</v>
      </c>
      <c r="H55" s="564">
        <f>IFERROR(H52+H53+H54,0)</f>
        <v>-11480.7391099995</v>
      </c>
      <c r="I55" s="564">
        <f>I52+I53+I54</f>
        <v>186719.40449999948</v>
      </c>
      <c r="J55" s="564">
        <f>IFERROR(J52+J53+J54,0)</f>
        <v>-8499.0114099995699</v>
      </c>
      <c r="K55" s="564">
        <f>K52+K53+K54</f>
        <v>69093.072629999951</v>
      </c>
      <c r="L55" s="571">
        <f>SUM(H55:K55)</f>
        <v>235832.72661000036</v>
      </c>
    </row>
    <row r="56" spans="1:21" ht="16.5" thickBot="1">
      <c r="A56" s="572" t="s">
        <v>119</v>
      </c>
      <c r="B56" s="569"/>
      <c r="C56" s="123">
        <f>SUM(C43:C55)</f>
        <v>2588108.9000000013</v>
      </c>
      <c r="D56" s="565"/>
      <c r="F56" s="573" t="s">
        <v>181</v>
      </c>
      <c r="H56" s="331" t="s">
        <v>173</v>
      </c>
      <c r="I56" s="7">
        <f>SUM(H55:I55)</f>
        <v>175238.66538999998</v>
      </c>
      <c r="J56" s="41" t="s">
        <v>174</v>
      </c>
      <c r="K56" s="331">
        <f>SUM(J55:K55)</f>
        <v>60594.061220000382</v>
      </c>
      <c r="L56" s="574">
        <f>ROUND(L54-L55,3)</f>
        <v>0</v>
      </c>
      <c r="T56" s="575"/>
    </row>
    <row r="57" spans="1:21" ht="16.5" thickTop="1">
      <c r="A57" s="331" t="s">
        <v>121</v>
      </c>
      <c r="B57" s="445" t="s">
        <v>115</v>
      </c>
      <c r="C57" s="89">
        <v>530086.78</v>
      </c>
      <c r="D57" s="565"/>
      <c r="F57" s="576" t="s">
        <v>181</v>
      </c>
      <c r="H57" s="577"/>
    </row>
    <row r="58" spans="1:21" ht="16.5" thickBot="1">
      <c r="A58" s="331" t="s">
        <v>122</v>
      </c>
      <c r="B58" s="445" t="s">
        <v>115</v>
      </c>
      <c r="C58" s="89">
        <v>235666.35</v>
      </c>
      <c r="D58" s="565"/>
      <c r="F58" s="576" t="s">
        <v>182</v>
      </c>
      <c r="H58" s="566"/>
      <c r="I58" s="578"/>
      <c r="J58" s="578"/>
      <c r="K58" s="579"/>
      <c r="L58" s="578"/>
    </row>
    <row r="59" spans="1:21" ht="16.5" thickBot="1">
      <c r="A59" s="26" t="s">
        <v>125</v>
      </c>
      <c r="B59" s="26"/>
      <c r="C59" s="123">
        <f>SUM(C56:C58)</f>
        <v>3353862.0300000017</v>
      </c>
      <c r="D59" s="565"/>
      <c r="F59" s="580" t="s">
        <v>302</v>
      </c>
      <c r="G59" s="437" t="str">
        <f>IF(OR(AND(I56&gt;0,K56&gt;0),AND(I56&lt;0,K56&lt;0)),"OK","ERROR")</f>
        <v>OK</v>
      </c>
      <c r="H59" s="115" t="s">
        <v>293</v>
      </c>
      <c r="I59" s="167"/>
    </row>
    <row r="60" spans="1:21" ht="17.25" thickTop="1" thickBot="1">
      <c r="A60" s="26"/>
      <c r="C60" s="444"/>
      <c r="D60" s="565"/>
      <c r="H60" s="118" t="s">
        <v>175</v>
      </c>
      <c r="I60" s="549" t="s">
        <v>176</v>
      </c>
      <c r="J60" s="7"/>
    </row>
    <row r="61" spans="1:21" ht="16.5" thickBot="1">
      <c r="A61" s="107"/>
      <c r="B61" s="107" t="s">
        <v>95</v>
      </c>
      <c r="C61" s="564">
        <f>C59+C34</f>
        <v>5549550.8600000013</v>
      </c>
      <c r="D61" s="8"/>
      <c r="H61" s="297" t="e">
        <f>SUM('WA - Def-Amtz (current)'!BB5:BB40)+SUM(#REF!)</f>
        <v>#REF!</v>
      </c>
      <c r="I61" s="392" t="e">
        <f>SUM('WA - Def-Amtz (current)'!BC5:BC41)+SUM(#REF!)</f>
        <v>#REF!</v>
      </c>
      <c r="J61" s="331">
        <f>H53+I53+J53+K53</f>
        <v>-5313718.133390001</v>
      </c>
    </row>
    <row r="62" spans="1:21" ht="15.75">
      <c r="A62" s="26"/>
      <c r="B62" s="107" t="s">
        <v>160</v>
      </c>
      <c r="C62" s="446">
        <v>5549550.8600000003</v>
      </c>
      <c r="G62" s="7"/>
      <c r="I62" s="69" t="e">
        <f>H61-I61</f>
        <v>#REF!</v>
      </c>
      <c r="N62" s="7"/>
      <c r="O62" s="7"/>
      <c r="P62" s="581"/>
    </row>
    <row r="63" spans="1:21" ht="15.75">
      <c r="A63" s="107"/>
      <c r="B63" s="107" t="s">
        <v>159</v>
      </c>
      <c r="C63" s="69">
        <f>ROUND(C61-C62,2)</f>
        <v>0</v>
      </c>
      <c r="D63" s="565"/>
      <c r="S63" s="445"/>
    </row>
    <row r="64" spans="1:21" ht="15.75">
      <c r="A64" s="57"/>
      <c r="C64" s="582"/>
      <c r="D64" s="583"/>
      <c r="N64" s="132"/>
      <c r="U64" s="26"/>
    </row>
    <row r="65" spans="1:21" ht="15.75">
      <c r="A65" s="57"/>
      <c r="C65" s="8"/>
      <c r="D65" s="565"/>
      <c r="N65" s="132"/>
      <c r="S65" s="584"/>
    </row>
    <row r="66" spans="1:21" ht="15.75">
      <c r="A66" s="26"/>
      <c r="C66" s="8"/>
      <c r="D66" s="565"/>
      <c r="H66" s="331" t="s">
        <v>347</v>
      </c>
      <c r="N66" s="132"/>
      <c r="S66" s="585"/>
    </row>
    <row r="67" spans="1:21">
      <c r="C67" s="69"/>
      <c r="D67" s="565"/>
      <c r="N67" s="132"/>
      <c r="S67" s="586"/>
    </row>
    <row r="68" spans="1:21">
      <c r="D68" s="565"/>
      <c r="N68" s="132"/>
      <c r="S68" s="585"/>
    </row>
    <row r="69" spans="1:21">
      <c r="D69" s="8"/>
      <c r="N69" s="132"/>
    </row>
    <row r="70" spans="1:21">
      <c r="D70" s="565"/>
      <c r="N70" s="132"/>
      <c r="S70" s="587"/>
    </row>
    <row r="71" spans="1:21">
      <c r="D71" s="565"/>
    </row>
    <row r="72" spans="1:21">
      <c r="D72" s="565"/>
    </row>
    <row r="73" spans="1:21">
      <c r="D73" s="154"/>
      <c r="S73" s="588"/>
    </row>
    <row r="74" spans="1:21">
      <c r="R74" s="445"/>
      <c r="S74" s="445"/>
      <c r="T74" s="445"/>
    </row>
    <row r="76" spans="1:21">
      <c r="U76" s="589"/>
    </row>
    <row r="1477" spans="3:3">
      <c r="C1477" s="331">
        <v>-2130</v>
      </c>
    </row>
    <row r="1485" spans="3:3">
      <c r="C1485" s="331">
        <f>7004298-2130</f>
        <v>7002168</v>
      </c>
    </row>
  </sheetData>
  <mergeCells count="3">
    <mergeCell ref="F18:I18"/>
    <mergeCell ref="J18:M18"/>
    <mergeCell ref="K35:M35"/>
  </mergeCells>
  <conditionalFormatting sqref="C63 L56 I62">
    <cfRule type="cellIs" dxfId="260" priority="9" stopIfTrue="1" operator="equal">
      <formula>0</formula>
    </cfRule>
    <cfRule type="cellIs" dxfId="259" priority="10" stopIfTrue="1" operator="notEqual">
      <formula>0</formula>
    </cfRule>
  </conditionalFormatting>
  <conditionalFormatting sqref="G34 G47 K30 K47">
    <cfRule type="cellIs" dxfId="258" priority="8" operator="notEqual">
      <formula>0</formula>
    </cfRule>
  </conditionalFormatting>
  <conditionalFormatting sqref="C63">
    <cfRule type="cellIs" dxfId="257" priority="6" stopIfTrue="1" operator="equal">
      <formula>0</formula>
    </cfRule>
    <cfRule type="cellIs" dxfId="256" priority="7" stopIfTrue="1" operator="notEqual">
      <formula>0</formula>
    </cfRule>
  </conditionalFormatting>
  <conditionalFormatting sqref="K30">
    <cfRule type="cellIs" dxfId="255" priority="5" operator="notEqual">
      <formula>0</formula>
    </cfRule>
  </conditionalFormatting>
  <conditionalFormatting sqref="G59">
    <cfRule type="cellIs" dxfId="254" priority="4" operator="equal">
      <formula>"""ERROR"""</formula>
    </cfRule>
  </conditionalFormatting>
  <conditionalFormatting sqref="G59">
    <cfRule type="cellIs" dxfId="253" priority="3" operator="equal">
      <formula>"ERROR"</formula>
    </cfRule>
  </conditionalFormatting>
  <conditionalFormatting sqref="G59">
    <cfRule type="cellIs" dxfId="252" priority="2" operator="equal">
      <formula>"ERROR"</formula>
    </cfRule>
  </conditionalFormatting>
  <conditionalFormatting sqref="K45">
    <cfRule type="cellIs" dxfId="251" priority="1" operator="notEqual">
      <formula>0</formula>
    </cfRule>
  </conditionalFormatting>
  <printOptions verticalCentered="1" gridLinesSet="0"/>
  <pageMargins left="0.5" right="0" top="0.25" bottom="0.5" header="0" footer="0.25"/>
  <pageSetup scale="47" orientation="landscape" cellComments="asDisplayed" r:id="rId1"/>
  <headerFooter alignWithMargins="0">
    <oddFooter>&amp;L&amp;F&amp;C&amp;A&amp;R&amp;D&amp;T</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10">
    <tabColor rgb="FF00CC66"/>
    <pageSetUpPr fitToPage="1"/>
  </sheetPr>
  <dimension ref="A1:U1485"/>
  <sheetViews>
    <sheetView showGridLines="0" topLeftCell="A19" zoomScale="70" zoomScaleNormal="70" workbookViewId="0">
      <selection activeCell="A19" sqref="A1:XFD1048576"/>
    </sheetView>
  </sheetViews>
  <sheetFormatPr defaultColWidth="16" defaultRowHeight="15"/>
  <cols>
    <col min="1" max="1" width="44.85546875" style="331" customWidth="1"/>
    <col min="2" max="2" width="25.5703125" style="331" customWidth="1"/>
    <col min="3" max="3" width="25.28515625" style="331" customWidth="1"/>
    <col min="4" max="4" width="2.7109375" style="331" customWidth="1"/>
    <col min="5" max="5" width="4.28515625" style="331" customWidth="1"/>
    <col min="6" max="6" width="26.7109375" style="331" customWidth="1"/>
    <col min="7" max="7" width="19" style="331" customWidth="1"/>
    <col min="8" max="8" width="22" style="331" customWidth="1"/>
    <col min="9" max="9" width="20.42578125" style="331" customWidth="1"/>
    <col min="10" max="10" width="26.28515625" style="331" customWidth="1"/>
    <col min="11" max="11" width="21.85546875" style="331" bestFit="1" customWidth="1"/>
    <col min="12" max="12" width="23.85546875" style="331" customWidth="1"/>
    <col min="13" max="13" width="20.85546875" style="331" bestFit="1" customWidth="1"/>
    <col min="14" max="15" width="16" style="331"/>
    <col min="16" max="16" width="16.28515625" style="331" bestFit="1" customWidth="1"/>
    <col min="17" max="16384" width="16" style="331"/>
  </cols>
  <sheetData>
    <row r="1" spans="1:12" ht="16.5" thickBot="1">
      <c r="A1" s="560" t="s">
        <v>64</v>
      </c>
      <c r="B1" s="561"/>
      <c r="C1" s="430">
        <f>Apr!C1+1</f>
        <v>201905</v>
      </c>
      <c r="F1" s="430">
        <f>C1</f>
        <v>201905</v>
      </c>
      <c r="H1" s="125" t="s">
        <v>69</v>
      </c>
      <c r="I1" s="92" t="s">
        <v>3</v>
      </c>
      <c r="J1" s="92" t="s">
        <v>3</v>
      </c>
      <c r="K1" s="92" t="s">
        <v>66</v>
      </c>
      <c r="L1" s="92" t="s">
        <v>66</v>
      </c>
    </row>
    <row r="2" spans="1:12" ht="15.75">
      <c r="C2" s="20"/>
      <c r="H2" s="126" t="s">
        <v>32</v>
      </c>
      <c r="I2" s="127" t="s">
        <v>65</v>
      </c>
      <c r="J2" s="127" t="s">
        <v>65</v>
      </c>
      <c r="K2" s="127" t="s">
        <v>67</v>
      </c>
      <c r="L2" s="127" t="s">
        <v>67</v>
      </c>
    </row>
    <row r="3" spans="1:12" ht="16.5" thickBot="1">
      <c r="A3" s="39" t="s">
        <v>110</v>
      </c>
      <c r="C3" s="21"/>
      <c r="D3" s="562"/>
      <c r="F3" s="26" t="s">
        <v>72</v>
      </c>
      <c r="H3" s="128" t="s">
        <v>68</v>
      </c>
      <c r="I3" s="128" t="s">
        <v>35</v>
      </c>
      <c r="J3" s="128" t="s">
        <v>63</v>
      </c>
      <c r="K3" s="128" t="s">
        <v>35</v>
      </c>
      <c r="L3" s="128" t="s">
        <v>63</v>
      </c>
    </row>
    <row r="4" spans="1:12" ht="15.75">
      <c r="A4" s="331" t="s">
        <v>88</v>
      </c>
      <c r="C4" s="89">
        <f>-7356.7+3631690.92</f>
        <v>3624334.2199999997</v>
      </c>
      <c r="D4" s="20"/>
      <c r="H4" s="11"/>
    </row>
    <row r="5" spans="1:12" ht="14.25" customHeight="1">
      <c r="A5" s="331" t="s">
        <v>31</v>
      </c>
      <c r="C5" s="89">
        <v>34635.089999999997</v>
      </c>
      <c r="D5" s="20"/>
      <c r="H5" s="11"/>
      <c r="I5" s="563">
        <v>0.69059999999999999</v>
      </c>
      <c r="J5" s="563">
        <v>0.30940000000000001</v>
      </c>
      <c r="K5" s="388">
        <f>ROUND(G45/(G45+K43),4)</f>
        <v>0.67210000000000003</v>
      </c>
      <c r="L5" s="388">
        <f>1-K5</f>
        <v>0.32789999999999997</v>
      </c>
    </row>
    <row r="6" spans="1:12" ht="16.5" thickBot="1">
      <c r="A6" s="25" t="s">
        <v>30</v>
      </c>
      <c r="C6" s="89">
        <f>-78046.48-97479.45-1484819.23-423508.04-121002.3-136127.59</f>
        <v>-2340983.09</v>
      </c>
      <c r="D6" s="20"/>
    </row>
    <row r="7" spans="1:12" ht="16.5" thickBot="1">
      <c r="A7" s="41" t="s">
        <v>140</v>
      </c>
      <c r="C7" s="69">
        <f>SUM(C4:C6)</f>
        <v>1317986.2199999997</v>
      </c>
      <c r="D7" s="21"/>
      <c r="F7" s="129" t="s">
        <v>139</v>
      </c>
      <c r="G7" s="129"/>
      <c r="H7" s="564">
        <f>C34</f>
        <v>2172451.96</v>
      </c>
      <c r="I7" s="130">
        <f>H7*I5</f>
        <v>1500295.3235760001</v>
      </c>
      <c r="J7" s="130">
        <f>H7*J5</f>
        <v>672156.63642400003</v>
      </c>
      <c r="K7" s="130"/>
      <c r="L7" s="130"/>
    </row>
    <row r="8" spans="1:12" ht="15.75">
      <c r="A8" s="331" t="s">
        <v>89</v>
      </c>
      <c r="C8" s="89">
        <v>172464.26</v>
      </c>
      <c r="D8" s="21"/>
      <c r="H8" s="131"/>
      <c r="I8" s="131"/>
      <c r="J8" s="131"/>
      <c r="K8" s="131"/>
      <c r="L8" s="131"/>
    </row>
    <row r="9" spans="1:12" ht="15.75">
      <c r="A9" s="331" t="s">
        <v>90</v>
      </c>
      <c r="C9" s="89">
        <f>5018.28-677.03</f>
        <v>4341.25</v>
      </c>
      <c r="D9" s="565"/>
      <c r="F9" s="129" t="s">
        <v>119</v>
      </c>
      <c r="H9" s="130">
        <f>C56</f>
        <v>-484273.08000000054</v>
      </c>
      <c r="I9" s="130"/>
      <c r="J9" s="130"/>
      <c r="K9" s="130">
        <f>H9*K5</f>
        <v>-325479.93706800038</v>
      </c>
      <c r="L9" s="130">
        <f>H9*L5</f>
        <v>-158793.14293200016</v>
      </c>
    </row>
    <row r="10" spans="1:12" ht="15.75">
      <c r="A10" s="25" t="s">
        <v>91</v>
      </c>
      <c r="C10" s="440">
        <v>-3078.51</v>
      </c>
      <c r="D10" s="565"/>
      <c r="F10" s="132" t="s">
        <v>44</v>
      </c>
      <c r="H10" s="130">
        <f>C57</f>
        <v>-55419.17</v>
      </c>
      <c r="I10" s="130"/>
      <c r="J10" s="130"/>
      <c r="K10" s="130">
        <f>H10</f>
        <v>-55419.17</v>
      </c>
      <c r="L10" s="130"/>
    </row>
    <row r="11" spans="1:12">
      <c r="A11" s="41" t="s">
        <v>145</v>
      </c>
      <c r="C11" s="69">
        <f>SUM(C8:C10)</f>
        <v>173727</v>
      </c>
      <c r="D11" s="565"/>
      <c r="F11" s="132" t="s">
        <v>45</v>
      </c>
      <c r="H11" s="133">
        <f>C58</f>
        <v>-25517.63</v>
      </c>
      <c r="I11" s="130"/>
      <c r="J11" s="130"/>
      <c r="K11" s="133"/>
      <c r="L11" s="133">
        <f>H11</f>
        <v>-25517.63</v>
      </c>
    </row>
    <row r="12" spans="1:12" ht="15.75">
      <c r="A12" s="331" t="s">
        <v>165</v>
      </c>
      <c r="C12" s="89">
        <f>-1373.23+229644.91</f>
        <v>228271.68</v>
      </c>
      <c r="D12" s="565"/>
      <c r="F12" s="132" t="s">
        <v>138</v>
      </c>
      <c r="H12" s="130">
        <f>H9+H10+H11</f>
        <v>-565209.88000000059</v>
      </c>
      <c r="I12" s="130"/>
      <c r="J12" s="130"/>
      <c r="K12" s="130">
        <f>SUM(K9:K11)</f>
        <v>-380899.10706800036</v>
      </c>
      <c r="L12" s="130">
        <f>SUM(L9:L11)</f>
        <v>-184310.77293200017</v>
      </c>
    </row>
    <row r="13" spans="1:12" ht="16.5" thickBot="1">
      <c r="A13" s="25" t="s">
        <v>166</v>
      </c>
      <c r="C13" s="440">
        <v>0</v>
      </c>
      <c r="D13" s="565"/>
      <c r="F13" s="134"/>
      <c r="G13" s="135"/>
      <c r="H13" s="136"/>
      <c r="I13" s="137"/>
      <c r="J13" s="136"/>
      <c r="K13" s="131"/>
      <c r="L13" s="136"/>
    </row>
    <row r="14" spans="1:12" ht="16.5" thickBot="1">
      <c r="A14" s="41" t="s">
        <v>92</v>
      </c>
      <c r="C14" s="69">
        <f>SUM(C12:C13)</f>
        <v>228271.68</v>
      </c>
      <c r="D14" s="8"/>
      <c r="F14" s="26" t="s">
        <v>69</v>
      </c>
      <c r="G14" s="138"/>
      <c r="H14" s="564">
        <f>H12+H7</f>
        <v>1607242.0799999994</v>
      </c>
      <c r="I14" s="139">
        <f>SUM(I7:I13)</f>
        <v>1500295.3235760001</v>
      </c>
      <c r="J14" s="139">
        <f>SUM(J7:J13)</f>
        <v>672156.63642400003</v>
      </c>
      <c r="K14" s="139">
        <f>K12</f>
        <v>-380899.10706800036</v>
      </c>
      <c r="L14" s="139">
        <f>L12</f>
        <v>-184310.77293200017</v>
      </c>
    </row>
    <row r="15" spans="1:12" ht="15.75">
      <c r="A15" s="331" t="s">
        <v>183</v>
      </c>
      <c r="C15" s="89"/>
      <c r="D15" s="565"/>
      <c r="F15" s="134"/>
      <c r="G15" s="135" t="s">
        <v>102</v>
      </c>
      <c r="H15" s="136">
        <f>H14-C61</f>
        <v>0</v>
      </c>
      <c r="I15" s="140"/>
      <c r="J15" s="136">
        <f>J7+I7-H7</f>
        <v>0</v>
      </c>
      <c r="L15" s="136">
        <f>H12-K14-L14</f>
        <v>0</v>
      </c>
    </row>
    <row r="16" spans="1:12" ht="15.75">
      <c r="A16" s="25" t="s">
        <v>184</v>
      </c>
      <c r="C16" s="440">
        <v>0</v>
      </c>
      <c r="D16" s="565"/>
      <c r="F16" s="141"/>
      <c r="G16" s="135"/>
      <c r="H16" s="142"/>
      <c r="I16" s="143"/>
      <c r="J16" s="142"/>
      <c r="L16" s="142"/>
    </row>
    <row r="17" spans="1:13" ht="15.75" thickBot="1">
      <c r="A17" s="41" t="s">
        <v>185</v>
      </c>
      <c r="C17" s="69">
        <f>SUM(C15:C16)</f>
        <v>0</v>
      </c>
      <c r="D17" s="8"/>
      <c r="F17" s="134"/>
      <c r="G17" s="135"/>
      <c r="H17" s="142"/>
      <c r="I17" s="143"/>
      <c r="J17" s="146"/>
      <c r="L17" s="142"/>
    </row>
    <row r="18" spans="1:13" ht="16.5" thickBot="1">
      <c r="A18" s="331" t="s">
        <v>163</v>
      </c>
      <c r="C18" s="89">
        <f>9620+99825.8-18156.8-411.92-10950.36</f>
        <v>79926.720000000001</v>
      </c>
      <c r="D18" s="565"/>
      <c r="F18" s="526" t="s">
        <v>134</v>
      </c>
      <c r="G18" s="527"/>
      <c r="H18" s="527"/>
      <c r="I18" s="528"/>
      <c r="J18" s="526" t="s">
        <v>135</v>
      </c>
      <c r="K18" s="527"/>
      <c r="L18" s="527"/>
      <c r="M18" s="528"/>
    </row>
    <row r="19" spans="1:13" ht="15.75">
      <c r="A19" s="25" t="s">
        <v>164</v>
      </c>
      <c r="C19" s="440">
        <v>18808.349999999999</v>
      </c>
      <c r="D19" s="565"/>
      <c r="F19" s="164" t="s">
        <v>108</v>
      </c>
      <c r="G19" s="127" t="s">
        <v>33</v>
      </c>
      <c r="H19" s="127" t="s">
        <v>33</v>
      </c>
      <c r="I19" s="127" t="s">
        <v>33</v>
      </c>
      <c r="J19" s="164" t="s">
        <v>108</v>
      </c>
      <c r="K19" s="127" t="s">
        <v>33</v>
      </c>
      <c r="L19" s="127" t="s">
        <v>33</v>
      </c>
      <c r="M19" s="148" t="s">
        <v>33</v>
      </c>
    </row>
    <row r="20" spans="1:13" ht="16.5" thickBot="1">
      <c r="A20" s="40" t="s">
        <v>93</v>
      </c>
      <c r="C20" s="69">
        <f>SUM(C18:C19)</f>
        <v>98735.07</v>
      </c>
      <c r="D20" s="565"/>
      <c r="F20" s="158" t="s">
        <v>162</v>
      </c>
      <c r="G20" s="128" t="s">
        <v>101</v>
      </c>
      <c r="H20" s="128" t="s">
        <v>36</v>
      </c>
      <c r="I20" s="128" t="s">
        <v>34</v>
      </c>
      <c r="J20" s="158" t="s">
        <v>162</v>
      </c>
      <c r="K20" s="128" t="s">
        <v>101</v>
      </c>
      <c r="L20" s="128" t="s">
        <v>36</v>
      </c>
      <c r="M20" s="128" t="s">
        <v>34</v>
      </c>
    </row>
    <row r="21" spans="1:13" ht="15.75">
      <c r="A21" s="25" t="s">
        <v>149</v>
      </c>
      <c r="C21" s="440">
        <v>4414.5600000000004</v>
      </c>
      <c r="D21" s="565"/>
      <c r="F21" s="147"/>
      <c r="G21" s="12"/>
      <c r="H21" s="12"/>
      <c r="I21" s="148"/>
      <c r="J21" s="95"/>
      <c r="K21" s="13"/>
      <c r="L21" s="13"/>
      <c r="M21" s="167"/>
    </row>
    <row r="22" spans="1:13" ht="18" customHeight="1">
      <c r="A22" s="40" t="s">
        <v>149</v>
      </c>
      <c r="C22" s="69">
        <f>SUM(C21)</f>
        <v>4414.5600000000004</v>
      </c>
      <c r="D22" s="565"/>
      <c r="F22" s="162" t="s">
        <v>126</v>
      </c>
      <c r="G22" s="7"/>
      <c r="H22" s="7"/>
      <c r="I22" s="67"/>
      <c r="J22" s="162" t="s">
        <v>126</v>
      </c>
      <c r="K22" s="7"/>
      <c r="L22" s="7"/>
      <c r="M22" s="67"/>
    </row>
    <row r="23" spans="1:13" ht="15.75">
      <c r="A23" s="170" t="s">
        <v>180</v>
      </c>
      <c r="C23" s="69">
        <f>-2575.46+417942.98</f>
        <v>415367.51999999996</v>
      </c>
      <c r="D23" s="565"/>
      <c r="F23" s="163" t="s">
        <v>37</v>
      </c>
      <c r="G23" s="218">
        <v>4312435</v>
      </c>
      <c r="H23" s="333">
        <v>0.10238999999999999</v>
      </c>
      <c r="I23" s="159">
        <f t="shared" ref="I23:I31" si="0">G23*H23</f>
        <v>441550.21964999998</v>
      </c>
      <c r="J23" s="163" t="s">
        <v>37</v>
      </c>
      <c r="K23" s="218">
        <v>2161977</v>
      </c>
      <c r="L23" s="333">
        <v>9.5839999999999995E-2</v>
      </c>
      <c r="M23" s="159">
        <f>K23*L23</f>
        <v>207203.87568</v>
      </c>
    </row>
    <row r="24" spans="1:13" ht="15.75">
      <c r="A24" s="170" t="s">
        <v>186</v>
      </c>
      <c r="C24" s="89">
        <v>0</v>
      </c>
      <c r="D24" s="565"/>
      <c r="F24" s="163" t="s">
        <v>304</v>
      </c>
      <c r="G24" s="218">
        <v>4874</v>
      </c>
      <c r="H24" s="333">
        <v>0.10238999999999999</v>
      </c>
      <c r="I24" s="159">
        <f t="shared" si="0"/>
        <v>499.04885999999999</v>
      </c>
      <c r="J24" s="163" t="s">
        <v>38</v>
      </c>
      <c r="K24" s="218">
        <v>1184622</v>
      </c>
      <c r="L24" s="333">
        <v>9.5839999999999995E-2</v>
      </c>
      <c r="M24" s="159">
        <f t="shared" ref="M24:M25" si="1">K24*L24</f>
        <v>113534.17247999999</v>
      </c>
    </row>
    <row r="25" spans="1:13" ht="15.75">
      <c r="A25" s="170" t="s">
        <v>189</v>
      </c>
      <c r="C25" s="442">
        <v>0</v>
      </c>
      <c r="D25" s="565"/>
      <c r="F25" s="163" t="s">
        <v>38</v>
      </c>
      <c r="G25" s="218">
        <v>2394969</v>
      </c>
      <c r="H25" s="333">
        <v>9.239E-2</v>
      </c>
      <c r="I25" s="159">
        <f t="shared" si="0"/>
        <v>221271.18591</v>
      </c>
      <c r="J25" s="163" t="s">
        <v>39</v>
      </c>
      <c r="K25" s="218">
        <v>33006</v>
      </c>
      <c r="L25" s="333">
        <v>9.5839999999999995E-2</v>
      </c>
      <c r="M25" s="159">
        <f t="shared" si="1"/>
        <v>3163.29504</v>
      </c>
    </row>
    <row r="26" spans="1:13" ht="15.75">
      <c r="A26" s="171" t="s">
        <v>188</v>
      </c>
      <c r="C26" s="443">
        <v>0</v>
      </c>
      <c r="D26" s="565"/>
      <c r="F26" s="163" t="s">
        <v>39</v>
      </c>
      <c r="G26" s="218">
        <v>7673</v>
      </c>
      <c r="H26" s="333">
        <v>9.239E-2</v>
      </c>
      <c r="I26" s="159">
        <f t="shared" si="0"/>
        <v>708.90846999999997</v>
      </c>
      <c r="J26" s="163"/>
      <c r="K26" s="218"/>
      <c r="L26" s="333"/>
      <c r="M26" s="159"/>
    </row>
    <row r="27" spans="1:13" ht="15.75">
      <c r="A27" s="40" t="s">
        <v>96</v>
      </c>
      <c r="C27" s="69">
        <f>SUM(C23:C26)</f>
        <v>415367.51999999996</v>
      </c>
      <c r="D27" s="565"/>
      <c r="F27" s="163" t="s">
        <v>40</v>
      </c>
      <c r="G27" s="218">
        <v>97867</v>
      </c>
      <c r="H27" s="333">
        <v>9.2249999999999999E-2</v>
      </c>
      <c r="I27" s="159">
        <f t="shared" si="0"/>
        <v>9028.2307500000006</v>
      </c>
      <c r="J27" s="163"/>
      <c r="K27" s="218"/>
      <c r="L27" s="333"/>
      <c r="M27" s="159"/>
    </row>
    <row r="28" spans="1:13" ht="16.5" thickBot="1">
      <c r="A28" s="172" t="s">
        <v>150</v>
      </c>
      <c r="C28" s="89">
        <v>0</v>
      </c>
      <c r="D28" s="8"/>
      <c r="F28" s="163" t="s">
        <v>41</v>
      </c>
      <c r="G28" s="218">
        <v>35233</v>
      </c>
      <c r="H28" s="333">
        <v>9.2249999999999999E-2</v>
      </c>
      <c r="I28" s="159">
        <f t="shared" si="0"/>
        <v>3250.2442499999997</v>
      </c>
      <c r="J28" s="162" t="s">
        <v>127</v>
      </c>
      <c r="K28" s="144">
        <f>SUM(K23:K27)</f>
        <v>3379605</v>
      </c>
      <c r="L28" s="145"/>
      <c r="M28" s="160">
        <f>SUM(M23:M27)</f>
        <v>323901.3432</v>
      </c>
    </row>
    <row r="29" spans="1:13" ht="17.25" thickTop="1" thickBot="1">
      <c r="A29" s="172" t="s">
        <v>167</v>
      </c>
      <c r="C29" s="89">
        <v>0</v>
      </c>
      <c r="D29" s="565"/>
      <c r="F29" s="163" t="s">
        <v>42</v>
      </c>
      <c r="G29" s="218">
        <v>0</v>
      </c>
      <c r="H29" s="333">
        <v>5.9499999999999997E-2</v>
      </c>
      <c r="I29" s="159">
        <f t="shared" si="0"/>
        <v>0</v>
      </c>
      <c r="J29" s="162"/>
      <c r="K29" s="189">
        <v>3379605</v>
      </c>
      <c r="L29" s="150" t="s">
        <v>102</v>
      </c>
      <c r="M29" s="407">
        <f>M28/K28</f>
        <v>9.5839999999999995E-2</v>
      </c>
    </row>
    <row r="30" spans="1:13" ht="16.5" thickBot="1">
      <c r="A30" s="26" t="s">
        <v>111</v>
      </c>
      <c r="C30" s="564">
        <f>C7+C11+C14+C17+C20+C22+C27+C28+C29</f>
        <v>2238502.0499999998</v>
      </c>
      <c r="D30" s="8"/>
      <c r="F30" s="163" t="s">
        <v>43</v>
      </c>
      <c r="G30" s="218">
        <v>74295</v>
      </c>
      <c r="H30" s="333">
        <v>5.9499999999999997E-2</v>
      </c>
      <c r="I30" s="159">
        <f t="shared" si="0"/>
        <v>4420.5524999999998</v>
      </c>
      <c r="J30" s="163"/>
      <c r="K30" s="188">
        <f>K28-K29</f>
        <v>0</v>
      </c>
      <c r="L30" s="145"/>
      <c r="M30" s="161"/>
    </row>
    <row r="31" spans="1:13" ht="15.75">
      <c r="A31" s="331" t="s">
        <v>112</v>
      </c>
      <c r="C31" s="89">
        <v>-8265.4</v>
      </c>
      <c r="D31" s="566"/>
      <c r="F31" s="163" t="s">
        <v>74</v>
      </c>
      <c r="G31" s="218">
        <v>2599421</v>
      </c>
      <c r="H31" s="333">
        <v>5.4000000000000001E-4</v>
      </c>
      <c r="I31" s="159">
        <f t="shared" si="0"/>
        <v>1403.6873399999999</v>
      </c>
      <c r="J31" s="117"/>
      <c r="K31" s="7"/>
      <c r="L31" s="145"/>
      <c r="M31" s="161"/>
    </row>
    <row r="32" spans="1:13" ht="16.5" thickBot="1">
      <c r="A32" s="26" t="s">
        <v>116</v>
      </c>
      <c r="B32" s="26" t="s">
        <v>117</v>
      </c>
      <c r="C32" s="444">
        <f>C30+C31</f>
        <v>2230236.65</v>
      </c>
      <c r="D32" s="567"/>
      <c r="F32" s="162" t="s">
        <v>127</v>
      </c>
      <c r="G32" s="144">
        <f>SUM(G23:G31)</f>
        <v>9526767</v>
      </c>
      <c r="H32" s="7"/>
      <c r="I32" s="160">
        <f>SUM(I23:I31)</f>
        <v>682132.0777299999</v>
      </c>
      <c r="J32" s="155"/>
      <c r="K32" s="156"/>
      <c r="L32" s="7"/>
      <c r="M32" s="153"/>
    </row>
    <row r="33" spans="1:17" ht="17.25" thickTop="1" thickBot="1">
      <c r="A33" s="331" t="s">
        <v>113</v>
      </c>
      <c r="C33" s="444">
        <f>-C5-C9-C13-C16-C19</f>
        <v>-57784.689999999995</v>
      </c>
      <c r="D33" s="565"/>
      <c r="F33" s="149"/>
      <c r="G33" s="189">
        <v>9526767</v>
      </c>
      <c r="H33" s="150" t="s">
        <v>102</v>
      </c>
      <c r="I33" s="176">
        <f>I32/G32</f>
        <v>7.1601633348438137E-2</v>
      </c>
      <c r="J33" s="155"/>
      <c r="K33" s="156"/>
      <c r="L33" s="7"/>
      <c r="M33" s="67"/>
    </row>
    <row r="34" spans="1:17" ht="16.5" thickBot="1">
      <c r="A34" s="26" t="s">
        <v>114</v>
      </c>
      <c r="C34" s="564">
        <f>SUM(C32:C33)</f>
        <v>2172451.96</v>
      </c>
      <c r="D34" s="565"/>
      <c r="F34" s="117"/>
      <c r="G34" s="188">
        <f>G32-G33</f>
        <v>0</v>
      </c>
      <c r="H34" s="7"/>
      <c r="I34" s="67"/>
      <c r="J34" s="155"/>
      <c r="K34" s="154"/>
      <c r="L34" s="7"/>
      <c r="M34" s="67"/>
    </row>
    <row r="35" spans="1:17" ht="18" customHeight="1">
      <c r="A35" s="26"/>
      <c r="C35" s="444"/>
      <c r="D35" s="565"/>
      <c r="F35" s="147"/>
      <c r="G35" s="12"/>
      <c r="H35" s="12"/>
      <c r="I35" s="148"/>
      <c r="J35" s="162" t="s">
        <v>128</v>
      </c>
      <c r="K35" s="524"/>
      <c r="L35" s="524"/>
      <c r="M35" s="525"/>
    </row>
    <row r="36" spans="1:17" ht="15.75">
      <c r="A36" s="11" t="s">
        <v>94</v>
      </c>
      <c r="B36" s="26"/>
      <c r="C36" s="69"/>
      <c r="D36" s="565"/>
      <c r="F36" s="162" t="s">
        <v>128</v>
      </c>
      <c r="G36" s="7"/>
      <c r="H36" s="7"/>
      <c r="I36" s="67"/>
      <c r="J36" s="163" t="s">
        <v>37</v>
      </c>
      <c r="K36" s="219">
        <f>K23</f>
        <v>2161977</v>
      </c>
      <c r="L36" s="333">
        <v>0.16886000000000001</v>
      </c>
      <c r="M36" s="159">
        <f t="shared" ref="M36:M42" si="2">K36*L36</f>
        <v>365071.43622000003</v>
      </c>
      <c r="P36" s="498"/>
      <c r="Q36" s="498"/>
    </row>
    <row r="37" spans="1:17" ht="15.75">
      <c r="A37" s="7" t="s">
        <v>129</v>
      </c>
      <c r="B37" s="516" t="s">
        <v>115</v>
      </c>
      <c r="C37" s="89">
        <v>7748252.5599999996</v>
      </c>
      <c r="D37" s="565"/>
      <c r="F37" s="163" t="s">
        <v>37</v>
      </c>
      <c r="G37" s="219">
        <f>G23</f>
        <v>4312435</v>
      </c>
      <c r="H37" s="333">
        <v>0.17066999999999999</v>
      </c>
      <c r="I37" s="159">
        <f t="shared" ref="I37:I44" si="3">G37*H37</f>
        <v>736003.28144999989</v>
      </c>
      <c r="J37" s="163" t="s">
        <v>38</v>
      </c>
      <c r="K37" s="219">
        <f>K24</f>
        <v>1184622</v>
      </c>
      <c r="L37" s="333">
        <v>0.16886000000000001</v>
      </c>
      <c r="M37" s="159">
        <f t="shared" si="2"/>
        <v>200035.27092000001</v>
      </c>
      <c r="P37" s="498"/>
      <c r="Q37" s="498"/>
    </row>
    <row r="38" spans="1:17" ht="15.75">
      <c r="A38" s="173" t="s">
        <v>349</v>
      </c>
      <c r="B38" s="516" t="s">
        <v>348</v>
      </c>
      <c r="C38" s="89">
        <f>-36347-926202</f>
        <v>-962549</v>
      </c>
      <c r="D38" s="565"/>
      <c r="F38" s="163" t="s">
        <v>304</v>
      </c>
      <c r="G38" s="219">
        <f t="shared" ref="G38:G44" si="4">G24</f>
        <v>4874</v>
      </c>
      <c r="H38" s="333">
        <v>0.17066999999999999</v>
      </c>
      <c r="I38" s="159">
        <f t="shared" si="3"/>
        <v>831.84557999999993</v>
      </c>
      <c r="J38" s="163" t="s">
        <v>39</v>
      </c>
      <c r="K38" s="219">
        <f>K25</f>
        <v>33006</v>
      </c>
      <c r="L38" s="333">
        <v>0.16886000000000001</v>
      </c>
      <c r="M38" s="159">
        <f t="shared" si="2"/>
        <v>5573.3931600000005</v>
      </c>
      <c r="P38" s="498"/>
      <c r="Q38" s="498"/>
    </row>
    <row r="39" spans="1:17" ht="15.75">
      <c r="A39" s="7" t="s">
        <v>146</v>
      </c>
      <c r="B39" s="516" t="s">
        <v>147</v>
      </c>
      <c r="C39" s="89">
        <v>-55977.33</v>
      </c>
      <c r="D39" s="565"/>
      <c r="F39" s="163" t="s">
        <v>38</v>
      </c>
      <c r="G39" s="219">
        <f t="shared" si="4"/>
        <v>2394969</v>
      </c>
      <c r="H39" s="333">
        <v>0.17066999999999999</v>
      </c>
      <c r="I39" s="159">
        <f t="shared" si="3"/>
        <v>408749.35922999994</v>
      </c>
      <c r="J39" s="163" t="s">
        <v>40</v>
      </c>
      <c r="K39" s="219">
        <f>K26</f>
        <v>0</v>
      </c>
      <c r="L39" s="333">
        <v>0.16886000000000001</v>
      </c>
      <c r="M39" s="159">
        <f t="shared" si="2"/>
        <v>0</v>
      </c>
      <c r="P39" s="498"/>
      <c r="Q39" s="498"/>
    </row>
    <row r="40" spans="1:17" ht="15.75">
      <c r="A40" s="7" t="s">
        <v>131</v>
      </c>
      <c r="B40" s="516" t="s">
        <v>132</v>
      </c>
      <c r="C40" s="89">
        <v>342746.27</v>
      </c>
      <c r="D40" s="565"/>
      <c r="F40" s="163" t="s">
        <v>39</v>
      </c>
      <c r="G40" s="219">
        <f t="shared" si="4"/>
        <v>7673</v>
      </c>
      <c r="H40" s="333">
        <v>0.17066999999999999</v>
      </c>
      <c r="I40" s="159">
        <f t="shared" si="3"/>
        <v>1309.5509099999999</v>
      </c>
      <c r="J40" s="163" t="s">
        <v>41</v>
      </c>
      <c r="K40" s="219">
        <f>K27</f>
        <v>0</v>
      </c>
      <c r="L40" s="333">
        <v>0.16886000000000001</v>
      </c>
      <c r="M40" s="159">
        <f t="shared" si="2"/>
        <v>0</v>
      </c>
      <c r="P40" s="498"/>
      <c r="Q40" s="498"/>
    </row>
    <row r="41" spans="1:17" ht="15.75">
      <c r="A41" s="7" t="s">
        <v>153</v>
      </c>
      <c r="B41" s="445" t="s">
        <v>155</v>
      </c>
      <c r="C41" s="89">
        <v>14180.47</v>
      </c>
      <c r="D41" s="565"/>
      <c r="F41" s="163" t="s">
        <v>40</v>
      </c>
      <c r="G41" s="219">
        <f t="shared" si="4"/>
        <v>97867</v>
      </c>
      <c r="H41" s="333">
        <v>0.17066999999999999</v>
      </c>
      <c r="I41" s="159">
        <f t="shared" si="3"/>
        <v>16702.960889999998</v>
      </c>
      <c r="J41" s="163" t="s">
        <v>42</v>
      </c>
      <c r="K41" s="218">
        <v>0</v>
      </c>
      <c r="L41" s="333">
        <v>0.16886000000000001</v>
      </c>
      <c r="M41" s="159">
        <f t="shared" si="2"/>
        <v>0</v>
      </c>
      <c r="P41" s="498"/>
      <c r="Q41" s="498"/>
    </row>
    <row r="42" spans="1:17" ht="16.5" thickBot="1">
      <c r="A42" s="7" t="s">
        <v>178</v>
      </c>
      <c r="B42" s="516" t="s">
        <v>179</v>
      </c>
      <c r="C42" s="89">
        <v>1675553.79</v>
      </c>
      <c r="D42" s="8"/>
      <c r="F42" s="163" t="s">
        <v>41</v>
      </c>
      <c r="G42" s="219">
        <f t="shared" si="4"/>
        <v>35233</v>
      </c>
      <c r="H42" s="333">
        <v>0.17066999999999999</v>
      </c>
      <c r="I42" s="159">
        <f t="shared" si="3"/>
        <v>6013.2161099999994</v>
      </c>
      <c r="J42" s="163" t="s">
        <v>43</v>
      </c>
      <c r="K42" s="220">
        <v>0</v>
      </c>
      <c r="L42" s="333">
        <v>0.16886000000000001</v>
      </c>
      <c r="M42" s="159">
        <f t="shared" si="2"/>
        <v>0</v>
      </c>
      <c r="P42" s="498"/>
      <c r="Q42" s="498"/>
    </row>
    <row r="43" spans="1:17" ht="16.5" thickBot="1">
      <c r="A43" s="56" t="s">
        <v>123</v>
      </c>
      <c r="B43" s="12"/>
      <c r="C43" s="564">
        <f>SUM(C37:C42)</f>
        <v>8762206.7599999998</v>
      </c>
      <c r="D43" s="565"/>
      <c r="F43" s="163" t="s">
        <v>42</v>
      </c>
      <c r="G43" s="219">
        <f t="shared" si="4"/>
        <v>0</v>
      </c>
      <c r="H43" s="333">
        <v>0.17066999999999999</v>
      </c>
      <c r="I43" s="159">
        <f t="shared" si="3"/>
        <v>0</v>
      </c>
      <c r="J43" s="162" t="s">
        <v>133</v>
      </c>
      <c r="K43" s="144">
        <f>SUM(K36:K42)</f>
        <v>3379605</v>
      </c>
      <c r="L43" s="145"/>
      <c r="M43" s="160">
        <f>SUM(M36:M42)</f>
        <v>570680.10030000005</v>
      </c>
    </row>
    <row r="44" spans="1:17" ht="16.5" thickBot="1">
      <c r="A44" s="568" t="s">
        <v>177</v>
      </c>
      <c r="B44" s="569" t="s">
        <v>120</v>
      </c>
      <c r="C44" s="89">
        <f>-4977520.79+4169.39+40907+50321.17</f>
        <v>-4882123.2300000004</v>
      </c>
      <c r="D44" s="8"/>
      <c r="F44" s="163" t="s">
        <v>43</v>
      </c>
      <c r="G44" s="219">
        <f t="shared" si="4"/>
        <v>74295</v>
      </c>
      <c r="H44" s="333">
        <v>0.17066999999999999</v>
      </c>
      <c r="I44" s="159">
        <f t="shared" si="3"/>
        <v>12679.92765</v>
      </c>
      <c r="J44" s="157"/>
      <c r="K44" s="190">
        <v>3379605</v>
      </c>
      <c r="L44" s="152" t="s">
        <v>102</v>
      </c>
      <c r="M44" s="177">
        <f>M43/K43</f>
        <v>0.16886000000000001</v>
      </c>
    </row>
    <row r="45" spans="1:17" ht="16.5" thickBot="1">
      <c r="A45" s="173" t="s">
        <v>168</v>
      </c>
      <c r="B45" s="445" t="s">
        <v>115</v>
      </c>
      <c r="C45" s="89">
        <v>0</v>
      </c>
      <c r="D45" s="566"/>
      <c r="F45" s="162" t="s">
        <v>133</v>
      </c>
      <c r="G45" s="144">
        <f>SUM(G37:G44)</f>
        <v>6927346</v>
      </c>
      <c r="H45" s="145"/>
      <c r="I45" s="160">
        <f>SUM(I37:I44)</f>
        <v>1182290.1418199996</v>
      </c>
      <c r="J45" s="56"/>
      <c r="K45" s="189"/>
      <c r="L45" s="150"/>
      <c r="M45" s="441"/>
    </row>
    <row r="46" spans="1:17" ht="19.5" customHeight="1" thickTop="1" thickBot="1">
      <c r="A46" s="173" t="s">
        <v>169</v>
      </c>
      <c r="B46" s="445" t="s">
        <v>115</v>
      </c>
      <c r="C46" s="89">
        <v>0</v>
      </c>
      <c r="D46" s="567"/>
      <c r="F46" s="151"/>
      <c r="G46" s="190">
        <v>6927346</v>
      </c>
      <c r="H46" s="152" t="s">
        <v>102</v>
      </c>
      <c r="I46" s="175">
        <f>I45/G45</f>
        <v>0.17066999999999993</v>
      </c>
      <c r="J46" s="56"/>
      <c r="K46" s="189"/>
      <c r="L46" s="150"/>
      <c r="M46" s="441"/>
    </row>
    <row r="47" spans="1:17" ht="19.5" customHeight="1">
      <c r="A47" s="331" t="s">
        <v>137</v>
      </c>
      <c r="B47" s="445" t="s">
        <v>115</v>
      </c>
      <c r="C47" s="89">
        <v>-43847.62</v>
      </c>
      <c r="D47" s="565"/>
      <c r="G47" s="188">
        <f>G45-G46</f>
        <v>0</v>
      </c>
      <c r="J47" s="91"/>
      <c r="K47" s="188">
        <f>K43-K44</f>
        <v>0</v>
      </c>
      <c r="M47" s="91"/>
    </row>
    <row r="48" spans="1:17" ht="16.5" thickBot="1">
      <c r="A48" s="173" t="s">
        <v>303</v>
      </c>
      <c r="B48" s="445" t="s">
        <v>115</v>
      </c>
      <c r="C48" s="89">
        <v>14000</v>
      </c>
      <c r="D48" s="565"/>
      <c r="J48" s="91"/>
      <c r="K48" s="82"/>
      <c r="M48" s="42"/>
    </row>
    <row r="49" spans="1:21" ht="15.75">
      <c r="A49" s="7" t="s">
        <v>130</v>
      </c>
      <c r="B49" s="516" t="s">
        <v>152</v>
      </c>
      <c r="C49" s="89">
        <v>19910</v>
      </c>
      <c r="D49" s="565"/>
      <c r="G49" s="82"/>
      <c r="H49" s="95" t="s">
        <v>35</v>
      </c>
      <c r="I49" s="13" t="s">
        <v>35</v>
      </c>
      <c r="J49" s="13" t="s">
        <v>63</v>
      </c>
      <c r="K49" s="93" t="s">
        <v>70</v>
      </c>
      <c r="L49" s="91"/>
    </row>
    <row r="50" spans="1:21" ht="16.5" thickBot="1">
      <c r="A50" s="7" t="s">
        <v>221</v>
      </c>
      <c r="B50" s="516" t="s">
        <v>152</v>
      </c>
      <c r="C50" s="89">
        <v>2464.54</v>
      </c>
      <c r="D50" s="8"/>
      <c r="F50" s="26" t="s">
        <v>73</v>
      </c>
      <c r="H50" s="96" t="s">
        <v>2</v>
      </c>
      <c r="I50" s="97" t="s">
        <v>3</v>
      </c>
      <c r="J50" s="97" t="s">
        <v>2</v>
      </c>
      <c r="K50" s="94" t="s">
        <v>3</v>
      </c>
    </row>
    <row r="51" spans="1:21" ht="15.75">
      <c r="A51" s="7" t="s">
        <v>306</v>
      </c>
      <c r="B51" s="516" t="s">
        <v>152</v>
      </c>
      <c r="C51" s="89">
        <v>4151.87</v>
      </c>
      <c r="D51" s="565"/>
      <c r="H51" s="115"/>
      <c r="I51" s="116"/>
      <c r="J51" s="116"/>
      <c r="K51" s="116"/>
      <c r="L51" s="92" t="s">
        <v>103</v>
      </c>
    </row>
    <row r="52" spans="1:21" ht="15.75">
      <c r="A52" s="132" t="s">
        <v>118</v>
      </c>
      <c r="B52" s="445"/>
      <c r="C52" s="69">
        <f>-C33</f>
        <v>57784.689999999995</v>
      </c>
      <c r="D52" s="562"/>
      <c r="F52" s="331" t="s">
        <v>136</v>
      </c>
      <c r="H52" s="174">
        <f>K12</f>
        <v>-380899.10706800036</v>
      </c>
      <c r="I52" s="83">
        <f>I14</f>
        <v>1500295.3235760001</v>
      </c>
      <c r="J52" s="83">
        <f>L12</f>
        <v>-184310.77293200017</v>
      </c>
      <c r="K52" s="83">
        <f>J14</f>
        <v>672156.63642400003</v>
      </c>
      <c r="L52" s="98">
        <f>SUM(H52:K52)</f>
        <v>1607242.0799999996</v>
      </c>
    </row>
    <row r="53" spans="1:21" ht="16.5" thickBot="1">
      <c r="A53" s="331" t="s">
        <v>313</v>
      </c>
      <c r="B53" s="516" t="s">
        <v>314</v>
      </c>
      <c r="C53" s="89">
        <v>12410.31</v>
      </c>
      <c r="D53" s="562"/>
      <c r="F53" s="331" t="s">
        <v>109</v>
      </c>
      <c r="H53" s="174">
        <f>-I45</f>
        <v>-1182290.1418199996</v>
      </c>
      <c r="I53" s="83">
        <f>-I32</f>
        <v>-682132.0777299999</v>
      </c>
      <c r="J53" s="83">
        <f>-M43</f>
        <v>-570680.10030000005</v>
      </c>
      <c r="K53" s="83">
        <f>-M28</f>
        <v>-323901.3432</v>
      </c>
      <c r="L53" s="217">
        <f>SUM(H53:K53)</f>
        <v>-2759003.6630499996</v>
      </c>
    </row>
    <row r="54" spans="1:21" ht="16.5" thickBot="1">
      <c r="A54" s="331" t="s">
        <v>124</v>
      </c>
      <c r="B54" s="445" t="s">
        <v>295</v>
      </c>
      <c r="C54" s="89">
        <v>-4056230.4</v>
      </c>
      <c r="D54" s="565"/>
      <c r="F54" s="331" t="s">
        <v>86</v>
      </c>
      <c r="H54" s="192">
        <v>0</v>
      </c>
      <c r="I54" s="193">
        <v>0</v>
      </c>
      <c r="J54" s="193">
        <v>0</v>
      </c>
      <c r="K54" s="194">
        <v>0</v>
      </c>
      <c r="L54" s="570">
        <f>SUM(L52:L53)</f>
        <v>-1151761.58305</v>
      </c>
    </row>
    <row r="55" spans="1:21" ht="16.5" thickBot="1">
      <c r="A55" s="331" t="s">
        <v>310</v>
      </c>
      <c r="B55" s="445" t="s">
        <v>190</v>
      </c>
      <c r="C55" s="89">
        <v>-375000</v>
      </c>
      <c r="D55" s="565"/>
      <c r="F55" s="331" t="s">
        <v>71</v>
      </c>
      <c r="H55" s="564">
        <f>IFERROR(H52+H53+H54,0)</f>
        <v>-1563189.2488879999</v>
      </c>
      <c r="I55" s="564">
        <f>I52+I53+I54</f>
        <v>818163.24584600015</v>
      </c>
      <c r="J55" s="564">
        <f>IFERROR(J52+J53+J54,0)</f>
        <v>-754990.87323200027</v>
      </c>
      <c r="K55" s="564">
        <f>K52+K53+K54</f>
        <v>348255.29322400002</v>
      </c>
      <c r="L55" s="571">
        <f>SUM(H55:K55)</f>
        <v>-1151761.58305</v>
      </c>
    </row>
    <row r="56" spans="1:21" ht="16.5" thickBot="1">
      <c r="A56" s="572" t="s">
        <v>119</v>
      </c>
      <c r="B56" s="569"/>
      <c r="C56" s="123">
        <f>SUM(C43:C55)</f>
        <v>-484273.08000000054</v>
      </c>
      <c r="D56" s="565"/>
      <c r="F56" s="573" t="s">
        <v>181</v>
      </c>
      <c r="H56" s="331" t="s">
        <v>173</v>
      </c>
      <c r="I56" s="7">
        <f>SUM(H55:I55)</f>
        <v>-745026.00304199976</v>
      </c>
      <c r="J56" s="41" t="s">
        <v>174</v>
      </c>
      <c r="K56" s="331">
        <f>SUM(J55:K55)</f>
        <v>-406735.58000800025</v>
      </c>
      <c r="L56" s="574">
        <f>ROUND(L54-L55,3)</f>
        <v>0</v>
      </c>
      <c r="T56" s="575"/>
    </row>
    <row r="57" spans="1:21" ht="16.5" thickTop="1">
      <c r="A57" s="331" t="s">
        <v>121</v>
      </c>
      <c r="B57" s="445" t="s">
        <v>350</v>
      </c>
      <c r="C57" s="89">
        <v>-55419.17</v>
      </c>
      <c r="D57" s="565"/>
      <c r="F57" s="576" t="s">
        <v>181</v>
      </c>
      <c r="H57" s="577"/>
    </row>
    <row r="58" spans="1:21" ht="16.5" thickBot="1">
      <c r="A58" s="331" t="s">
        <v>122</v>
      </c>
      <c r="B58" s="445" t="s">
        <v>351</v>
      </c>
      <c r="C58" s="89">
        <v>-25517.63</v>
      </c>
      <c r="D58" s="565"/>
      <c r="F58" s="576" t="s">
        <v>182</v>
      </c>
      <c r="H58" s="566"/>
      <c r="I58" s="578"/>
      <c r="J58" s="578"/>
      <c r="K58" s="579"/>
      <c r="L58" s="578"/>
    </row>
    <row r="59" spans="1:21" ht="16.5" thickBot="1">
      <c r="A59" s="26" t="s">
        <v>125</v>
      </c>
      <c r="B59" s="26"/>
      <c r="C59" s="123">
        <f>SUM(C56:C58)</f>
        <v>-565209.88000000059</v>
      </c>
      <c r="D59" s="565"/>
      <c r="F59" s="580" t="s">
        <v>302</v>
      </c>
      <c r="G59" s="26" t="str">
        <f>IF(OR(AND(I56&gt;0,K56&gt;0),AND(I56&lt;0,K56&lt;0)),"OK","ERROR")</f>
        <v>OK</v>
      </c>
      <c r="H59" s="115" t="s">
        <v>293</v>
      </c>
      <c r="I59" s="167"/>
    </row>
    <row r="60" spans="1:21" ht="17.25" thickTop="1" thickBot="1">
      <c r="A60" s="26"/>
      <c r="C60" s="444"/>
      <c r="D60" s="565"/>
      <c r="H60" s="118" t="s">
        <v>175</v>
      </c>
      <c r="I60" s="549" t="s">
        <v>176</v>
      </c>
      <c r="J60" s="7"/>
    </row>
    <row r="61" spans="1:21" ht="16.5" thickBot="1">
      <c r="A61" s="107"/>
      <c r="B61" s="107" t="s">
        <v>95</v>
      </c>
      <c r="C61" s="564">
        <f>C59+C34</f>
        <v>1607242.0799999994</v>
      </c>
      <c r="D61" s="565"/>
      <c r="H61" s="297" t="e">
        <f>SUM('WA - Def-Amtz (current)'!BB5:BB40)+SUM(#REF!)</f>
        <v>#REF!</v>
      </c>
      <c r="I61" s="392" t="e">
        <f>SUM('WA - Def-Amtz (current)'!BC5:BC41)+SUM(#REF!)</f>
        <v>#REF!</v>
      </c>
    </row>
    <row r="62" spans="1:21" ht="15.75">
      <c r="A62" s="26"/>
      <c r="B62" s="107" t="s">
        <v>160</v>
      </c>
      <c r="C62" s="446">
        <v>1607242.08</v>
      </c>
      <c r="D62" s="8"/>
      <c r="G62" s="7"/>
      <c r="I62" s="69" t="e">
        <f>H61-I61</f>
        <v>#REF!</v>
      </c>
      <c r="N62" s="7"/>
      <c r="O62" s="7"/>
      <c r="P62" s="581"/>
    </row>
    <row r="63" spans="1:21" ht="15.75">
      <c r="A63" s="107"/>
      <c r="B63" s="107" t="s">
        <v>159</v>
      </c>
      <c r="C63" s="69">
        <f>ROUND(C61-C62,2)</f>
        <v>0</v>
      </c>
      <c r="S63" s="445"/>
    </row>
    <row r="64" spans="1:21" ht="15.75">
      <c r="A64" s="57"/>
      <c r="C64" s="582"/>
      <c r="D64" s="565"/>
      <c r="N64" s="132"/>
      <c r="U64" s="26"/>
    </row>
    <row r="65" spans="1:21" ht="15.75">
      <c r="A65" s="57"/>
      <c r="C65" s="8"/>
      <c r="D65" s="583"/>
      <c r="N65" s="132"/>
      <c r="S65" s="584"/>
    </row>
    <row r="66" spans="1:21" ht="15.75">
      <c r="A66" s="26"/>
      <c r="C66" s="8"/>
      <c r="D66" s="565"/>
      <c r="N66" s="132"/>
      <c r="S66" s="585"/>
    </row>
    <row r="67" spans="1:21">
      <c r="C67" s="69"/>
      <c r="D67" s="565"/>
      <c r="N67" s="132"/>
      <c r="S67" s="586"/>
    </row>
    <row r="68" spans="1:21">
      <c r="D68" s="565"/>
      <c r="N68" s="132"/>
      <c r="S68" s="585"/>
    </row>
    <row r="69" spans="1:21">
      <c r="D69" s="565"/>
      <c r="N69" s="132"/>
    </row>
    <row r="70" spans="1:21">
      <c r="D70" s="8"/>
      <c r="N70" s="132"/>
      <c r="S70" s="587"/>
    </row>
    <row r="71" spans="1:21">
      <c r="D71" s="565"/>
    </row>
    <row r="72" spans="1:21">
      <c r="D72" s="565"/>
    </row>
    <row r="73" spans="1:21">
      <c r="D73" s="565"/>
      <c r="S73" s="588"/>
    </row>
    <row r="74" spans="1:21">
      <c r="D74" s="154"/>
      <c r="R74" s="445"/>
      <c r="S74" s="445"/>
      <c r="T74" s="445"/>
    </row>
    <row r="76" spans="1:21">
      <c r="U76" s="589"/>
    </row>
    <row r="1477" spans="3:3">
      <c r="C1477" s="331">
        <v>-2130</v>
      </c>
    </row>
    <row r="1485" spans="3:3">
      <c r="C1485" s="331">
        <f>7004298-2130</f>
        <v>7002168</v>
      </c>
    </row>
  </sheetData>
  <mergeCells count="3">
    <mergeCell ref="F18:I18"/>
    <mergeCell ref="J18:M18"/>
    <mergeCell ref="K35:M35"/>
  </mergeCells>
  <conditionalFormatting sqref="C63 L56 I62">
    <cfRule type="cellIs" dxfId="250" priority="7" stopIfTrue="1" operator="equal">
      <formula>0</formula>
    </cfRule>
    <cfRule type="cellIs" dxfId="249" priority="8" stopIfTrue="1" operator="notEqual">
      <formula>0</formula>
    </cfRule>
  </conditionalFormatting>
  <conditionalFormatting sqref="G34 G47 K30 K47">
    <cfRule type="cellIs" dxfId="248" priority="6" operator="notEqual">
      <formula>0</formula>
    </cfRule>
  </conditionalFormatting>
  <conditionalFormatting sqref="C63">
    <cfRule type="cellIs" dxfId="247" priority="4" stopIfTrue="1" operator="equal">
      <formula>0</formula>
    </cfRule>
    <cfRule type="cellIs" dxfId="246" priority="5" stopIfTrue="1" operator="notEqual">
      <formula>0</formula>
    </cfRule>
  </conditionalFormatting>
  <conditionalFormatting sqref="K30">
    <cfRule type="cellIs" dxfId="245" priority="3" operator="notEqual">
      <formula>0</formula>
    </cfRule>
  </conditionalFormatting>
  <conditionalFormatting sqref="G59">
    <cfRule type="cellIs" dxfId="244" priority="2" operator="equal">
      <formula>"ERROR"</formula>
    </cfRule>
  </conditionalFormatting>
  <conditionalFormatting sqref="G59">
    <cfRule type="cellIs" dxfId="243" priority="1" operator="equal">
      <formula>"ERROR"</formula>
    </cfRule>
  </conditionalFormatting>
  <printOptions verticalCentered="1" gridLinesSet="0"/>
  <pageMargins left="0.5" right="0" top="0.25" bottom="0.5" header="0" footer="0.25"/>
  <pageSetup scale="47" orientation="landscape" cellComments="asDisplayed" r:id="rId1"/>
  <headerFooter alignWithMargins="0">
    <oddFooter>&amp;L&amp;F&amp;C&amp;A&amp;R&amp;D&amp;T</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abColor rgb="FF00CC66"/>
    <pageSetUpPr fitToPage="1"/>
  </sheetPr>
  <dimension ref="A1:U1487"/>
  <sheetViews>
    <sheetView showGridLines="0" topLeftCell="A25" zoomScale="70" zoomScaleNormal="70" workbookViewId="0">
      <selection activeCell="A25" sqref="A1:XFD1048576"/>
    </sheetView>
  </sheetViews>
  <sheetFormatPr defaultColWidth="16" defaultRowHeight="15"/>
  <cols>
    <col min="1" max="1" width="44.85546875" style="331" customWidth="1"/>
    <col min="2" max="2" width="25.5703125" style="331" customWidth="1"/>
    <col min="3" max="3" width="25.28515625" style="331" customWidth="1"/>
    <col min="4" max="4" width="2.7109375" style="331" customWidth="1"/>
    <col min="5" max="5" width="4.28515625" style="331" customWidth="1"/>
    <col min="6" max="6" width="26.7109375" style="331" customWidth="1"/>
    <col min="7" max="7" width="19" style="331" customWidth="1"/>
    <col min="8" max="8" width="22" style="331" customWidth="1"/>
    <col min="9" max="9" width="20.42578125" style="331" customWidth="1"/>
    <col min="10" max="10" width="26.28515625" style="331" customWidth="1"/>
    <col min="11" max="11" width="21.85546875" style="331" bestFit="1" customWidth="1"/>
    <col min="12" max="12" width="23.85546875" style="331" customWidth="1"/>
    <col min="13" max="13" width="20.85546875" style="331" bestFit="1" customWidth="1"/>
    <col min="14" max="15" width="16" style="331"/>
    <col min="16" max="16" width="16.28515625" style="331" bestFit="1" customWidth="1"/>
    <col min="17" max="16384" width="16" style="331"/>
  </cols>
  <sheetData>
    <row r="1" spans="1:12" ht="16.5" thickBot="1">
      <c r="A1" s="560" t="s">
        <v>64</v>
      </c>
      <c r="B1" s="561"/>
      <c r="C1" s="430">
        <f>Apr!C1+1</f>
        <v>201905</v>
      </c>
      <c r="F1" s="430">
        <f>C1</f>
        <v>201905</v>
      </c>
      <c r="H1" s="125" t="s">
        <v>69</v>
      </c>
      <c r="I1" s="92" t="s">
        <v>3</v>
      </c>
      <c r="J1" s="92" t="s">
        <v>3</v>
      </c>
      <c r="K1" s="92" t="s">
        <v>66</v>
      </c>
      <c r="L1" s="92" t="s">
        <v>66</v>
      </c>
    </row>
    <row r="2" spans="1:12" ht="15.75">
      <c r="C2" s="20"/>
      <c r="H2" s="126" t="s">
        <v>32</v>
      </c>
      <c r="I2" s="127" t="s">
        <v>65</v>
      </c>
      <c r="J2" s="127" t="s">
        <v>65</v>
      </c>
      <c r="K2" s="127" t="s">
        <v>67</v>
      </c>
      <c r="L2" s="127" t="s">
        <v>67</v>
      </c>
    </row>
    <row r="3" spans="1:12" ht="16.5" thickBot="1">
      <c r="A3" s="39" t="s">
        <v>110</v>
      </c>
      <c r="C3" s="21"/>
      <c r="D3" s="562"/>
      <c r="F3" s="26" t="s">
        <v>72</v>
      </c>
      <c r="H3" s="128" t="s">
        <v>68</v>
      </c>
      <c r="I3" s="128" t="s">
        <v>35</v>
      </c>
      <c r="J3" s="128" t="s">
        <v>63</v>
      </c>
      <c r="K3" s="128" t="s">
        <v>35</v>
      </c>
      <c r="L3" s="128" t="s">
        <v>63</v>
      </c>
    </row>
    <row r="4" spans="1:12" ht="15.75">
      <c r="A4" s="331" t="s">
        <v>88</v>
      </c>
      <c r="C4" s="89">
        <f>-7356.7+3631690.92</f>
        <v>3624334.2199999997</v>
      </c>
      <c r="D4" s="20"/>
      <c r="H4" s="11"/>
    </row>
    <row r="5" spans="1:12" ht="14.25" customHeight="1">
      <c r="A5" s="331" t="s">
        <v>31</v>
      </c>
      <c r="C5" s="89">
        <v>34635.089999999997</v>
      </c>
      <c r="D5" s="20"/>
      <c r="H5" s="11"/>
      <c r="I5" s="563">
        <v>0.69059999999999999</v>
      </c>
      <c r="J5" s="563">
        <v>0.30940000000000001</v>
      </c>
      <c r="K5" s="388">
        <f>ROUND(G45/(G45+K43),4)</f>
        <v>0.67210000000000003</v>
      </c>
      <c r="L5" s="388">
        <f>1-K5</f>
        <v>0.32789999999999997</v>
      </c>
    </row>
    <row r="6" spans="1:12" ht="16.5" thickBot="1">
      <c r="A6" s="25" t="s">
        <v>30</v>
      </c>
      <c r="C6" s="89">
        <f>-78046.48-97479.45-1484819.23-423508.04-121002.3-136127.59</f>
        <v>-2340983.09</v>
      </c>
      <c r="D6" s="20"/>
    </row>
    <row r="7" spans="1:12" ht="16.5" thickBot="1">
      <c r="A7" s="41" t="s">
        <v>140</v>
      </c>
      <c r="C7" s="69">
        <f>SUM(C4:C6)</f>
        <v>1317986.2199999997</v>
      </c>
      <c r="D7" s="21"/>
      <c r="F7" s="129" t="s">
        <v>139</v>
      </c>
      <c r="G7" s="129"/>
      <c r="H7" s="564">
        <f>C34</f>
        <v>2172451.96</v>
      </c>
      <c r="I7" s="130">
        <f>H7*I5</f>
        <v>1500295.3235760001</v>
      </c>
      <c r="J7" s="130">
        <f>H7*J5</f>
        <v>672156.63642400003</v>
      </c>
      <c r="K7" s="130"/>
      <c r="L7" s="130"/>
    </row>
    <row r="8" spans="1:12" ht="15.75">
      <c r="A8" s="331" t="s">
        <v>89</v>
      </c>
      <c r="C8" s="89">
        <v>172464.26</v>
      </c>
      <c r="D8" s="21"/>
      <c r="H8" s="131"/>
      <c r="I8" s="131"/>
      <c r="J8" s="131"/>
      <c r="K8" s="131"/>
      <c r="L8" s="131"/>
    </row>
    <row r="9" spans="1:12" ht="15.75">
      <c r="A9" s="331" t="s">
        <v>90</v>
      </c>
      <c r="C9" s="89">
        <f>5018.28-677.03</f>
        <v>4341.25</v>
      </c>
      <c r="D9" s="565"/>
      <c r="F9" s="129" t="s">
        <v>119</v>
      </c>
      <c r="H9" s="130">
        <f>C56</f>
        <v>478275.91999999946</v>
      </c>
      <c r="I9" s="130"/>
      <c r="J9" s="130"/>
      <c r="K9" s="130">
        <f>H9*K5</f>
        <v>321449.24583199964</v>
      </c>
      <c r="L9" s="130">
        <f>H9*L5</f>
        <v>156826.67416799979</v>
      </c>
    </row>
    <row r="10" spans="1:12" ht="15.75">
      <c r="A10" s="25" t="s">
        <v>91</v>
      </c>
      <c r="C10" s="440">
        <v>-3078.51</v>
      </c>
      <c r="D10" s="565"/>
      <c r="F10" s="132" t="s">
        <v>356</v>
      </c>
      <c r="H10" s="130">
        <f>C59+C57</f>
        <v>-91766.17</v>
      </c>
      <c r="I10" s="130"/>
      <c r="J10" s="130"/>
      <c r="K10" s="130">
        <f>H10</f>
        <v>-91766.17</v>
      </c>
      <c r="L10" s="130"/>
    </row>
    <row r="11" spans="1:12">
      <c r="A11" s="41" t="s">
        <v>145</v>
      </c>
      <c r="C11" s="69">
        <f>SUM(C8:C10)</f>
        <v>173727</v>
      </c>
      <c r="D11" s="565"/>
      <c r="F11" s="132" t="s">
        <v>357</v>
      </c>
      <c r="H11" s="133">
        <f>C60+C58</f>
        <v>-951719.63</v>
      </c>
      <c r="I11" s="130"/>
      <c r="J11" s="130"/>
      <c r="K11" s="133"/>
      <c r="L11" s="133">
        <f>H11</f>
        <v>-951719.63</v>
      </c>
    </row>
    <row r="12" spans="1:12" ht="15.75">
      <c r="A12" s="331" t="s">
        <v>165</v>
      </c>
      <c r="C12" s="89">
        <f>-1373.23+229644.91</f>
        <v>228271.68</v>
      </c>
      <c r="D12" s="565"/>
      <c r="F12" s="132" t="s">
        <v>138</v>
      </c>
      <c r="H12" s="130">
        <f>H9+H10+H11</f>
        <v>-565209.88000000059</v>
      </c>
      <c r="I12" s="130"/>
      <c r="J12" s="130"/>
      <c r="K12" s="130">
        <f>SUM(K9:K11)</f>
        <v>229683.07583199965</v>
      </c>
      <c r="L12" s="130">
        <f>SUM(L9:L11)</f>
        <v>-794892.95583200024</v>
      </c>
    </row>
    <row r="13" spans="1:12" ht="16.5" thickBot="1">
      <c r="A13" s="25" t="s">
        <v>166</v>
      </c>
      <c r="C13" s="440">
        <v>0</v>
      </c>
      <c r="D13" s="565"/>
      <c r="F13" s="134"/>
      <c r="G13" s="135"/>
      <c r="H13" s="136"/>
      <c r="I13" s="137"/>
      <c r="J13" s="136"/>
      <c r="K13" s="131"/>
      <c r="L13" s="136"/>
    </row>
    <row r="14" spans="1:12" ht="16.5" thickBot="1">
      <c r="A14" s="41" t="s">
        <v>92</v>
      </c>
      <c r="C14" s="69">
        <f>SUM(C12:C13)</f>
        <v>228271.68</v>
      </c>
      <c r="D14" s="8"/>
      <c r="F14" s="26" t="s">
        <v>69</v>
      </c>
      <c r="G14" s="138"/>
      <c r="H14" s="564">
        <f>H12+H7</f>
        <v>1607242.0799999994</v>
      </c>
      <c r="I14" s="139">
        <f>SUM(I7:I13)</f>
        <v>1500295.3235760001</v>
      </c>
      <c r="J14" s="139">
        <f>SUM(J7:J13)</f>
        <v>672156.63642400003</v>
      </c>
      <c r="K14" s="139">
        <f>K12</f>
        <v>229683.07583199965</v>
      </c>
      <c r="L14" s="139">
        <f>L12</f>
        <v>-794892.95583200024</v>
      </c>
    </row>
    <row r="15" spans="1:12" ht="15.75">
      <c r="A15" s="331" t="s">
        <v>183</v>
      </c>
      <c r="C15" s="89"/>
      <c r="D15" s="565"/>
      <c r="F15" s="134"/>
      <c r="G15" s="135" t="s">
        <v>102</v>
      </c>
      <c r="H15" s="136">
        <f>H14-C63</f>
        <v>0</v>
      </c>
      <c r="I15" s="140"/>
      <c r="J15" s="136">
        <f>J7+I7-H7</f>
        <v>0</v>
      </c>
      <c r="L15" s="136">
        <f>H12-K14-L14</f>
        <v>0</v>
      </c>
    </row>
    <row r="16" spans="1:12" ht="15.75">
      <c r="A16" s="25" t="s">
        <v>184</v>
      </c>
      <c r="C16" s="440">
        <v>0</v>
      </c>
      <c r="D16" s="565"/>
      <c r="F16" s="141"/>
      <c r="G16" s="135"/>
      <c r="H16" s="142"/>
      <c r="I16" s="143"/>
      <c r="J16" s="142"/>
      <c r="L16" s="142"/>
    </row>
    <row r="17" spans="1:13" ht="15.75" thickBot="1">
      <c r="A17" s="41" t="s">
        <v>185</v>
      </c>
      <c r="C17" s="69">
        <f>SUM(C15:C16)</f>
        <v>0</v>
      </c>
      <c r="D17" s="8"/>
      <c r="F17" s="134"/>
      <c r="G17" s="135"/>
      <c r="H17" s="142"/>
      <c r="I17" s="143"/>
      <c r="J17" s="146"/>
      <c r="L17" s="142"/>
    </row>
    <row r="18" spans="1:13" ht="16.5" thickBot="1">
      <c r="A18" s="331" t="s">
        <v>163</v>
      </c>
      <c r="C18" s="89">
        <f>9620+99825.8-18156.8-411.92-10950.36</f>
        <v>79926.720000000001</v>
      </c>
      <c r="D18" s="565"/>
      <c r="F18" s="526" t="s">
        <v>134</v>
      </c>
      <c r="G18" s="527"/>
      <c r="H18" s="527"/>
      <c r="I18" s="528"/>
      <c r="J18" s="526" t="s">
        <v>135</v>
      </c>
      <c r="K18" s="527"/>
      <c r="L18" s="527"/>
      <c r="M18" s="528"/>
    </row>
    <row r="19" spans="1:13" ht="15.75">
      <c r="A19" s="25" t="s">
        <v>164</v>
      </c>
      <c r="C19" s="440">
        <v>18808.349999999999</v>
      </c>
      <c r="D19" s="565"/>
      <c r="F19" s="164" t="s">
        <v>108</v>
      </c>
      <c r="G19" s="127" t="s">
        <v>33</v>
      </c>
      <c r="H19" s="127" t="s">
        <v>33</v>
      </c>
      <c r="I19" s="127" t="s">
        <v>33</v>
      </c>
      <c r="J19" s="164" t="s">
        <v>108</v>
      </c>
      <c r="K19" s="127" t="s">
        <v>33</v>
      </c>
      <c r="L19" s="127" t="s">
        <v>33</v>
      </c>
      <c r="M19" s="148" t="s">
        <v>33</v>
      </c>
    </row>
    <row r="20" spans="1:13" ht="16.5" thickBot="1">
      <c r="A20" s="40" t="s">
        <v>93</v>
      </c>
      <c r="C20" s="69">
        <f>SUM(C18:C19)</f>
        <v>98735.07</v>
      </c>
      <c r="D20" s="565"/>
      <c r="F20" s="158" t="s">
        <v>162</v>
      </c>
      <c r="G20" s="128" t="s">
        <v>101</v>
      </c>
      <c r="H20" s="128" t="s">
        <v>36</v>
      </c>
      <c r="I20" s="128" t="s">
        <v>34</v>
      </c>
      <c r="J20" s="158" t="s">
        <v>162</v>
      </c>
      <c r="K20" s="128" t="s">
        <v>101</v>
      </c>
      <c r="L20" s="128" t="s">
        <v>36</v>
      </c>
      <c r="M20" s="128" t="s">
        <v>34</v>
      </c>
    </row>
    <row r="21" spans="1:13" ht="15.75">
      <c r="A21" s="25" t="s">
        <v>149</v>
      </c>
      <c r="C21" s="440">
        <v>4414.5600000000004</v>
      </c>
      <c r="D21" s="565"/>
      <c r="F21" s="147"/>
      <c r="G21" s="12"/>
      <c r="H21" s="12"/>
      <c r="I21" s="148"/>
      <c r="J21" s="95"/>
      <c r="K21" s="13"/>
      <c r="L21" s="13"/>
      <c r="M21" s="167"/>
    </row>
    <row r="22" spans="1:13" ht="18" customHeight="1">
      <c r="A22" s="40" t="s">
        <v>149</v>
      </c>
      <c r="C22" s="69">
        <f>SUM(C21)</f>
        <v>4414.5600000000004</v>
      </c>
      <c r="D22" s="565"/>
      <c r="F22" s="162" t="s">
        <v>126</v>
      </c>
      <c r="G22" s="7"/>
      <c r="H22" s="7"/>
      <c r="I22" s="67"/>
      <c r="J22" s="162" t="s">
        <v>126</v>
      </c>
      <c r="K22" s="7"/>
      <c r="L22" s="7"/>
      <c r="M22" s="67"/>
    </row>
    <row r="23" spans="1:13" ht="15.75">
      <c r="A23" s="170" t="s">
        <v>180</v>
      </c>
      <c r="C23" s="69">
        <f>-2575.46+417942.98</f>
        <v>415367.51999999996</v>
      </c>
      <c r="D23" s="565"/>
      <c r="F23" s="163" t="s">
        <v>37</v>
      </c>
      <c r="G23" s="218">
        <v>4312435</v>
      </c>
      <c r="H23" s="333">
        <v>0.10238999999999999</v>
      </c>
      <c r="I23" s="159">
        <f t="shared" ref="I23:I31" si="0">G23*H23</f>
        <v>441550.21964999998</v>
      </c>
      <c r="J23" s="163" t="s">
        <v>37</v>
      </c>
      <c r="K23" s="218">
        <v>2161977</v>
      </c>
      <c r="L23" s="333">
        <v>9.5839999999999995E-2</v>
      </c>
      <c r="M23" s="159">
        <f>K23*L23</f>
        <v>207203.87568</v>
      </c>
    </row>
    <row r="24" spans="1:13" ht="15.75">
      <c r="A24" s="170" t="s">
        <v>186</v>
      </c>
      <c r="C24" s="89">
        <v>0</v>
      </c>
      <c r="D24" s="565"/>
      <c r="F24" s="163" t="s">
        <v>304</v>
      </c>
      <c r="G24" s="218">
        <v>4874</v>
      </c>
      <c r="H24" s="333">
        <v>0.10238999999999999</v>
      </c>
      <c r="I24" s="159">
        <f t="shared" si="0"/>
        <v>499.04885999999999</v>
      </c>
      <c r="J24" s="163" t="s">
        <v>38</v>
      </c>
      <c r="K24" s="218">
        <v>1184622</v>
      </c>
      <c r="L24" s="333">
        <v>9.5839999999999995E-2</v>
      </c>
      <c r="M24" s="159">
        <f t="shared" ref="M24:M25" si="1">K24*L24</f>
        <v>113534.17247999999</v>
      </c>
    </row>
    <row r="25" spans="1:13" ht="15.75">
      <c r="A25" s="170" t="s">
        <v>189</v>
      </c>
      <c r="C25" s="442">
        <v>0</v>
      </c>
      <c r="D25" s="565"/>
      <c r="F25" s="163" t="s">
        <v>38</v>
      </c>
      <c r="G25" s="218">
        <v>2394969</v>
      </c>
      <c r="H25" s="333">
        <v>9.239E-2</v>
      </c>
      <c r="I25" s="159">
        <f t="shared" si="0"/>
        <v>221271.18591</v>
      </c>
      <c r="J25" s="163" t="s">
        <v>39</v>
      </c>
      <c r="K25" s="218">
        <v>33006</v>
      </c>
      <c r="L25" s="333">
        <v>9.5839999999999995E-2</v>
      </c>
      <c r="M25" s="159">
        <f t="shared" si="1"/>
        <v>3163.29504</v>
      </c>
    </row>
    <row r="26" spans="1:13" ht="15.75">
      <c r="A26" s="171" t="s">
        <v>188</v>
      </c>
      <c r="C26" s="443">
        <v>0</v>
      </c>
      <c r="D26" s="565"/>
      <c r="F26" s="163" t="s">
        <v>39</v>
      </c>
      <c r="G26" s="218">
        <v>7673</v>
      </c>
      <c r="H26" s="333">
        <v>9.239E-2</v>
      </c>
      <c r="I26" s="159">
        <f t="shared" si="0"/>
        <v>708.90846999999997</v>
      </c>
      <c r="J26" s="163"/>
      <c r="K26" s="218"/>
      <c r="L26" s="333"/>
      <c r="M26" s="159"/>
    </row>
    <row r="27" spans="1:13" ht="15.75">
      <c r="A27" s="40" t="s">
        <v>96</v>
      </c>
      <c r="C27" s="69">
        <f>SUM(C23:C26)</f>
        <v>415367.51999999996</v>
      </c>
      <c r="D27" s="565"/>
      <c r="F27" s="163" t="s">
        <v>40</v>
      </c>
      <c r="G27" s="218">
        <v>97867</v>
      </c>
      <c r="H27" s="333">
        <v>9.2249999999999999E-2</v>
      </c>
      <c r="I27" s="159">
        <f t="shared" si="0"/>
        <v>9028.2307500000006</v>
      </c>
      <c r="J27" s="163"/>
      <c r="K27" s="218"/>
      <c r="L27" s="333"/>
      <c r="M27" s="159"/>
    </row>
    <row r="28" spans="1:13" ht="16.5" thickBot="1">
      <c r="A28" s="172" t="s">
        <v>150</v>
      </c>
      <c r="C28" s="89">
        <v>0</v>
      </c>
      <c r="D28" s="8"/>
      <c r="F28" s="163" t="s">
        <v>41</v>
      </c>
      <c r="G28" s="218">
        <v>35233</v>
      </c>
      <c r="H28" s="333">
        <v>9.2249999999999999E-2</v>
      </c>
      <c r="I28" s="159">
        <f t="shared" si="0"/>
        <v>3250.2442499999997</v>
      </c>
      <c r="J28" s="162" t="s">
        <v>127</v>
      </c>
      <c r="K28" s="144">
        <f>SUM(K23:K27)</f>
        <v>3379605</v>
      </c>
      <c r="L28" s="145"/>
      <c r="M28" s="160">
        <f>SUM(M23:M27)</f>
        <v>323901.3432</v>
      </c>
    </row>
    <row r="29" spans="1:13" ht="17.25" thickTop="1" thickBot="1">
      <c r="A29" s="172" t="s">
        <v>167</v>
      </c>
      <c r="C29" s="89">
        <v>0</v>
      </c>
      <c r="D29" s="565"/>
      <c r="F29" s="163" t="s">
        <v>42</v>
      </c>
      <c r="G29" s="218">
        <v>0</v>
      </c>
      <c r="H29" s="333">
        <v>5.9499999999999997E-2</v>
      </c>
      <c r="I29" s="159">
        <f t="shared" si="0"/>
        <v>0</v>
      </c>
      <c r="J29" s="162"/>
      <c r="K29" s="189">
        <v>3379605</v>
      </c>
      <c r="L29" s="150" t="s">
        <v>102</v>
      </c>
      <c r="M29" s="407">
        <f>M28/K28</f>
        <v>9.5839999999999995E-2</v>
      </c>
    </row>
    <row r="30" spans="1:13" ht="16.5" thickBot="1">
      <c r="A30" s="26" t="s">
        <v>111</v>
      </c>
      <c r="C30" s="564">
        <f>C7+C11+C14+C17+C20+C22+C27+C28+C29</f>
        <v>2238502.0499999998</v>
      </c>
      <c r="D30" s="8"/>
      <c r="F30" s="163" t="s">
        <v>43</v>
      </c>
      <c r="G30" s="218">
        <v>74295</v>
      </c>
      <c r="H30" s="333">
        <v>5.9499999999999997E-2</v>
      </c>
      <c r="I30" s="159">
        <f t="shared" si="0"/>
        <v>4420.5524999999998</v>
      </c>
      <c r="J30" s="163"/>
      <c r="K30" s="188">
        <f>K28-K29</f>
        <v>0</v>
      </c>
      <c r="L30" s="145"/>
      <c r="M30" s="161"/>
    </row>
    <row r="31" spans="1:13" ht="15.75">
      <c r="A31" s="331" t="s">
        <v>112</v>
      </c>
      <c r="C31" s="89">
        <v>-8265.4</v>
      </c>
      <c r="D31" s="566"/>
      <c r="F31" s="163" t="s">
        <v>74</v>
      </c>
      <c r="G31" s="218">
        <v>2599421</v>
      </c>
      <c r="H31" s="333">
        <v>5.4000000000000001E-4</v>
      </c>
      <c r="I31" s="159">
        <f t="shared" si="0"/>
        <v>1403.6873399999999</v>
      </c>
      <c r="J31" s="117"/>
      <c r="K31" s="7"/>
      <c r="L31" s="145"/>
      <c r="M31" s="161"/>
    </row>
    <row r="32" spans="1:13" ht="16.5" thickBot="1">
      <c r="A32" s="26" t="s">
        <v>116</v>
      </c>
      <c r="B32" s="26" t="s">
        <v>117</v>
      </c>
      <c r="C32" s="444">
        <f>C30+C31</f>
        <v>2230236.65</v>
      </c>
      <c r="D32" s="567"/>
      <c r="F32" s="162" t="s">
        <v>127</v>
      </c>
      <c r="G32" s="144">
        <f>SUM(G23:G31)</f>
        <v>9526767</v>
      </c>
      <c r="H32" s="7"/>
      <c r="I32" s="160">
        <f>SUM(I23:I31)</f>
        <v>682132.0777299999</v>
      </c>
      <c r="J32" s="155"/>
      <c r="K32" s="156"/>
      <c r="L32" s="7"/>
      <c r="M32" s="153"/>
    </row>
    <row r="33" spans="1:17" ht="17.25" thickTop="1" thickBot="1">
      <c r="A33" s="331" t="s">
        <v>113</v>
      </c>
      <c r="C33" s="444">
        <f>-C5-C9-C13-C16-C19</f>
        <v>-57784.689999999995</v>
      </c>
      <c r="D33" s="565"/>
      <c r="F33" s="149"/>
      <c r="G33" s="189">
        <v>9526767</v>
      </c>
      <c r="H33" s="150" t="s">
        <v>102</v>
      </c>
      <c r="I33" s="176">
        <f>I32/G32</f>
        <v>7.1601633348438137E-2</v>
      </c>
      <c r="J33" s="155"/>
      <c r="K33" s="156"/>
      <c r="L33" s="7"/>
      <c r="M33" s="67"/>
    </row>
    <row r="34" spans="1:17" ht="16.5" thickBot="1">
      <c r="A34" s="26" t="s">
        <v>114</v>
      </c>
      <c r="C34" s="564">
        <f>SUM(C32:C33)</f>
        <v>2172451.96</v>
      </c>
      <c r="D34" s="565"/>
      <c r="F34" s="117"/>
      <c r="G34" s="188">
        <f>G32-G33</f>
        <v>0</v>
      </c>
      <c r="H34" s="7"/>
      <c r="I34" s="67"/>
      <c r="J34" s="155"/>
      <c r="K34" s="154"/>
      <c r="L34" s="7"/>
      <c r="M34" s="67"/>
    </row>
    <row r="35" spans="1:17" ht="18" customHeight="1">
      <c r="A35" s="26"/>
      <c r="C35" s="444"/>
      <c r="D35" s="565"/>
      <c r="F35" s="147"/>
      <c r="G35" s="12"/>
      <c r="H35" s="12"/>
      <c r="I35" s="148"/>
      <c r="J35" s="162" t="s">
        <v>128</v>
      </c>
      <c r="K35" s="524"/>
      <c r="L35" s="524"/>
      <c r="M35" s="525"/>
    </row>
    <row r="36" spans="1:17" ht="15.75">
      <c r="A36" s="11" t="s">
        <v>94</v>
      </c>
      <c r="B36" s="26"/>
      <c r="C36" s="69"/>
      <c r="D36" s="565"/>
      <c r="F36" s="162" t="s">
        <v>128</v>
      </c>
      <c r="G36" s="7"/>
      <c r="H36" s="7"/>
      <c r="I36" s="67"/>
      <c r="J36" s="163" t="s">
        <v>37</v>
      </c>
      <c r="K36" s="219">
        <f>K23</f>
        <v>2161977</v>
      </c>
      <c r="L36" s="333">
        <v>0.16886000000000001</v>
      </c>
      <c r="M36" s="159">
        <f t="shared" ref="M36:M42" si="2">K36*L36</f>
        <v>365071.43622000003</v>
      </c>
      <c r="P36" s="498"/>
      <c r="Q36" s="498"/>
    </row>
    <row r="37" spans="1:17" ht="15.75">
      <c r="A37" s="7" t="s">
        <v>129</v>
      </c>
      <c r="B37" s="516" t="s">
        <v>115</v>
      </c>
      <c r="C37" s="89">
        <v>7748252.5599999996</v>
      </c>
      <c r="D37" s="565"/>
      <c r="F37" s="163" t="s">
        <v>37</v>
      </c>
      <c r="G37" s="219">
        <f>G23</f>
        <v>4312435</v>
      </c>
      <c r="H37" s="333">
        <v>0.17066999999999999</v>
      </c>
      <c r="I37" s="159">
        <f t="shared" ref="I37:I44" si="3">G37*H37</f>
        <v>736003.28144999989</v>
      </c>
      <c r="J37" s="163" t="s">
        <v>38</v>
      </c>
      <c r="K37" s="219">
        <f>K24</f>
        <v>1184622</v>
      </c>
      <c r="L37" s="333">
        <v>0.16886000000000001</v>
      </c>
      <c r="M37" s="159">
        <f t="shared" si="2"/>
        <v>200035.27092000001</v>
      </c>
      <c r="P37" s="498"/>
      <c r="Q37" s="498"/>
    </row>
    <row r="38" spans="1:17" ht="15.75">
      <c r="A38" s="173" t="s">
        <v>14</v>
      </c>
      <c r="B38" s="516" t="s">
        <v>115</v>
      </c>
      <c r="C38" s="89"/>
      <c r="D38" s="565"/>
      <c r="F38" s="163" t="s">
        <v>304</v>
      </c>
      <c r="G38" s="219">
        <f t="shared" ref="G38:G44" si="4">G24</f>
        <v>4874</v>
      </c>
      <c r="H38" s="333">
        <v>0.17066999999999999</v>
      </c>
      <c r="I38" s="159">
        <f t="shared" si="3"/>
        <v>831.84557999999993</v>
      </c>
      <c r="J38" s="163" t="s">
        <v>39</v>
      </c>
      <c r="K38" s="219">
        <f>K25</f>
        <v>33006</v>
      </c>
      <c r="L38" s="333">
        <v>0.16886000000000001</v>
      </c>
      <c r="M38" s="159">
        <f t="shared" si="2"/>
        <v>5573.3931600000005</v>
      </c>
      <c r="P38" s="498"/>
      <c r="Q38" s="498"/>
    </row>
    <row r="39" spans="1:17" ht="15.75">
      <c r="A39" s="7" t="s">
        <v>146</v>
      </c>
      <c r="B39" s="516" t="s">
        <v>147</v>
      </c>
      <c r="C39" s="89">
        <v>-55977.33</v>
      </c>
      <c r="D39" s="565"/>
      <c r="F39" s="163" t="s">
        <v>38</v>
      </c>
      <c r="G39" s="219">
        <f t="shared" si="4"/>
        <v>2394969</v>
      </c>
      <c r="H39" s="333">
        <v>0.17066999999999999</v>
      </c>
      <c r="I39" s="159">
        <f t="shared" si="3"/>
        <v>408749.35922999994</v>
      </c>
      <c r="J39" s="163" t="s">
        <v>40</v>
      </c>
      <c r="K39" s="219">
        <f>K26</f>
        <v>0</v>
      </c>
      <c r="L39" s="333">
        <v>0.16886000000000001</v>
      </c>
      <c r="M39" s="159">
        <f t="shared" si="2"/>
        <v>0</v>
      </c>
      <c r="P39" s="498"/>
      <c r="Q39" s="498"/>
    </row>
    <row r="40" spans="1:17" ht="15.75">
      <c r="A40" s="7" t="s">
        <v>131</v>
      </c>
      <c r="B40" s="516" t="s">
        <v>132</v>
      </c>
      <c r="C40" s="89">
        <v>342746.27</v>
      </c>
      <c r="D40" s="565"/>
      <c r="F40" s="163" t="s">
        <v>39</v>
      </c>
      <c r="G40" s="219">
        <f t="shared" si="4"/>
        <v>7673</v>
      </c>
      <c r="H40" s="333">
        <v>0.17066999999999999</v>
      </c>
      <c r="I40" s="159">
        <f t="shared" si="3"/>
        <v>1309.5509099999999</v>
      </c>
      <c r="J40" s="163" t="s">
        <v>41</v>
      </c>
      <c r="K40" s="219">
        <f>K27</f>
        <v>0</v>
      </c>
      <c r="L40" s="333">
        <v>0.16886000000000001</v>
      </c>
      <c r="M40" s="159">
        <f t="shared" si="2"/>
        <v>0</v>
      </c>
      <c r="P40" s="498"/>
      <c r="Q40" s="498"/>
    </row>
    <row r="41" spans="1:17" ht="15.75">
      <c r="A41" s="7" t="s">
        <v>153</v>
      </c>
      <c r="B41" s="445" t="s">
        <v>155</v>
      </c>
      <c r="C41" s="89">
        <v>14180.47</v>
      </c>
      <c r="D41" s="565"/>
      <c r="F41" s="163" t="s">
        <v>40</v>
      </c>
      <c r="G41" s="219">
        <f t="shared" si="4"/>
        <v>97867</v>
      </c>
      <c r="H41" s="333">
        <v>0.17066999999999999</v>
      </c>
      <c r="I41" s="159">
        <f t="shared" si="3"/>
        <v>16702.960889999998</v>
      </c>
      <c r="J41" s="163" t="s">
        <v>42</v>
      </c>
      <c r="K41" s="218">
        <v>0</v>
      </c>
      <c r="L41" s="333">
        <v>0.16886000000000001</v>
      </c>
      <c r="M41" s="159">
        <f t="shared" si="2"/>
        <v>0</v>
      </c>
      <c r="P41" s="498"/>
      <c r="Q41" s="498"/>
    </row>
    <row r="42" spans="1:17" ht="16.5" thickBot="1">
      <c r="A42" s="7" t="s">
        <v>178</v>
      </c>
      <c r="B42" s="516" t="s">
        <v>179</v>
      </c>
      <c r="C42" s="89">
        <v>1675553.79</v>
      </c>
      <c r="D42" s="8"/>
      <c r="F42" s="163" t="s">
        <v>41</v>
      </c>
      <c r="G42" s="219">
        <f t="shared" si="4"/>
        <v>35233</v>
      </c>
      <c r="H42" s="333">
        <v>0.17066999999999999</v>
      </c>
      <c r="I42" s="159">
        <f t="shared" si="3"/>
        <v>6013.2161099999994</v>
      </c>
      <c r="J42" s="163" t="s">
        <v>43</v>
      </c>
      <c r="K42" s="220">
        <v>0</v>
      </c>
      <c r="L42" s="333">
        <v>0.16886000000000001</v>
      </c>
      <c r="M42" s="159">
        <f t="shared" si="2"/>
        <v>0</v>
      </c>
      <c r="P42" s="498"/>
      <c r="Q42" s="498"/>
    </row>
    <row r="43" spans="1:17" ht="16.5" thickBot="1">
      <c r="A43" s="56" t="s">
        <v>123</v>
      </c>
      <c r="B43" s="12"/>
      <c r="C43" s="564">
        <f>SUM(C37:C42)</f>
        <v>9724755.7599999998</v>
      </c>
      <c r="D43" s="565"/>
      <c r="F43" s="163" t="s">
        <v>42</v>
      </c>
      <c r="G43" s="219">
        <f t="shared" si="4"/>
        <v>0</v>
      </c>
      <c r="H43" s="333">
        <v>0.17066999999999999</v>
      </c>
      <c r="I43" s="159">
        <f t="shared" si="3"/>
        <v>0</v>
      </c>
      <c r="J43" s="162" t="s">
        <v>133</v>
      </c>
      <c r="K43" s="144">
        <f>SUM(K36:K42)</f>
        <v>3379605</v>
      </c>
      <c r="L43" s="145"/>
      <c r="M43" s="160">
        <f>SUM(M36:M42)</f>
        <v>570680.10030000005</v>
      </c>
    </row>
    <row r="44" spans="1:17" ht="16.5" thickBot="1">
      <c r="A44" s="568" t="s">
        <v>177</v>
      </c>
      <c r="B44" s="569" t="s">
        <v>120</v>
      </c>
      <c r="C44" s="89">
        <f>-4977520.79+4169.39+40907+50321.17</f>
        <v>-4882123.2300000004</v>
      </c>
      <c r="D44" s="8"/>
      <c r="F44" s="163" t="s">
        <v>43</v>
      </c>
      <c r="G44" s="219">
        <f t="shared" si="4"/>
        <v>74295</v>
      </c>
      <c r="H44" s="333">
        <v>0.17066999999999999</v>
      </c>
      <c r="I44" s="159">
        <f t="shared" si="3"/>
        <v>12679.92765</v>
      </c>
      <c r="J44" s="157"/>
      <c r="K44" s="190">
        <v>3379605</v>
      </c>
      <c r="L44" s="152" t="s">
        <v>102</v>
      </c>
      <c r="M44" s="177">
        <f>M43/K43</f>
        <v>0.16886000000000001</v>
      </c>
    </row>
    <row r="45" spans="1:17" ht="16.5" thickBot="1">
      <c r="A45" s="173" t="s">
        <v>168</v>
      </c>
      <c r="B45" s="445" t="s">
        <v>115</v>
      </c>
      <c r="C45" s="89">
        <v>0</v>
      </c>
      <c r="D45" s="566"/>
      <c r="F45" s="162" t="s">
        <v>133</v>
      </c>
      <c r="G45" s="144">
        <f>SUM(G37:G44)</f>
        <v>6927346</v>
      </c>
      <c r="H45" s="145"/>
      <c r="I45" s="160">
        <f>SUM(I37:I44)</f>
        <v>1182290.1418199996</v>
      </c>
      <c r="J45" s="56"/>
      <c r="K45" s="189"/>
      <c r="L45" s="150"/>
      <c r="M45" s="441"/>
    </row>
    <row r="46" spans="1:17" ht="19.5" customHeight="1" thickTop="1" thickBot="1">
      <c r="A46" s="173" t="s">
        <v>169</v>
      </c>
      <c r="B46" s="445" t="s">
        <v>115</v>
      </c>
      <c r="C46" s="89">
        <v>0</v>
      </c>
      <c r="D46" s="567"/>
      <c r="F46" s="151"/>
      <c r="G46" s="190">
        <v>6927346</v>
      </c>
      <c r="H46" s="152" t="s">
        <v>102</v>
      </c>
      <c r="I46" s="175">
        <f>I45/G45</f>
        <v>0.17066999999999993</v>
      </c>
      <c r="J46" s="56"/>
      <c r="K46" s="189"/>
      <c r="L46" s="150"/>
      <c r="M46" s="441"/>
    </row>
    <row r="47" spans="1:17" ht="19.5" customHeight="1">
      <c r="A47" s="331" t="s">
        <v>137</v>
      </c>
      <c r="B47" s="445" t="s">
        <v>115</v>
      </c>
      <c r="C47" s="89">
        <v>-43847.62</v>
      </c>
      <c r="D47" s="565"/>
      <c r="G47" s="188">
        <f>G45-G46</f>
        <v>0</v>
      </c>
      <c r="J47" s="91"/>
      <c r="K47" s="188">
        <f>K43-K44</f>
        <v>0</v>
      </c>
      <c r="M47" s="91"/>
    </row>
    <row r="48" spans="1:17" ht="16.5" thickBot="1">
      <c r="A48" s="173" t="s">
        <v>303</v>
      </c>
      <c r="B48" s="445" t="s">
        <v>115</v>
      </c>
      <c r="C48" s="89">
        <v>14000</v>
      </c>
      <c r="D48" s="565"/>
      <c r="J48" s="91"/>
      <c r="K48" s="82"/>
      <c r="M48" s="42"/>
    </row>
    <row r="49" spans="1:20" ht="15.75">
      <c r="A49" s="7" t="s">
        <v>130</v>
      </c>
      <c r="B49" s="516" t="s">
        <v>152</v>
      </c>
      <c r="C49" s="89">
        <v>19910</v>
      </c>
      <c r="D49" s="565"/>
      <c r="G49" s="82"/>
      <c r="H49" s="95" t="s">
        <v>35</v>
      </c>
      <c r="I49" s="13" t="s">
        <v>35</v>
      </c>
      <c r="J49" s="13" t="s">
        <v>63</v>
      </c>
      <c r="K49" s="93" t="s">
        <v>70</v>
      </c>
      <c r="L49" s="91"/>
    </row>
    <row r="50" spans="1:20" ht="16.5" thickBot="1">
      <c r="A50" s="7" t="s">
        <v>221</v>
      </c>
      <c r="B50" s="516" t="s">
        <v>152</v>
      </c>
      <c r="C50" s="89">
        <v>2464.54</v>
      </c>
      <c r="D50" s="8"/>
      <c r="F50" s="26" t="s">
        <v>73</v>
      </c>
      <c r="H50" s="96" t="s">
        <v>2</v>
      </c>
      <c r="I50" s="97" t="s">
        <v>3</v>
      </c>
      <c r="J50" s="97" t="s">
        <v>2</v>
      </c>
      <c r="K50" s="94" t="s">
        <v>3</v>
      </c>
    </row>
    <row r="51" spans="1:20" ht="15.75">
      <c r="A51" s="7" t="s">
        <v>306</v>
      </c>
      <c r="B51" s="516" t="s">
        <v>152</v>
      </c>
      <c r="C51" s="89">
        <v>4151.87</v>
      </c>
      <c r="D51" s="565"/>
      <c r="H51" s="115"/>
      <c r="I51" s="116"/>
      <c r="J51" s="116"/>
      <c r="K51" s="116"/>
      <c r="L51" s="92" t="s">
        <v>103</v>
      </c>
    </row>
    <row r="52" spans="1:20" ht="15.75">
      <c r="A52" s="132" t="s">
        <v>118</v>
      </c>
      <c r="B52" s="445"/>
      <c r="C52" s="69">
        <f>-C33</f>
        <v>57784.689999999995</v>
      </c>
      <c r="D52" s="562"/>
      <c r="F52" s="331" t="s">
        <v>136</v>
      </c>
      <c r="H52" s="174">
        <f>K12</f>
        <v>229683.07583199965</v>
      </c>
      <c r="I52" s="83">
        <f>I14</f>
        <v>1500295.3235760001</v>
      </c>
      <c r="J52" s="83">
        <f>L12</f>
        <v>-794892.95583200024</v>
      </c>
      <c r="K52" s="83">
        <f>J14</f>
        <v>672156.63642400003</v>
      </c>
      <c r="L52" s="98">
        <f>SUM(H52:K52)</f>
        <v>1607242.0799999994</v>
      </c>
    </row>
    <row r="53" spans="1:20" ht="16.5" thickBot="1">
      <c r="A53" s="331" t="s">
        <v>313</v>
      </c>
      <c r="B53" s="516" t="s">
        <v>314</v>
      </c>
      <c r="C53" s="89">
        <v>12410.31</v>
      </c>
      <c r="D53" s="562"/>
      <c r="F53" s="331" t="s">
        <v>109</v>
      </c>
      <c r="H53" s="174">
        <f>-I45</f>
        <v>-1182290.1418199996</v>
      </c>
      <c r="I53" s="83">
        <f>-I32</f>
        <v>-682132.0777299999</v>
      </c>
      <c r="J53" s="83">
        <f>-M43</f>
        <v>-570680.10030000005</v>
      </c>
      <c r="K53" s="83">
        <f>-M28</f>
        <v>-323901.3432</v>
      </c>
      <c r="L53" s="217">
        <f>SUM(H53:K53)</f>
        <v>-2759003.6630499996</v>
      </c>
    </row>
    <row r="54" spans="1:20" ht="16.5" thickBot="1">
      <c r="A54" s="331" t="s">
        <v>124</v>
      </c>
      <c r="B54" s="445" t="s">
        <v>295</v>
      </c>
      <c r="C54" s="89">
        <v>-4056230.4</v>
      </c>
      <c r="D54" s="565"/>
      <c r="F54" s="331" t="s">
        <v>86</v>
      </c>
      <c r="H54" s="192">
        <v>0</v>
      </c>
      <c r="I54" s="193">
        <v>0</v>
      </c>
      <c r="J54" s="193">
        <v>0</v>
      </c>
      <c r="K54" s="194">
        <v>0</v>
      </c>
      <c r="L54" s="570">
        <f>SUM(L52:L53)</f>
        <v>-1151761.5830500002</v>
      </c>
    </row>
    <row r="55" spans="1:20" ht="16.5" thickBot="1">
      <c r="A55" s="331" t="s">
        <v>310</v>
      </c>
      <c r="B55" s="445" t="s">
        <v>190</v>
      </c>
      <c r="C55" s="89">
        <v>-375000</v>
      </c>
      <c r="D55" s="565"/>
      <c r="F55" s="331" t="s">
        <v>71</v>
      </c>
      <c r="H55" s="564">
        <f>IFERROR(H52+H53+H54,0)</f>
        <v>-952607.0659879999</v>
      </c>
      <c r="I55" s="564">
        <f>I52+I53+I54</f>
        <v>818163.24584600015</v>
      </c>
      <c r="J55" s="564">
        <f>IFERROR(J52+J53+J54,0)</f>
        <v>-1365573.0561320004</v>
      </c>
      <c r="K55" s="564">
        <f>K52+K53+K54</f>
        <v>348255.29322400002</v>
      </c>
      <c r="L55" s="571">
        <f>SUM(H55:K55)</f>
        <v>-1151761.58305</v>
      </c>
    </row>
    <row r="56" spans="1:20" ht="16.5" thickBot="1">
      <c r="A56" s="572" t="s">
        <v>119</v>
      </c>
      <c r="B56" s="569"/>
      <c r="C56" s="123">
        <f>SUM(C43:C55)</f>
        <v>478275.91999999946</v>
      </c>
      <c r="D56" s="565"/>
      <c r="F56" s="573" t="s">
        <v>181</v>
      </c>
      <c r="H56" s="331" t="s">
        <v>173</v>
      </c>
      <c r="I56" s="7">
        <f>SUM(H55:I55)</f>
        <v>-134443.82014199975</v>
      </c>
      <c r="J56" s="41" t="s">
        <v>174</v>
      </c>
      <c r="K56" s="331">
        <f>SUM(J55:K55)</f>
        <v>-1017317.7629080004</v>
      </c>
      <c r="L56" s="574">
        <f>ROUND(L54-L55,3)</f>
        <v>0</v>
      </c>
      <c r="T56" s="575"/>
    </row>
    <row r="57" spans="1:20" ht="16.5" thickTop="1">
      <c r="A57" s="331" t="s">
        <v>352</v>
      </c>
      <c r="B57" s="516" t="s">
        <v>353</v>
      </c>
      <c r="C57" s="89">
        <v>-36347</v>
      </c>
      <c r="D57" s="565"/>
      <c r="F57" s="573"/>
      <c r="I57" s="7"/>
      <c r="J57" s="41"/>
      <c r="L57" s="69"/>
      <c r="T57" s="575"/>
    </row>
    <row r="58" spans="1:20" ht="15.75">
      <c r="A58" s="331" t="s">
        <v>352</v>
      </c>
      <c r="B58" s="516" t="s">
        <v>354</v>
      </c>
      <c r="C58" s="89">
        <v>-926202</v>
      </c>
      <c r="D58" s="565"/>
      <c r="F58" s="573"/>
      <c r="I58" s="7"/>
      <c r="J58" s="41"/>
      <c r="L58" s="69"/>
      <c r="T58" s="575"/>
    </row>
    <row r="59" spans="1:20" ht="15.75">
      <c r="A59" s="331" t="s">
        <v>121</v>
      </c>
      <c r="B59" s="445" t="s">
        <v>350</v>
      </c>
      <c r="C59" s="89">
        <v>-55419.17</v>
      </c>
      <c r="D59" s="565"/>
      <c r="F59" s="576" t="s">
        <v>181</v>
      </c>
      <c r="H59" s="577"/>
    </row>
    <row r="60" spans="1:20" ht="16.5" thickBot="1">
      <c r="A60" s="331" t="s">
        <v>122</v>
      </c>
      <c r="B60" s="445" t="s">
        <v>351</v>
      </c>
      <c r="C60" s="89">
        <v>-25517.63</v>
      </c>
      <c r="D60" s="565"/>
      <c r="F60" s="576" t="s">
        <v>182</v>
      </c>
      <c r="H60" s="566"/>
      <c r="I60" s="578"/>
      <c r="J60" s="578"/>
      <c r="K60" s="579"/>
      <c r="L60" s="578"/>
    </row>
    <row r="61" spans="1:20" ht="16.5" thickBot="1">
      <c r="A61" s="26" t="s">
        <v>125</v>
      </c>
      <c r="B61" s="26"/>
      <c r="C61" s="123">
        <f>SUM(C56:C60)</f>
        <v>-565209.88000000059</v>
      </c>
      <c r="D61" s="565"/>
      <c r="F61" s="580" t="s">
        <v>302</v>
      </c>
      <c r="G61" s="26" t="str">
        <f>IF(OR(AND(I56&gt;0,K56&gt;0),AND(I56&lt;0,K56&lt;0)),"OK","ERROR")</f>
        <v>OK</v>
      </c>
      <c r="H61" s="115" t="s">
        <v>293</v>
      </c>
      <c r="I61" s="167"/>
    </row>
    <row r="62" spans="1:20" ht="17.25" thickTop="1" thickBot="1">
      <c r="A62" s="26"/>
      <c r="C62" s="444"/>
      <c r="D62" s="565"/>
      <c r="H62" s="118" t="s">
        <v>175</v>
      </c>
      <c r="I62" s="549" t="s">
        <v>176</v>
      </c>
      <c r="J62" s="7"/>
    </row>
    <row r="63" spans="1:20" ht="16.5" thickBot="1">
      <c r="A63" s="107"/>
      <c r="B63" s="107" t="s">
        <v>95</v>
      </c>
      <c r="C63" s="564">
        <f>C61+C34</f>
        <v>1607242.0799999994</v>
      </c>
      <c r="D63" s="565"/>
      <c r="H63" s="297" t="e">
        <f>SUM('WA - Def-Amtz (current)'!BB5:BB40)+SUM(#REF!)</f>
        <v>#REF!</v>
      </c>
      <c r="I63" s="392" t="e">
        <f>SUM('WA - Def-Amtz (current)'!BC5:BC41)+SUM(#REF!)</f>
        <v>#REF!</v>
      </c>
    </row>
    <row r="64" spans="1:20" ht="15.75">
      <c r="A64" s="26"/>
      <c r="B64" s="107" t="s">
        <v>160</v>
      </c>
      <c r="C64" s="446">
        <v>1607242.08</v>
      </c>
      <c r="D64" s="8"/>
      <c r="G64" s="7"/>
      <c r="I64" s="69" t="e">
        <f>H63-I63</f>
        <v>#REF!</v>
      </c>
      <c r="N64" s="7"/>
      <c r="O64" s="7"/>
      <c r="P64" s="581"/>
    </row>
    <row r="65" spans="1:21" ht="15.75">
      <c r="A65" s="107"/>
      <c r="B65" s="107" t="s">
        <v>159</v>
      </c>
      <c r="C65" s="69">
        <f>ROUND(C63-C64,2)</f>
        <v>0</v>
      </c>
      <c r="S65" s="445"/>
    </row>
    <row r="66" spans="1:21" ht="15.75">
      <c r="A66" s="57"/>
      <c r="C66" s="582"/>
      <c r="D66" s="565"/>
      <c r="N66" s="132"/>
      <c r="U66" s="26"/>
    </row>
    <row r="67" spans="1:21" ht="15.75">
      <c r="A67" s="57"/>
      <c r="C67" s="8"/>
      <c r="D67" s="583"/>
      <c r="N67" s="132"/>
      <c r="S67" s="584"/>
    </row>
    <row r="68" spans="1:21" ht="15.75">
      <c r="A68" s="26"/>
      <c r="C68" s="8"/>
      <c r="D68" s="565"/>
      <c r="N68" s="132"/>
      <c r="S68" s="585"/>
    </row>
    <row r="69" spans="1:21">
      <c r="C69" s="69"/>
      <c r="D69" s="565"/>
      <c r="N69" s="132"/>
      <c r="S69" s="586"/>
    </row>
    <row r="70" spans="1:21">
      <c r="D70" s="565"/>
      <c r="N70" s="132"/>
      <c r="S70" s="585"/>
    </row>
    <row r="71" spans="1:21">
      <c r="D71" s="565"/>
      <c r="N71" s="132"/>
    </row>
    <row r="72" spans="1:21">
      <c r="D72" s="8"/>
      <c r="N72" s="132"/>
      <c r="S72" s="587"/>
    </row>
    <row r="73" spans="1:21">
      <c r="D73" s="565"/>
    </row>
    <row r="74" spans="1:21">
      <c r="D74" s="565"/>
    </row>
    <row r="75" spans="1:21">
      <c r="D75" s="565"/>
      <c r="S75" s="588"/>
    </row>
    <row r="76" spans="1:21">
      <c r="D76" s="154"/>
      <c r="R76" s="445"/>
      <c r="S76" s="445"/>
      <c r="T76" s="445"/>
    </row>
    <row r="78" spans="1:21">
      <c r="U78" s="589"/>
    </row>
    <row r="1479" spans="3:3">
      <c r="C1479" s="331">
        <v>-2130</v>
      </c>
    </row>
    <row r="1487" spans="3:3">
      <c r="C1487" s="331">
        <f>7004298-2130</f>
        <v>7002168</v>
      </c>
    </row>
  </sheetData>
  <mergeCells count="3">
    <mergeCell ref="F18:I18"/>
    <mergeCell ref="J18:M18"/>
    <mergeCell ref="K35:M35"/>
  </mergeCells>
  <conditionalFormatting sqref="C65 L56:L58 I64">
    <cfRule type="cellIs" dxfId="242" priority="7" stopIfTrue="1" operator="equal">
      <formula>0</formula>
    </cfRule>
    <cfRule type="cellIs" dxfId="241" priority="8" stopIfTrue="1" operator="notEqual">
      <formula>0</formula>
    </cfRule>
  </conditionalFormatting>
  <conditionalFormatting sqref="G34 G47 K30 K47">
    <cfRule type="cellIs" dxfId="240" priority="6" operator="notEqual">
      <formula>0</formula>
    </cfRule>
  </conditionalFormatting>
  <conditionalFormatting sqref="C65">
    <cfRule type="cellIs" dxfId="239" priority="4" stopIfTrue="1" operator="equal">
      <formula>0</formula>
    </cfRule>
    <cfRule type="cellIs" dxfId="238" priority="5" stopIfTrue="1" operator="notEqual">
      <formula>0</formula>
    </cfRule>
  </conditionalFormatting>
  <conditionalFormatting sqref="K30">
    <cfRule type="cellIs" dxfId="237" priority="3" operator="notEqual">
      <formula>0</formula>
    </cfRule>
  </conditionalFormatting>
  <conditionalFormatting sqref="G61">
    <cfRule type="cellIs" dxfId="236" priority="2" operator="equal">
      <formula>"ERROR"</formula>
    </cfRule>
  </conditionalFormatting>
  <conditionalFormatting sqref="G61">
    <cfRule type="cellIs" dxfId="235" priority="1" operator="equal">
      <formula>"ERROR"</formula>
    </cfRule>
  </conditionalFormatting>
  <printOptions verticalCentered="1" gridLinesSet="0"/>
  <pageMargins left="0.5" right="0" top="0.25" bottom="0.5" header="0" footer="0.25"/>
  <pageSetup scale="47" orientation="landscape" cellComments="asDisplayed" r:id="rId1"/>
  <headerFooter alignWithMargins="0">
    <oddFooter>&amp;L&amp;F&amp;C&amp;A&amp;R&amp;D&amp;T</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11">
    <tabColor rgb="FF00CC66"/>
    <pageSetUpPr fitToPage="1"/>
  </sheetPr>
  <dimension ref="A1:U1485"/>
  <sheetViews>
    <sheetView showGridLines="0" zoomScale="70" zoomScaleNormal="70" workbookViewId="0">
      <selection sqref="A1:XFD1048576"/>
    </sheetView>
  </sheetViews>
  <sheetFormatPr defaultColWidth="16" defaultRowHeight="15"/>
  <cols>
    <col min="1" max="1" width="44.85546875" style="331" customWidth="1"/>
    <col min="2" max="2" width="25.5703125" style="331" customWidth="1"/>
    <col min="3" max="3" width="25.28515625" style="331" customWidth="1"/>
    <col min="4" max="4" width="2.7109375" style="331" customWidth="1"/>
    <col min="5" max="5" width="4.28515625" style="331" customWidth="1"/>
    <col min="6" max="6" width="26.7109375" style="331" customWidth="1"/>
    <col min="7" max="7" width="24.28515625" style="331" customWidth="1"/>
    <col min="8" max="8" width="22" style="331" customWidth="1"/>
    <col min="9" max="9" width="20.42578125" style="331" customWidth="1"/>
    <col min="10" max="10" width="26.28515625" style="331" customWidth="1"/>
    <col min="11" max="11" width="21.85546875" style="331" bestFit="1" customWidth="1"/>
    <col min="12" max="12" width="23.85546875" style="331" customWidth="1"/>
    <col min="13" max="13" width="20.85546875" style="331" bestFit="1" customWidth="1"/>
    <col min="14" max="15" width="16" style="331"/>
    <col min="16" max="16" width="16.28515625" style="331" bestFit="1" customWidth="1"/>
    <col min="17" max="16384" width="16" style="331"/>
  </cols>
  <sheetData>
    <row r="1" spans="1:12" ht="16.5" thickBot="1">
      <c r="A1" s="560" t="s">
        <v>64</v>
      </c>
      <c r="B1" s="561"/>
      <c r="C1" s="430">
        <f>May!C1+1</f>
        <v>201906</v>
      </c>
      <c r="F1" s="430">
        <f>C1</f>
        <v>201906</v>
      </c>
      <c r="H1" s="125" t="s">
        <v>69</v>
      </c>
      <c r="I1" s="92" t="s">
        <v>3</v>
      </c>
      <c r="J1" s="92" t="s">
        <v>3</v>
      </c>
      <c r="K1" s="92" t="s">
        <v>66</v>
      </c>
      <c r="L1" s="92" t="s">
        <v>66</v>
      </c>
    </row>
    <row r="2" spans="1:12" ht="15.75">
      <c r="C2" s="20"/>
      <c r="H2" s="126" t="s">
        <v>32</v>
      </c>
      <c r="I2" s="127" t="s">
        <v>65</v>
      </c>
      <c r="J2" s="127" t="s">
        <v>65</v>
      </c>
      <c r="K2" s="127" t="s">
        <v>67</v>
      </c>
      <c r="L2" s="127" t="s">
        <v>67</v>
      </c>
    </row>
    <row r="3" spans="1:12" ht="16.5" thickBot="1">
      <c r="A3" s="39" t="s">
        <v>110</v>
      </c>
      <c r="C3" s="21"/>
      <c r="D3" s="562"/>
      <c r="F3" s="26" t="s">
        <v>72</v>
      </c>
      <c r="H3" s="128" t="s">
        <v>68</v>
      </c>
      <c r="I3" s="128" t="s">
        <v>35</v>
      </c>
      <c r="J3" s="128" t="s">
        <v>63</v>
      </c>
      <c r="K3" s="128" t="s">
        <v>35</v>
      </c>
      <c r="L3" s="128" t="s">
        <v>63</v>
      </c>
    </row>
    <row r="4" spans="1:12" ht="15.75">
      <c r="A4" s="331" t="s">
        <v>88</v>
      </c>
      <c r="C4" s="89">
        <v>3514539.59</v>
      </c>
      <c r="D4" s="20"/>
      <c r="H4" s="11"/>
    </row>
    <row r="5" spans="1:12" ht="14.25" customHeight="1">
      <c r="A5" s="331" t="s">
        <v>31</v>
      </c>
      <c r="C5" s="89">
        <v>25294.880000000001</v>
      </c>
      <c r="D5" s="20"/>
      <c r="H5" s="11"/>
      <c r="I5" s="563">
        <v>0.69059999999999999</v>
      </c>
      <c r="J5" s="563">
        <v>0.30940000000000001</v>
      </c>
      <c r="K5" s="388">
        <f>ROUND(G45/(G45+K43),4)</f>
        <v>0.65239999999999998</v>
      </c>
      <c r="L5" s="388">
        <f>1-K5</f>
        <v>0.34760000000000002</v>
      </c>
    </row>
    <row r="6" spans="1:12" ht="16.5" thickBot="1">
      <c r="A6" s="25" t="s">
        <v>30</v>
      </c>
      <c r="C6" s="440">
        <f>-1436921.83-409846.5-117099-131736.38-75528.86-94334.95</f>
        <v>-2265467.52</v>
      </c>
      <c r="D6" s="20"/>
    </row>
    <row r="7" spans="1:12" ht="16.5" thickBot="1">
      <c r="A7" s="41" t="s">
        <v>140</v>
      </c>
      <c r="C7" s="69">
        <f>SUM(C4:C6)</f>
        <v>1274366.9499999997</v>
      </c>
      <c r="D7" s="21"/>
      <c r="F7" s="129" t="s">
        <v>371</v>
      </c>
      <c r="G7" s="129"/>
      <c r="H7" s="564">
        <f>C34</f>
        <v>2191221.5699999998</v>
      </c>
      <c r="I7" s="130">
        <f>H7*I5</f>
        <v>1513257.6162419999</v>
      </c>
      <c r="J7" s="130">
        <f>H7*J5</f>
        <v>677963.95375799993</v>
      </c>
      <c r="K7" s="130"/>
      <c r="L7" s="130"/>
    </row>
    <row r="8" spans="1:12" ht="15.75">
      <c r="A8" s="331" t="s">
        <v>89</v>
      </c>
      <c r="C8" s="89">
        <v>166900.87</v>
      </c>
      <c r="D8" s="21"/>
      <c r="H8" s="131"/>
      <c r="I8" s="131"/>
      <c r="J8" s="131"/>
      <c r="K8" s="131"/>
      <c r="L8" s="131"/>
    </row>
    <row r="9" spans="1:12" ht="15.75">
      <c r="A9" s="331" t="s">
        <v>90</v>
      </c>
      <c r="C9" s="89">
        <f>5762.93-201.63</f>
        <v>5561.3</v>
      </c>
      <c r="D9" s="565"/>
      <c r="F9" s="129" t="s">
        <v>119</v>
      </c>
      <c r="H9" s="130">
        <f>C56</f>
        <v>-1266022.21</v>
      </c>
      <c r="I9" s="130"/>
      <c r="J9" s="130"/>
      <c r="K9" s="130">
        <f>H9*K5</f>
        <v>-825952.88980399992</v>
      </c>
      <c r="L9" s="130">
        <f>H9*L5</f>
        <v>-440069.32019599999</v>
      </c>
    </row>
    <row r="10" spans="1:12" ht="15.75">
      <c r="A10" s="25" t="s">
        <v>91</v>
      </c>
      <c r="C10" s="440">
        <v>-2979.2</v>
      </c>
      <c r="D10" s="565"/>
      <c r="F10" s="132" t="s">
        <v>44</v>
      </c>
      <c r="H10" s="130">
        <f>C57</f>
        <v>-14248.9</v>
      </c>
      <c r="I10" s="130"/>
      <c r="J10" s="130"/>
      <c r="K10" s="130">
        <f>H10</f>
        <v>-14248.9</v>
      </c>
      <c r="L10" s="130"/>
    </row>
    <row r="11" spans="1:12">
      <c r="A11" s="41" t="s">
        <v>145</v>
      </c>
      <c r="C11" s="69">
        <f>SUM(C8:C10)</f>
        <v>169482.96999999997</v>
      </c>
      <c r="D11" s="565"/>
      <c r="F11" s="132" t="s">
        <v>45</v>
      </c>
      <c r="H11" s="133">
        <f>C58</f>
        <v>-7420.49</v>
      </c>
      <c r="I11" s="130"/>
      <c r="J11" s="130"/>
      <c r="K11" s="133"/>
      <c r="L11" s="133">
        <f>H11</f>
        <v>-7420.49</v>
      </c>
    </row>
    <row r="12" spans="1:12" ht="15.75">
      <c r="A12" s="331" t="s">
        <v>165</v>
      </c>
      <c r="C12" s="89">
        <f>5188.68+237154.92</f>
        <v>242343.6</v>
      </c>
      <c r="D12" s="565"/>
      <c r="F12" s="132" t="s">
        <v>138</v>
      </c>
      <c r="H12" s="130">
        <f>H9+H10+H11</f>
        <v>-1287691.5999999999</v>
      </c>
      <c r="I12" s="130"/>
      <c r="J12" s="130"/>
      <c r="K12" s="130">
        <f>SUM(K9:K11)</f>
        <v>-840201.78980399994</v>
      </c>
      <c r="L12" s="130">
        <f>SUM(L9:L11)</f>
        <v>-447489.81019599998</v>
      </c>
    </row>
    <row r="13" spans="1:12" ht="16.5" thickBot="1">
      <c r="A13" s="25" t="s">
        <v>166</v>
      </c>
      <c r="C13" s="440">
        <v>0</v>
      </c>
      <c r="D13" s="565"/>
      <c r="F13" s="134"/>
      <c r="G13" s="135"/>
      <c r="H13" s="136"/>
      <c r="I13" s="137"/>
      <c r="J13" s="136"/>
      <c r="K13" s="131"/>
      <c r="L13" s="136"/>
    </row>
    <row r="14" spans="1:12" ht="16.5" thickBot="1">
      <c r="A14" s="41" t="s">
        <v>92</v>
      </c>
      <c r="C14" s="69">
        <f>SUM(C12:C13)</f>
        <v>242343.6</v>
      </c>
      <c r="D14" s="8"/>
      <c r="F14" s="26" t="s">
        <v>69</v>
      </c>
      <c r="G14" s="138"/>
      <c r="H14" s="564">
        <f>H12+H7</f>
        <v>903529.97</v>
      </c>
      <c r="I14" s="139">
        <f>SUM(I7:I13)</f>
        <v>1513257.6162419999</v>
      </c>
      <c r="J14" s="139">
        <f>SUM(J7:J13)</f>
        <v>677963.95375799993</v>
      </c>
      <c r="K14" s="139">
        <f>K12</f>
        <v>-840201.78980399994</v>
      </c>
      <c r="L14" s="139">
        <f>L12</f>
        <v>-447489.81019599998</v>
      </c>
    </row>
    <row r="15" spans="1:12" ht="15.75">
      <c r="A15" s="331" t="s">
        <v>183</v>
      </c>
      <c r="C15" s="89">
        <f>9464.15+431610.85</f>
        <v>441075</v>
      </c>
      <c r="D15" s="565"/>
      <c r="F15" s="134"/>
      <c r="G15" s="135" t="s">
        <v>102</v>
      </c>
      <c r="H15" s="136">
        <f>H14-C61</f>
        <v>0</v>
      </c>
      <c r="I15" s="140"/>
      <c r="J15" s="136">
        <f>J7+I7-H7</f>
        <v>0</v>
      </c>
      <c r="L15" s="136">
        <f>H12-K14-L14</f>
        <v>0</v>
      </c>
    </row>
    <row r="16" spans="1:12" ht="15.75">
      <c r="A16" s="25" t="s">
        <v>184</v>
      </c>
      <c r="C16" s="440">
        <v>0</v>
      </c>
      <c r="D16" s="565"/>
      <c r="F16" s="141"/>
      <c r="G16" s="135"/>
      <c r="H16" s="142"/>
      <c r="I16" s="143"/>
      <c r="J16" s="142"/>
      <c r="L16" s="142"/>
    </row>
    <row r="17" spans="1:13" ht="15.75" thickBot="1">
      <c r="A17" s="41" t="s">
        <v>185</v>
      </c>
      <c r="C17" s="69">
        <f>SUM(C15:C16)</f>
        <v>441075</v>
      </c>
      <c r="D17" s="8"/>
      <c r="F17" s="134"/>
      <c r="G17" s="135"/>
      <c r="H17" s="142"/>
      <c r="I17" s="143"/>
      <c r="J17" s="146"/>
      <c r="L17" s="142"/>
    </row>
    <row r="18" spans="1:13" ht="16.5" thickBot="1">
      <c r="A18" s="331" t="s">
        <v>163</v>
      </c>
      <c r="C18" s="89">
        <f>9934.6-11923.28+102551.6+2478.36</f>
        <v>103041.28000000001</v>
      </c>
      <c r="D18" s="565"/>
      <c r="F18" s="526" t="s">
        <v>134</v>
      </c>
      <c r="G18" s="527"/>
      <c r="H18" s="527"/>
      <c r="I18" s="528"/>
      <c r="J18" s="526" t="s">
        <v>135</v>
      </c>
      <c r="K18" s="527"/>
      <c r="L18" s="527"/>
      <c r="M18" s="528"/>
    </row>
    <row r="19" spans="1:13" ht="15.75">
      <c r="A19" s="25" t="s">
        <v>164</v>
      </c>
      <c r="C19" s="440">
        <v>-3912.35</v>
      </c>
      <c r="D19" s="565"/>
      <c r="F19" s="164" t="s">
        <v>108</v>
      </c>
      <c r="G19" s="127" t="s">
        <v>33</v>
      </c>
      <c r="H19" s="127" t="s">
        <v>33</v>
      </c>
      <c r="I19" s="127" t="s">
        <v>33</v>
      </c>
      <c r="J19" s="164" t="s">
        <v>108</v>
      </c>
      <c r="K19" s="127" t="s">
        <v>33</v>
      </c>
      <c r="L19" s="127" t="s">
        <v>33</v>
      </c>
      <c r="M19" s="148" t="s">
        <v>33</v>
      </c>
    </row>
    <row r="20" spans="1:13" ht="16.5" thickBot="1">
      <c r="A20" s="40" t="s">
        <v>93</v>
      </c>
      <c r="C20" s="69">
        <f>SUM(C18:C19)</f>
        <v>99128.930000000008</v>
      </c>
      <c r="D20" s="565"/>
      <c r="F20" s="158" t="s">
        <v>162</v>
      </c>
      <c r="G20" s="128" t="s">
        <v>101</v>
      </c>
      <c r="H20" s="128" t="s">
        <v>36</v>
      </c>
      <c r="I20" s="128" t="s">
        <v>34</v>
      </c>
      <c r="J20" s="158" t="s">
        <v>162</v>
      </c>
      <c r="K20" s="128" t="s">
        <v>101</v>
      </c>
      <c r="L20" s="128" t="s">
        <v>36</v>
      </c>
      <c r="M20" s="128" t="s">
        <v>34</v>
      </c>
    </row>
    <row r="21" spans="1:13" ht="15.75">
      <c r="A21" s="25" t="s">
        <v>370</v>
      </c>
      <c r="C21" s="440">
        <v>30.06</v>
      </c>
      <c r="D21" s="565"/>
      <c r="F21" s="147"/>
      <c r="G21" s="12"/>
      <c r="H21" s="12"/>
      <c r="I21" s="148"/>
      <c r="J21" s="95"/>
      <c r="K21" s="13"/>
      <c r="L21" s="13"/>
      <c r="M21" s="167"/>
    </row>
    <row r="22" spans="1:13" ht="18" customHeight="1">
      <c r="A22" s="40" t="s">
        <v>149</v>
      </c>
      <c r="C22" s="69">
        <f>SUM(C21)</f>
        <v>30.06</v>
      </c>
      <c r="D22" s="565"/>
      <c r="F22" s="162" t="s">
        <v>126</v>
      </c>
      <c r="G22" s="7"/>
      <c r="H22" s="7"/>
      <c r="I22" s="67"/>
      <c r="J22" s="162" t="s">
        <v>126</v>
      </c>
      <c r="K22" s="7"/>
      <c r="L22" s="7"/>
      <c r="M22" s="67"/>
    </row>
    <row r="23" spans="1:13" ht="15.75">
      <c r="A23" s="170" t="s">
        <v>180</v>
      </c>
      <c r="C23" s="69">
        <v>0</v>
      </c>
      <c r="D23" s="565"/>
      <c r="F23" s="163" t="s">
        <v>37</v>
      </c>
      <c r="G23" s="218">
        <v>2497712</v>
      </c>
      <c r="H23" s="333">
        <v>0.10238999999999999</v>
      </c>
      <c r="I23" s="159">
        <f>G23*H23</f>
        <v>255740.73168</v>
      </c>
      <c r="J23" s="163" t="s">
        <v>37</v>
      </c>
      <c r="K23" s="218">
        <v>1473042</v>
      </c>
      <c r="L23" s="333">
        <v>9.5839999999999995E-2</v>
      </c>
      <c r="M23" s="159">
        <f>K23*L23</f>
        <v>141176.34527999998</v>
      </c>
    </row>
    <row r="24" spans="1:13" ht="15.75">
      <c r="A24" s="170" t="s">
        <v>186</v>
      </c>
      <c r="C24" s="89">
        <v>0</v>
      </c>
      <c r="D24" s="565"/>
      <c r="F24" s="163" t="s">
        <v>304</v>
      </c>
      <c r="G24" s="218">
        <v>2253</v>
      </c>
      <c r="H24" s="333">
        <v>0.10238999999999999</v>
      </c>
      <c r="I24" s="159">
        <f t="shared" ref="I24:I31" si="0">G24*H24</f>
        <v>230.68466999999998</v>
      </c>
      <c r="J24" s="163" t="s">
        <v>38</v>
      </c>
      <c r="K24" s="218">
        <v>1108394</v>
      </c>
      <c r="L24" s="333">
        <v>9.5839999999999995E-2</v>
      </c>
      <c r="M24" s="159">
        <f t="shared" ref="M24:M27" si="1">K24*L24</f>
        <v>106228.48096</v>
      </c>
    </row>
    <row r="25" spans="1:13" ht="15.75">
      <c r="A25" s="170" t="s">
        <v>189</v>
      </c>
      <c r="C25" s="442">
        <v>0</v>
      </c>
      <c r="D25" s="565"/>
      <c r="F25" s="163" t="s">
        <v>38</v>
      </c>
      <c r="G25" s="218">
        <v>2410231</v>
      </c>
      <c r="H25" s="333">
        <v>9.239E-2</v>
      </c>
      <c r="I25" s="159">
        <f t="shared" si="0"/>
        <v>222681.24209000001</v>
      </c>
      <c r="J25" s="163" t="s">
        <v>39</v>
      </c>
      <c r="K25" s="218">
        <v>31219</v>
      </c>
      <c r="L25" s="333">
        <v>9.5839999999999995E-2</v>
      </c>
      <c r="M25" s="159">
        <f t="shared" si="1"/>
        <v>2992.0289599999996</v>
      </c>
    </row>
    <row r="26" spans="1:13" ht="15.75">
      <c r="A26" s="171" t="s">
        <v>188</v>
      </c>
      <c r="C26" s="443">
        <v>0</v>
      </c>
      <c r="D26" s="565"/>
      <c r="F26" s="163" t="s">
        <v>39</v>
      </c>
      <c r="G26" s="218">
        <v>5783</v>
      </c>
      <c r="H26" s="333">
        <v>9.239E-2</v>
      </c>
      <c r="I26" s="159">
        <f t="shared" si="0"/>
        <v>534.29137000000003</v>
      </c>
      <c r="J26" s="163" t="s">
        <v>40</v>
      </c>
      <c r="K26" s="218">
        <v>0</v>
      </c>
      <c r="L26" s="333">
        <v>9.5839999999999995E-2</v>
      </c>
      <c r="M26" s="159">
        <f t="shared" si="1"/>
        <v>0</v>
      </c>
    </row>
    <row r="27" spans="1:13" ht="15.75">
      <c r="A27" s="40" t="s">
        <v>96</v>
      </c>
      <c r="C27" s="69">
        <f>SUM(C23:C26)</f>
        <v>0</v>
      </c>
      <c r="D27" s="565"/>
      <c r="F27" s="163" t="s">
        <v>40</v>
      </c>
      <c r="G27" s="218">
        <v>-90738</v>
      </c>
      <c r="H27" s="333">
        <v>9.2249999999999999E-2</v>
      </c>
      <c r="I27" s="159">
        <f t="shared" si="0"/>
        <v>-8370.5805</v>
      </c>
      <c r="J27" s="163" t="s">
        <v>41</v>
      </c>
      <c r="K27" s="218">
        <v>0</v>
      </c>
      <c r="L27" s="333">
        <v>9.5839999999999995E-2</v>
      </c>
      <c r="M27" s="159">
        <f t="shared" si="1"/>
        <v>0</v>
      </c>
    </row>
    <row r="28" spans="1:13" ht="16.5" thickBot="1">
      <c r="A28" s="172" t="s">
        <v>150</v>
      </c>
      <c r="C28" s="89">
        <v>0</v>
      </c>
      <c r="D28" s="8"/>
      <c r="F28" s="163" t="s">
        <v>41</v>
      </c>
      <c r="G28" s="218">
        <v>25730</v>
      </c>
      <c r="H28" s="333">
        <v>9.2249999999999999E-2</v>
      </c>
      <c r="I28" s="159">
        <f t="shared" si="0"/>
        <v>2373.5924999999997</v>
      </c>
      <c r="J28" s="162" t="s">
        <v>127</v>
      </c>
      <c r="K28" s="144">
        <f>SUM(K23:K27)</f>
        <v>2612655</v>
      </c>
      <c r="L28" s="145"/>
      <c r="M28" s="160">
        <f>SUM(M23:M27)</f>
        <v>250396.85519999996</v>
      </c>
    </row>
    <row r="29" spans="1:13" ht="17.25" thickTop="1" thickBot="1">
      <c r="A29" s="172" t="s">
        <v>167</v>
      </c>
      <c r="C29" s="89">
        <v>0</v>
      </c>
      <c r="D29" s="565"/>
      <c r="F29" s="163" t="s">
        <v>42</v>
      </c>
      <c r="G29" s="218">
        <v>0</v>
      </c>
      <c r="H29" s="333">
        <v>5.9499999999999997E-2</v>
      </c>
      <c r="I29" s="159">
        <f t="shared" si="0"/>
        <v>0</v>
      </c>
      <c r="J29" s="162"/>
      <c r="K29" s="189">
        <v>2612655</v>
      </c>
      <c r="L29" s="150" t="s">
        <v>102</v>
      </c>
      <c r="M29" s="407">
        <f>M28/K28</f>
        <v>9.5839999999999981E-2</v>
      </c>
    </row>
    <row r="30" spans="1:13" ht="16.5" thickBot="1">
      <c r="A30" s="26" t="s">
        <v>111</v>
      </c>
      <c r="C30" s="564">
        <f>C7+C11+C14+C17+C20+C22+C27+C28+C29</f>
        <v>2226427.5099999998</v>
      </c>
      <c r="D30" s="8"/>
      <c r="F30" s="163" t="s">
        <v>43</v>
      </c>
      <c r="G30" s="218">
        <v>52474</v>
      </c>
      <c r="H30" s="333">
        <v>5.9499999999999997E-2</v>
      </c>
      <c r="I30" s="159">
        <f t="shared" si="0"/>
        <v>3122.203</v>
      </c>
      <c r="J30" s="163"/>
      <c r="K30" s="188">
        <f>K28-K29</f>
        <v>0</v>
      </c>
      <c r="L30" s="145"/>
      <c r="M30" s="161"/>
    </row>
    <row r="31" spans="1:13" ht="15.75">
      <c r="A31" s="331" t="s">
        <v>112</v>
      </c>
      <c r="C31" s="89">
        <v>-8262.11</v>
      </c>
      <c r="D31" s="566"/>
      <c r="F31" s="163" t="s">
        <v>74</v>
      </c>
      <c r="G31" s="218">
        <v>2420689</v>
      </c>
      <c r="H31" s="333">
        <v>5.4000000000000001E-4</v>
      </c>
      <c r="I31" s="159">
        <f t="shared" si="0"/>
        <v>1307.1720600000001</v>
      </c>
      <c r="J31" s="117"/>
      <c r="K31" s="7"/>
      <c r="L31" s="145"/>
      <c r="M31" s="161"/>
    </row>
    <row r="32" spans="1:13" ht="16.5" thickBot="1">
      <c r="A32" s="26" t="s">
        <v>116</v>
      </c>
      <c r="B32" s="26" t="s">
        <v>117</v>
      </c>
      <c r="C32" s="444">
        <f>C30+C31</f>
        <v>2218165.4</v>
      </c>
      <c r="D32" s="567"/>
      <c r="F32" s="162" t="s">
        <v>127</v>
      </c>
      <c r="G32" s="144">
        <f>SUM(G23:G31)</f>
        <v>7324134</v>
      </c>
      <c r="H32" s="7"/>
      <c r="I32" s="160">
        <f>SUM(I23:I31)</f>
        <v>477619.33687000006</v>
      </c>
      <c r="J32" s="155"/>
      <c r="K32" s="156"/>
      <c r="L32" s="7"/>
      <c r="M32" s="153"/>
    </row>
    <row r="33" spans="1:17" ht="17.25" thickTop="1" thickBot="1">
      <c r="A33" s="331" t="s">
        <v>113</v>
      </c>
      <c r="C33" s="444">
        <f>-C5-C9-C13-C16-C19</f>
        <v>-26943.83</v>
      </c>
      <c r="D33" s="565"/>
      <c r="F33" s="149"/>
      <c r="G33" s="189">
        <v>7324134</v>
      </c>
      <c r="H33" s="150" t="s">
        <v>102</v>
      </c>
      <c r="I33" s="176">
        <f>I32/G32</f>
        <v>6.5211714705110543E-2</v>
      </c>
      <c r="J33" s="155"/>
      <c r="K33" s="156"/>
      <c r="L33" s="7"/>
      <c r="M33" s="67"/>
    </row>
    <row r="34" spans="1:17" ht="16.5" thickBot="1">
      <c r="A34" s="26" t="s">
        <v>114</v>
      </c>
      <c r="C34" s="564">
        <f>SUM(C32:C33)</f>
        <v>2191221.5699999998</v>
      </c>
      <c r="D34" s="565"/>
      <c r="F34" s="117"/>
      <c r="G34" s="188">
        <f>G32-G33</f>
        <v>0</v>
      </c>
      <c r="H34" s="7"/>
      <c r="I34" s="67"/>
      <c r="J34" s="155"/>
      <c r="K34" s="154"/>
      <c r="L34" s="7"/>
      <c r="M34" s="67"/>
    </row>
    <row r="35" spans="1:17" ht="18" customHeight="1">
      <c r="A35" s="26"/>
      <c r="C35" s="444"/>
      <c r="D35" s="565"/>
      <c r="F35" s="147"/>
      <c r="G35" s="12"/>
      <c r="H35" s="12"/>
      <c r="I35" s="148"/>
      <c r="J35" s="162" t="s">
        <v>128</v>
      </c>
      <c r="K35" s="524"/>
      <c r="L35" s="524"/>
      <c r="M35" s="525"/>
    </row>
    <row r="36" spans="1:17" ht="15.75">
      <c r="A36" s="11" t="s">
        <v>94</v>
      </c>
      <c r="B36" s="26"/>
      <c r="C36" s="69"/>
      <c r="D36" s="565"/>
      <c r="F36" s="162" t="s">
        <v>128</v>
      </c>
      <c r="G36" s="7"/>
      <c r="H36" s="7"/>
      <c r="I36" s="67"/>
      <c r="J36" s="163" t="s">
        <v>37</v>
      </c>
      <c r="K36" s="219">
        <f>K23</f>
        <v>1473042</v>
      </c>
      <c r="L36" s="333">
        <v>0.16886000000000001</v>
      </c>
      <c r="M36" s="159">
        <f t="shared" ref="M36:M42" si="2">K36*L36</f>
        <v>248737.87212000001</v>
      </c>
      <c r="P36" s="498"/>
      <c r="Q36" s="498"/>
    </row>
    <row r="37" spans="1:17" ht="15.75">
      <c r="A37" s="7" t="s">
        <v>129</v>
      </c>
      <c r="B37" s="516" t="s">
        <v>115</v>
      </c>
      <c r="C37" s="89">
        <v>4317216.2</v>
      </c>
      <c r="D37" s="565"/>
      <c r="F37" s="163" t="s">
        <v>37</v>
      </c>
      <c r="G37" s="219">
        <f>G23</f>
        <v>2497712</v>
      </c>
      <c r="H37" s="333">
        <v>0.17066999999999999</v>
      </c>
      <c r="I37" s="159">
        <f t="shared" ref="I37:I44" si="3">G37*H37</f>
        <v>426284.50704</v>
      </c>
      <c r="J37" s="163" t="s">
        <v>38</v>
      </c>
      <c r="K37" s="219">
        <f>K24</f>
        <v>1108394</v>
      </c>
      <c r="L37" s="333">
        <v>0.16886000000000001</v>
      </c>
      <c r="M37" s="159">
        <f t="shared" si="2"/>
        <v>187163.41084</v>
      </c>
      <c r="P37" s="498"/>
      <c r="Q37" s="498"/>
    </row>
    <row r="38" spans="1:17" ht="15.75">
      <c r="A38" s="173" t="s">
        <v>373</v>
      </c>
      <c r="B38" s="516" t="s">
        <v>372</v>
      </c>
      <c r="C38" s="89">
        <v>-375071</v>
      </c>
      <c r="D38" s="565"/>
      <c r="F38" s="163" t="s">
        <v>304</v>
      </c>
      <c r="G38" s="219">
        <f>G24</f>
        <v>2253</v>
      </c>
      <c r="H38" s="333">
        <v>0.17066999999999999</v>
      </c>
      <c r="I38" s="159">
        <f t="shared" si="3"/>
        <v>384.51950999999997</v>
      </c>
      <c r="J38" s="163" t="s">
        <v>39</v>
      </c>
      <c r="K38" s="219">
        <f>K25</f>
        <v>31219</v>
      </c>
      <c r="L38" s="333">
        <v>0.16886000000000001</v>
      </c>
      <c r="M38" s="159">
        <f t="shared" si="2"/>
        <v>5271.6403399999999</v>
      </c>
      <c r="P38" s="498"/>
      <c r="Q38" s="498"/>
    </row>
    <row r="39" spans="1:17" ht="15.75">
      <c r="A39" s="7" t="s">
        <v>146</v>
      </c>
      <c r="B39" s="516" t="s">
        <v>147</v>
      </c>
      <c r="C39" s="89">
        <v>-37462.82</v>
      </c>
      <c r="D39" s="565"/>
      <c r="F39" s="163" t="s">
        <v>38</v>
      </c>
      <c r="G39" s="219">
        <f t="shared" ref="G39:G44" si="4">G25</f>
        <v>2410231</v>
      </c>
      <c r="H39" s="333">
        <v>0.17066999999999999</v>
      </c>
      <c r="I39" s="159">
        <f t="shared" si="3"/>
        <v>411354.12476999999</v>
      </c>
      <c r="J39" s="163" t="s">
        <v>40</v>
      </c>
      <c r="K39" s="219">
        <f>K26</f>
        <v>0</v>
      </c>
      <c r="L39" s="333">
        <v>0.16886000000000001</v>
      </c>
      <c r="M39" s="159">
        <f t="shared" si="2"/>
        <v>0</v>
      </c>
      <c r="P39" s="498"/>
      <c r="Q39" s="498"/>
    </row>
    <row r="40" spans="1:17" ht="15.75">
      <c r="A40" s="7" t="s">
        <v>131</v>
      </c>
      <c r="B40" s="516" t="s">
        <v>132</v>
      </c>
      <c r="C40" s="89">
        <v>370135.44</v>
      </c>
      <c r="D40" s="565"/>
      <c r="F40" s="163" t="s">
        <v>39</v>
      </c>
      <c r="G40" s="219">
        <f t="shared" si="4"/>
        <v>5783</v>
      </c>
      <c r="H40" s="333">
        <v>0.17066999999999999</v>
      </c>
      <c r="I40" s="159">
        <f t="shared" si="3"/>
        <v>986.98460999999998</v>
      </c>
      <c r="J40" s="163" t="s">
        <v>41</v>
      </c>
      <c r="K40" s="219">
        <f>K27</f>
        <v>0</v>
      </c>
      <c r="L40" s="333">
        <v>0.16886000000000001</v>
      </c>
      <c r="M40" s="159">
        <f t="shared" si="2"/>
        <v>0</v>
      </c>
      <c r="P40" s="498"/>
      <c r="Q40" s="498"/>
    </row>
    <row r="41" spans="1:17" ht="15.75">
      <c r="A41" s="7" t="s">
        <v>153</v>
      </c>
      <c r="B41" s="445" t="s">
        <v>155</v>
      </c>
      <c r="C41" s="89">
        <v>-43771.41</v>
      </c>
      <c r="D41" s="565"/>
      <c r="F41" s="163" t="s">
        <v>40</v>
      </c>
      <c r="G41" s="219">
        <f t="shared" si="4"/>
        <v>-90738</v>
      </c>
      <c r="H41" s="333">
        <v>0.17066999999999999</v>
      </c>
      <c r="I41" s="159">
        <f t="shared" si="3"/>
        <v>-15486.254459999998</v>
      </c>
      <c r="J41" s="163" t="s">
        <v>42</v>
      </c>
      <c r="K41" s="218">
        <v>0</v>
      </c>
      <c r="L41" s="333">
        <v>0.16886000000000001</v>
      </c>
      <c r="M41" s="159">
        <f t="shared" si="2"/>
        <v>0</v>
      </c>
      <c r="P41" s="498"/>
      <c r="Q41" s="498"/>
    </row>
    <row r="42" spans="1:17" ht="16.5" thickBot="1">
      <c r="A42" s="7" t="s">
        <v>178</v>
      </c>
      <c r="B42" s="516" t="s">
        <v>179</v>
      </c>
      <c r="C42" s="89">
        <v>685772.93</v>
      </c>
      <c r="D42" s="8"/>
      <c r="F42" s="163" t="s">
        <v>41</v>
      </c>
      <c r="G42" s="219">
        <f t="shared" si="4"/>
        <v>25730</v>
      </c>
      <c r="H42" s="333">
        <v>0.17066999999999999</v>
      </c>
      <c r="I42" s="159">
        <f t="shared" si="3"/>
        <v>4391.3391000000001</v>
      </c>
      <c r="J42" s="163" t="s">
        <v>43</v>
      </c>
      <c r="K42" s="220">
        <v>0</v>
      </c>
      <c r="L42" s="333">
        <v>0.16886000000000001</v>
      </c>
      <c r="M42" s="159">
        <f t="shared" si="2"/>
        <v>0</v>
      </c>
      <c r="P42" s="498"/>
      <c r="Q42" s="498"/>
    </row>
    <row r="43" spans="1:17" ht="16.5" thickBot="1">
      <c r="A43" s="56" t="s">
        <v>123</v>
      </c>
      <c r="B43" s="12"/>
      <c r="C43" s="564">
        <f>SUM(C37:C42)</f>
        <v>4916819.34</v>
      </c>
      <c r="D43" s="565"/>
      <c r="F43" s="163" t="s">
        <v>42</v>
      </c>
      <c r="G43" s="219">
        <f t="shared" si="4"/>
        <v>0</v>
      </c>
      <c r="H43" s="333">
        <v>0.17066999999999999</v>
      </c>
      <c r="I43" s="159">
        <f t="shared" si="3"/>
        <v>0</v>
      </c>
      <c r="J43" s="162" t="s">
        <v>133</v>
      </c>
      <c r="K43" s="144">
        <f>SUM(K36:K42)</f>
        <v>2612655</v>
      </c>
      <c r="L43" s="145"/>
      <c r="M43" s="160">
        <f>SUM(M36:M42)</f>
        <v>441172.92329999997</v>
      </c>
    </row>
    <row r="44" spans="1:17" ht="16.5" thickBot="1">
      <c r="A44" s="568" t="s">
        <v>177</v>
      </c>
      <c r="B44" s="569" t="s">
        <v>120</v>
      </c>
      <c r="C44" s="89">
        <f>-1784605.88+596138.58</f>
        <v>-1188467.2999999998</v>
      </c>
      <c r="D44" s="8"/>
      <c r="F44" s="163" t="s">
        <v>43</v>
      </c>
      <c r="G44" s="219">
        <f t="shared" si="4"/>
        <v>52474</v>
      </c>
      <c r="H44" s="333">
        <v>0.17066999999999999</v>
      </c>
      <c r="I44" s="159">
        <f t="shared" si="3"/>
        <v>8955.7375799999991</v>
      </c>
      <c r="J44" s="157"/>
      <c r="K44" s="190">
        <v>2612655</v>
      </c>
      <c r="L44" s="152" t="s">
        <v>102</v>
      </c>
      <c r="M44" s="177">
        <f>M43/K43</f>
        <v>0.16885999999999998</v>
      </c>
    </row>
    <row r="45" spans="1:17" ht="16.5" thickBot="1">
      <c r="A45" s="173" t="s">
        <v>168</v>
      </c>
      <c r="B45" s="445" t="s">
        <v>115</v>
      </c>
      <c r="C45" s="89">
        <v>0</v>
      </c>
      <c r="D45" s="566"/>
      <c r="F45" s="162" t="s">
        <v>133</v>
      </c>
      <c r="G45" s="144">
        <f>SUM(G37:G44)</f>
        <v>4903445</v>
      </c>
      <c r="H45" s="145"/>
      <c r="I45" s="160">
        <f>SUM(I37:I44)</f>
        <v>836870.95814999996</v>
      </c>
      <c r="J45" s="56"/>
      <c r="K45" s="189"/>
      <c r="L45" s="150"/>
      <c r="M45" s="441"/>
    </row>
    <row r="46" spans="1:17" ht="19.5" customHeight="1" thickTop="1" thickBot="1">
      <c r="A46" s="173" t="s">
        <v>169</v>
      </c>
      <c r="B46" s="445" t="s">
        <v>115</v>
      </c>
      <c r="C46" s="89">
        <v>0</v>
      </c>
      <c r="D46" s="567"/>
      <c r="F46" s="151"/>
      <c r="G46" s="190">
        <v>4903445</v>
      </c>
      <c r="H46" s="152" t="s">
        <v>102</v>
      </c>
      <c r="I46" s="175">
        <f>I45/G45</f>
        <v>0.17066999999999999</v>
      </c>
      <c r="J46" s="56"/>
      <c r="K46" s="189"/>
      <c r="L46" s="150"/>
      <c r="M46" s="441"/>
    </row>
    <row r="47" spans="1:17" ht="19.5" customHeight="1">
      <c r="A47" s="331" t="s">
        <v>137</v>
      </c>
      <c r="B47" s="445" t="s">
        <v>115</v>
      </c>
      <c r="C47" s="89">
        <v>-362311.88</v>
      </c>
      <c r="D47" s="565"/>
      <c r="G47" s="188">
        <f>G45-G46</f>
        <v>0</v>
      </c>
      <c r="J47" s="91"/>
      <c r="K47" s="188">
        <f>K43-K44</f>
        <v>0</v>
      </c>
      <c r="M47" s="91"/>
    </row>
    <row r="48" spans="1:17" ht="16.5" thickBot="1">
      <c r="A48" s="173" t="s">
        <v>303</v>
      </c>
      <c r="B48" s="445" t="s">
        <v>115</v>
      </c>
      <c r="C48" s="89">
        <v>7000</v>
      </c>
      <c r="D48" s="565"/>
      <c r="J48" s="91"/>
      <c r="K48" s="82"/>
      <c r="M48" s="42"/>
    </row>
    <row r="49" spans="1:21" ht="15.75">
      <c r="A49" s="7" t="s">
        <v>130</v>
      </c>
      <c r="B49" s="516" t="s">
        <v>152</v>
      </c>
      <c r="C49" s="89">
        <v>21037.439999999999</v>
      </c>
      <c r="D49" s="565"/>
      <c r="G49" s="82"/>
      <c r="H49" s="95" t="s">
        <v>35</v>
      </c>
      <c r="I49" s="13" t="s">
        <v>35</v>
      </c>
      <c r="J49" s="13" t="s">
        <v>63</v>
      </c>
      <c r="K49" s="93" t="s">
        <v>70</v>
      </c>
      <c r="L49" s="91"/>
    </row>
    <row r="50" spans="1:21" ht="16.5" thickBot="1">
      <c r="A50" s="7" t="s">
        <v>221</v>
      </c>
      <c r="B50" s="516" t="s">
        <v>152</v>
      </c>
      <c r="C50" s="89">
        <v>2024.56</v>
      </c>
      <c r="D50" s="8"/>
      <c r="F50" s="26" t="s">
        <v>73</v>
      </c>
      <c r="H50" s="96" t="s">
        <v>2</v>
      </c>
      <c r="I50" s="97" t="s">
        <v>3</v>
      </c>
      <c r="J50" s="97" t="s">
        <v>2</v>
      </c>
      <c r="K50" s="94" t="s">
        <v>3</v>
      </c>
    </row>
    <row r="51" spans="1:21" ht="15.75">
      <c r="A51" s="7" t="s">
        <v>306</v>
      </c>
      <c r="B51" s="516" t="s">
        <v>152</v>
      </c>
      <c r="C51" s="89">
        <v>4288.1400000000003</v>
      </c>
      <c r="D51" s="565"/>
      <c r="H51" s="115"/>
      <c r="I51" s="116"/>
      <c r="J51" s="116"/>
      <c r="K51" s="116"/>
      <c r="L51" s="92" t="s">
        <v>103</v>
      </c>
    </row>
    <row r="52" spans="1:21" ht="15.75">
      <c r="A52" s="132" t="s">
        <v>118</v>
      </c>
      <c r="B52" s="445"/>
      <c r="C52" s="69">
        <f>-C33</f>
        <v>26943.83</v>
      </c>
      <c r="D52" s="562"/>
      <c r="F52" s="331" t="s">
        <v>136</v>
      </c>
      <c r="H52" s="174">
        <f>K12</f>
        <v>-840201.78980399994</v>
      </c>
      <c r="I52" s="83">
        <f>I14</f>
        <v>1513257.6162419999</v>
      </c>
      <c r="J52" s="83">
        <f>L12</f>
        <v>-447489.81019599998</v>
      </c>
      <c r="K52" s="83">
        <f>J14</f>
        <v>677963.95375799993</v>
      </c>
      <c r="L52" s="98">
        <f>SUM(H52:K52)</f>
        <v>903529.97</v>
      </c>
    </row>
    <row r="53" spans="1:21" ht="16.5" thickBot="1">
      <c r="A53" s="331" t="s">
        <v>313</v>
      </c>
      <c r="B53" s="516" t="s">
        <v>314</v>
      </c>
      <c r="C53" s="89">
        <v>16070.19</v>
      </c>
      <c r="D53" s="562"/>
      <c r="F53" s="331" t="s">
        <v>109</v>
      </c>
      <c r="H53" s="174">
        <f>-I45</f>
        <v>-836870.95814999996</v>
      </c>
      <c r="I53" s="83">
        <f>-I32</f>
        <v>-477619.33687000006</v>
      </c>
      <c r="J53" s="83">
        <f>-M43</f>
        <v>-441172.92329999997</v>
      </c>
      <c r="K53" s="83">
        <f>-M28</f>
        <v>-250396.85519999996</v>
      </c>
      <c r="L53" s="217">
        <f>SUM(H53:K53)</f>
        <v>-2006060.0735199999</v>
      </c>
    </row>
    <row r="54" spans="1:21" ht="16.5" thickBot="1">
      <c r="A54" s="331" t="s">
        <v>124</v>
      </c>
      <c r="B54" s="445" t="s">
        <v>295</v>
      </c>
      <c r="C54" s="89">
        <v>-4334426.53</v>
      </c>
      <c r="D54" s="565"/>
      <c r="F54" s="331" t="s">
        <v>86</v>
      </c>
      <c r="H54" s="192">
        <v>0</v>
      </c>
      <c r="I54" s="193">
        <v>0</v>
      </c>
      <c r="J54" s="193">
        <v>0</v>
      </c>
      <c r="K54" s="194">
        <v>0</v>
      </c>
      <c r="L54" s="570">
        <f>SUM(L52:L53)</f>
        <v>-1102530.1035199999</v>
      </c>
    </row>
    <row r="55" spans="1:21" ht="16.5" thickBot="1">
      <c r="A55" s="331" t="s">
        <v>310</v>
      </c>
      <c r="B55" s="445" t="s">
        <v>190</v>
      </c>
      <c r="C55" s="89">
        <v>-375000</v>
      </c>
      <c r="D55" s="565"/>
      <c r="F55" s="331" t="s">
        <v>71</v>
      </c>
      <c r="H55" s="564">
        <f>IFERROR(H52+H53+H54,0)</f>
        <v>-1677072.7479539998</v>
      </c>
      <c r="I55" s="564">
        <f>I52+I53+I54</f>
        <v>1035638.2793719999</v>
      </c>
      <c r="J55" s="564">
        <f>IFERROR(J52+J53+J54,0)</f>
        <v>-888662.73349599994</v>
      </c>
      <c r="K55" s="564">
        <f>K52+K53+K54</f>
        <v>427567.09855799994</v>
      </c>
      <c r="L55" s="571">
        <f>SUM(H55:K55)</f>
        <v>-1102530.1035199999</v>
      </c>
    </row>
    <row r="56" spans="1:21" ht="16.5" thickBot="1">
      <c r="A56" s="572" t="s">
        <v>119</v>
      </c>
      <c r="B56" s="569"/>
      <c r="C56" s="123">
        <f>SUM(C43:C55)</f>
        <v>-1266022.21</v>
      </c>
      <c r="D56" s="565"/>
      <c r="F56" s="573" t="s">
        <v>181</v>
      </c>
      <c r="H56" s="331" t="s">
        <v>173</v>
      </c>
      <c r="I56" s="7">
        <f>SUM(H55:I55)</f>
        <v>-641434.46858199988</v>
      </c>
      <c r="J56" s="41" t="s">
        <v>174</v>
      </c>
      <c r="K56" s="331">
        <f>SUM(J55:K55)</f>
        <v>-461095.634938</v>
      </c>
      <c r="L56" s="574">
        <f>ROUND(L54-L55,3)</f>
        <v>0</v>
      </c>
      <c r="T56" s="575"/>
    </row>
    <row r="57" spans="1:21" ht="16.5" thickTop="1">
      <c r="A57" s="331" t="s">
        <v>121</v>
      </c>
      <c r="B57" s="445" t="s">
        <v>350</v>
      </c>
      <c r="C57" s="89">
        <v>-14248.9</v>
      </c>
      <c r="D57" s="565"/>
      <c r="F57" s="576" t="s">
        <v>181</v>
      </c>
      <c r="H57" s="577"/>
    </row>
    <row r="58" spans="1:21" ht="16.5" thickBot="1">
      <c r="A58" s="331" t="s">
        <v>122</v>
      </c>
      <c r="B58" s="445" t="s">
        <v>351</v>
      </c>
      <c r="C58" s="89">
        <v>-7420.49</v>
      </c>
      <c r="D58" s="565"/>
      <c r="F58" s="576" t="s">
        <v>182</v>
      </c>
      <c r="H58" s="566"/>
      <c r="I58" s="578"/>
      <c r="J58" s="578"/>
      <c r="K58" s="579"/>
      <c r="L58" s="578"/>
    </row>
    <row r="59" spans="1:21" ht="16.5" thickBot="1">
      <c r="A59" s="26" t="s">
        <v>125</v>
      </c>
      <c r="B59" s="26"/>
      <c r="C59" s="123">
        <f>SUM(C56:C58)</f>
        <v>-1287691.5999999999</v>
      </c>
      <c r="D59" s="565"/>
      <c r="F59" s="580" t="s">
        <v>302</v>
      </c>
      <c r="G59" s="437" t="str">
        <f>IF(OR(AND(I56&gt;0,K56&gt;0),AND(I56&lt;0,K56&lt;0)),"OK","ERROR")</f>
        <v>OK</v>
      </c>
      <c r="H59" s="115" t="s">
        <v>293</v>
      </c>
      <c r="I59" s="167"/>
    </row>
    <row r="60" spans="1:21" ht="17.25" thickTop="1" thickBot="1">
      <c r="A60" s="26"/>
      <c r="C60" s="444"/>
      <c r="D60" s="565"/>
      <c r="H60" s="118" t="s">
        <v>175</v>
      </c>
      <c r="I60" s="549" t="s">
        <v>176</v>
      </c>
      <c r="J60" s="7"/>
    </row>
    <row r="61" spans="1:21" ht="16.5" thickBot="1">
      <c r="A61" s="107"/>
      <c r="B61" s="107" t="s">
        <v>95</v>
      </c>
      <c r="C61" s="564">
        <f>C59+C34</f>
        <v>903529.97</v>
      </c>
      <c r="D61" s="565"/>
      <c r="H61" s="297" t="e">
        <f>SUM('WA - Def-Amtz (current)'!BB5:BB40)+SUM(#REF!)</f>
        <v>#REF!</v>
      </c>
      <c r="I61" s="392" t="e">
        <f>SUM('WA - Def-Amtz (current)'!BC5:BC41)+SUM(#REF!)</f>
        <v>#REF!</v>
      </c>
      <c r="J61" s="331">
        <f>H53+I53+J53+K53</f>
        <v>-2006060.0735199999</v>
      </c>
    </row>
    <row r="62" spans="1:21" ht="15.75">
      <c r="A62" s="26"/>
      <c r="B62" s="107" t="s">
        <v>160</v>
      </c>
      <c r="C62" s="446">
        <v>903529.97</v>
      </c>
      <c r="D62" s="8"/>
      <c r="G62" s="7"/>
      <c r="I62" s="69" t="e">
        <f>H61-I61</f>
        <v>#REF!</v>
      </c>
      <c r="N62" s="7"/>
      <c r="O62" s="7"/>
      <c r="P62" s="581"/>
    </row>
    <row r="63" spans="1:21" ht="15.75">
      <c r="A63" s="107"/>
      <c r="B63" s="107" t="s">
        <v>159</v>
      </c>
      <c r="C63" s="69">
        <f>ROUND(C61-C62,2)</f>
        <v>0</v>
      </c>
      <c r="S63" s="445"/>
    </row>
    <row r="64" spans="1:21" ht="15.75">
      <c r="A64" s="57"/>
      <c r="C64" s="582"/>
      <c r="D64" s="565"/>
      <c r="N64" s="132"/>
      <c r="U64" s="26"/>
    </row>
    <row r="65" spans="1:21" ht="15.75">
      <c r="A65" s="57"/>
      <c r="C65" s="8"/>
      <c r="D65" s="583"/>
      <c r="N65" s="132"/>
      <c r="S65" s="584"/>
    </row>
    <row r="66" spans="1:21" ht="15.75">
      <c r="A66" s="26"/>
      <c r="C66" s="8"/>
      <c r="D66" s="565"/>
      <c r="N66" s="132"/>
      <c r="S66" s="585"/>
    </row>
    <row r="67" spans="1:21">
      <c r="C67" s="69"/>
      <c r="D67" s="565"/>
      <c r="N67" s="132"/>
      <c r="S67" s="586"/>
    </row>
    <row r="68" spans="1:21">
      <c r="D68" s="565"/>
      <c r="N68" s="132"/>
      <c r="S68" s="585"/>
    </row>
    <row r="69" spans="1:21">
      <c r="D69" s="565"/>
      <c r="N69" s="132"/>
    </row>
    <row r="70" spans="1:21">
      <c r="D70" s="8"/>
      <c r="N70" s="132"/>
      <c r="S70" s="587"/>
    </row>
    <row r="71" spans="1:21">
      <c r="D71" s="565"/>
    </row>
    <row r="72" spans="1:21">
      <c r="D72" s="565"/>
    </row>
    <row r="73" spans="1:21">
      <c r="D73" s="565"/>
      <c r="S73" s="588"/>
    </row>
    <row r="74" spans="1:21">
      <c r="D74" s="154"/>
      <c r="R74" s="445"/>
      <c r="S74" s="445"/>
      <c r="T74" s="445"/>
    </row>
    <row r="76" spans="1:21">
      <c r="U76" s="589"/>
    </row>
    <row r="1477" spans="3:3">
      <c r="C1477" s="331">
        <v>-2130</v>
      </c>
    </row>
    <row r="1485" spans="3:3">
      <c r="C1485" s="331">
        <f>7004298-2130</f>
        <v>7002168</v>
      </c>
    </row>
  </sheetData>
  <mergeCells count="3">
    <mergeCell ref="F18:I18"/>
    <mergeCell ref="J18:M18"/>
    <mergeCell ref="K35:M35"/>
  </mergeCells>
  <conditionalFormatting sqref="C63 L56 I62">
    <cfRule type="cellIs" dxfId="234" priority="7" stopIfTrue="1" operator="equal">
      <formula>0</formula>
    </cfRule>
    <cfRule type="cellIs" dxfId="233" priority="8" stopIfTrue="1" operator="notEqual">
      <formula>0</formula>
    </cfRule>
  </conditionalFormatting>
  <conditionalFormatting sqref="G34 G47 K30 K47">
    <cfRule type="cellIs" dxfId="232" priority="6" operator="notEqual">
      <formula>0</formula>
    </cfRule>
  </conditionalFormatting>
  <conditionalFormatting sqref="C63">
    <cfRule type="cellIs" dxfId="231" priority="4" stopIfTrue="1" operator="equal">
      <formula>0</formula>
    </cfRule>
    <cfRule type="cellIs" dxfId="230" priority="5" stopIfTrue="1" operator="notEqual">
      <formula>0</formula>
    </cfRule>
  </conditionalFormatting>
  <conditionalFormatting sqref="K30">
    <cfRule type="cellIs" dxfId="229" priority="3" operator="notEqual">
      <formula>0</formula>
    </cfRule>
  </conditionalFormatting>
  <conditionalFormatting sqref="G59">
    <cfRule type="cellIs" dxfId="228" priority="2" operator="equal">
      <formula>"ERROR"</formula>
    </cfRule>
  </conditionalFormatting>
  <conditionalFormatting sqref="G59">
    <cfRule type="cellIs" dxfId="227" priority="1" operator="equal">
      <formula>"ERROR"</formula>
    </cfRule>
  </conditionalFormatting>
  <printOptions verticalCentered="1" gridLinesSet="0"/>
  <pageMargins left="0.5" right="0" top="0.25" bottom="0.5" header="0" footer="0.25"/>
  <pageSetup scale="46" orientation="landscape" cellComments="asDisplayed" r:id="rId1"/>
  <headerFooter alignWithMargins="0">
    <oddFooter>&amp;L&amp;F&amp;C&amp;A&amp;R&amp;D&amp;T</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12">
    <tabColor rgb="FF00CC66"/>
    <pageSetUpPr fitToPage="1"/>
  </sheetPr>
  <dimension ref="A1:U1485"/>
  <sheetViews>
    <sheetView showGridLines="0" topLeftCell="A28" zoomScale="70" zoomScaleNormal="70" workbookViewId="0">
      <selection activeCell="A28" sqref="A1:XFD1048576"/>
    </sheetView>
  </sheetViews>
  <sheetFormatPr defaultColWidth="16" defaultRowHeight="15"/>
  <cols>
    <col min="1" max="1" width="44.85546875" style="331" customWidth="1"/>
    <col min="2" max="2" width="25.5703125" style="331" customWidth="1"/>
    <col min="3" max="3" width="25.28515625" style="331" customWidth="1"/>
    <col min="4" max="4" width="2.7109375" style="331" customWidth="1"/>
    <col min="5" max="5" width="4.28515625" style="331" customWidth="1"/>
    <col min="6" max="6" width="26.7109375" style="331" customWidth="1"/>
    <col min="7" max="7" width="19" style="331" customWidth="1"/>
    <col min="8" max="8" width="22" style="331" customWidth="1"/>
    <col min="9" max="9" width="20.42578125" style="331" customWidth="1"/>
    <col min="10" max="10" width="26.28515625" style="331" customWidth="1"/>
    <col min="11" max="11" width="21.85546875" style="331" bestFit="1" customWidth="1"/>
    <col min="12" max="12" width="23.85546875" style="331" customWidth="1"/>
    <col min="13" max="13" width="20.85546875" style="331" bestFit="1" customWidth="1"/>
    <col min="14" max="15" width="16" style="331"/>
    <col min="16" max="16" width="16.28515625" style="331" bestFit="1" customWidth="1"/>
    <col min="17" max="16384" width="16" style="331"/>
  </cols>
  <sheetData>
    <row r="1" spans="1:12" ht="16.5" thickBot="1">
      <c r="A1" s="560" t="s">
        <v>64</v>
      </c>
      <c r="B1" s="561"/>
      <c r="C1" s="430">
        <f>Jun!C1+1</f>
        <v>201907</v>
      </c>
      <c r="F1" s="430">
        <f>C1</f>
        <v>201907</v>
      </c>
      <c r="H1" s="125" t="s">
        <v>69</v>
      </c>
      <c r="I1" s="92" t="s">
        <v>3</v>
      </c>
      <c r="J1" s="92" t="s">
        <v>3</v>
      </c>
      <c r="K1" s="92" t="s">
        <v>66</v>
      </c>
      <c r="L1" s="92" t="s">
        <v>66</v>
      </c>
    </row>
    <row r="2" spans="1:12" ht="15.75">
      <c r="C2" s="20"/>
      <c r="H2" s="126" t="s">
        <v>32</v>
      </c>
      <c r="I2" s="127" t="s">
        <v>65</v>
      </c>
      <c r="J2" s="127" t="s">
        <v>65</v>
      </c>
      <c r="K2" s="127" t="s">
        <v>67</v>
      </c>
      <c r="L2" s="127" t="s">
        <v>67</v>
      </c>
    </row>
    <row r="3" spans="1:12" ht="16.5" thickBot="1">
      <c r="A3" s="39" t="s">
        <v>110</v>
      </c>
      <c r="C3" s="21"/>
      <c r="D3" s="562"/>
      <c r="F3" s="26" t="s">
        <v>72</v>
      </c>
      <c r="H3" s="128" t="s">
        <v>68</v>
      </c>
      <c r="I3" s="128" t="s">
        <v>35</v>
      </c>
      <c r="J3" s="128" t="s">
        <v>63</v>
      </c>
      <c r="K3" s="128" t="s">
        <v>35</v>
      </c>
      <c r="L3" s="128" t="s">
        <v>63</v>
      </c>
    </row>
    <row r="4" spans="1:12" ht="15.75">
      <c r="A4" s="331" t="s">
        <v>88</v>
      </c>
      <c r="C4" s="89">
        <v>3631690.92</v>
      </c>
      <c r="D4" s="20"/>
      <c r="H4" s="11"/>
    </row>
    <row r="5" spans="1:12" ht="14.25" customHeight="1">
      <c r="A5" s="331" t="s">
        <v>31</v>
      </c>
      <c r="C5" s="89">
        <v>13267.16</v>
      </c>
      <c r="D5" s="20"/>
      <c r="H5" s="11"/>
      <c r="I5" s="563">
        <v>0.69059999999999999</v>
      </c>
      <c r="J5" s="563">
        <v>0.30940000000000001</v>
      </c>
      <c r="K5" s="388">
        <f>ROUND(G45/(G45+K43),4)</f>
        <v>0.65500000000000003</v>
      </c>
      <c r="L5" s="388">
        <f>1-K5</f>
        <v>0.34499999999999997</v>
      </c>
    </row>
    <row r="6" spans="1:12" ht="16.5" thickBot="1">
      <c r="A6" s="25" t="s">
        <v>30</v>
      </c>
      <c r="C6" s="440">
        <f>-78046.48-97479.45-1484819.23-423508.04-121002.3-136127.59</f>
        <v>-2340983.09</v>
      </c>
      <c r="D6" s="20"/>
    </row>
    <row r="7" spans="1:12" ht="16.5" thickBot="1">
      <c r="A7" s="41" t="s">
        <v>140</v>
      </c>
      <c r="C7" s="69">
        <f>SUM(C4:C6)</f>
        <v>1303974.9900000002</v>
      </c>
      <c r="D7" s="21"/>
      <c r="F7" s="129" t="s">
        <v>139</v>
      </c>
      <c r="G7" s="129"/>
      <c r="H7" s="564">
        <f>C34</f>
        <v>2215639.4700000002</v>
      </c>
      <c r="I7" s="130">
        <f>H7*I5</f>
        <v>1530120.6179820001</v>
      </c>
      <c r="J7" s="130">
        <f>H7*J5</f>
        <v>685518.85201800009</v>
      </c>
      <c r="K7" s="130"/>
      <c r="L7" s="130"/>
    </row>
    <row r="8" spans="1:12" ht="15.75">
      <c r="A8" s="331" t="s">
        <v>376</v>
      </c>
      <c r="C8" s="89">
        <v>172464.26</v>
      </c>
      <c r="D8" s="21"/>
      <c r="H8" s="131"/>
      <c r="I8" s="131"/>
      <c r="J8" s="131"/>
      <c r="K8" s="131"/>
      <c r="L8" s="131"/>
    </row>
    <row r="9" spans="1:12" ht="15.75">
      <c r="A9" s="331" t="s">
        <v>377</v>
      </c>
      <c r="C9" s="89">
        <v>6046.91</v>
      </c>
      <c r="D9" s="565"/>
      <c r="F9" s="129" t="s">
        <v>119</v>
      </c>
      <c r="H9" s="130">
        <f>C56</f>
        <v>-2057736.7800000003</v>
      </c>
      <c r="I9" s="130"/>
      <c r="J9" s="130"/>
      <c r="K9" s="130">
        <f>H9*K5</f>
        <v>-1347817.5909000002</v>
      </c>
      <c r="L9" s="130">
        <f>H9*L5</f>
        <v>-709919.18910000008</v>
      </c>
    </row>
    <row r="10" spans="1:12" ht="15.75">
      <c r="A10" s="25" t="s">
        <v>378</v>
      </c>
      <c r="C10" s="440">
        <v>-3078.51</v>
      </c>
      <c r="D10" s="565"/>
      <c r="F10" s="132" t="s">
        <v>44</v>
      </c>
      <c r="H10" s="130">
        <f>C57</f>
        <v>17940.95</v>
      </c>
      <c r="I10" s="130"/>
      <c r="J10" s="130"/>
      <c r="K10" s="130">
        <f>H10</f>
        <v>17940.95</v>
      </c>
      <c r="L10" s="130"/>
    </row>
    <row r="11" spans="1:12">
      <c r="A11" s="41" t="s">
        <v>145</v>
      </c>
      <c r="C11" s="69">
        <f>SUM(C8:C10)</f>
        <v>175432.66</v>
      </c>
      <c r="D11" s="565"/>
      <c r="F11" s="132" t="s">
        <v>45</v>
      </c>
      <c r="H11" s="133">
        <f>C58</f>
        <v>9176.75</v>
      </c>
      <c r="I11" s="130"/>
      <c r="J11" s="130"/>
      <c r="K11" s="133"/>
      <c r="L11" s="133">
        <f>H11</f>
        <v>9176.75</v>
      </c>
    </row>
    <row r="12" spans="1:12" ht="15.75">
      <c r="A12" s="331" t="s">
        <v>374</v>
      </c>
      <c r="C12" s="89">
        <f>-504.9+232374.96</f>
        <v>231870.06</v>
      </c>
      <c r="D12" s="565"/>
      <c r="F12" s="132" t="s">
        <v>138</v>
      </c>
      <c r="H12" s="130">
        <f>H9+H10+H11</f>
        <v>-2030619.0800000003</v>
      </c>
      <c r="I12" s="130"/>
      <c r="J12" s="130"/>
      <c r="K12" s="130">
        <f>SUM(K9:K11)</f>
        <v>-1329876.6409000002</v>
      </c>
      <c r="L12" s="130">
        <f>SUM(L9:L11)</f>
        <v>-700742.43910000008</v>
      </c>
    </row>
    <row r="13" spans="1:12" ht="16.5" thickBot="1">
      <c r="A13" s="25" t="s">
        <v>375</v>
      </c>
      <c r="C13" s="440">
        <v>0</v>
      </c>
      <c r="D13" s="565"/>
      <c r="F13" s="134"/>
      <c r="G13" s="135"/>
      <c r="H13" s="136"/>
      <c r="I13" s="137"/>
      <c r="J13" s="136"/>
      <c r="K13" s="131"/>
      <c r="L13" s="136"/>
    </row>
    <row r="14" spans="1:12" ht="16.5" thickBot="1">
      <c r="A14" s="41" t="s">
        <v>381</v>
      </c>
      <c r="C14" s="69">
        <f>SUM(C12:C13)</f>
        <v>231870.06</v>
      </c>
      <c r="D14" s="8"/>
      <c r="F14" s="26" t="s">
        <v>69</v>
      </c>
      <c r="G14" s="138"/>
      <c r="H14" s="564">
        <f>H12+H7</f>
        <v>185020.3899999999</v>
      </c>
      <c r="I14" s="139">
        <f>SUM(I7:I13)</f>
        <v>1530120.6179820001</v>
      </c>
      <c r="J14" s="139">
        <f>SUM(J7:J13)</f>
        <v>685518.85201800009</v>
      </c>
      <c r="K14" s="139">
        <f>K12</f>
        <v>-1329876.6409000002</v>
      </c>
      <c r="L14" s="139">
        <f>L12</f>
        <v>-700742.43910000008</v>
      </c>
    </row>
    <row r="15" spans="1:12" ht="15.75">
      <c r="A15" s="331" t="s">
        <v>379</v>
      </c>
      <c r="C15" s="89">
        <f>421492.49-918.92</f>
        <v>420573.57</v>
      </c>
      <c r="D15" s="565"/>
      <c r="F15" s="134"/>
      <c r="G15" s="135" t="s">
        <v>102</v>
      </c>
      <c r="H15" s="136">
        <f>H14-C61</f>
        <v>0</v>
      </c>
      <c r="I15" s="140"/>
      <c r="J15" s="136">
        <f>J7+I7-H7</f>
        <v>0</v>
      </c>
      <c r="L15" s="136">
        <f>H12-K14-L14</f>
        <v>0</v>
      </c>
    </row>
    <row r="16" spans="1:12" ht="15.75">
      <c r="A16" s="25" t="s">
        <v>380</v>
      </c>
      <c r="C16" s="440">
        <v>0</v>
      </c>
      <c r="D16" s="565"/>
      <c r="F16" s="141"/>
      <c r="G16" s="135"/>
      <c r="H16" s="142"/>
      <c r="I16" s="143"/>
      <c r="J16" s="142"/>
      <c r="L16" s="142"/>
    </row>
    <row r="17" spans="1:13" ht="15.75" thickBot="1">
      <c r="A17" s="41" t="s">
        <v>185</v>
      </c>
      <c r="C17" s="69">
        <f>SUM(C15:C16)</f>
        <v>420573.57</v>
      </c>
      <c r="D17" s="8"/>
      <c r="F17" s="134"/>
      <c r="G17" s="135"/>
      <c r="H17" s="142"/>
      <c r="I17" s="143"/>
      <c r="J17" s="146"/>
      <c r="L17" s="142"/>
    </row>
    <row r="18" spans="1:13" ht="16.5" thickBot="1">
      <c r="A18" s="331" t="s">
        <v>163</v>
      </c>
      <c r="C18" s="89">
        <f>-196.21+101706.17+9852.7</f>
        <v>111362.65999999999</v>
      </c>
      <c r="D18" s="565"/>
      <c r="F18" s="526" t="s">
        <v>134</v>
      </c>
      <c r="G18" s="527"/>
      <c r="H18" s="527"/>
      <c r="I18" s="528"/>
      <c r="J18" s="526" t="s">
        <v>135</v>
      </c>
      <c r="K18" s="527"/>
      <c r="L18" s="527"/>
      <c r="M18" s="528"/>
    </row>
    <row r="19" spans="1:13" ht="15.75">
      <c r="A19" s="25" t="s">
        <v>164</v>
      </c>
      <c r="C19" s="440">
        <v>-8716.61</v>
      </c>
      <c r="D19" s="565"/>
      <c r="F19" s="164" t="s">
        <v>108</v>
      </c>
      <c r="G19" s="127" t="s">
        <v>33</v>
      </c>
      <c r="H19" s="127" t="s">
        <v>33</v>
      </c>
      <c r="I19" s="127" t="s">
        <v>33</v>
      </c>
      <c r="J19" s="164" t="s">
        <v>108</v>
      </c>
      <c r="K19" s="127" t="s">
        <v>33</v>
      </c>
      <c r="L19" s="127" t="s">
        <v>33</v>
      </c>
      <c r="M19" s="148" t="s">
        <v>33</v>
      </c>
    </row>
    <row r="20" spans="1:13" ht="16.5" thickBot="1">
      <c r="A20" s="40" t="s">
        <v>382</v>
      </c>
      <c r="C20" s="69">
        <f>SUM(C18:C19)</f>
        <v>102646.04999999999</v>
      </c>
      <c r="D20" s="565"/>
      <c r="F20" s="158" t="s">
        <v>162</v>
      </c>
      <c r="G20" s="128" t="s">
        <v>101</v>
      </c>
      <c r="H20" s="128" t="s">
        <v>36</v>
      </c>
      <c r="I20" s="128" t="s">
        <v>34</v>
      </c>
      <c r="J20" s="158" t="s">
        <v>162</v>
      </c>
      <c r="K20" s="128" t="s">
        <v>101</v>
      </c>
      <c r="L20" s="128" t="s">
        <v>36</v>
      </c>
      <c r="M20" s="128" t="s">
        <v>34</v>
      </c>
    </row>
    <row r="21" spans="1:13" ht="15.75">
      <c r="A21" s="25" t="s">
        <v>370</v>
      </c>
      <c r="C21" s="440"/>
      <c r="D21" s="565"/>
      <c r="F21" s="147"/>
      <c r="G21" s="12"/>
      <c r="H21" s="12"/>
      <c r="I21" s="148"/>
      <c r="J21" s="95"/>
      <c r="K21" s="13"/>
      <c r="L21" s="13"/>
      <c r="M21" s="167"/>
    </row>
    <row r="22" spans="1:13" ht="18" customHeight="1">
      <c r="A22" s="40" t="s">
        <v>383</v>
      </c>
      <c r="C22" s="69">
        <f>SUM(C21)</f>
        <v>0</v>
      </c>
      <c r="D22" s="565"/>
      <c r="F22" s="162" t="s">
        <v>126</v>
      </c>
      <c r="G22" s="7"/>
      <c r="H22" s="7"/>
      <c r="I22" s="67"/>
      <c r="J22" s="162" t="s">
        <v>126</v>
      </c>
      <c r="K22" s="7"/>
      <c r="L22" s="7"/>
      <c r="M22" s="67"/>
    </row>
    <row r="23" spans="1:13" ht="15.75">
      <c r="A23" s="170" t="s">
        <v>180</v>
      </c>
      <c r="C23" s="69">
        <v>0</v>
      </c>
      <c r="D23" s="565"/>
      <c r="F23" s="163" t="s">
        <v>37</v>
      </c>
      <c r="G23" s="218">
        <v>2393172</v>
      </c>
      <c r="H23" s="333">
        <v>0.10238999999999999</v>
      </c>
      <c r="I23" s="159">
        <f t="shared" ref="I23:I31" si="0">G23*H23</f>
        <v>245036.88107999999</v>
      </c>
      <c r="J23" s="163" t="s">
        <v>37</v>
      </c>
      <c r="K23" s="218">
        <v>1139474</v>
      </c>
      <c r="L23" s="333">
        <v>9.5839999999999995E-2</v>
      </c>
      <c r="M23" s="159">
        <f>K23*L23</f>
        <v>109207.18815999999</v>
      </c>
    </row>
    <row r="24" spans="1:13" ht="15.75">
      <c r="A24" s="170" t="s">
        <v>186</v>
      </c>
      <c r="C24" s="89">
        <v>0</v>
      </c>
      <c r="D24" s="565"/>
      <c r="F24" s="163" t="s">
        <v>304</v>
      </c>
      <c r="G24" s="218">
        <v>1928</v>
      </c>
      <c r="H24" s="333">
        <v>0.10238999999999999</v>
      </c>
      <c r="I24" s="159">
        <f t="shared" si="0"/>
        <v>197.40791999999999</v>
      </c>
      <c r="J24" s="163" t="s">
        <v>38</v>
      </c>
      <c r="K24" s="218">
        <v>1142095</v>
      </c>
      <c r="L24" s="333">
        <v>9.5839999999999995E-2</v>
      </c>
      <c r="M24" s="159">
        <f t="shared" ref="M24:M27" si="1">K24*L24</f>
        <v>109458.3848</v>
      </c>
    </row>
    <row r="25" spans="1:13" ht="15.75">
      <c r="A25" s="170" t="s">
        <v>189</v>
      </c>
      <c r="C25" s="442">
        <v>0</v>
      </c>
      <c r="D25" s="565"/>
      <c r="F25" s="163" t="s">
        <v>38</v>
      </c>
      <c r="G25" s="218">
        <v>1815710</v>
      </c>
      <c r="H25" s="333">
        <v>9.239E-2</v>
      </c>
      <c r="I25" s="159">
        <f t="shared" si="0"/>
        <v>167753.44690000001</v>
      </c>
      <c r="J25" s="163" t="s">
        <v>39</v>
      </c>
      <c r="K25" s="218">
        <v>46279</v>
      </c>
      <c r="L25" s="333">
        <v>9.5839999999999995E-2</v>
      </c>
      <c r="M25" s="159">
        <f t="shared" si="1"/>
        <v>4435.3793599999999</v>
      </c>
    </row>
    <row r="26" spans="1:13" ht="15.75">
      <c r="A26" s="171" t="s">
        <v>188</v>
      </c>
      <c r="C26" s="443">
        <v>0</v>
      </c>
      <c r="D26" s="565"/>
      <c r="F26" s="163" t="s">
        <v>39</v>
      </c>
      <c r="G26" s="218">
        <v>5596</v>
      </c>
      <c r="H26" s="333">
        <v>9.239E-2</v>
      </c>
      <c r="I26" s="159">
        <f t="shared" si="0"/>
        <v>517.01444000000004</v>
      </c>
      <c r="J26" s="163" t="s">
        <v>40</v>
      </c>
      <c r="K26" s="218">
        <v>0</v>
      </c>
      <c r="L26" s="333">
        <v>9.5839999999999995E-2</v>
      </c>
      <c r="M26" s="159">
        <f t="shared" si="1"/>
        <v>0</v>
      </c>
    </row>
    <row r="27" spans="1:13" ht="15.75">
      <c r="A27" s="40" t="s">
        <v>96</v>
      </c>
      <c r="C27" s="69">
        <f>SUM(C23:C26)</f>
        <v>0</v>
      </c>
      <c r="D27" s="565"/>
      <c r="F27" s="163" t="s">
        <v>40</v>
      </c>
      <c r="G27" s="218">
        <v>133593</v>
      </c>
      <c r="H27" s="333">
        <v>9.2249999999999999E-2</v>
      </c>
      <c r="I27" s="159">
        <f t="shared" si="0"/>
        <v>12323.954250000001</v>
      </c>
      <c r="J27" s="163" t="s">
        <v>41</v>
      </c>
      <c r="K27" s="218">
        <v>0</v>
      </c>
      <c r="L27" s="333">
        <v>9.5839999999999995E-2</v>
      </c>
      <c r="M27" s="159">
        <f t="shared" si="1"/>
        <v>0</v>
      </c>
    </row>
    <row r="28" spans="1:13" ht="16.5" thickBot="1">
      <c r="A28" s="172" t="s">
        <v>150</v>
      </c>
      <c r="C28" s="89">
        <v>0</v>
      </c>
      <c r="D28" s="8"/>
      <c r="F28" s="163" t="s">
        <v>41</v>
      </c>
      <c r="G28" s="218">
        <v>31604</v>
      </c>
      <c r="H28" s="333">
        <v>9.2249999999999999E-2</v>
      </c>
      <c r="I28" s="159">
        <f t="shared" si="0"/>
        <v>2915.4690000000001</v>
      </c>
      <c r="J28" s="162" t="s">
        <v>127</v>
      </c>
      <c r="K28" s="144">
        <f>SUM(K23:K27)</f>
        <v>2327848</v>
      </c>
      <c r="L28" s="145"/>
      <c r="M28" s="160">
        <f>SUM(M23:M27)</f>
        <v>223100.95231999998</v>
      </c>
    </row>
    <row r="29" spans="1:13" ht="17.25" thickTop="1" thickBot="1">
      <c r="A29" s="172" t="s">
        <v>167</v>
      </c>
      <c r="C29" s="89">
        <v>0</v>
      </c>
      <c r="D29" s="565"/>
      <c r="F29" s="163" t="s">
        <v>42</v>
      </c>
      <c r="G29" s="218">
        <v>0</v>
      </c>
      <c r="H29" s="333">
        <v>5.9499999999999997E-2</v>
      </c>
      <c r="I29" s="159">
        <f t="shared" si="0"/>
        <v>0</v>
      </c>
      <c r="J29" s="162"/>
      <c r="K29" s="189">
        <v>2327848</v>
      </c>
      <c r="L29" s="150" t="s">
        <v>102</v>
      </c>
      <c r="M29" s="407">
        <f>M28/K28</f>
        <v>9.5839999999999995E-2</v>
      </c>
    </row>
    <row r="30" spans="1:13" ht="16.5" thickBot="1">
      <c r="A30" s="26" t="s">
        <v>111</v>
      </c>
      <c r="C30" s="564">
        <f>C7+C11+C14+C17+C20+C22+C27+C28+C29</f>
        <v>2234497.33</v>
      </c>
      <c r="D30" s="8"/>
      <c r="F30" s="163" t="s">
        <v>43</v>
      </c>
      <c r="G30" s="218">
        <v>38600</v>
      </c>
      <c r="H30" s="333">
        <v>5.9499999999999997E-2</v>
      </c>
      <c r="I30" s="159">
        <f t="shared" si="0"/>
        <v>2296.6999999999998</v>
      </c>
      <c r="J30" s="163"/>
      <c r="K30" s="188">
        <f>K28-K29</f>
        <v>0</v>
      </c>
      <c r="L30" s="145"/>
      <c r="M30" s="161"/>
    </row>
    <row r="31" spans="1:13" ht="15.75">
      <c r="A31" s="331" t="s">
        <v>112</v>
      </c>
      <c r="C31" s="89">
        <v>-8260.4</v>
      </c>
      <c r="D31" s="566"/>
      <c r="F31" s="163" t="s">
        <v>74</v>
      </c>
      <c r="G31" s="218">
        <v>2422953</v>
      </c>
      <c r="H31" s="333">
        <v>5.4000000000000001E-4</v>
      </c>
      <c r="I31" s="159">
        <f t="shared" si="0"/>
        <v>1308.39462</v>
      </c>
      <c r="J31" s="117"/>
      <c r="K31" s="7"/>
      <c r="L31" s="145"/>
      <c r="M31" s="161"/>
    </row>
    <row r="32" spans="1:13" ht="16.5" thickBot="1">
      <c r="A32" s="26" t="s">
        <v>116</v>
      </c>
      <c r="B32" s="26" t="s">
        <v>117</v>
      </c>
      <c r="C32" s="444">
        <f>C30+C31</f>
        <v>2226236.9300000002</v>
      </c>
      <c r="D32" s="567"/>
      <c r="F32" s="162" t="s">
        <v>127</v>
      </c>
      <c r="G32" s="144">
        <f>SUM(G23:G31)</f>
        <v>6843156</v>
      </c>
      <c r="H32" s="7"/>
      <c r="I32" s="160">
        <f>SUM(I23:I31)</f>
        <v>432349.26820999995</v>
      </c>
      <c r="J32" s="155"/>
      <c r="K32" s="156"/>
      <c r="L32" s="7"/>
      <c r="M32" s="153"/>
    </row>
    <row r="33" spans="1:17" ht="17.25" thickTop="1" thickBot="1">
      <c r="A33" s="331" t="s">
        <v>113</v>
      </c>
      <c r="C33" s="444">
        <f>-C5-C9-C13-C16-C19</f>
        <v>-10597.46</v>
      </c>
      <c r="D33" s="565"/>
      <c r="F33" s="149"/>
      <c r="G33" s="189">
        <v>6843156</v>
      </c>
      <c r="H33" s="150" t="s">
        <v>102</v>
      </c>
      <c r="I33" s="176">
        <f>I32/G32</f>
        <v>6.3179805956491419E-2</v>
      </c>
      <c r="J33" s="155"/>
      <c r="K33" s="156"/>
      <c r="L33" s="7"/>
      <c r="M33" s="67"/>
    </row>
    <row r="34" spans="1:17" ht="16.5" thickBot="1">
      <c r="A34" s="26" t="s">
        <v>114</v>
      </c>
      <c r="C34" s="564">
        <f>SUM(C32:C33)</f>
        <v>2215639.4700000002</v>
      </c>
      <c r="D34" s="565"/>
      <c r="F34" s="117"/>
      <c r="G34" s="188">
        <f>G32-G33</f>
        <v>0</v>
      </c>
      <c r="H34" s="7"/>
      <c r="I34" s="67"/>
      <c r="J34" s="155"/>
      <c r="K34" s="154"/>
      <c r="L34" s="7"/>
      <c r="M34" s="67"/>
    </row>
    <row r="35" spans="1:17" ht="18" customHeight="1">
      <c r="A35" s="26"/>
      <c r="C35" s="444"/>
      <c r="D35" s="565"/>
      <c r="F35" s="147"/>
      <c r="G35" s="12"/>
      <c r="H35" s="12"/>
      <c r="I35" s="148"/>
      <c r="J35" s="162" t="s">
        <v>128</v>
      </c>
      <c r="K35" s="524"/>
      <c r="L35" s="524"/>
      <c r="M35" s="525"/>
    </row>
    <row r="36" spans="1:17" ht="15.75">
      <c r="A36" s="11" t="s">
        <v>94</v>
      </c>
      <c r="B36" s="26"/>
      <c r="C36" s="69"/>
      <c r="D36" s="565"/>
      <c r="F36" s="162" t="s">
        <v>128</v>
      </c>
      <c r="G36" s="7"/>
      <c r="H36" s="7"/>
      <c r="I36" s="67"/>
      <c r="J36" s="163" t="s">
        <v>37</v>
      </c>
      <c r="K36" s="219">
        <v>1139474</v>
      </c>
      <c r="L36" s="333">
        <v>0.16886000000000001</v>
      </c>
      <c r="M36" s="159">
        <f t="shared" ref="M36:M42" si="2">K36*L36</f>
        <v>192411.57964000001</v>
      </c>
      <c r="P36" s="498"/>
      <c r="Q36" s="498"/>
    </row>
    <row r="37" spans="1:17" ht="15.75">
      <c r="A37" s="7" t="s">
        <v>129</v>
      </c>
      <c r="B37" s="516" t="s">
        <v>115</v>
      </c>
      <c r="C37" s="89">
        <v>4382153.17</v>
      </c>
      <c r="D37" s="565"/>
      <c r="F37" s="163" t="s">
        <v>37</v>
      </c>
      <c r="G37" s="219">
        <v>2393172</v>
      </c>
      <c r="H37" s="333">
        <v>0.17066999999999999</v>
      </c>
      <c r="I37" s="159">
        <f t="shared" ref="I37:I44" si="3">G37*H37</f>
        <v>408442.66523999994</v>
      </c>
      <c r="J37" s="163" t="s">
        <v>38</v>
      </c>
      <c r="K37" s="219">
        <v>1142095</v>
      </c>
      <c r="L37" s="333">
        <v>0.16886000000000001</v>
      </c>
      <c r="M37" s="159">
        <f t="shared" si="2"/>
        <v>192854.16170000003</v>
      </c>
      <c r="P37" s="498"/>
      <c r="Q37" s="498"/>
    </row>
    <row r="38" spans="1:17" ht="15.75">
      <c r="A38" s="173" t="s">
        <v>14</v>
      </c>
      <c r="B38" s="516" t="s">
        <v>115</v>
      </c>
      <c r="C38" s="89">
        <v>0</v>
      </c>
      <c r="D38" s="565"/>
      <c r="F38" s="163" t="s">
        <v>304</v>
      </c>
      <c r="G38" s="219">
        <v>1928</v>
      </c>
      <c r="H38" s="333">
        <v>0.17066999999999999</v>
      </c>
      <c r="I38" s="159">
        <f t="shared" si="3"/>
        <v>329.05176</v>
      </c>
      <c r="J38" s="163" t="s">
        <v>39</v>
      </c>
      <c r="K38" s="219">
        <v>46279</v>
      </c>
      <c r="L38" s="333">
        <v>0.16886000000000001</v>
      </c>
      <c r="M38" s="159">
        <f t="shared" si="2"/>
        <v>7814.6719400000002</v>
      </c>
      <c r="P38" s="498"/>
      <c r="Q38" s="498"/>
    </row>
    <row r="39" spans="1:17" ht="15.75">
      <c r="A39" s="7" t="s">
        <v>146</v>
      </c>
      <c r="B39" s="516" t="s">
        <v>147</v>
      </c>
      <c r="C39" s="89">
        <v>-41767.69</v>
      </c>
      <c r="D39" s="565"/>
      <c r="F39" s="163" t="s">
        <v>38</v>
      </c>
      <c r="G39" s="219">
        <v>1815710</v>
      </c>
      <c r="H39" s="333">
        <v>0.17066999999999999</v>
      </c>
      <c r="I39" s="159">
        <f t="shared" si="3"/>
        <v>309887.22569999995</v>
      </c>
      <c r="J39" s="163" t="s">
        <v>40</v>
      </c>
      <c r="K39" s="219">
        <f>K26</f>
        <v>0</v>
      </c>
      <c r="L39" s="333">
        <v>0.16886000000000001</v>
      </c>
      <c r="M39" s="159">
        <f t="shared" si="2"/>
        <v>0</v>
      </c>
      <c r="P39" s="498"/>
      <c r="Q39" s="498"/>
    </row>
    <row r="40" spans="1:17" ht="15.75">
      <c r="A40" s="7" t="s">
        <v>131</v>
      </c>
      <c r="B40" s="516" t="s">
        <v>132</v>
      </c>
      <c r="C40" s="89">
        <v>256221.98</v>
      </c>
      <c r="D40" s="565"/>
      <c r="F40" s="163" t="s">
        <v>39</v>
      </c>
      <c r="G40" s="219">
        <v>5596</v>
      </c>
      <c r="H40" s="333">
        <v>0.17066999999999999</v>
      </c>
      <c r="I40" s="159">
        <f t="shared" si="3"/>
        <v>955.06931999999995</v>
      </c>
      <c r="J40" s="163" t="s">
        <v>41</v>
      </c>
      <c r="K40" s="219">
        <f>K27</f>
        <v>0</v>
      </c>
      <c r="L40" s="333">
        <v>0.16886000000000001</v>
      </c>
      <c r="M40" s="159">
        <f t="shared" si="2"/>
        <v>0</v>
      </c>
      <c r="P40" s="498"/>
      <c r="Q40" s="498"/>
    </row>
    <row r="41" spans="1:17" ht="15.75">
      <c r="A41" s="7" t="s">
        <v>153</v>
      </c>
      <c r="B41" s="445" t="s">
        <v>155</v>
      </c>
      <c r="C41" s="89">
        <v>45501.27</v>
      </c>
      <c r="D41" s="565"/>
      <c r="F41" s="163" t="s">
        <v>40</v>
      </c>
      <c r="G41" s="219">
        <v>133593</v>
      </c>
      <c r="H41" s="333">
        <v>0.17066999999999999</v>
      </c>
      <c r="I41" s="159">
        <f t="shared" si="3"/>
        <v>22800.317309999999</v>
      </c>
      <c r="J41" s="163" t="s">
        <v>42</v>
      </c>
      <c r="K41" s="218">
        <v>0</v>
      </c>
      <c r="L41" s="333">
        <v>0.16886000000000001</v>
      </c>
      <c r="M41" s="159">
        <f t="shared" si="2"/>
        <v>0</v>
      </c>
      <c r="P41" s="498"/>
      <c r="Q41" s="498"/>
    </row>
    <row r="42" spans="1:17" ht="16.5" thickBot="1">
      <c r="A42" s="7" t="s">
        <v>178</v>
      </c>
      <c r="B42" s="516" t="s">
        <v>179</v>
      </c>
      <c r="C42" s="89">
        <v>336693.88</v>
      </c>
      <c r="D42" s="8"/>
      <c r="F42" s="163" t="s">
        <v>41</v>
      </c>
      <c r="G42" s="219">
        <v>31604</v>
      </c>
      <c r="H42" s="333">
        <v>0.17066999999999999</v>
      </c>
      <c r="I42" s="159">
        <f t="shared" si="3"/>
        <v>5393.8546799999995</v>
      </c>
      <c r="J42" s="163" t="s">
        <v>43</v>
      </c>
      <c r="K42" s="220">
        <v>0</v>
      </c>
      <c r="L42" s="333">
        <v>0.16886000000000001</v>
      </c>
      <c r="M42" s="159">
        <f t="shared" si="2"/>
        <v>0</v>
      </c>
      <c r="P42" s="498"/>
      <c r="Q42" s="498"/>
    </row>
    <row r="43" spans="1:17" ht="16.5" thickBot="1">
      <c r="A43" s="56" t="s">
        <v>123</v>
      </c>
      <c r="B43" s="12"/>
      <c r="C43" s="564">
        <f>SUM(C37:C42)</f>
        <v>4978802.6099999994</v>
      </c>
      <c r="D43" s="565"/>
      <c r="F43" s="163" t="s">
        <v>42</v>
      </c>
      <c r="G43" s="219">
        <v>0</v>
      </c>
      <c r="H43" s="333">
        <v>0.17066999999999999</v>
      </c>
      <c r="I43" s="159">
        <f t="shared" si="3"/>
        <v>0</v>
      </c>
      <c r="J43" s="162" t="s">
        <v>133</v>
      </c>
      <c r="K43" s="144">
        <f>SUM(K36:K42)</f>
        <v>2327848</v>
      </c>
      <c r="L43" s="145"/>
      <c r="M43" s="160">
        <f>SUM(M36:M42)</f>
        <v>393080.4132800001</v>
      </c>
    </row>
    <row r="44" spans="1:17" ht="16.5" thickBot="1">
      <c r="A44" s="568" t="s">
        <v>177</v>
      </c>
      <c r="B44" s="569" t="s">
        <v>120</v>
      </c>
      <c r="C44" s="89">
        <v>-309394.63</v>
      </c>
      <c r="D44" s="8"/>
      <c r="F44" s="163" t="s">
        <v>43</v>
      </c>
      <c r="G44" s="219">
        <v>38600</v>
      </c>
      <c r="H44" s="333">
        <v>0.17066999999999999</v>
      </c>
      <c r="I44" s="159">
        <f t="shared" si="3"/>
        <v>6587.8619999999992</v>
      </c>
      <c r="J44" s="157"/>
      <c r="K44" s="190">
        <v>2327848</v>
      </c>
      <c r="L44" s="152" t="s">
        <v>102</v>
      </c>
      <c r="M44" s="177">
        <f>M43/K43</f>
        <v>0.16886000000000004</v>
      </c>
    </row>
    <row r="45" spans="1:17" ht="16.5" thickBot="1">
      <c r="A45" s="173" t="s">
        <v>168</v>
      </c>
      <c r="B45" s="445" t="s">
        <v>115</v>
      </c>
      <c r="C45" s="89">
        <v>0</v>
      </c>
      <c r="D45" s="566"/>
      <c r="F45" s="162" t="s">
        <v>133</v>
      </c>
      <c r="G45" s="144">
        <f>SUM(G37:G44)</f>
        <v>4420203</v>
      </c>
      <c r="H45" s="145"/>
      <c r="I45" s="160">
        <f>SUM(I37:I44)</f>
        <v>754396.04600999982</v>
      </c>
      <c r="J45" s="56"/>
      <c r="K45" s="189"/>
      <c r="L45" s="150"/>
      <c r="M45" s="441"/>
    </row>
    <row r="46" spans="1:17" ht="19.5" customHeight="1" thickTop="1" thickBot="1">
      <c r="A46" s="173" t="s">
        <v>169</v>
      </c>
      <c r="B46" s="445" t="s">
        <v>115</v>
      </c>
      <c r="C46" s="89">
        <v>0</v>
      </c>
      <c r="D46" s="567"/>
      <c r="F46" s="151"/>
      <c r="G46" s="190">
        <v>4420203</v>
      </c>
      <c r="H46" s="152" t="s">
        <v>102</v>
      </c>
      <c r="I46" s="175">
        <f>I45/G45</f>
        <v>0.17066999999999996</v>
      </c>
      <c r="J46" s="56"/>
      <c r="K46" s="189"/>
      <c r="L46" s="150"/>
      <c r="M46" s="441"/>
    </row>
    <row r="47" spans="1:17" ht="19.149999999999999" customHeight="1">
      <c r="A47" s="331" t="s">
        <v>137</v>
      </c>
      <c r="B47" s="445" t="s">
        <v>115</v>
      </c>
      <c r="C47" s="89">
        <v>0</v>
      </c>
      <c r="D47" s="565"/>
      <c r="G47" s="188">
        <f>G45-G46</f>
        <v>0</v>
      </c>
      <c r="J47" s="91"/>
      <c r="K47" s="188">
        <f>K43-K44</f>
        <v>0</v>
      </c>
      <c r="M47" s="91"/>
    </row>
    <row r="48" spans="1:17" ht="16.5" thickBot="1">
      <c r="A48" s="173" t="s">
        <v>303</v>
      </c>
      <c r="B48" s="445" t="s">
        <v>115</v>
      </c>
      <c r="C48" s="89">
        <v>7000</v>
      </c>
      <c r="D48" s="565"/>
      <c r="J48" s="91"/>
      <c r="K48" s="82"/>
      <c r="M48" s="42"/>
    </row>
    <row r="49" spans="1:21" ht="15.75">
      <c r="A49" s="7" t="s">
        <v>130</v>
      </c>
      <c r="B49" s="516" t="s">
        <v>152</v>
      </c>
      <c r="C49" s="89">
        <v>15557.31</v>
      </c>
      <c r="D49" s="565"/>
      <c r="G49" s="82"/>
      <c r="H49" s="95" t="s">
        <v>35</v>
      </c>
      <c r="I49" s="13" t="s">
        <v>35</v>
      </c>
      <c r="J49" s="13" t="s">
        <v>63</v>
      </c>
      <c r="K49" s="93" t="s">
        <v>70</v>
      </c>
      <c r="L49" s="91"/>
    </row>
    <row r="50" spans="1:21" ht="16.5" thickBot="1">
      <c r="A50" s="7" t="s">
        <v>221</v>
      </c>
      <c r="B50" s="516" t="s">
        <v>152</v>
      </c>
      <c r="C50" s="89">
        <v>2168.17</v>
      </c>
      <c r="D50" s="8"/>
      <c r="F50" s="26" t="s">
        <v>73</v>
      </c>
      <c r="H50" s="96" t="s">
        <v>2</v>
      </c>
      <c r="I50" s="97" t="s">
        <v>3</v>
      </c>
      <c r="J50" s="97" t="s">
        <v>2</v>
      </c>
      <c r="K50" s="94" t="s">
        <v>3</v>
      </c>
    </row>
    <row r="51" spans="1:21" ht="15.75">
      <c r="A51" s="7" t="s">
        <v>306</v>
      </c>
      <c r="B51" s="516" t="s">
        <v>152</v>
      </c>
      <c r="C51" s="89">
        <v>3959.87</v>
      </c>
      <c r="D51" s="565"/>
      <c r="H51" s="115"/>
      <c r="I51" s="116"/>
      <c r="J51" s="116"/>
      <c r="K51" s="116"/>
      <c r="L51" s="92" t="s">
        <v>103</v>
      </c>
    </row>
    <row r="52" spans="1:21" ht="15.75">
      <c r="A52" s="132" t="s">
        <v>118</v>
      </c>
      <c r="B52" s="445"/>
      <c r="C52" s="69">
        <f>-C33</f>
        <v>10597.46</v>
      </c>
      <c r="D52" s="562"/>
      <c r="F52" s="331" t="s">
        <v>136</v>
      </c>
      <c r="H52" s="174">
        <f>K12</f>
        <v>-1329876.6409000002</v>
      </c>
      <c r="I52" s="83">
        <f>I14</f>
        <v>1530120.6179820001</v>
      </c>
      <c r="J52" s="83">
        <f>L12</f>
        <v>-700742.43910000008</v>
      </c>
      <c r="K52" s="83">
        <f>J14</f>
        <v>685518.85201800009</v>
      </c>
      <c r="L52" s="98">
        <f>SUM(H52:K52)</f>
        <v>185020.3899999999</v>
      </c>
    </row>
    <row r="53" spans="1:21" ht="16.5" thickBot="1">
      <c r="A53" s="331" t="s">
        <v>313</v>
      </c>
      <c r="B53" s="516" t="s">
        <v>314</v>
      </c>
      <c r="C53" s="89">
        <v>11656.4</v>
      </c>
      <c r="D53" s="565"/>
      <c r="F53" s="331" t="s">
        <v>109</v>
      </c>
      <c r="H53" s="174">
        <f>-I45</f>
        <v>-754396.04600999982</v>
      </c>
      <c r="I53" s="83">
        <f>-I32</f>
        <v>-432349.26820999995</v>
      </c>
      <c r="J53" s="83">
        <f>-M43</f>
        <v>-393080.4132800001</v>
      </c>
      <c r="K53" s="83">
        <f>-M28</f>
        <v>-223100.95231999998</v>
      </c>
      <c r="L53" s="217">
        <f>SUM(H53:K53)</f>
        <v>-1802926.67982</v>
      </c>
    </row>
    <row r="54" spans="1:21" ht="16.5" thickBot="1">
      <c r="A54" s="331" t="s">
        <v>124</v>
      </c>
      <c r="B54" s="445" t="s">
        <v>295</v>
      </c>
      <c r="C54" s="89">
        <v>-6403083.9699999997</v>
      </c>
      <c r="D54" s="565"/>
      <c r="F54" s="331" t="s">
        <v>86</v>
      </c>
      <c r="H54" s="192">
        <v>0</v>
      </c>
      <c r="I54" s="193">
        <v>0</v>
      </c>
      <c r="J54" s="193">
        <v>0</v>
      </c>
      <c r="K54" s="194">
        <v>0</v>
      </c>
      <c r="L54" s="570">
        <f>SUM(L52:L53)</f>
        <v>-1617906.2898200001</v>
      </c>
    </row>
    <row r="55" spans="1:21" ht="16.5" thickBot="1">
      <c r="A55" s="331" t="s">
        <v>310</v>
      </c>
      <c r="B55" s="445" t="s">
        <v>190</v>
      </c>
      <c r="C55" s="89">
        <v>-375000</v>
      </c>
      <c r="D55" s="565"/>
      <c r="F55" s="331" t="s">
        <v>71</v>
      </c>
      <c r="H55" s="564">
        <f>IFERROR(H52+H53+H54,0)</f>
        <v>-2084272.6869100002</v>
      </c>
      <c r="I55" s="564">
        <f>I52+I53+I54</f>
        <v>1097771.3497720002</v>
      </c>
      <c r="J55" s="564">
        <f>IFERROR(J52+J53+J54,0)</f>
        <v>-1093822.8523800001</v>
      </c>
      <c r="K55" s="564">
        <f>K52+K53+K54</f>
        <v>462417.89969800011</v>
      </c>
      <c r="L55" s="571">
        <f>SUM(H55:K55)</f>
        <v>-1617906.2898199998</v>
      </c>
    </row>
    <row r="56" spans="1:21" ht="16.5" thickBot="1">
      <c r="A56" s="572" t="s">
        <v>119</v>
      </c>
      <c r="B56" s="569"/>
      <c r="C56" s="123">
        <f>SUM(C43:C55)</f>
        <v>-2057736.7800000003</v>
      </c>
      <c r="D56" s="565"/>
      <c r="F56" s="573" t="s">
        <v>181</v>
      </c>
      <c r="H56" s="331" t="s">
        <v>173</v>
      </c>
      <c r="I56" s="7">
        <f>SUM(H55:I55)</f>
        <v>-986501.33713799994</v>
      </c>
      <c r="J56" s="41" t="s">
        <v>174</v>
      </c>
      <c r="K56" s="331">
        <f>SUM(J55:K55)</f>
        <v>-631404.95268199989</v>
      </c>
      <c r="L56" s="574">
        <f>ROUND(L54-L55,3)</f>
        <v>0</v>
      </c>
      <c r="T56" s="575"/>
    </row>
    <row r="57" spans="1:21" ht="16.5" thickTop="1">
      <c r="A57" s="331" t="s">
        <v>121</v>
      </c>
      <c r="B57" s="445" t="s">
        <v>350</v>
      </c>
      <c r="C57" s="444">
        <v>17940.95</v>
      </c>
      <c r="D57" s="565"/>
      <c r="F57" s="576" t="s">
        <v>181</v>
      </c>
      <c r="H57" s="577"/>
    </row>
    <row r="58" spans="1:21" ht="16.5" thickBot="1">
      <c r="A58" s="331" t="s">
        <v>122</v>
      </c>
      <c r="B58" s="445" t="s">
        <v>351</v>
      </c>
      <c r="C58" s="444">
        <v>9176.75</v>
      </c>
      <c r="D58" s="565"/>
      <c r="F58" s="576" t="s">
        <v>182</v>
      </c>
      <c r="H58" s="566"/>
      <c r="I58" s="578"/>
      <c r="J58" s="578"/>
      <c r="K58" s="579"/>
      <c r="L58" s="578"/>
    </row>
    <row r="59" spans="1:21" ht="16.5" thickBot="1">
      <c r="A59" s="26" t="s">
        <v>125</v>
      </c>
      <c r="B59" s="26"/>
      <c r="C59" s="123">
        <f>SUM(C56:C58)</f>
        <v>-2030619.0800000003</v>
      </c>
      <c r="D59" s="565"/>
      <c r="F59" s="580" t="s">
        <v>302</v>
      </c>
      <c r="G59" s="26" t="str">
        <f>IF(OR(AND(I56&gt;0,K56&gt;0),AND(I56&lt;0,K56&lt;0)),"OK","ERROR")</f>
        <v>OK</v>
      </c>
      <c r="H59" s="115" t="s">
        <v>293</v>
      </c>
      <c r="I59" s="167"/>
    </row>
    <row r="60" spans="1:21" ht="17.25" thickTop="1" thickBot="1">
      <c r="A60" s="26"/>
      <c r="C60" s="444"/>
      <c r="D60" s="565"/>
      <c r="H60" s="118" t="s">
        <v>175</v>
      </c>
      <c r="I60" s="549" t="s">
        <v>176</v>
      </c>
      <c r="J60" s="7"/>
    </row>
    <row r="61" spans="1:21" ht="16.5" thickBot="1">
      <c r="A61" s="107"/>
      <c r="B61" s="107" t="s">
        <v>95</v>
      </c>
      <c r="C61" s="564">
        <f>C59+C34</f>
        <v>185020.3899999999</v>
      </c>
      <c r="D61" s="8"/>
      <c r="H61" s="297" t="e">
        <f>SUM('WA - Def-Amtz (current)'!BB5:BB40)+SUM(#REF!)</f>
        <v>#REF!</v>
      </c>
      <c r="I61" s="392" t="e">
        <f>SUM('WA - Def-Amtz (current)'!BC5:BC41)+SUM(#REF!)</f>
        <v>#REF!</v>
      </c>
      <c r="J61" s="331">
        <f>H53+I53+J53+K53</f>
        <v>-1802926.67982</v>
      </c>
    </row>
    <row r="62" spans="1:21" ht="15.75">
      <c r="A62" s="26"/>
      <c r="B62" s="107" t="s">
        <v>160</v>
      </c>
      <c r="C62" s="446">
        <v>185020.39</v>
      </c>
      <c r="G62" s="7"/>
      <c r="I62" s="69" t="e">
        <f>H61-I61</f>
        <v>#REF!</v>
      </c>
      <c r="N62" s="7"/>
      <c r="O62" s="7"/>
      <c r="P62" s="581"/>
    </row>
    <row r="63" spans="1:21" ht="15.75">
      <c r="A63" s="107"/>
      <c r="B63" s="107" t="s">
        <v>384</v>
      </c>
      <c r="C63" s="69">
        <f>ROUND(C61-C62,2)</f>
        <v>0</v>
      </c>
      <c r="D63" s="565"/>
      <c r="S63" s="445"/>
    </row>
    <row r="64" spans="1:21" ht="15.75">
      <c r="A64" s="57"/>
      <c r="C64" s="582"/>
      <c r="D64" s="583"/>
      <c r="N64" s="132"/>
      <c r="U64" s="26"/>
    </row>
    <row r="65" spans="1:21" ht="15.75">
      <c r="A65" s="57"/>
      <c r="C65" s="8"/>
      <c r="D65" s="565"/>
      <c r="N65" s="132"/>
      <c r="S65" s="584"/>
    </row>
    <row r="66" spans="1:21" ht="15.75">
      <c r="A66" s="26"/>
      <c r="C66" s="8"/>
      <c r="D66" s="565"/>
      <c r="N66" s="132"/>
      <c r="S66" s="585"/>
    </row>
    <row r="67" spans="1:21">
      <c r="C67" s="69"/>
      <c r="D67" s="565"/>
      <c r="N67" s="132"/>
      <c r="S67" s="586"/>
    </row>
    <row r="68" spans="1:21">
      <c r="D68" s="565"/>
      <c r="N68" s="132"/>
      <c r="S68" s="585"/>
    </row>
    <row r="69" spans="1:21">
      <c r="D69" s="8"/>
      <c r="N69" s="132"/>
    </row>
    <row r="70" spans="1:21">
      <c r="D70" s="565"/>
      <c r="N70" s="132"/>
      <c r="S70" s="587"/>
    </row>
    <row r="71" spans="1:21">
      <c r="D71" s="565"/>
    </row>
    <row r="72" spans="1:21">
      <c r="D72" s="565"/>
    </row>
    <row r="73" spans="1:21">
      <c r="D73" s="154"/>
      <c r="S73" s="588"/>
    </row>
    <row r="74" spans="1:21">
      <c r="R74" s="445"/>
      <c r="S74" s="445"/>
      <c r="T74" s="445"/>
    </row>
    <row r="76" spans="1:21">
      <c r="U76" s="589"/>
    </row>
    <row r="1477" spans="3:3">
      <c r="C1477" s="331">
        <v>-2130</v>
      </c>
    </row>
    <row r="1485" spans="3:3">
      <c r="C1485" s="331">
        <f>7004298-2130</f>
        <v>7002168</v>
      </c>
    </row>
  </sheetData>
  <mergeCells count="3">
    <mergeCell ref="F18:I18"/>
    <mergeCell ref="J18:M18"/>
    <mergeCell ref="K35:M35"/>
  </mergeCells>
  <conditionalFormatting sqref="C63 L56 I62">
    <cfRule type="cellIs" dxfId="226" priority="7" stopIfTrue="1" operator="equal">
      <formula>0</formula>
    </cfRule>
    <cfRule type="cellIs" dxfId="225" priority="8" stopIfTrue="1" operator="notEqual">
      <formula>0</formula>
    </cfRule>
  </conditionalFormatting>
  <conditionalFormatting sqref="G34 G47 K30 K47">
    <cfRule type="cellIs" dxfId="224" priority="6" operator="notEqual">
      <formula>0</formula>
    </cfRule>
  </conditionalFormatting>
  <conditionalFormatting sqref="C63">
    <cfRule type="cellIs" dxfId="223" priority="4" stopIfTrue="1" operator="equal">
      <formula>0</formula>
    </cfRule>
    <cfRule type="cellIs" dxfId="222" priority="5" stopIfTrue="1" operator="notEqual">
      <formula>0</formula>
    </cfRule>
  </conditionalFormatting>
  <conditionalFormatting sqref="K30">
    <cfRule type="cellIs" dxfId="221" priority="3" operator="notEqual">
      <formula>0</formula>
    </cfRule>
  </conditionalFormatting>
  <conditionalFormatting sqref="G59">
    <cfRule type="cellIs" dxfId="220" priority="2" operator="equal">
      <formula>"ERROR"</formula>
    </cfRule>
  </conditionalFormatting>
  <conditionalFormatting sqref="G59">
    <cfRule type="cellIs" dxfId="219" priority="1" operator="equal">
      <formula>"ERROR"</formula>
    </cfRule>
  </conditionalFormatting>
  <printOptions verticalCentered="1" gridLinesSet="0"/>
  <pageMargins left="0.5" right="0" top="0.25" bottom="0.5" header="0" footer="0.25"/>
  <pageSetup scale="47" orientation="landscape" cellComments="asDisplayed" r:id="rId1"/>
  <headerFooter alignWithMargins="0">
    <oddFooter>&amp;L&amp;F&amp;C&amp;A&amp;R&amp;D&amp;T</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13">
    <tabColor rgb="FF00CC66"/>
    <pageSetUpPr fitToPage="1"/>
  </sheetPr>
  <dimension ref="A1:U1485"/>
  <sheetViews>
    <sheetView showGridLines="0" topLeftCell="A19" zoomScale="70" zoomScaleNormal="70" workbookViewId="0">
      <selection activeCell="A19" sqref="A1:XFD1048576"/>
    </sheetView>
  </sheetViews>
  <sheetFormatPr defaultColWidth="16" defaultRowHeight="15"/>
  <cols>
    <col min="1" max="1" width="44.85546875" style="331" customWidth="1"/>
    <col min="2" max="2" width="25.5703125" style="331" customWidth="1"/>
    <col min="3" max="3" width="25.28515625" style="331" customWidth="1"/>
    <col min="4" max="4" width="2.7109375" style="331" customWidth="1"/>
    <col min="5" max="5" width="4.28515625" style="331" customWidth="1"/>
    <col min="6" max="6" width="26.7109375" style="331" customWidth="1"/>
    <col min="7" max="7" width="19" style="331" customWidth="1"/>
    <col min="8" max="8" width="22" style="331" customWidth="1"/>
    <col min="9" max="9" width="20.42578125" style="331" customWidth="1"/>
    <col min="10" max="10" width="26.28515625" style="331" customWidth="1"/>
    <col min="11" max="11" width="21.85546875" style="331" bestFit="1" customWidth="1"/>
    <col min="12" max="12" width="23.85546875" style="331" customWidth="1"/>
    <col min="13" max="13" width="20.85546875" style="331" bestFit="1" customWidth="1"/>
    <col min="14" max="15" width="16" style="331"/>
    <col min="16" max="16" width="16.28515625" style="331" bestFit="1" customWidth="1"/>
    <col min="17" max="16384" width="16" style="331"/>
  </cols>
  <sheetData>
    <row r="1" spans="1:12" ht="16.5" thickBot="1">
      <c r="A1" s="560" t="s">
        <v>64</v>
      </c>
      <c r="B1" s="561"/>
      <c r="C1" s="430">
        <f>Jul!C1+1</f>
        <v>201908</v>
      </c>
      <c r="F1" s="430">
        <f>C1</f>
        <v>201908</v>
      </c>
      <c r="H1" s="125" t="s">
        <v>69</v>
      </c>
      <c r="I1" s="92" t="s">
        <v>3</v>
      </c>
      <c r="J1" s="92" t="s">
        <v>3</v>
      </c>
      <c r="K1" s="92" t="s">
        <v>66</v>
      </c>
      <c r="L1" s="92" t="s">
        <v>66</v>
      </c>
    </row>
    <row r="2" spans="1:12" ht="15.75">
      <c r="C2" s="20"/>
      <c r="H2" s="126" t="s">
        <v>32</v>
      </c>
      <c r="I2" s="127" t="s">
        <v>65</v>
      </c>
      <c r="J2" s="127" t="s">
        <v>65</v>
      </c>
      <c r="K2" s="127" t="s">
        <v>67</v>
      </c>
      <c r="L2" s="127" t="s">
        <v>67</v>
      </c>
    </row>
    <row r="3" spans="1:12" ht="16.5" thickBot="1">
      <c r="A3" s="39" t="s">
        <v>110</v>
      </c>
      <c r="C3" s="21"/>
      <c r="D3" s="562"/>
      <c r="F3" s="26" t="s">
        <v>72</v>
      </c>
      <c r="H3" s="128" t="s">
        <v>68</v>
      </c>
      <c r="I3" s="128" t="s">
        <v>35</v>
      </c>
      <c r="J3" s="128" t="s">
        <v>63</v>
      </c>
      <c r="K3" s="128" t="s">
        <v>35</v>
      </c>
      <c r="L3" s="128" t="s">
        <v>63</v>
      </c>
    </row>
    <row r="4" spans="1:12" ht="15.75">
      <c r="A4" s="331" t="s">
        <v>88</v>
      </c>
      <c r="C4" s="89">
        <v>3631690.92</v>
      </c>
      <c r="D4" s="20"/>
      <c r="H4" s="11"/>
    </row>
    <row r="5" spans="1:12" ht="14.25" customHeight="1">
      <c r="A5" s="331" t="s">
        <v>31</v>
      </c>
      <c r="C5" s="89">
        <v>11062.01</v>
      </c>
      <c r="D5" s="20"/>
      <c r="H5" s="11"/>
      <c r="I5" s="563">
        <v>0.69059999999999999</v>
      </c>
      <c r="J5" s="563">
        <v>0.30940000000000001</v>
      </c>
      <c r="K5" s="388">
        <f>ROUND(G45/(G45+K43),4)</f>
        <v>0.64839999999999998</v>
      </c>
      <c r="L5" s="388">
        <f>1-K5</f>
        <v>0.35160000000000002</v>
      </c>
    </row>
    <row r="6" spans="1:12" ht="16.5" thickBot="1">
      <c r="A6" s="25" t="s">
        <v>30</v>
      </c>
      <c r="C6" s="440">
        <f>-1484819.23-423508.04-121002.3-136127.59-78046.48-97479.45-10779.34</f>
        <v>-2351762.4300000002</v>
      </c>
      <c r="D6" s="20"/>
    </row>
    <row r="7" spans="1:12" ht="16.5" thickBot="1">
      <c r="A7" s="41" t="s">
        <v>140</v>
      </c>
      <c r="C7" s="69">
        <f>SUM(C4:C6)</f>
        <v>1290990.4999999995</v>
      </c>
      <c r="D7" s="21"/>
      <c r="F7" s="129" t="s">
        <v>139</v>
      </c>
      <c r="G7" s="129"/>
      <c r="H7" s="564">
        <f>C34</f>
        <v>2179777.5499999998</v>
      </c>
      <c r="I7" s="130">
        <f>H7*I5</f>
        <v>1505354.3760299999</v>
      </c>
      <c r="J7" s="130">
        <f>H7*J5</f>
        <v>674423.17397</v>
      </c>
      <c r="K7" s="130"/>
      <c r="L7" s="130"/>
    </row>
    <row r="8" spans="1:12" ht="15.75">
      <c r="A8" s="331" t="s">
        <v>376</v>
      </c>
      <c r="C8" s="89">
        <v>172464.26</v>
      </c>
      <c r="D8" s="21"/>
      <c r="H8" s="131"/>
      <c r="I8" s="131"/>
      <c r="J8" s="131"/>
      <c r="K8" s="131"/>
      <c r="L8" s="131"/>
    </row>
    <row r="9" spans="1:12" ht="15.75">
      <c r="A9" s="331" t="s">
        <v>377</v>
      </c>
      <c r="C9" s="89">
        <v>6356.09</v>
      </c>
      <c r="D9" s="565"/>
      <c r="F9" s="129" t="s">
        <v>119</v>
      </c>
      <c r="H9" s="130">
        <f>C56</f>
        <v>-2095823.3499999996</v>
      </c>
      <c r="I9" s="130"/>
      <c r="J9" s="130"/>
      <c r="K9" s="130">
        <f>H9*K5</f>
        <v>-1358931.8601399998</v>
      </c>
      <c r="L9" s="130">
        <f>H9*L5</f>
        <v>-736891.48985999997</v>
      </c>
    </row>
    <row r="10" spans="1:12" ht="15.75">
      <c r="A10" s="25" t="s">
        <v>378</v>
      </c>
      <c r="C10" s="440">
        <v>-3078.51</v>
      </c>
      <c r="D10" s="565"/>
      <c r="F10" s="132" t="s">
        <v>44</v>
      </c>
      <c r="H10" s="130">
        <f>C57</f>
        <v>182.4</v>
      </c>
      <c r="I10" s="130"/>
      <c r="J10" s="130"/>
      <c r="K10" s="130">
        <f>H10</f>
        <v>182.4</v>
      </c>
      <c r="L10" s="130"/>
    </row>
    <row r="11" spans="1:12">
      <c r="A11" s="41" t="s">
        <v>145</v>
      </c>
      <c r="C11" s="69">
        <f>SUM(C8:C10)</f>
        <v>175741.84</v>
      </c>
      <c r="D11" s="565"/>
      <c r="F11" s="132" t="s">
        <v>45</v>
      </c>
      <c r="H11" s="133">
        <f>C58</f>
        <v>98.85</v>
      </c>
      <c r="I11" s="130"/>
      <c r="J11" s="130"/>
      <c r="K11" s="133"/>
      <c r="L11" s="133">
        <f>H11</f>
        <v>98.85</v>
      </c>
    </row>
    <row r="12" spans="1:12" ht="15.75">
      <c r="A12" s="331" t="s">
        <v>374</v>
      </c>
      <c r="C12" s="89">
        <f>-1804.97+230535.35</f>
        <v>228730.38</v>
      </c>
      <c r="D12" s="565"/>
      <c r="F12" s="132" t="s">
        <v>138</v>
      </c>
      <c r="H12" s="130">
        <f>H9+H10+H11</f>
        <v>-2095542.0999999996</v>
      </c>
      <c r="I12" s="130" t="s">
        <v>315</v>
      </c>
      <c r="J12" s="130"/>
      <c r="K12" s="130">
        <f>SUM(K9:K11)</f>
        <v>-1358749.4601399999</v>
      </c>
      <c r="L12" s="130">
        <f>SUM(L9:L11)</f>
        <v>-736792.63986</v>
      </c>
    </row>
    <row r="13" spans="1:12" ht="16.5" thickBot="1">
      <c r="A13" s="25" t="s">
        <v>375</v>
      </c>
      <c r="C13" s="440">
        <v>0</v>
      </c>
      <c r="D13" s="565"/>
      <c r="F13" s="134"/>
      <c r="G13" s="135"/>
      <c r="H13" s="136"/>
      <c r="I13" s="137"/>
      <c r="J13" s="136"/>
      <c r="K13" s="131"/>
      <c r="L13" s="136"/>
    </row>
    <row r="14" spans="1:12" ht="16.5" thickBot="1">
      <c r="A14" s="41" t="s">
        <v>381</v>
      </c>
      <c r="C14" s="69">
        <f>SUM(C12:C13)</f>
        <v>228730.38</v>
      </c>
      <c r="D14" s="8"/>
      <c r="F14" s="26" t="s">
        <v>69</v>
      </c>
      <c r="G14" s="138"/>
      <c r="H14" s="564">
        <f>H12+H7</f>
        <v>84235.450000000186</v>
      </c>
      <c r="I14" s="139">
        <f>SUM(I7:I13)</f>
        <v>1505354.3760299999</v>
      </c>
      <c r="J14" s="139">
        <f>SUM(J7:J13)</f>
        <v>674423.17397</v>
      </c>
      <c r="K14" s="139">
        <f>K12</f>
        <v>-1358749.4601399999</v>
      </c>
      <c r="L14" s="139">
        <f>L12</f>
        <v>-736792.63986</v>
      </c>
    </row>
    <row r="15" spans="1:12" ht="15.75">
      <c r="A15" s="331" t="s">
        <v>379</v>
      </c>
      <c r="C15" s="89">
        <f>418155.7-3273.94</f>
        <v>414881.76</v>
      </c>
      <c r="D15" s="565"/>
      <c r="F15" s="134"/>
      <c r="G15" s="135" t="s">
        <v>102</v>
      </c>
      <c r="H15" s="136">
        <f>H14-C61</f>
        <v>0</v>
      </c>
      <c r="I15" s="140"/>
      <c r="J15" s="136">
        <f>J7+I7-H7</f>
        <v>0</v>
      </c>
      <c r="L15" s="136">
        <f>H12-K14-L14</f>
        <v>0</v>
      </c>
    </row>
    <row r="16" spans="1:12" ht="15.75">
      <c r="A16" s="25" t="s">
        <v>380</v>
      </c>
      <c r="C16" s="440">
        <v>0</v>
      </c>
      <c r="D16" s="565"/>
      <c r="F16" s="141"/>
      <c r="G16" s="135"/>
      <c r="H16" s="142"/>
      <c r="I16" s="143"/>
      <c r="J16" s="142"/>
      <c r="L16" s="142"/>
    </row>
    <row r="17" spans="1:13" ht="15.75" thickBot="1">
      <c r="A17" s="41" t="s">
        <v>185</v>
      </c>
      <c r="C17" s="69">
        <f>SUM(C15:C16)</f>
        <v>414881.76</v>
      </c>
      <c r="D17" s="8"/>
      <c r="F17" s="134"/>
      <c r="G17" s="135"/>
      <c r="H17" s="142"/>
      <c r="I17" s="143"/>
      <c r="J17" s="146"/>
      <c r="L17" s="142"/>
    </row>
    <row r="18" spans="1:13" ht="16.5" thickBot="1">
      <c r="A18" s="331" t="s">
        <v>163</v>
      </c>
      <c r="C18" s="89">
        <f>-14331.47-995.77+9774.7+100901</f>
        <v>95348.46</v>
      </c>
      <c r="D18" s="565"/>
      <c r="F18" s="526" t="s">
        <v>134</v>
      </c>
      <c r="G18" s="527"/>
      <c r="H18" s="527"/>
      <c r="I18" s="528"/>
      <c r="J18" s="526" t="s">
        <v>135</v>
      </c>
      <c r="K18" s="527"/>
      <c r="L18" s="527"/>
      <c r="M18" s="528"/>
    </row>
    <row r="19" spans="1:13" ht="15.75">
      <c r="A19" s="25" t="s">
        <v>164</v>
      </c>
      <c r="C19" s="440">
        <v>-5519.49</v>
      </c>
      <c r="D19" s="565"/>
      <c r="F19" s="164" t="s">
        <v>108</v>
      </c>
      <c r="G19" s="127" t="s">
        <v>33</v>
      </c>
      <c r="H19" s="127" t="s">
        <v>33</v>
      </c>
      <c r="I19" s="127" t="s">
        <v>33</v>
      </c>
      <c r="J19" s="164" t="s">
        <v>108</v>
      </c>
      <c r="K19" s="127" t="s">
        <v>33</v>
      </c>
      <c r="L19" s="127" t="s">
        <v>33</v>
      </c>
      <c r="M19" s="148" t="s">
        <v>33</v>
      </c>
    </row>
    <row r="20" spans="1:13" ht="16.5" thickBot="1">
      <c r="A20" s="40" t="s">
        <v>382</v>
      </c>
      <c r="C20" s="69">
        <f>SUM(C18:C19)</f>
        <v>89828.97</v>
      </c>
      <c r="D20" s="565"/>
      <c r="F20" s="158" t="s">
        <v>162</v>
      </c>
      <c r="G20" s="128" t="s">
        <v>101</v>
      </c>
      <c r="H20" s="128" t="s">
        <v>36</v>
      </c>
      <c r="I20" s="128" t="s">
        <v>34</v>
      </c>
      <c r="J20" s="158" t="s">
        <v>162</v>
      </c>
      <c r="K20" s="128" t="s">
        <v>101</v>
      </c>
      <c r="L20" s="128" t="s">
        <v>36</v>
      </c>
      <c r="M20" s="128" t="s">
        <v>34</v>
      </c>
    </row>
    <row r="21" spans="1:13" ht="15.75">
      <c r="A21" s="25" t="s">
        <v>370</v>
      </c>
      <c r="C21" s="440">
        <v>37.68</v>
      </c>
      <c r="D21" s="565"/>
      <c r="F21" s="147"/>
      <c r="G21" s="12"/>
      <c r="H21" s="12"/>
      <c r="I21" s="148"/>
      <c r="J21" s="95"/>
      <c r="K21" s="13"/>
      <c r="L21" s="13"/>
      <c r="M21" s="167"/>
    </row>
    <row r="22" spans="1:13" ht="18" customHeight="1">
      <c r="A22" s="40" t="s">
        <v>383</v>
      </c>
      <c r="C22" s="69">
        <f>SUM(C21)</f>
        <v>37.68</v>
      </c>
      <c r="D22" s="565"/>
      <c r="F22" s="162" t="s">
        <v>126</v>
      </c>
      <c r="G22" s="7"/>
      <c r="H22" s="7"/>
      <c r="I22" s="67"/>
      <c r="J22" s="162" t="s">
        <v>126</v>
      </c>
      <c r="K22" s="7"/>
      <c r="L22" s="7"/>
      <c r="M22" s="67"/>
    </row>
    <row r="23" spans="1:13" ht="15.75">
      <c r="A23" s="170" t="s">
        <v>180</v>
      </c>
      <c r="C23" s="69">
        <v>0</v>
      </c>
      <c r="D23" s="565"/>
      <c r="F23" s="163" t="s">
        <v>37</v>
      </c>
      <c r="G23" s="218">
        <v>2217255</v>
      </c>
      <c r="H23" s="333">
        <v>0.10238999999999999</v>
      </c>
      <c r="I23" s="159">
        <f t="shared" ref="I23:I31" si="0">G23*H23</f>
        <v>227024.73944999999</v>
      </c>
      <c r="J23" s="163" t="s">
        <v>37</v>
      </c>
      <c r="K23" s="218">
        <v>1084584</v>
      </c>
      <c r="L23" s="333">
        <v>9.5839999999999995E-2</v>
      </c>
      <c r="M23" s="159">
        <f>K23*L23</f>
        <v>103946.53056</v>
      </c>
    </row>
    <row r="24" spans="1:13" ht="15.75">
      <c r="A24" s="170" t="s">
        <v>186</v>
      </c>
      <c r="C24" s="89">
        <v>0</v>
      </c>
      <c r="D24" s="565"/>
      <c r="F24" s="163" t="s">
        <v>304</v>
      </c>
      <c r="G24" s="218">
        <v>1943</v>
      </c>
      <c r="H24" s="333">
        <v>0.10238999999999999</v>
      </c>
      <c r="I24" s="159">
        <f t="shared" si="0"/>
        <v>198.94377</v>
      </c>
      <c r="J24" s="163" t="s">
        <v>38</v>
      </c>
      <c r="K24" s="218">
        <v>1156521</v>
      </c>
      <c r="L24" s="333">
        <v>9.5839999999999995E-2</v>
      </c>
      <c r="M24" s="159">
        <f t="shared" ref="M24:M27" si="1">K24*L24</f>
        <v>110840.97263999999</v>
      </c>
    </row>
    <row r="25" spans="1:13" ht="15.75">
      <c r="A25" s="170" t="s">
        <v>189</v>
      </c>
      <c r="C25" s="442">
        <v>0</v>
      </c>
      <c r="D25" s="565"/>
      <c r="F25" s="163" t="s">
        <v>38</v>
      </c>
      <c r="G25" s="218">
        <v>1827018</v>
      </c>
      <c r="H25" s="333">
        <v>9.239E-2</v>
      </c>
      <c r="I25" s="159">
        <f t="shared" si="0"/>
        <v>168798.19302000001</v>
      </c>
      <c r="J25" s="163" t="s">
        <v>39</v>
      </c>
      <c r="K25" s="218">
        <v>65503</v>
      </c>
      <c r="L25" s="333">
        <v>9.5839999999999995E-2</v>
      </c>
      <c r="M25" s="159">
        <f t="shared" si="1"/>
        <v>6277.8075199999994</v>
      </c>
    </row>
    <row r="26" spans="1:13" ht="15.75">
      <c r="A26" s="171" t="s">
        <v>188</v>
      </c>
      <c r="C26" s="443">
        <v>0</v>
      </c>
      <c r="D26" s="565"/>
      <c r="F26" s="163" t="s">
        <v>39</v>
      </c>
      <c r="G26" s="218">
        <v>6405</v>
      </c>
      <c r="H26" s="333">
        <v>9.239E-2</v>
      </c>
      <c r="I26" s="159">
        <f t="shared" si="0"/>
        <v>591.75795000000005</v>
      </c>
      <c r="J26" s="163" t="s">
        <v>40</v>
      </c>
      <c r="K26" s="218">
        <v>0</v>
      </c>
      <c r="L26" s="333">
        <v>9.5839999999999995E-2</v>
      </c>
      <c r="M26" s="159">
        <f t="shared" si="1"/>
        <v>0</v>
      </c>
    </row>
    <row r="27" spans="1:13" ht="15.75">
      <c r="A27" s="40" t="s">
        <v>96</v>
      </c>
      <c r="C27" s="69">
        <f>SUM(C23:C26)</f>
        <v>0</v>
      </c>
      <c r="D27" s="565"/>
      <c r="F27" s="163" t="s">
        <v>40</v>
      </c>
      <c r="G27" s="218">
        <v>137205</v>
      </c>
      <c r="H27" s="333">
        <v>9.2249999999999999E-2</v>
      </c>
      <c r="I27" s="159">
        <f t="shared" si="0"/>
        <v>12657.161249999999</v>
      </c>
      <c r="J27" s="163" t="s">
        <v>41</v>
      </c>
      <c r="K27" s="218">
        <v>0</v>
      </c>
      <c r="L27" s="333">
        <v>9.5839999999999995E-2</v>
      </c>
      <c r="M27" s="159">
        <f t="shared" si="1"/>
        <v>0</v>
      </c>
    </row>
    <row r="28" spans="1:13" ht="16.5" thickBot="1">
      <c r="A28" s="172" t="s">
        <v>150</v>
      </c>
      <c r="C28" s="89">
        <v>0</v>
      </c>
      <c r="D28" s="8"/>
      <c r="F28" s="163" t="s">
        <v>41</v>
      </c>
      <c r="G28" s="218">
        <v>26197</v>
      </c>
      <c r="H28" s="333">
        <v>9.2249999999999999E-2</v>
      </c>
      <c r="I28" s="159">
        <f t="shared" si="0"/>
        <v>2416.6732499999998</v>
      </c>
      <c r="J28" s="162" t="s">
        <v>127</v>
      </c>
      <c r="K28" s="144">
        <f>SUM(K23:K27)</f>
        <v>2306608</v>
      </c>
      <c r="L28" s="145"/>
      <c r="M28" s="160">
        <f>SUM(M23:M27)</f>
        <v>221065.31071999998</v>
      </c>
    </row>
    <row r="29" spans="1:13" ht="17.25" thickTop="1" thickBot="1">
      <c r="A29" s="172" t="s">
        <v>167</v>
      </c>
      <c r="C29" s="89">
        <v>0</v>
      </c>
      <c r="D29" s="565"/>
      <c r="F29" s="163" t="s">
        <v>42</v>
      </c>
      <c r="G29" s="218">
        <v>0</v>
      </c>
      <c r="H29" s="333">
        <v>5.9499999999999997E-2</v>
      </c>
      <c r="I29" s="159">
        <f t="shared" si="0"/>
        <v>0</v>
      </c>
      <c r="J29" s="162"/>
      <c r="K29" s="189">
        <v>2306608</v>
      </c>
      <c r="L29" s="150" t="s">
        <v>102</v>
      </c>
      <c r="M29" s="407">
        <f>M28/K28</f>
        <v>9.5839999999999995E-2</v>
      </c>
    </row>
    <row r="30" spans="1:13" ht="16.5" thickBot="1">
      <c r="A30" s="26" t="s">
        <v>111</v>
      </c>
      <c r="C30" s="564">
        <f>C7+C11+C14+C17+C20+C22+C27+C28+C29</f>
        <v>2200211.13</v>
      </c>
      <c r="D30" s="8"/>
      <c r="F30" s="163" t="s">
        <v>43</v>
      </c>
      <c r="G30" s="218">
        <v>36912</v>
      </c>
      <c r="H30" s="333">
        <v>5.9499999999999997E-2</v>
      </c>
      <c r="I30" s="159">
        <f t="shared" si="0"/>
        <v>2196.2640000000001</v>
      </c>
      <c r="J30" s="163"/>
      <c r="K30" s="188">
        <f>K28-K29</f>
        <v>0</v>
      </c>
      <c r="L30" s="145"/>
      <c r="M30" s="161"/>
    </row>
    <row r="31" spans="1:13" ht="15.75">
      <c r="A31" s="331" t="s">
        <v>112</v>
      </c>
      <c r="C31" s="89">
        <v>-8534.9699999999993</v>
      </c>
      <c r="D31" s="566"/>
      <c r="F31" s="163" t="s">
        <v>74</v>
      </c>
      <c r="G31" s="218">
        <v>2327120</v>
      </c>
      <c r="H31" s="333">
        <v>5.4000000000000001E-4</v>
      </c>
      <c r="I31" s="159">
        <f t="shared" si="0"/>
        <v>1256.6448</v>
      </c>
      <c r="J31" s="117"/>
      <c r="K31" s="7"/>
      <c r="L31" s="145"/>
      <c r="M31" s="161"/>
    </row>
    <row r="32" spans="1:13" ht="16.5" thickBot="1">
      <c r="A32" s="26" t="s">
        <v>116</v>
      </c>
      <c r="B32" s="26" t="s">
        <v>117</v>
      </c>
      <c r="C32" s="444">
        <f>C30+C31</f>
        <v>2191676.1599999997</v>
      </c>
      <c r="D32" s="567"/>
      <c r="F32" s="162" t="s">
        <v>127</v>
      </c>
      <c r="G32" s="144">
        <f>SUM(G23:G31)</f>
        <v>6580055</v>
      </c>
      <c r="H32" s="7"/>
      <c r="I32" s="160">
        <f>SUM(I23:I31)</f>
        <v>415140.37749000004</v>
      </c>
      <c r="J32" s="155"/>
      <c r="K32" s="156"/>
      <c r="L32" s="7"/>
      <c r="M32" s="153"/>
    </row>
    <row r="33" spans="1:17" ht="17.25" thickTop="1" thickBot="1">
      <c r="A33" s="331" t="s">
        <v>113</v>
      </c>
      <c r="C33" s="444">
        <f>-C5-C9-C13-C16-C19</f>
        <v>-11898.609999999999</v>
      </c>
      <c r="D33" s="565"/>
      <c r="F33" s="149"/>
      <c r="G33" s="189">
        <v>6580055</v>
      </c>
      <c r="H33" s="150" t="s">
        <v>102</v>
      </c>
      <c r="I33" s="176">
        <f>I32/G32</f>
        <v>6.3090715425630953E-2</v>
      </c>
      <c r="J33" s="155"/>
      <c r="K33" s="156"/>
      <c r="L33" s="7"/>
      <c r="M33" s="67"/>
    </row>
    <row r="34" spans="1:17" ht="16.5" thickBot="1">
      <c r="A34" s="26" t="s">
        <v>114</v>
      </c>
      <c r="C34" s="564">
        <f>SUM(C32:C33)</f>
        <v>2179777.5499999998</v>
      </c>
      <c r="D34" s="565"/>
      <c r="F34" s="117"/>
      <c r="G34" s="188">
        <f>G32-G33</f>
        <v>0</v>
      </c>
      <c r="H34" s="7"/>
      <c r="I34" s="67"/>
      <c r="J34" s="155"/>
      <c r="K34" s="154"/>
      <c r="L34" s="7"/>
      <c r="M34" s="67"/>
    </row>
    <row r="35" spans="1:17" ht="18" customHeight="1">
      <c r="A35" s="26"/>
      <c r="C35" s="444"/>
      <c r="D35" s="565"/>
      <c r="F35" s="147"/>
      <c r="G35" s="12"/>
      <c r="H35" s="12"/>
      <c r="I35" s="148"/>
      <c r="J35" s="162" t="s">
        <v>128</v>
      </c>
      <c r="K35" s="524"/>
      <c r="L35" s="524"/>
      <c r="M35" s="525"/>
    </row>
    <row r="36" spans="1:17" ht="15.75">
      <c r="A36" s="11" t="s">
        <v>94</v>
      </c>
      <c r="B36" s="26"/>
      <c r="C36" s="69"/>
      <c r="D36" s="565"/>
      <c r="F36" s="162" t="s">
        <v>128</v>
      </c>
      <c r="G36" s="7"/>
      <c r="H36" s="7"/>
      <c r="I36" s="67"/>
      <c r="J36" s="163" t="s">
        <v>37</v>
      </c>
      <c r="K36" s="219">
        <f>K23</f>
        <v>1084584</v>
      </c>
      <c r="L36" s="333">
        <v>0.16886000000000001</v>
      </c>
      <c r="M36" s="159">
        <f t="shared" ref="M36:M42" si="2">K36*L36</f>
        <v>183142.85424000002</v>
      </c>
      <c r="P36" s="498"/>
      <c r="Q36" s="498"/>
    </row>
    <row r="37" spans="1:17" ht="15.75">
      <c r="A37" s="7" t="s">
        <v>129</v>
      </c>
      <c r="B37" s="516" t="s">
        <v>115</v>
      </c>
      <c r="C37" s="89">
        <v>4327933.3600000003</v>
      </c>
      <c r="D37" s="565"/>
      <c r="F37" s="163" t="s">
        <v>37</v>
      </c>
      <c r="G37" s="219">
        <f>G23</f>
        <v>2217255</v>
      </c>
      <c r="H37" s="333">
        <v>0.17066999999999999</v>
      </c>
      <c r="I37" s="159">
        <f t="shared" ref="I37:I44" si="3">G37*H37</f>
        <v>378418.91084999999</v>
      </c>
      <c r="J37" s="163" t="s">
        <v>38</v>
      </c>
      <c r="K37" s="219">
        <f>K24</f>
        <v>1156521</v>
      </c>
      <c r="L37" s="333">
        <v>0.16886000000000001</v>
      </c>
      <c r="M37" s="159">
        <f t="shared" si="2"/>
        <v>195290.13606000002</v>
      </c>
      <c r="P37" s="498"/>
      <c r="Q37" s="498"/>
    </row>
    <row r="38" spans="1:17" ht="15.75">
      <c r="A38" s="173" t="s">
        <v>14</v>
      </c>
      <c r="B38" s="516" t="s">
        <v>115</v>
      </c>
      <c r="C38" s="89"/>
      <c r="D38" s="565"/>
      <c r="F38" s="163" t="s">
        <v>304</v>
      </c>
      <c r="G38" s="219">
        <f>G24</f>
        <v>1943</v>
      </c>
      <c r="H38" s="333">
        <v>0.17066999999999999</v>
      </c>
      <c r="I38" s="159">
        <f t="shared" si="3"/>
        <v>331.61180999999999</v>
      </c>
      <c r="J38" s="163" t="s">
        <v>39</v>
      </c>
      <c r="K38" s="219">
        <f>K25</f>
        <v>65503</v>
      </c>
      <c r="L38" s="333">
        <v>0.16886000000000001</v>
      </c>
      <c r="M38" s="159">
        <f t="shared" si="2"/>
        <v>11060.836580000001</v>
      </c>
      <c r="P38" s="498"/>
      <c r="Q38" s="498"/>
    </row>
    <row r="39" spans="1:17" ht="15.75">
      <c r="A39" s="7" t="s">
        <v>146</v>
      </c>
      <c r="B39" s="516" t="s">
        <v>147</v>
      </c>
      <c r="C39" s="89">
        <v>-37769.58</v>
      </c>
      <c r="D39" s="565"/>
      <c r="F39" s="163" t="s">
        <v>38</v>
      </c>
      <c r="G39" s="219">
        <f t="shared" ref="G39:G44" si="4">G25</f>
        <v>1827018</v>
      </c>
      <c r="H39" s="333">
        <v>0.17066999999999999</v>
      </c>
      <c r="I39" s="159">
        <f t="shared" si="3"/>
        <v>311817.16206</v>
      </c>
      <c r="J39" s="163" t="s">
        <v>40</v>
      </c>
      <c r="K39" s="219">
        <f>K26</f>
        <v>0</v>
      </c>
      <c r="L39" s="333">
        <v>0.16886000000000001</v>
      </c>
      <c r="M39" s="159">
        <f t="shared" si="2"/>
        <v>0</v>
      </c>
      <c r="P39" s="498"/>
      <c r="Q39" s="498"/>
    </row>
    <row r="40" spans="1:17" ht="15.75">
      <c r="A40" s="7" t="s">
        <v>131</v>
      </c>
      <c r="B40" s="516" t="s">
        <v>132</v>
      </c>
      <c r="C40" s="89">
        <v>120989.52</v>
      </c>
      <c r="D40" s="565"/>
      <c r="F40" s="163" t="s">
        <v>39</v>
      </c>
      <c r="G40" s="219">
        <f t="shared" si="4"/>
        <v>6405</v>
      </c>
      <c r="H40" s="333">
        <v>0.17066999999999999</v>
      </c>
      <c r="I40" s="159">
        <f t="shared" si="3"/>
        <v>1093.1413499999999</v>
      </c>
      <c r="J40" s="163" t="s">
        <v>41</v>
      </c>
      <c r="K40" s="219">
        <f>K27</f>
        <v>0</v>
      </c>
      <c r="L40" s="333">
        <v>0.16886000000000001</v>
      </c>
      <c r="M40" s="159">
        <f t="shared" si="2"/>
        <v>0</v>
      </c>
      <c r="P40" s="498"/>
      <c r="Q40" s="498"/>
    </row>
    <row r="41" spans="1:17" ht="15.75">
      <c r="A41" s="7" t="s">
        <v>153</v>
      </c>
      <c r="B41" s="445" t="s">
        <v>155</v>
      </c>
      <c r="C41" s="89">
        <v>-3756.09</v>
      </c>
      <c r="D41" s="565"/>
      <c r="F41" s="163" t="s">
        <v>40</v>
      </c>
      <c r="G41" s="219">
        <f t="shared" si="4"/>
        <v>137205</v>
      </c>
      <c r="H41" s="333">
        <v>0.17066999999999999</v>
      </c>
      <c r="I41" s="159">
        <f t="shared" si="3"/>
        <v>23416.777349999997</v>
      </c>
      <c r="J41" s="163" t="s">
        <v>42</v>
      </c>
      <c r="K41" s="218">
        <v>0</v>
      </c>
      <c r="L41" s="333">
        <v>0.16886000000000001</v>
      </c>
      <c r="M41" s="159">
        <f t="shared" si="2"/>
        <v>0</v>
      </c>
      <c r="P41" s="498"/>
      <c r="Q41" s="498"/>
    </row>
    <row r="42" spans="1:17" ht="16.5" thickBot="1">
      <c r="A42" s="7" t="s">
        <v>178</v>
      </c>
      <c r="B42" s="516" t="s">
        <v>179</v>
      </c>
      <c r="C42" s="89">
        <v>248133.12</v>
      </c>
      <c r="D42" s="8"/>
      <c r="F42" s="163" t="s">
        <v>41</v>
      </c>
      <c r="G42" s="219">
        <f t="shared" si="4"/>
        <v>26197</v>
      </c>
      <c r="H42" s="333">
        <v>0.17066999999999999</v>
      </c>
      <c r="I42" s="159">
        <f t="shared" si="3"/>
        <v>4471.0419899999997</v>
      </c>
      <c r="J42" s="163" t="s">
        <v>43</v>
      </c>
      <c r="K42" s="220">
        <v>0</v>
      </c>
      <c r="L42" s="333">
        <v>0.16886000000000001</v>
      </c>
      <c r="M42" s="159">
        <f t="shared" si="2"/>
        <v>0</v>
      </c>
      <c r="P42" s="498"/>
      <c r="Q42" s="498"/>
    </row>
    <row r="43" spans="1:17" ht="16.5" thickBot="1">
      <c r="A43" s="56" t="s">
        <v>123</v>
      </c>
      <c r="B43" s="12"/>
      <c r="C43" s="564">
        <f>SUM(C37:C42)</f>
        <v>4655530.33</v>
      </c>
      <c r="D43" s="565"/>
      <c r="F43" s="163" t="s">
        <v>42</v>
      </c>
      <c r="G43" s="219">
        <f t="shared" si="4"/>
        <v>0</v>
      </c>
      <c r="H43" s="333">
        <v>0.17066999999999999</v>
      </c>
      <c r="I43" s="159">
        <f t="shared" si="3"/>
        <v>0</v>
      </c>
      <c r="J43" s="162" t="s">
        <v>133</v>
      </c>
      <c r="K43" s="144">
        <f>SUM(K36:K42)</f>
        <v>2306608</v>
      </c>
      <c r="L43" s="145"/>
      <c r="M43" s="160">
        <f>SUM(M36:M42)</f>
        <v>389493.82688000007</v>
      </c>
    </row>
    <row r="44" spans="1:17" ht="16.5" thickBot="1">
      <c r="A44" s="568" t="s">
        <v>177</v>
      </c>
      <c r="B44" s="569" t="s">
        <v>120</v>
      </c>
      <c r="C44" s="89">
        <v>1213550.3500000001</v>
      </c>
      <c r="D44" s="8"/>
      <c r="F44" s="163" t="s">
        <v>43</v>
      </c>
      <c r="G44" s="219">
        <f t="shared" si="4"/>
        <v>36912</v>
      </c>
      <c r="H44" s="333">
        <v>0.17066999999999999</v>
      </c>
      <c r="I44" s="159">
        <f t="shared" si="3"/>
        <v>6299.7710399999996</v>
      </c>
      <c r="J44" s="157"/>
      <c r="K44" s="190">
        <v>2306608</v>
      </c>
      <c r="L44" s="152" t="s">
        <v>102</v>
      </c>
      <c r="M44" s="177">
        <f>M43/K43</f>
        <v>0.16886000000000004</v>
      </c>
    </row>
    <row r="45" spans="1:17" ht="16.5" thickBot="1">
      <c r="A45" s="173" t="s">
        <v>168</v>
      </c>
      <c r="B45" s="445" t="s">
        <v>115</v>
      </c>
      <c r="C45" s="89">
        <v>0</v>
      </c>
      <c r="D45" s="566"/>
      <c r="F45" s="162" t="s">
        <v>133</v>
      </c>
      <c r="G45" s="144">
        <f>SUM(G37:G44)</f>
        <v>4252935</v>
      </c>
      <c r="H45" s="145"/>
      <c r="I45" s="160">
        <f>SUM(I37:I44)</f>
        <v>725848.41645000014</v>
      </c>
      <c r="J45" s="56"/>
      <c r="K45" s="189"/>
      <c r="L45" s="150"/>
      <c r="M45" s="441"/>
    </row>
    <row r="46" spans="1:17" ht="19.5" customHeight="1" thickTop="1" thickBot="1">
      <c r="A46" s="173" t="s">
        <v>169</v>
      </c>
      <c r="B46" s="445" t="s">
        <v>115</v>
      </c>
      <c r="C46" s="89">
        <v>0</v>
      </c>
      <c r="D46" s="567"/>
      <c r="F46" s="151"/>
      <c r="G46" s="190">
        <v>4252935</v>
      </c>
      <c r="H46" s="152" t="s">
        <v>102</v>
      </c>
      <c r="I46" s="175">
        <f>I45/G45</f>
        <v>0.17067000000000004</v>
      </c>
      <c r="J46" s="56"/>
      <c r="K46" s="189"/>
      <c r="L46" s="150"/>
      <c r="M46" s="441"/>
    </row>
    <row r="47" spans="1:17" ht="19.5" customHeight="1">
      <c r="A47" s="331" t="s">
        <v>137</v>
      </c>
      <c r="B47" s="445" t="s">
        <v>115</v>
      </c>
      <c r="C47" s="89">
        <v>0</v>
      </c>
      <c r="D47" s="565"/>
      <c r="G47" s="188">
        <f>G45-G46</f>
        <v>0</v>
      </c>
      <c r="J47" s="91"/>
      <c r="K47" s="188">
        <f>K43-K44</f>
        <v>0</v>
      </c>
      <c r="M47" s="91"/>
    </row>
    <row r="48" spans="1:17" ht="16.5" thickBot="1">
      <c r="A48" s="173" t="s">
        <v>303</v>
      </c>
      <c r="B48" s="445" t="s">
        <v>115</v>
      </c>
      <c r="C48" s="89">
        <v>7000</v>
      </c>
      <c r="D48" s="565"/>
      <c r="J48" s="91"/>
      <c r="K48" s="82"/>
      <c r="M48" s="42"/>
    </row>
    <row r="49" spans="1:21" ht="15.75">
      <c r="A49" s="7" t="s">
        <v>130</v>
      </c>
      <c r="B49" s="516" t="s">
        <v>152</v>
      </c>
      <c r="C49" s="89">
        <v>14660.59</v>
      </c>
      <c r="D49" s="565"/>
      <c r="G49" s="82"/>
      <c r="H49" s="95" t="s">
        <v>35</v>
      </c>
      <c r="I49" s="13" t="s">
        <v>35</v>
      </c>
      <c r="J49" s="13" t="s">
        <v>63</v>
      </c>
      <c r="K49" s="93" t="s">
        <v>70</v>
      </c>
      <c r="L49" s="91"/>
    </row>
    <row r="50" spans="1:21" ht="16.5" thickBot="1">
      <c r="A50" s="7" t="s">
        <v>221</v>
      </c>
      <c r="B50" s="516" t="s">
        <v>152</v>
      </c>
      <c r="C50" s="89">
        <v>2364.0300000000002</v>
      </c>
      <c r="D50" s="8"/>
      <c r="F50" s="26" t="s">
        <v>73</v>
      </c>
      <c r="H50" s="96" t="s">
        <v>2</v>
      </c>
      <c r="I50" s="97" t="s">
        <v>3</v>
      </c>
      <c r="J50" s="97" t="s">
        <v>2</v>
      </c>
      <c r="K50" s="94" t="s">
        <v>3</v>
      </c>
    </row>
    <row r="51" spans="1:21" ht="15.75">
      <c r="A51" s="7" t="s">
        <v>306</v>
      </c>
      <c r="B51" s="516" t="s">
        <v>152</v>
      </c>
      <c r="C51" s="89">
        <v>5209.41</v>
      </c>
      <c r="D51" s="565"/>
      <c r="H51" s="115"/>
      <c r="I51" s="116"/>
      <c r="J51" s="116"/>
      <c r="K51" s="116"/>
      <c r="L51" s="92" t="s">
        <v>103</v>
      </c>
    </row>
    <row r="52" spans="1:21" ht="15.75">
      <c r="A52" s="132" t="s">
        <v>118</v>
      </c>
      <c r="B52" s="445"/>
      <c r="C52" s="69">
        <f>-C33</f>
        <v>11898.609999999999</v>
      </c>
      <c r="D52" s="562"/>
      <c r="F52" s="331" t="s">
        <v>136</v>
      </c>
      <c r="H52" s="174">
        <f>K12</f>
        <v>-1358749.4601399999</v>
      </c>
      <c r="I52" s="83">
        <f>I14</f>
        <v>1505354.3760299999</v>
      </c>
      <c r="J52" s="83">
        <f>L12</f>
        <v>-736792.63986</v>
      </c>
      <c r="K52" s="83">
        <f>J14</f>
        <v>674423.17397</v>
      </c>
      <c r="L52" s="98">
        <f>SUM(H52:K52)</f>
        <v>84235.45000000007</v>
      </c>
    </row>
    <row r="53" spans="1:21" ht="16.5" thickBot="1">
      <c r="A53" s="331" t="s">
        <v>313</v>
      </c>
      <c r="B53" s="516" t="s">
        <v>314</v>
      </c>
      <c r="C53" s="89">
        <v>9464.09</v>
      </c>
      <c r="D53" s="562"/>
      <c r="F53" s="331" t="s">
        <v>109</v>
      </c>
      <c r="H53" s="174">
        <f>-I45</f>
        <v>-725848.41645000014</v>
      </c>
      <c r="I53" s="83">
        <f>-I32</f>
        <v>-415140.37749000004</v>
      </c>
      <c r="J53" s="83">
        <f>-M43</f>
        <v>-389493.82688000007</v>
      </c>
      <c r="K53" s="83">
        <f>-M28</f>
        <v>-221065.31071999998</v>
      </c>
      <c r="L53" s="217">
        <f>SUM(H53:K53)</f>
        <v>-1751547.9315400003</v>
      </c>
    </row>
    <row r="54" spans="1:21" ht="16.5" thickBot="1">
      <c r="A54" s="331" t="s">
        <v>124</v>
      </c>
      <c r="B54" s="445" t="s">
        <v>295</v>
      </c>
      <c r="C54" s="89">
        <v>-7640500.7599999998</v>
      </c>
      <c r="D54" s="565"/>
      <c r="F54" s="331" t="s">
        <v>86</v>
      </c>
      <c r="H54" s="192">
        <v>0</v>
      </c>
      <c r="I54" s="193">
        <v>0</v>
      </c>
      <c r="J54" s="193">
        <v>0</v>
      </c>
      <c r="K54" s="194">
        <v>0</v>
      </c>
      <c r="L54" s="570">
        <f>SUM(L52:L53)</f>
        <v>-1667312.4815400001</v>
      </c>
    </row>
    <row r="55" spans="1:21" ht="16.5" thickBot="1">
      <c r="A55" s="331" t="s">
        <v>310</v>
      </c>
      <c r="B55" s="445" t="s">
        <v>190</v>
      </c>
      <c r="C55" s="89">
        <v>-375000</v>
      </c>
      <c r="D55" s="565"/>
      <c r="F55" s="331" t="s">
        <v>71</v>
      </c>
      <c r="H55" s="564">
        <f>IFERROR(H52+H53+H54,0)</f>
        <v>-2084597.87659</v>
      </c>
      <c r="I55" s="564">
        <f>I52+I53+I54</f>
        <v>1090213.9985399998</v>
      </c>
      <c r="J55" s="564">
        <f>IFERROR(J52+J53+J54,0)</f>
        <v>-1126286.4667400001</v>
      </c>
      <c r="K55" s="564">
        <f>K52+K53+K54</f>
        <v>453357.86325000005</v>
      </c>
      <c r="L55" s="571">
        <f>SUM(H55:K55)</f>
        <v>-1667312.4815400005</v>
      </c>
    </row>
    <row r="56" spans="1:21" ht="16.5" thickBot="1">
      <c r="A56" s="572" t="s">
        <v>119</v>
      </c>
      <c r="B56" s="569"/>
      <c r="C56" s="123">
        <f>SUM(C43:C55)</f>
        <v>-2095823.3499999996</v>
      </c>
      <c r="D56" s="565"/>
      <c r="F56" s="573" t="s">
        <v>181</v>
      </c>
      <c r="H56" s="331" t="s">
        <v>173</v>
      </c>
      <c r="I56" s="7">
        <f>SUM(H55:I55)</f>
        <v>-994383.87805000017</v>
      </c>
      <c r="J56" s="41" t="s">
        <v>174</v>
      </c>
      <c r="K56" s="331">
        <f>SUM(J55:K55)</f>
        <v>-672928.60349000001</v>
      </c>
      <c r="L56" s="574">
        <f>ROUND(L54-L55,3)</f>
        <v>0</v>
      </c>
      <c r="T56" s="575"/>
    </row>
    <row r="57" spans="1:21" ht="16.5" thickTop="1">
      <c r="A57" s="331" t="s">
        <v>121</v>
      </c>
      <c r="B57" s="445" t="s">
        <v>350</v>
      </c>
      <c r="C57" s="89">
        <v>182.4</v>
      </c>
      <c r="D57" s="565"/>
      <c r="F57" s="576" t="s">
        <v>181</v>
      </c>
      <c r="H57" s="577"/>
    </row>
    <row r="58" spans="1:21" ht="16.5" thickBot="1">
      <c r="A58" s="331" t="s">
        <v>122</v>
      </c>
      <c r="B58" s="445" t="s">
        <v>351</v>
      </c>
      <c r="C58" s="89">
        <v>98.85</v>
      </c>
      <c r="D58" s="565"/>
      <c r="F58" s="576" t="s">
        <v>182</v>
      </c>
      <c r="H58" s="566"/>
      <c r="I58" s="578"/>
      <c r="J58" s="578"/>
      <c r="K58" s="579"/>
      <c r="L58" s="578"/>
    </row>
    <row r="59" spans="1:21" ht="16.5" thickBot="1">
      <c r="A59" s="26" t="s">
        <v>125</v>
      </c>
      <c r="B59" s="26"/>
      <c r="C59" s="123">
        <f>SUM(C56:C58)</f>
        <v>-2095542.0999999996</v>
      </c>
      <c r="D59" s="565"/>
      <c r="F59" s="580" t="s">
        <v>302</v>
      </c>
      <c r="G59" s="26" t="str">
        <f>IF(OR(AND(I56&gt;0,K56&gt;0),AND(I56&lt;0,K56&lt;0)),"OK","ERROR")</f>
        <v>OK</v>
      </c>
      <c r="H59" s="115" t="s">
        <v>293</v>
      </c>
      <c r="I59" s="167"/>
    </row>
    <row r="60" spans="1:21" ht="17.25" thickTop="1" thickBot="1">
      <c r="A60" s="26"/>
      <c r="C60" s="444"/>
      <c r="D60" s="565"/>
      <c r="H60" s="118" t="s">
        <v>175</v>
      </c>
      <c r="I60" s="549" t="s">
        <v>176</v>
      </c>
      <c r="J60" s="7"/>
    </row>
    <row r="61" spans="1:21" ht="16.5" thickBot="1">
      <c r="A61" s="107"/>
      <c r="B61" s="107" t="s">
        <v>95</v>
      </c>
      <c r="C61" s="564">
        <f>C59+C34</f>
        <v>84235.450000000186</v>
      </c>
      <c r="D61" s="565"/>
      <c r="H61" s="297" t="e">
        <f>SUM('WA - Def-Amtz (current)'!BB5:BB40)+SUM(#REF!)</f>
        <v>#REF!</v>
      </c>
      <c r="I61" s="392" t="e">
        <f>SUM('WA - Def-Amtz (current)'!BC5:BC41)+SUM(#REF!)</f>
        <v>#REF!</v>
      </c>
      <c r="J61" s="331">
        <f>H53+I53+J53+K53</f>
        <v>-1751547.9315400003</v>
      </c>
    </row>
    <row r="62" spans="1:21" ht="15.75">
      <c r="A62" s="26"/>
      <c r="B62" s="107" t="s">
        <v>160</v>
      </c>
      <c r="C62" s="446">
        <v>84235.45</v>
      </c>
      <c r="D62" s="8"/>
      <c r="G62" s="7"/>
      <c r="I62" s="69" t="e">
        <f>H61-I61</f>
        <v>#REF!</v>
      </c>
      <c r="N62" s="7"/>
      <c r="O62" s="7"/>
      <c r="P62" s="581"/>
    </row>
    <row r="63" spans="1:21" ht="15.75">
      <c r="A63" s="107"/>
      <c r="B63" s="107" t="s">
        <v>384</v>
      </c>
      <c r="C63" s="69">
        <f>ROUND(C61-C62,2)</f>
        <v>0</v>
      </c>
      <c r="S63" s="445"/>
    </row>
    <row r="64" spans="1:21" ht="15.75">
      <c r="A64" s="57"/>
      <c r="C64" s="582"/>
      <c r="D64" s="565"/>
      <c r="N64" s="132"/>
      <c r="U64" s="26"/>
    </row>
    <row r="65" spans="1:21" ht="15.75">
      <c r="A65" s="57"/>
      <c r="C65" s="8"/>
      <c r="D65" s="583"/>
      <c r="N65" s="132"/>
      <c r="S65" s="584"/>
    </row>
    <row r="66" spans="1:21" ht="15.75">
      <c r="A66" s="26"/>
      <c r="C66" s="8"/>
      <c r="D66" s="565"/>
      <c r="N66" s="132"/>
      <c r="S66" s="585"/>
    </row>
    <row r="67" spans="1:21">
      <c r="C67" s="69"/>
      <c r="D67" s="565"/>
      <c r="N67" s="132"/>
      <c r="S67" s="586"/>
    </row>
    <row r="68" spans="1:21">
      <c r="D68" s="565"/>
      <c r="N68" s="132"/>
      <c r="S68" s="585"/>
    </row>
    <row r="69" spans="1:21">
      <c r="D69" s="565"/>
      <c r="N69" s="132"/>
    </row>
    <row r="70" spans="1:21">
      <c r="D70" s="8"/>
      <c r="N70" s="132"/>
      <c r="S70" s="587"/>
    </row>
    <row r="71" spans="1:21">
      <c r="D71" s="565"/>
    </row>
    <row r="72" spans="1:21">
      <c r="D72" s="565"/>
    </row>
    <row r="73" spans="1:21">
      <c r="D73" s="565"/>
      <c r="S73" s="588"/>
    </row>
    <row r="74" spans="1:21">
      <c r="D74" s="154"/>
      <c r="R74" s="445"/>
      <c r="S74" s="445"/>
      <c r="T74" s="445"/>
    </row>
    <row r="76" spans="1:21">
      <c r="U76" s="589"/>
    </row>
    <row r="1477" spans="3:3">
      <c r="C1477" s="331">
        <v>-2130</v>
      </c>
    </row>
    <row r="1485" spans="3:3">
      <c r="C1485" s="331">
        <f>7004298-2130</f>
        <v>7002168</v>
      </c>
    </row>
  </sheetData>
  <mergeCells count="3">
    <mergeCell ref="F18:I18"/>
    <mergeCell ref="J18:M18"/>
    <mergeCell ref="K35:M35"/>
  </mergeCells>
  <conditionalFormatting sqref="C63 L56 I62">
    <cfRule type="cellIs" dxfId="218" priority="7" stopIfTrue="1" operator="equal">
      <formula>0</formula>
    </cfRule>
    <cfRule type="cellIs" dxfId="217" priority="8" stopIfTrue="1" operator="notEqual">
      <formula>0</formula>
    </cfRule>
  </conditionalFormatting>
  <conditionalFormatting sqref="G34 G47 K30 K47">
    <cfRule type="cellIs" dxfId="216" priority="6" operator="notEqual">
      <formula>0</formula>
    </cfRule>
  </conditionalFormatting>
  <conditionalFormatting sqref="C63">
    <cfRule type="cellIs" dxfId="215" priority="4" stopIfTrue="1" operator="equal">
      <formula>0</formula>
    </cfRule>
    <cfRule type="cellIs" dxfId="214" priority="5" stopIfTrue="1" operator="notEqual">
      <formula>0</formula>
    </cfRule>
  </conditionalFormatting>
  <conditionalFormatting sqref="K30">
    <cfRule type="cellIs" dxfId="213" priority="3" operator="notEqual">
      <formula>0</formula>
    </cfRule>
  </conditionalFormatting>
  <conditionalFormatting sqref="G59">
    <cfRule type="cellIs" dxfId="212" priority="2" operator="equal">
      <formula>"ERROR"</formula>
    </cfRule>
  </conditionalFormatting>
  <conditionalFormatting sqref="G59">
    <cfRule type="cellIs" dxfId="211" priority="1" operator="equal">
      <formula>"ERROR"</formula>
    </cfRule>
  </conditionalFormatting>
  <printOptions verticalCentered="1" gridLinesSet="0"/>
  <pageMargins left="0.5" right="0" top="0.25" bottom="0.5" header="0" footer="0.25"/>
  <pageSetup scale="47" orientation="landscape" cellComments="asDisplayed" r:id="rId1"/>
  <headerFooter alignWithMargins="0">
    <oddFooter>&amp;L&amp;F&amp;C&amp;A&amp;R&amp;D&amp;T</oddFoot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tabColor rgb="FF00CC66"/>
    <pageSetUpPr fitToPage="1"/>
  </sheetPr>
  <dimension ref="A1:BR111"/>
  <sheetViews>
    <sheetView showGridLines="0" tabSelected="1" zoomScale="70" zoomScaleNormal="70" zoomScaleSheetLayoutView="85" workbookViewId="0">
      <pane xSplit="2" ySplit="3" topLeftCell="AC4" activePane="bottomRight" state="frozen"/>
      <selection activeCell="BD49" activeCellId="1" sqref="BD13 BD49"/>
      <selection pane="topRight" activeCell="BD49" activeCellId="1" sqref="BD13 BD49"/>
      <selection pane="bottomLeft" activeCell="BD49" activeCellId="1" sqref="BD13 BD49"/>
      <selection pane="bottomRight"/>
    </sheetView>
  </sheetViews>
  <sheetFormatPr defaultColWidth="9.140625" defaultRowHeight="15" outlineLevelRow="1" outlineLevelCol="1"/>
  <cols>
    <col min="1" max="1" width="17.28515625" style="331" customWidth="1"/>
    <col min="2" max="2" width="18.7109375" style="41" customWidth="1"/>
    <col min="3" max="3" width="17.5703125" style="331" hidden="1" customWidth="1"/>
    <col min="4" max="4" width="17.85546875" style="331" hidden="1" customWidth="1"/>
    <col min="5" max="6" width="16.28515625" style="331" hidden="1" customWidth="1" outlineLevel="1"/>
    <col min="7" max="7" width="17.42578125" style="331" hidden="1" customWidth="1" outlineLevel="1"/>
    <col min="8" max="8" width="15.5703125" style="331" hidden="1" customWidth="1" outlineLevel="1"/>
    <col min="9" max="13" width="17.42578125" style="331" hidden="1" customWidth="1" outlineLevel="1"/>
    <col min="14" max="14" width="17.5703125" style="331" hidden="1" customWidth="1" outlineLevel="1"/>
    <col min="15" max="15" width="18.140625" style="331" hidden="1" customWidth="1" outlineLevel="1"/>
    <col min="16" max="16" width="17.7109375" style="331" hidden="1" customWidth="1" outlineLevel="1"/>
    <col min="17" max="17" width="18.7109375" style="331" hidden="1" customWidth="1" outlineLevel="1" collapsed="1"/>
    <col min="18" max="18" width="19.140625" style="331" hidden="1" customWidth="1" outlineLevel="1"/>
    <col min="19" max="19" width="17.42578125" style="331" hidden="1" customWidth="1" outlineLevel="1"/>
    <col min="20" max="20" width="16.7109375" style="331" hidden="1" customWidth="1" outlineLevel="1"/>
    <col min="21" max="22" width="17.42578125" style="331" hidden="1" customWidth="1" outlineLevel="1"/>
    <col min="23" max="23" width="17.42578125" style="331" hidden="1" customWidth="1" outlineLevel="1" collapsed="1"/>
    <col min="24" max="25" width="17.42578125" style="331" hidden="1" customWidth="1" outlineLevel="1"/>
    <col min="26" max="26" width="18.5703125" style="331" hidden="1" customWidth="1" outlineLevel="1"/>
    <col min="27" max="27" width="18.140625" style="331" hidden="1" customWidth="1" outlineLevel="1"/>
    <col min="28" max="28" width="17.7109375" style="331" hidden="1" customWidth="1" outlineLevel="1"/>
    <col min="29" max="29" width="17.7109375" style="331" hidden="1" customWidth="1" outlineLevel="1" collapsed="1"/>
    <col min="30" max="40" width="17.7109375" style="331" hidden="1" customWidth="1" outlineLevel="1"/>
    <col min="41" max="41" width="17.7109375" style="331" customWidth="1" collapsed="1"/>
    <col min="42" max="45" width="17.7109375" style="331" customWidth="1"/>
    <col min="46" max="49" width="18.85546875" style="331" customWidth="1"/>
    <col min="50" max="50" width="34.42578125" style="331" customWidth="1"/>
    <col min="51" max="51" width="14.42578125" style="173" bestFit="1" customWidth="1"/>
    <col min="52" max="52" width="4.7109375" style="331" bestFit="1" customWidth="1"/>
    <col min="53" max="53" width="5" style="331" bestFit="1" customWidth="1"/>
    <col min="54" max="54" width="18.28515625" style="331" customWidth="1"/>
    <col min="55" max="55" width="17.140625" style="331" bestFit="1" customWidth="1"/>
    <col min="56" max="56" width="0.42578125" style="331" customWidth="1"/>
    <col min="57" max="57" width="9.140625" style="331"/>
    <col min="58" max="58" width="10.5703125" style="331" bestFit="1" customWidth="1"/>
    <col min="59" max="59" width="11.28515625" style="331" bestFit="1" customWidth="1"/>
    <col min="60" max="62" width="9.140625" style="331"/>
    <col min="63" max="63" width="23.85546875" style="331" bestFit="1" customWidth="1"/>
    <col min="64" max="64" width="11.7109375" style="331" bestFit="1" customWidth="1"/>
    <col min="65" max="65" width="4.28515625" style="331" bestFit="1" customWidth="1"/>
    <col min="66" max="66" width="4.5703125" style="331" bestFit="1" customWidth="1"/>
    <col min="67" max="69" width="11.7109375" style="331" bestFit="1" customWidth="1"/>
    <col min="70" max="16384" width="9.140625" style="331"/>
  </cols>
  <sheetData>
    <row r="1" spans="1:57" ht="15.75">
      <c r="A1" s="538" t="s">
        <v>260</v>
      </c>
      <c r="AX1" s="538"/>
      <c r="BA1" s="26" t="s">
        <v>312</v>
      </c>
      <c r="BB1" s="26"/>
    </row>
    <row r="2" spans="1:57" ht="15.75">
      <c r="A2" s="26" t="s">
        <v>261</v>
      </c>
      <c r="AT2" s="539"/>
      <c r="AU2" s="539"/>
      <c r="AV2" s="539"/>
      <c r="AW2" s="539"/>
    </row>
    <row r="3" spans="1:57" s="26" customFormat="1" ht="32.25" thickBot="1">
      <c r="A3" s="496">
        <v>191010</v>
      </c>
      <c r="B3" s="107" t="s">
        <v>251</v>
      </c>
      <c r="C3" s="539" t="s">
        <v>247</v>
      </c>
      <c r="D3" s="540" t="s">
        <v>256</v>
      </c>
      <c r="E3" s="496">
        <v>201601</v>
      </c>
      <c r="F3" s="496">
        <f>E3+1</f>
        <v>201602</v>
      </c>
      <c r="G3" s="496">
        <f t="shared" ref="G3:O3" si="0">F3+1</f>
        <v>201603</v>
      </c>
      <c r="H3" s="496">
        <f t="shared" si="0"/>
        <v>201604</v>
      </c>
      <c r="I3" s="496">
        <f t="shared" si="0"/>
        <v>201605</v>
      </c>
      <c r="J3" s="496">
        <f t="shared" si="0"/>
        <v>201606</v>
      </c>
      <c r="K3" s="496">
        <f>J3+1</f>
        <v>201607</v>
      </c>
      <c r="L3" s="496">
        <f t="shared" si="0"/>
        <v>201608</v>
      </c>
      <c r="M3" s="496">
        <f t="shared" si="0"/>
        <v>201609</v>
      </c>
      <c r="N3" s="496">
        <f t="shared" si="0"/>
        <v>201610</v>
      </c>
      <c r="O3" s="496">
        <f t="shared" si="0"/>
        <v>201611</v>
      </c>
      <c r="P3" s="496">
        <f>O3+1</f>
        <v>201612</v>
      </c>
      <c r="Q3" s="496">
        <v>201701</v>
      </c>
      <c r="R3" s="496">
        <f>Q3+1</f>
        <v>201702</v>
      </c>
      <c r="S3" s="496">
        <f t="shared" ref="S3" si="1">R3+1</f>
        <v>201703</v>
      </c>
      <c r="T3" s="496">
        <f t="shared" ref="T3" si="2">S3+1</f>
        <v>201704</v>
      </c>
      <c r="U3" s="496">
        <f t="shared" ref="U3" si="3">T3+1</f>
        <v>201705</v>
      </c>
      <c r="V3" s="496">
        <f t="shared" ref="V3" si="4">U3+1</f>
        <v>201706</v>
      </c>
      <c r="W3" s="496">
        <f>V3+1</f>
        <v>201707</v>
      </c>
      <c r="X3" s="496">
        <f t="shared" ref="X3" si="5">W3+1</f>
        <v>201708</v>
      </c>
      <c r="Y3" s="496">
        <f t="shared" ref="Y3" si="6">X3+1</f>
        <v>201709</v>
      </c>
      <c r="Z3" s="496">
        <f t="shared" ref="Z3" si="7">Y3+1</f>
        <v>201710</v>
      </c>
      <c r="AA3" s="496">
        <f t="shared" ref="AA3" si="8">Z3+1</f>
        <v>201711</v>
      </c>
      <c r="AB3" s="496">
        <f>AA3+1</f>
        <v>201712</v>
      </c>
      <c r="AC3" s="496">
        <v>201801</v>
      </c>
      <c r="AD3" s="496">
        <v>201802</v>
      </c>
      <c r="AE3" s="496">
        <v>201803</v>
      </c>
      <c r="AF3" s="496">
        <v>201804</v>
      </c>
      <c r="AG3" s="496">
        <v>201805</v>
      </c>
      <c r="AH3" s="496">
        <v>201806</v>
      </c>
      <c r="AI3" s="496">
        <v>201807</v>
      </c>
      <c r="AJ3" s="496">
        <v>201808</v>
      </c>
      <c r="AK3" s="496">
        <v>201809</v>
      </c>
      <c r="AL3" s="496">
        <v>201810</v>
      </c>
      <c r="AM3" s="496">
        <v>201811</v>
      </c>
      <c r="AN3" s="496">
        <v>201812</v>
      </c>
      <c r="AO3" s="496">
        <v>201901</v>
      </c>
      <c r="AP3" s="496">
        <v>201902</v>
      </c>
      <c r="AQ3" s="496">
        <v>201903</v>
      </c>
      <c r="AR3" s="496">
        <v>201904</v>
      </c>
      <c r="AS3" s="496">
        <v>201905</v>
      </c>
      <c r="AT3" s="502" t="s">
        <v>355</v>
      </c>
      <c r="AU3" s="502">
        <v>201906</v>
      </c>
      <c r="AV3" s="502">
        <v>201907</v>
      </c>
      <c r="AW3" s="502">
        <v>201908</v>
      </c>
      <c r="AY3" s="538" t="s">
        <v>294</v>
      </c>
    </row>
    <row r="4" spans="1:57" s="26" customFormat="1" ht="16.5" thickBot="1">
      <c r="B4" s="107" t="s">
        <v>252</v>
      </c>
      <c r="C4" s="331"/>
      <c r="E4" s="492">
        <v>3.2500000000000001E-2</v>
      </c>
      <c r="F4" s="492">
        <v>3.2500000000000001E-2</v>
      </c>
      <c r="G4" s="492">
        <v>3.2500000000000001E-2</v>
      </c>
      <c r="H4" s="492">
        <v>3.4599999999999999E-2</v>
      </c>
      <c r="I4" s="492">
        <v>3.4599999999999999E-2</v>
      </c>
      <c r="J4" s="492">
        <v>3.4599999999999999E-2</v>
      </c>
      <c r="K4" s="492">
        <v>3.5000000000000003E-2</v>
      </c>
      <c r="L4" s="492">
        <v>3.5000000000000003E-2</v>
      </c>
      <c r="M4" s="492">
        <v>3.5000000000000003E-2</v>
      </c>
      <c r="N4" s="492">
        <v>3.5000000000000003E-2</v>
      </c>
      <c r="O4" s="492">
        <v>3.5000000000000003E-2</v>
      </c>
      <c r="P4" s="492">
        <v>3.5000000000000003E-2</v>
      </c>
      <c r="Q4" s="492">
        <v>3.5000000000000003E-2</v>
      </c>
      <c r="R4" s="492">
        <v>3.5000000000000003E-2</v>
      </c>
      <c r="S4" s="492">
        <v>3.5000000000000003E-2</v>
      </c>
      <c r="T4" s="492">
        <v>3.7100000000000001E-2</v>
      </c>
      <c r="U4" s="492">
        <v>3.7100000000000001E-2</v>
      </c>
      <c r="V4" s="492">
        <v>3.7100000000000001E-2</v>
      </c>
      <c r="W4" s="492">
        <v>3.9600000000000003E-2</v>
      </c>
      <c r="X4" s="492">
        <v>3.9600000000000003E-2</v>
      </c>
      <c r="Y4" s="492">
        <v>3.9600000000000003E-2</v>
      </c>
      <c r="Z4" s="492">
        <v>4.2099999999999999E-2</v>
      </c>
      <c r="AA4" s="492">
        <v>4.2099999999999999E-2</v>
      </c>
      <c r="AB4" s="492">
        <v>4.2099999999999999E-2</v>
      </c>
      <c r="AC4" s="492">
        <v>4.2500000000000003E-2</v>
      </c>
      <c r="AD4" s="492">
        <v>4.2500000000000003E-2</v>
      </c>
      <c r="AE4" s="492">
        <v>4.2500000000000003E-2</v>
      </c>
      <c r="AF4" s="492">
        <v>4.4699999999999997E-2</v>
      </c>
      <c r="AG4" s="492">
        <v>4.4699999999999997E-2</v>
      </c>
      <c r="AH4" s="492">
        <v>4.4699999999999997E-2</v>
      </c>
      <c r="AI4" s="492">
        <v>4.6899999999999997E-2</v>
      </c>
      <c r="AJ4" s="492">
        <v>4.6899999999999997E-2</v>
      </c>
      <c r="AK4" s="492">
        <v>4.6899999999999997E-2</v>
      </c>
      <c r="AL4" s="492">
        <v>4.9599999999999998E-2</v>
      </c>
      <c r="AM4" s="492">
        <v>4.9599999999999998E-2</v>
      </c>
      <c r="AN4" s="492">
        <v>4.9599999999999998E-2</v>
      </c>
      <c r="AO4" s="492">
        <v>5.1799999999999999E-2</v>
      </c>
      <c r="AP4" s="492">
        <v>5.1799999999999999E-2</v>
      </c>
      <c r="AQ4" s="492">
        <v>5.1799999999999999E-2</v>
      </c>
      <c r="AR4" s="492">
        <v>5.45E-2</v>
      </c>
      <c r="AS4" s="492">
        <v>5.45E-2</v>
      </c>
      <c r="AT4" s="492">
        <v>5.45E-2</v>
      </c>
      <c r="AU4" s="492">
        <v>5.45E-2</v>
      </c>
      <c r="AV4" s="492">
        <v>5.5E-2</v>
      </c>
      <c r="AW4" s="492">
        <v>5.5E-2</v>
      </c>
      <c r="AX4" s="541">
        <v>201908</v>
      </c>
      <c r="AY4" s="542"/>
      <c r="AZ4" s="116"/>
      <c r="BA4" s="116"/>
      <c r="BB4" s="116"/>
      <c r="BC4" s="543"/>
    </row>
    <row r="5" spans="1:57" ht="15.75" thickBot="1">
      <c r="B5" s="41" t="s">
        <v>249</v>
      </c>
      <c r="D5" s="331">
        <f>E5</f>
        <v>-6508323.8685397729</v>
      </c>
      <c r="E5" s="331">
        <v>-6508323.8685397729</v>
      </c>
      <c r="F5" s="331">
        <f t="shared" ref="F5:P5" si="9">E13</f>
        <v>-8439847.1132167727</v>
      </c>
      <c r="G5" s="331">
        <f t="shared" si="9"/>
        <v>-9264796.9494047705</v>
      </c>
      <c r="H5" s="331">
        <f t="shared" si="9"/>
        <v>-10398819.535470769</v>
      </c>
      <c r="I5" s="331">
        <f t="shared" si="9"/>
        <v>-12153304.785960769</v>
      </c>
      <c r="J5" s="331">
        <f t="shared" si="9"/>
        <v>-12778894.072104771</v>
      </c>
      <c r="K5" s="331">
        <f>J13</f>
        <v>-14182183.944992768</v>
      </c>
      <c r="L5" s="331">
        <f t="shared" si="9"/>
        <v>-15130761.40771677</v>
      </c>
      <c r="M5" s="331">
        <f>L13</f>
        <v>-15660034.00335677</v>
      </c>
      <c r="N5" s="331">
        <f t="shared" si="9"/>
        <v>-16306032.832939774</v>
      </c>
      <c r="O5" s="331">
        <f>N13</f>
        <v>-16534597.329101773</v>
      </c>
      <c r="P5" s="331">
        <f t="shared" si="9"/>
        <v>-3075004.5709557864</v>
      </c>
      <c r="Q5" s="331">
        <f>P13</f>
        <v>-6818269.0378097855</v>
      </c>
      <c r="R5" s="331">
        <f>Q13</f>
        <v>-10248016.525328787</v>
      </c>
      <c r="S5" s="331">
        <f>R13</f>
        <v>-12338677.191237787</v>
      </c>
      <c r="T5" s="331">
        <f t="shared" ref="T5" si="10">S13</f>
        <v>-13990367.081666788</v>
      </c>
      <c r="U5" s="331">
        <f t="shared" ref="U5" si="11">T13</f>
        <v>-15173451.409781789</v>
      </c>
      <c r="V5" s="331">
        <f t="shared" ref="V5" si="12">U13</f>
        <v>-15098116.96234579</v>
      </c>
      <c r="W5" s="331">
        <f>V13</f>
        <v>-14771177.38731979</v>
      </c>
      <c r="X5" s="331">
        <f t="shared" ref="X5" si="13">W13</f>
        <v>-15909772.702550791</v>
      </c>
      <c r="Y5" s="331">
        <f>X13</f>
        <v>-16977268.897435792</v>
      </c>
      <c r="Z5" s="331">
        <f t="shared" ref="Z5" si="14">Y13</f>
        <v>-18962414.798894793</v>
      </c>
      <c r="AA5" s="331">
        <f>Z13</f>
        <v>-21954910.563472789</v>
      </c>
      <c r="AB5" s="331">
        <f t="shared" ref="AB5" si="15">AA13</f>
        <v>-8189815.5396147836</v>
      </c>
      <c r="AC5" s="331">
        <f t="shared" ref="AC5:AG5" si="16">AB13</f>
        <v>-11107523.78934879</v>
      </c>
      <c r="AD5" s="331">
        <f t="shared" si="16"/>
        <v>-13225129.045603791</v>
      </c>
      <c r="AE5" s="331">
        <f t="shared" si="16"/>
        <v>-13264083.729049791</v>
      </c>
      <c r="AF5" s="331">
        <f t="shared" si="16"/>
        <v>-13822513.408797791</v>
      </c>
      <c r="AG5" s="331">
        <f t="shared" si="16"/>
        <v>-15210763.179049792</v>
      </c>
      <c r="AH5" s="331">
        <f t="shared" ref="AH5:AL5" si="17">AG13</f>
        <v>-15585609.433038792</v>
      </c>
      <c r="AI5" s="331">
        <f t="shared" si="17"/>
        <v>-15619860.019682793</v>
      </c>
      <c r="AJ5" s="331">
        <f>AI13</f>
        <v>-16745497.680481793</v>
      </c>
      <c r="AK5" s="331">
        <f>AJ13</f>
        <v>-18677163.365235794</v>
      </c>
      <c r="AL5" s="331">
        <f t="shared" si="17"/>
        <v>-19095614.906968795</v>
      </c>
      <c r="AM5" s="331">
        <f t="shared" ref="AM5:AR5" si="18">AL13</f>
        <v>-22888085.886205796</v>
      </c>
      <c r="AN5" s="331">
        <f t="shared" si="18"/>
        <v>-11298837.777765797</v>
      </c>
      <c r="AO5" s="331">
        <f t="shared" si="18"/>
        <v>-12602073.841011796</v>
      </c>
      <c r="AP5" s="331">
        <f t="shared" si="18"/>
        <v>-13118053.916233797</v>
      </c>
      <c r="AQ5" s="331">
        <f t="shared" si="18"/>
        <v>-7482556.3398997923</v>
      </c>
      <c r="AR5" s="331">
        <f t="shared" si="18"/>
        <v>4374910.7761692042</v>
      </c>
      <c r="AS5" s="331">
        <f>AR13</f>
        <v>4570416.7615592042</v>
      </c>
      <c r="AT5" s="331">
        <f>AR13</f>
        <v>4570416.7615592042</v>
      </c>
      <c r="AU5" s="331">
        <f>AT13</f>
        <v>4456424.951417204</v>
      </c>
      <c r="AV5" s="331">
        <f>AU13</f>
        <v>3833773.4928352041</v>
      </c>
      <c r="AW5" s="331">
        <f>AV13</f>
        <v>2862582.8856972042</v>
      </c>
      <c r="AX5" s="115" t="s">
        <v>283</v>
      </c>
      <c r="AY5" s="542">
        <v>419600</v>
      </c>
      <c r="AZ5" s="116" t="s">
        <v>279</v>
      </c>
      <c r="BA5" s="116" t="s">
        <v>280</v>
      </c>
      <c r="BB5" s="410">
        <v>0</v>
      </c>
      <c r="BC5" s="402">
        <f>IF((SUMIF(E3:AW3,AX4,E8:AW8))&gt;0,(SUMIF(E3:AW3,AX4,E8:AW8)),0)</f>
        <v>10841.38</v>
      </c>
      <c r="BE5" s="331" t="str">
        <f>_xll.GLW_Segment_Description(AY5,2,2)</f>
        <v>INTEREST ON ENERGY DEFERRALS</v>
      </c>
    </row>
    <row r="6" spans="1:57">
      <c r="B6" s="41" t="s">
        <v>307</v>
      </c>
      <c r="C6" s="331">
        <f>SUM(Q6:AB6)</f>
        <v>-14998507.255011011</v>
      </c>
      <c r="D6" s="331">
        <f t="shared" ref="D6:D12" si="19">SUM(E6:AB6)</f>
        <v>-28170584.433512013</v>
      </c>
      <c r="E6" s="331">
        <v>-173856.58066100068</v>
      </c>
      <c r="F6" s="331">
        <v>105835.91384800058</v>
      </c>
      <c r="G6" s="331">
        <v>-604740.2805199977</v>
      </c>
      <c r="H6" s="331">
        <v>-2253526.4287800011</v>
      </c>
      <c r="I6" s="331">
        <v>-1368171.1781060011</v>
      </c>
      <c r="J6" s="331">
        <v>-2304890.4720699973</v>
      </c>
      <c r="K6" s="331">
        <v>-1924994.8295020012</v>
      </c>
      <c r="L6" s="331">
        <v>-1510253.5672820001</v>
      </c>
      <c r="M6" s="331">
        <v>-1421303.766953001</v>
      </c>
      <c r="N6" s="331">
        <v>-389419.70859999908</v>
      </c>
      <c r="O6" s="331">
        <v>-192874.3790970007</v>
      </c>
      <c r="P6" s="331">
        <v>-1133881.9007779993</v>
      </c>
      <c r="Q6" s="331">
        <v>-491376.17008000147</v>
      </c>
      <c r="R6" s="331">
        <v>-201411.09328799881</v>
      </c>
      <c r="S6" s="331">
        <v>-696753.01067200163</v>
      </c>
      <c r="T6" s="331">
        <v>-912928.80422000168</v>
      </c>
      <c r="U6" s="331">
        <v>-482101.19766700035</v>
      </c>
      <c r="V6" s="331">
        <v>-580245.48787200102</v>
      </c>
      <c r="W6" s="115">
        <v>-2217856.2503400007</v>
      </c>
      <c r="X6" s="116">
        <v>-2108794.2989039999</v>
      </c>
      <c r="Y6" s="116">
        <v>-2779163.5886399997</v>
      </c>
      <c r="Z6" s="116">
        <v>-2935887.7038159985</v>
      </c>
      <c r="AA6" s="116">
        <v>-386463.99829400051</v>
      </c>
      <c r="AB6" s="116">
        <v>-1205525.6512180055</v>
      </c>
      <c r="AC6" s="116">
        <v>-743591.89883300196</v>
      </c>
      <c r="AD6" s="116">
        <v>1500599.2415440008</v>
      </c>
      <c r="AE6" s="116">
        <v>262271.11627200013</v>
      </c>
      <c r="AF6" s="116">
        <v>-1287451.4058399997</v>
      </c>
      <c r="AG6" s="116">
        <v>-1208166.9855549999</v>
      </c>
      <c r="AH6" s="167">
        <v>-914700.39864600007</v>
      </c>
      <c r="AI6" s="331">
        <v>-2116989.4332109992</v>
      </c>
      <c r="AJ6" s="331">
        <v>-2914665.4083000002</v>
      </c>
      <c r="AK6" s="331">
        <v>-1246615.2131509997</v>
      </c>
      <c r="AL6" s="331">
        <v>-3845502.552499</v>
      </c>
      <c r="AM6" s="331">
        <v>-3344640.6773000024</v>
      </c>
      <c r="AN6" s="331">
        <v>63791.745464000851</v>
      </c>
      <c r="AO6" s="331">
        <f>Jan!H55</f>
        <v>873899.57711800188</v>
      </c>
      <c r="AP6" s="331">
        <f>Feb!H55</f>
        <v>7465399.5511440039</v>
      </c>
      <c r="AQ6" s="331">
        <f>Mar!H55</f>
        <v>12594910.824578997</v>
      </c>
      <c r="AR6" s="331">
        <f>Apr!H55</f>
        <v>-11480.7391099995</v>
      </c>
      <c r="AS6" s="331">
        <f>May!$H55</f>
        <v>-1563189.2488879999</v>
      </c>
      <c r="AT6" s="331">
        <f>'May Revised'!H55</f>
        <v>-952607.0659879999</v>
      </c>
      <c r="AU6" s="331">
        <f>Jun!$H55</f>
        <v>-1677072.7479539998</v>
      </c>
      <c r="AV6" s="331">
        <f>Jul!$H55</f>
        <v>-2084272.6869100002</v>
      </c>
      <c r="AW6" s="331">
        <f>Aug!$H55</f>
        <v>-2084597.87659</v>
      </c>
      <c r="AX6" s="117" t="s">
        <v>284</v>
      </c>
      <c r="AY6" s="170">
        <v>431600</v>
      </c>
      <c r="AZ6" s="7" t="s">
        <v>279</v>
      </c>
      <c r="BA6" s="7" t="s">
        <v>280</v>
      </c>
      <c r="BB6" s="412">
        <f>IF(SUMIF(E3:AW3,AX4,E8:AW8)&lt;0,-SUMIF(E3:AW3,AX4,E8:AW8),0)</f>
        <v>0</v>
      </c>
      <c r="BC6" s="402">
        <v>0</v>
      </c>
      <c r="BE6" s="331" t="str">
        <f>_xll.GLW_Segment_Description(AY6,2,2)</f>
        <v>INTEREST EXPENSE ENERGY DEFERRALS</v>
      </c>
    </row>
    <row r="7" spans="1:57">
      <c r="B7" s="41" t="s">
        <v>250</v>
      </c>
      <c r="C7" s="331">
        <f t="shared" ref="C7:C11" si="20">SUM(Q7:AB7)</f>
        <v>-3531759.9092339999</v>
      </c>
      <c r="D7" s="331">
        <f t="shared" si="19"/>
        <v>-4469685.620381997</v>
      </c>
      <c r="E7" s="331">
        <v>-1737451.7240159996</v>
      </c>
      <c r="F7" s="331">
        <v>-906843.13003599993</v>
      </c>
      <c r="G7" s="331">
        <v>-502690.50554600032</v>
      </c>
      <c r="H7" s="331">
        <v>531507.01829000015</v>
      </c>
      <c r="I7" s="331">
        <v>778474.07196199952</v>
      </c>
      <c r="J7" s="331">
        <v>940413.5291820009</v>
      </c>
      <c r="K7" s="331">
        <v>1019103.1667780007</v>
      </c>
      <c r="L7" s="331">
        <v>1025818.8216420002</v>
      </c>
      <c r="M7" s="331">
        <v>821854.23736999987</v>
      </c>
      <c r="N7" s="331">
        <v>208678.05243800068</v>
      </c>
      <c r="O7" s="331">
        <v>-521813.363136</v>
      </c>
      <c r="P7" s="331">
        <v>-2594975.8860759991</v>
      </c>
      <c r="Q7" s="331">
        <v>-2913519.2274390003</v>
      </c>
      <c r="R7" s="331">
        <v>-1856358.6126210007</v>
      </c>
      <c r="S7" s="331">
        <v>-916596.2697570005</v>
      </c>
      <c r="T7" s="331">
        <v>-225142.70389499958</v>
      </c>
      <c r="U7" s="331">
        <v>604158.21510300005</v>
      </c>
      <c r="V7" s="331">
        <v>953286.75289800053</v>
      </c>
      <c r="W7" s="117">
        <v>1129801.1151090004</v>
      </c>
      <c r="X7" s="7">
        <v>1095472.3340190002</v>
      </c>
      <c r="Y7" s="7">
        <v>853220.47718099994</v>
      </c>
      <c r="Z7" s="7">
        <v>15042.059238000307</v>
      </c>
      <c r="AA7" s="7">
        <v>-592732.92055399995</v>
      </c>
      <c r="AB7" s="7">
        <v>-1678391.1285159995</v>
      </c>
      <c r="AC7" s="7">
        <v>-1331000.4574219999</v>
      </c>
      <c r="AD7" s="7">
        <v>-1492728.8649899999</v>
      </c>
      <c r="AE7" s="7">
        <v>-772819.73601999972</v>
      </c>
      <c r="AF7" s="7">
        <v>-46824.414412000682</v>
      </c>
      <c r="AG7" s="7">
        <v>890572.34156599978</v>
      </c>
      <c r="AH7" s="67">
        <v>938461.95200199937</v>
      </c>
      <c r="AI7" s="331">
        <v>1054475.7224120002</v>
      </c>
      <c r="AJ7" s="331">
        <v>1052086.5035460002</v>
      </c>
      <c r="AK7" s="331">
        <v>901834.01141799951</v>
      </c>
      <c r="AL7" s="331">
        <v>139618.94326199964</v>
      </c>
      <c r="AM7" s="331">
        <v>-647678.45426000026</v>
      </c>
      <c r="AN7" s="331">
        <v>-1317734.4687100004</v>
      </c>
      <c r="AO7" s="331">
        <f>Jan!I55</f>
        <v>-1334486.6023400014</v>
      </c>
      <c r="AP7" s="331">
        <f>Feb!I55</f>
        <v>-1785534.7548100003</v>
      </c>
      <c r="AQ7" s="331">
        <f>Mar!I55</f>
        <v>-730750.81851000059</v>
      </c>
      <c r="AR7" s="331">
        <f>Apr!I55</f>
        <v>186719.40449999948</v>
      </c>
      <c r="AS7" s="331">
        <f>May!$I55</f>
        <v>818163.24584600015</v>
      </c>
      <c r="AT7" s="331">
        <f>'May Revised'!$I55</f>
        <v>818163.24584600015</v>
      </c>
      <c r="AU7" s="331">
        <f>Jun!$I55</f>
        <v>1035638.2793719999</v>
      </c>
      <c r="AV7" s="331">
        <f>Jul!$I55</f>
        <v>1097771.3497720002</v>
      </c>
      <c r="AW7" s="331">
        <f>Aug!$I55</f>
        <v>1090213.9985399998</v>
      </c>
      <c r="AX7" s="117" t="s">
        <v>285</v>
      </c>
      <c r="AY7" s="170">
        <v>191010</v>
      </c>
      <c r="AZ7" s="7" t="s">
        <v>279</v>
      </c>
      <c r="BA7" s="7" t="s">
        <v>280</v>
      </c>
      <c r="BB7" s="412">
        <f>IF((SUMIF(E3:AW3,AX4,E6:AW6)+SUMIF(E3:AW3,AX4,E7:AW7)+SUMIF(E3:AW3,AX4,E8:AW8))&gt;0,(SUMIF(E3:AW3,AX4,E6:AW6)+SUMIF(E3:AW3,AX4,E7:AW7)+SUMIF(E3:AW3,AX4,E8:AW8)),0)</f>
        <v>0</v>
      </c>
      <c r="BC7" s="402">
        <f>IF((SUMIF(E3:AW3,AX4,E6:AW6)+SUMIF(E3:AW3,AX4,E7:AW7)+SUMIF(E3:AW3,AX4,E8:AW8))&lt;0,-(SUMIF(E3:AW3,AX4,E6:AW6)+SUMIF(E3:AW3,AX4,E7:AW7)++SUMIF(E3:AW3,AX4,E8:AW8)),0)</f>
        <v>983542.49805000017</v>
      </c>
      <c r="BE7" s="331" t="str">
        <f>_xll.GLW_Segment_Description(AY7,2,2)</f>
        <v>CURR UNRECOV PGA DEFERRED</v>
      </c>
    </row>
    <row r="8" spans="1:57" ht="15.75" thickBot="1">
      <c r="B8" s="41" t="s">
        <v>253</v>
      </c>
      <c r="C8" s="331">
        <f t="shared" si="20"/>
        <v>-530200.14</v>
      </c>
      <c r="D8" s="331">
        <f t="shared" si="19"/>
        <v>-912326.38</v>
      </c>
      <c r="E8" s="493">
        <v>-20214.939999999999</v>
      </c>
      <c r="F8" s="493">
        <v>-23942.62</v>
      </c>
      <c r="G8" s="493">
        <v>-26591.8</v>
      </c>
      <c r="H8" s="493">
        <v>-32465.84</v>
      </c>
      <c r="I8" s="493">
        <v>-35892.18</v>
      </c>
      <c r="J8" s="493">
        <v>-38812.93</v>
      </c>
      <c r="K8" s="493">
        <v>-42685.8</v>
      </c>
      <c r="L8" s="493">
        <v>-44837.85</v>
      </c>
      <c r="M8" s="493">
        <v>-46549.3</v>
      </c>
      <c r="N8" s="493">
        <v>-47822.84</v>
      </c>
      <c r="O8" s="493">
        <f>ROUND(((O5+O9+O10+O11)*(O4/12))+((SUM(O6:O7)/2)*(O4/12)),2)</f>
        <v>-7903.46</v>
      </c>
      <c r="P8" s="493">
        <v>-14406.68</v>
      </c>
      <c r="Q8" s="493">
        <f t="shared" ref="Q8:U8" si="21">ROUND(((Q5)*(Q4/12))+((SUM(Q6:Q7)/2)*(Q4/12)),2)</f>
        <v>-24852.09</v>
      </c>
      <c r="R8" s="493">
        <f t="shared" si="21"/>
        <v>-32890.959999999999</v>
      </c>
      <c r="S8" s="493">
        <f t="shared" si="21"/>
        <v>-38340.61</v>
      </c>
      <c r="T8" s="493">
        <f t="shared" si="21"/>
        <v>-45012.82</v>
      </c>
      <c r="U8" s="493">
        <f t="shared" si="21"/>
        <v>-46722.57</v>
      </c>
      <c r="V8" s="493">
        <f>ROUND(((V5)*(V4/12))+((SUM(V6:V7)/2)*(V4/12)),2)</f>
        <v>-46101.69</v>
      </c>
      <c r="W8" s="544">
        <f t="shared" ref="W8:Y8" si="22">ROUND(((W5)*(W4/12))+((SUM(W6:W7)/2)*(W4/12)),2)</f>
        <v>-50540.18</v>
      </c>
      <c r="X8" s="545">
        <f>ROUND(((X5)*(X4/12))+((SUM(X6:X7)/2)*(X4/12)),2)</f>
        <v>-54174.23</v>
      </c>
      <c r="Y8" s="545">
        <f t="shared" si="22"/>
        <v>-59202.79</v>
      </c>
      <c r="Z8" s="545">
        <f>ROUND(((Z5)*(Z4/12))+((SUM(Z6:Z7)/2)*(Z4/12)),2)</f>
        <v>-71650.12</v>
      </c>
      <c r="AA8" s="545">
        <f>ROUND(((AA5+AA9+AA10+AA11)*(AA4/12))+((SUM(AA6:AA7)/2)*(AA4/12)),2)</f>
        <v>-26920.61</v>
      </c>
      <c r="AB8" s="545">
        <f t="shared" ref="AB8" si="23">ROUND(((AB5)*(AB4/12))+((SUM(AB6:AB7)/2)*(AB4/12)),2)</f>
        <v>-33791.47</v>
      </c>
      <c r="AC8" s="545">
        <v>-43012.9</v>
      </c>
      <c r="AD8" s="545">
        <v>-46825.06</v>
      </c>
      <c r="AE8" s="545">
        <v>-47881.06</v>
      </c>
      <c r="AF8" s="545">
        <v>-53973.95</v>
      </c>
      <c r="AG8" s="545">
        <v>-57251.61</v>
      </c>
      <c r="AH8" s="546">
        <v>-58012.14</v>
      </c>
      <c r="AI8" s="493">
        <v>-63123.95</v>
      </c>
      <c r="AJ8" s="493">
        <v>-69086.78</v>
      </c>
      <c r="AK8" s="493">
        <v>-73670.34</v>
      </c>
      <c r="AL8" s="493">
        <v>-86587.37</v>
      </c>
      <c r="AM8" s="493">
        <v>-38292.79</v>
      </c>
      <c r="AN8" s="493">
        <v>-49293.34</v>
      </c>
      <c r="AO8" s="493">
        <f t="shared" ref="AO8:AT8" si="24">ROUND(((AO5+AO9+AO10+AO11+AO12)*(AO4/12))+((SUM(AO6:AO7)/2)*(AO4/12)),2)</f>
        <v>-55393.05</v>
      </c>
      <c r="AP8" s="493">
        <f t="shared" si="24"/>
        <v>-44367.22</v>
      </c>
      <c r="AQ8" s="493">
        <f t="shared" si="24"/>
        <v>-6692.89</v>
      </c>
      <c r="AR8" s="493">
        <f t="shared" si="24"/>
        <v>20267.32</v>
      </c>
      <c r="AS8" s="493">
        <f t="shared" si="24"/>
        <v>19065.48</v>
      </c>
      <c r="AT8" s="493">
        <f t="shared" si="24"/>
        <v>20452.009999999998</v>
      </c>
      <c r="AU8" s="493">
        <f>ROUND(((AU5+AU9+AU10+AU11+AU12)*(AU4/12))+((SUM(AU6:AU7)/2)*(AU4/12)),2)</f>
        <v>18783.009999999998</v>
      </c>
      <c r="AV8" s="493">
        <f>ROUND(((AV5+AV9+AV10+AV11+AV12)*(AV4/12))+((SUM(AV6:AV7)/2)*(AV4/12)),2)</f>
        <v>15310.73</v>
      </c>
      <c r="AW8" s="493">
        <f>ROUND(((AW5+AW9+AW10+AW11+AW12)*(AW4/12))+((SUM(AW6:AW7)/2)*(AW4/12)),2)</f>
        <v>10841.38</v>
      </c>
      <c r="AX8" s="117" t="s">
        <v>286</v>
      </c>
      <c r="AY8" s="170">
        <v>805120</v>
      </c>
      <c r="AZ8" s="7" t="s">
        <v>279</v>
      </c>
      <c r="BA8" s="7" t="s">
        <v>280</v>
      </c>
      <c r="BB8" s="412">
        <f>IF((SUMIF(E3:AW3,AX4,E6:AW6)+SUMIF(E3:AW3,AX4,E7:AW7))&lt;0,-(SUMIF(E3:AW3,AX4,E6:AW6)+SUMIF(E3:AW3,AX4,E7:AW7)),0)</f>
        <v>994383.87805000017</v>
      </c>
      <c r="BC8" s="402">
        <f>IF((SUMIF(E3:AW3,AX4,E6:AW6)+SUMIF(E3:AW3,AX4,E7:AW7))&gt;0,(SUMIF(E3:AW3,AX4,E6:AW6)+SUMIF(E3:AW3,AX4,E7:AW7)),0)</f>
        <v>0</v>
      </c>
      <c r="BE8" s="331" t="str">
        <f>_xll.GLW_Segment_Description(AY8,2,2)</f>
        <v>DEFER CURRENT UNRECOVERED GAS COSTS</v>
      </c>
    </row>
    <row r="9" spans="1:57">
      <c r="B9" s="41" t="s">
        <v>257</v>
      </c>
      <c r="C9" s="331">
        <f t="shared" si="20"/>
        <v>9937543.9160110056</v>
      </c>
      <c r="D9" s="331">
        <f t="shared" si="19"/>
        <v>24087163.011451997</v>
      </c>
      <c r="E9" s="331">
        <v>0</v>
      </c>
      <c r="F9" s="331">
        <v>0</v>
      </c>
      <c r="G9" s="331">
        <v>0</v>
      </c>
      <c r="H9" s="331">
        <v>0</v>
      </c>
      <c r="I9" s="331">
        <v>0</v>
      </c>
      <c r="J9" s="331">
        <v>0</v>
      </c>
      <c r="K9" s="331">
        <v>0</v>
      </c>
      <c r="L9" s="331">
        <v>0</v>
      </c>
      <c r="M9" s="331">
        <v>0</v>
      </c>
      <c r="N9" s="331">
        <v>0</v>
      </c>
      <c r="O9" s="547">
        <v>14149619.095440991</v>
      </c>
      <c r="P9" s="331">
        <v>0</v>
      </c>
      <c r="Q9" s="331">
        <v>0</v>
      </c>
      <c r="R9" s="331">
        <v>0</v>
      </c>
      <c r="S9" s="331">
        <v>0</v>
      </c>
      <c r="T9" s="331">
        <v>0</v>
      </c>
      <c r="U9" s="331">
        <v>0</v>
      </c>
      <c r="V9" s="331">
        <v>0</v>
      </c>
      <c r="W9" s="331">
        <v>0</v>
      </c>
      <c r="X9" s="331">
        <v>0</v>
      </c>
      <c r="Y9" s="331">
        <v>0</v>
      </c>
      <c r="Z9" s="331">
        <v>0</v>
      </c>
      <c r="AA9" s="548">
        <f>-SUM(K6:V6)</f>
        <v>9937543.9160110056</v>
      </c>
      <c r="AB9" s="331">
        <v>0</v>
      </c>
      <c r="AC9" s="331">
        <v>0</v>
      </c>
      <c r="AD9" s="331">
        <v>0</v>
      </c>
      <c r="AE9" s="331">
        <v>0</v>
      </c>
      <c r="AF9" s="331">
        <v>0</v>
      </c>
      <c r="AG9" s="331">
        <v>0</v>
      </c>
      <c r="AH9" s="331">
        <v>0</v>
      </c>
      <c r="AI9" s="331">
        <v>0</v>
      </c>
      <c r="AJ9" s="331">
        <v>0</v>
      </c>
      <c r="AK9" s="331">
        <v>0</v>
      </c>
      <c r="AL9" s="331">
        <v>0</v>
      </c>
      <c r="AM9" s="331">
        <f>14024731.82</f>
        <v>14024731.82</v>
      </c>
      <c r="AN9" s="331">
        <v>0</v>
      </c>
      <c r="AO9" s="331">
        <v>0</v>
      </c>
      <c r="AP9" s="331">
        <v>0</v>
      </c>
      <c r="AQ9" s="331">
        <v>0</v>
      </c>
      <c r="AR9" s="331">
        <v>0</v>
      </c>
      <c r="AS9" s="331">
        <v>0</v>
      </c>
      <c r="AT9" s="331">
        <v>0</v>
      </c>
      <c r="AU9" s="331">
        <v>0</v>
      </c>
      <c r="AV9" s="331">
        <v>0</v>
      </c>
      <c r="AW9" s="331">
        <v>0</v>
      </c>
      <c r="AX9" s="117" t="s">
        <v>11</v>
      </c>
      <c r="AY9" s="170">
        <v>191010</v>
      </c>
      <c r="AZ9" s="7" t="s">
        <v>279</v>
      </c>
      <c r="BA9" s="7" t="s">
        <v>280</v>
      </c>
      <c r="BB9" s="412">
        <f>IF((SUMIF(E3:AW3,AX4,E9:AW9)+SUMIF(E3:AW3,AX4,E10:AW10)+SUMIF(E3:AW3,AX4,E11:AW11)+SUMIF(E3:AW3,AX4,E12:AW12))&gt;0,(SUMIF(E3:AW3,AX4,E9:AW9)+SUMIF(E3:AW3,AX4,E10:AW10)+SUMIF(E3:AW3,AX4,E11:AW11)+SUMIF(E3:AW3,AX4,E12:AW12)),0)</f>
        <v>0</v>
      </c>
      <c r="BC9" s="402">
        <v>0</v>
      </c>
      <c r="BE9" s="331" t="str">
        <f>_xll.GLW_Segment_Description(AY9,2,2)</f>
        <v>CURR UNRECOV PGA DEFERRED</v>
      </c>
    </row>
    <row r="10" spans="1:57" ht="15.75" thickBot="1">
      <c r="B10" s="41" t="s">
        <v>258</v>
      </c>
      <c r="C10" s="331">
        <f t="shared" si="20"/>
        <v>4395506.8166949991</v>
      </c>
      <c r="D10" s="331">
        <f t="shared" si="19"/>
        <v>4181620.6216329979</v>
      </c>
      <c r="E10" s="331">
        <v>0</v>
      </c>
      <c r="F10" s="331">
        <v>0</v>
      </c>
      <c r="G10" s="331">
        <v>0</v>
      </c>
      <c r="H10" s="331">
        <v>0</v>
      </c>
      <c r="I10" s="331">
        <v>0</v>
      </c>
      <c r="J10" s="331">
        <v>0</v>
      </c>
      <c r="K10" s="331">
        <v>0</v>
      </c>
      <c r="L10" s="331">
        <v>0</v>
      </c>
      <c r="M10" s="331">
        <v>0</v>
      </c>
      <c r="N10" s="331">
        <v>0</v>
      </c>
      <c r="O10" s="548">
        <v>-213886.19506200103</v>
      </c>
      <c r="P10" s="331">
        <v>0</v>
      </c>
      <c r="Q10" s="331">
        <v>0</v>
      </c>
      <c r="R10" s="331">
        <v>0</v>
      </c>
      <c r="S10" s="331">
        <v>0</v>
      </c>
      <c r="T10" s="331">
        <v>0</v>
      </c>
      <c r="U10" s="331">
        <v>0</v>
      </c>
      <c r="V10" s="331">
        <v>0</v>
      </c>
      <c r="W10" s="331">
        <v>0</v>
      </c>
      <c r="X10" s="331">
        <v>0</v>
      </c>
      <c r="Y10" s="331">
        <v>0</v>
      </c>
      <c r="Z10" s="331">
        <v>0</v>
      </c>
      <c r="AA10" s="548">
        <f>-SUM(K7:V7)</f>
        <v>4395506.8166949991</v>
      </c>
      <c r="AB10" s="331">
        <v>0</v>
      </c>
      <c r="AC10" s="331">
        <v>0</v>
      </c>
      <c r="AD10" s="331">
        <v>0</v>
      </c>
      <c r="AE10" s="331">
        <v>0</v>
      </c>
      <c r="AF10" s="331">
        <v>0</v>
      </c>
      <c r="AG10" s="331">
        <v>0</v>
      </c>
      <c r="AH10" s="331">
        <v>0</v>
      </c>
      <c r="AI10" s="331">
        <v>0</v>
      </c>
      <c r="AJ10" s="331">
        <v>0</v>
      </c>
      <c r="AK10" s="331">
        <v>0</v>
      </c>
      <c r="AL10" s="331">
        <v>0</v>
      </c>
      <c r="AM10" s="331">
        <f>991927.24</f>
        <v>991927.24</v>
      </c>
      <c r="AN10" s="331">
        <v>0</v>
      </c>
      <c r="AO10" s="331">
        <v>0</v>
      </c>
      <c r="AP10" s="331">
        <v>0</v>
      </c>
      <c r="AQ10" s="331">
        <v>0</v>
      </c>
      <c r="AR10" s="331">
        <v>0</v>
      </c>
      <c r="AS10" s="331">
        <v>0</v>
      </c>
      <c r="AT10" s="331">
        <v>0</v>
      </c>
      <c r="AU10" s="331">
        <v>0</v>
      </c>
      <c r="AV10" s="331">
        <v>0</v>
      </c>
      <c r="AW10" s="331">
        <v>0</v>
      </c>
      <c r="AX10" s="118" t="str">
        <f>AX9</f>
        <v>Tracker Transfer</v>
      </c>
      <c r="AY10" s="438">
        <f>AY37</f>
        <v>191000</v>
      </c>
      <c r="AZ10" s="438" t="str">
        <f>AZ37</f>
        <v>GD</v>
      </c>
      <c r="BA10" s="438" t="str">
        <f>BA37</f>
        <v>WA</v>
      </c>
      <c r="BB10" s="404">
        <v>0</v>
      </c>
      <c r="BC10" s="413">
        <f>BB9</f>
        <v>0</v>
      </c>
      <c r="BE10" s="331" t="str">
        <f>_xll.GLW_Segment_Description(AY10,2,2)</f>
        <v>RECOVERABLE GAS COSTS AMORTIZED</v>
      </c>
    </row>
    <row r="11" spans="1:57" ht="15.75" thickBot="1">
      <c r="B11" s="41" t="s">
        <v>259</v>
      </c>
      <c r="C11" s="331">
        <f t="shared" si="20"/>
        <v>438126.67</v>
      </c>
      <c r="D11" s="331">
        <f t="shared" si="19"/>
        <v>684577.32</v>
      </c>
      <c r="E11" s="331">
        <v>0</v>
      </c>
      <c r="F11" s="331">
        <v>0</v>
      </c>
      <c r="G11" s="331">
        <v>0</v>
      </c>
      <c r="H11" s="331">
        <v>0</v>
      </c>
      <c r="I11" s="331">
        <v>0</v>
      </c>
      <c r="J11" s="331">
        <v>0</v>
      </c>
      <c r="K11" s="331">
        <v>0</v>
      </c>
      <c r="L11" s="331">
        <v>0</v>
      </c>
      <c r="M11" s="331">
        <v>0</v>
      </c>
      <c r="N11" s="331">
        <v>0</v>
      </c>
      <c r="O11" s="548">
        <v>246450.64999999997</v>
      </c>
      <c r="P11" s="331">
        <v>0</v>
      </c>
      <c r="Q11" s="331">
        <v>0</v>
      </c>
      <c r="R11" s="331">
        <v>0</v>
      </c>
      <c r="S11" s="331">
        <v>0</v>
      </c>
      <c r="T11" s="331">
        <v>0</v>
      </c>
      <c r="U11" s="331">
        <v>0</v>
      </c>
      <c r="V11" s="331">
        <v>0</v>
      </c>
      <c r="W11" s="331">
        <v>0</v>
      </c>
      <c r="X11" s="331">
        <v>0</v>
      </c>
      <c r="Y11" s="331">
        <v>0</v>
      </c>
      <c r="Z11" s="331">
        <v>0</v>
      </c>
      <c r="AA11" s="548">
        <f>-SUM(K8:V8)</f>
        <v>438126.67</v>
      </c>
      <c r="AB11" s="331">
        <v>0</v>
      </c>
      <c r="AC11" s="331">
        <v>0</v>
      </c>
      <c r="AD11" s="331">
        <v>0</v>
      </c>
      <c r="AE11" s="331">
        <v>0</v>
      </c>
      <c r="AF11" s="331">
        <v>0</v>
      </c>
      <c r="AG11" s="331">
        <v>0</v>
      </c>
      <c r="AH11" s="331">
        <v>0</v>
      </c>
      <c r="AI11" s="331">
        <v>0</v>
      </c>
      <c r="AJ11" s="331">
        <v>0</v>
      </c>
      <c r="AK11" s="331">
        <v>0</v>
      </c>
      <c r="AL11" s="331">
        <v>0</v>
      </c>
      <c r="AM11" s="331">
        <v>603236.12</v>
      </c>
      <c r="AN11" s="331">
        <v>0</v>
      </c>
      <c r="AO11" s="331">
        <v>0</v>
      </c>
      <c r="AP11" s="331">
        <v>0</v>
      </c>
      <c r="AQ11" s="331">
        <v>0</v>
      </c>
      <c r="AR11" s="331">
        <v>0</v>
      </c>
      <c r="AS11" s="331">
        <v>0</v>
      </c>
      <c r="AT11" s="331">
        <v>0</v>
      </c>
      <c r="AU11" s="331">
        <v>0</v>
      </c>
      <c r="AV11" s="331">
        <v>0</v>
      </c>
      <c r="AW11" s="331">
        <v>0</v>
      </c>
      <c r="AX11" s="118"/>
      <c r="AY11" s="438"/>
      <c r="AZ11" s="111"/>
      <c r="BA11" s="111"/>
      <c r="BB11" s="111" t="s">
        <v>159</v>
      </c>
      <c r="BC11" s="549">
        <f>SUM(BB5:BB10)-SUM(BC5:BC10)</f>
        <v>0</v>
      </c>
    </row>
    <row r="12" spans="1:57">
      <c r="B12" s="41" t="s">
        <v>148</v>
      </c>
      <c r="C12" s="331">
        <f>SUM(Q12:AB12)</f>
        <v>35.15</v>
      </c>
      <c r="D12" s="331">
        <f t="shared" si="19"/>
        <v>35.559999999999995</v>
      </c>
      <c r="E12" s="331">
        <v>0</v>
      </c>
      <c r="F12" s="331">
        <v>0</v>
      </c>
      <c r="G12" s="331">
        <v>0</v>
      </c>
      <c r="H12" s="331">
        <v>0</v>
      </c>
      <c r="I12" s="331">
        <v>0</v>
      </c>
      <c r="J12" s="331">
        <v>0</v>
      </c>
      <c r="K12" s="331">
        <v>0</v>
      </c>
      <c r="L12" s="331">
        <v>0</v>
      </c>
      <c r="M12" s="331">
        <v>0</v>
      </c>
      <c r="N12" s="331">
        <v>0</v>
      </c>
      <c r="O12" s="550">
        <v>0.41</v>
      </c>
      <c r="P12" s="331">
        <v>0</v>
      </c>
      <c r="Q12" s="331">
        <v>0</v>
      </c>
      <c r="R12" s="331">
        <v>0</v>
      </c>
      <c r="S12" s="331">
        <v>0</v>
      </c>
      <c r="T12" s="331">
        <v>0</v>
      </c>
      <c r="U12" s="331">
        <v>0</v>
      </c>
      <c r="V12" s="331">
        <v>0</v>
      </c>
      <c r="W12" s="331">
        <v>0</v>
      </c>
      <c r="X12" s="331">
        <v>0</v>
      </c>
      <c r="Y12" s="331">
        <v>0</v>
      </c>
      <c r="Z12" s="331">
        <v>0</v>
      </c>
      <c r="AA12" s="550">
        <v>35.15</v>
      </c>
      <c r="AB12" s="331">
        <v>0</v>
      </c>
      <c r="AC12" s="331">
        <v>0</v>
      </c>
      <c r="AD12" s="331">
        <v>0</v>
      </c>
      <c r="AE12" s="331">
        <v>0</v>
      </c>
      <c r="AF12" s="331">
        <v>0</v>
      </c>
      <c r="AG12" s="331">
        <v>0</v>
      </c>
      <c r="AH12" s="331">
        <v>0</v>
      </c>
      <c r="AI12" s="331">
        <v>0</v>
      </c>
      <c r="AJ12" s="331">
        <v>0</v>
      </c>
      <c r="AK12" s="331">
        <v>0</v>
      </c>
      <c r="AL12" s="331">
        <v>0</v>
      </c>
      <c r="AM12" s="331">
        <v>-35.15</v>
      </c>
      <c r="AN12" s="331">
        <v>0</v>
      </c>
      <c r="AO12" s="331">
        <v>0</v>
      </c>
      <c r="AP12" s="331">
        <v>0</v>
      </c>
      <c r="AQ12" s="331">
        <v>0</v>
      </c>
      <c r="AR12" s="331">
        <v>0</v>
      </c>
      <c r="AS12" s="331">
        <v>0</v>
      </c>
      <c r="AT12" s="331">
        <v>0</v>
      </c>
      <c r="AU12" s="331">
        <v>0</v>
      </c>
      <c r="AV12" s="331">
        <v>0</v>
      </c>
      <c r="AW12" s="331">
        <v>0</v>
      </c>
    </row>
    <row r="13" spans="1:57" ht="16.5" thickBot="1">
      <c r="B13" s="41" t="s">
        <v>56</v>
      </c>
      <c r="C13" s="494">
        <f>SUM(C5:C12)</f>
        <v>-4289254.751539005</v>
      </c>
      <c r="D13" s="494">
        <f>SUM(D5:D12)</f>
        <v>-11107523.789348787</v>
      </c>
      <c r="E13" s="494">
        <v>-8439847.1132167727</v>
      </c>
      <c r="F13" s="494">
        <f>SUM(F5:F12)</f>
        <v>-9264796.9494047705</v>
      </c>
      <c r="G13" s="494">
        <f t="shared" ref="G13:N13" si="25">SUM(G5:G12)</f>
        <v>-10398819.535470769</v>
      </c>
      <c r="H13" s="494">
        <f t="shared" si="25"/>
        <v>-12153304.785960769</v>
      </c>
      <c r="I13" s="494">
        <f t="shared" si="25"/>
        <v>-12778894.072104771</v>
      </c>
      <c r="J13" s="494">
        <f>SUM(J5:J12)</f>
        <v>-14182183.944992768</v>
      </c>
      <c r="K13" s="494">
        <f>SUM(K5:K12)</f>
        <v>-15130761.40771677</v>
      </c>
      <c r="L13" s="494">
        <f t="shared" si="25"/>
        <v>-15660034.00335677</v>
      </c>
      <c r="M13" s="494">
        <f>SUM(M5:M12)</f>
        <v>-16306032.832939774</v>
      </c>
      <c r="N13" s="494">
        <f t="shared" si="25"/>
        <v>-16534597.329101773</v>
      </c>
      <c r="O13" s="551">
        <f>SUM(O5:O12)</f>
        <v>-3075004.5709557864</v>
      </c>
      <c r="P13" s="494">
        <f>SUM(P5:P12)</f>
        <v>-6818269.0378097855</v>
      </c>
      <c r="Q13" s="494">
        <f>SUM(Q5:Q12)</f>
        <v>-10248016.525328787</v>
      </c>
      <c r="R13" s="494">
        <f>SUM(R5:R12)</f>
        <v>-12338677.191237787</v>
      </c>
      <c r="S13" s="494">
        <f>SUM(S5:S12)</f>
        <v>-13990367.081666788</v>
      </c>
      <c r="T13" s="494">
        <f t="shared" ref="T13:U13" si="26">SUM(T5:T12)</f>
        <v>-15173451.409781789</v>
      </c>
      <c r="U13" s="494">
        <f t="shared" si="26"/>
        <v>-15098116.96234579</v>
      </c>
      <c r="V13" s="494">
        <f>SUM(V5:V12)</f>
        <v>-14771177.38731979</v>
      </c>
      <c r="W13" s="494">
        <f t="shared" ref="W13:X13" si="27">SUM(W5:W12)</f>
        <v>-15909772.702550791</v>
      </c>
      <c r="X13" s="494">
        <f t="shared" si="27"/>
        <v>-16977268.897435792</v>
      </c>
      <c r="Y13" s="494">
        <f>SUM(Y5:Y12)</f>
        <v>-18962414.798894793</v>
      </c>
      <c r="Z13" s="494">
        <f t="shared" ref="Z13" si="28">SUM(Z5:Z12)</f>
        <v>-21954910.563472789</v>
      </c>
      <c r="AA13" s="551">
        <f t="shared" ref="AA13:AE13" si="29">SUM(AA5:AA12)</f>
        <v>-8189815.5396147836</v>
      </c>
      <c r="AB13" s="494">
        <f t="shared" si="29"/>
        <v>-11107523.78934879</v>
      </c>
      <c r="AC13" s="494">
        <f t="shared" si="29"/>
        <v>-13225129.045603791</v>
      </c>
      <c r="AD13" s="494">
        <f t="shared" si="29"/>
        <v>-13264083.729049791</v>
      </c>
      <c r="AE13" s="494">
        <f t="shared" si="29"/>
        <v>-13822513.408797791</v>
      </c>
      <c r="AF13" s="494">
        <f>SUM(AF5:AF12)</f>
        <v>-15210763.179049792</v>
      </c>
      <c r="AG13" s="494">
        <f t="shared" ref="AG13" si="30">SUM(AG5:AG12)</f>
        <v>-15585609.433038792</v>
      </c>
      <c r="AH13" s="494">
        <f>SUM(AH5:AH12)</f>
        <v>-15619860.019682793</v>
      </c>
      <c r="AI13" s="494">
        <f>SUM(AI5:AI12)</f>
        <v>-16745497.680481793</v>
      </c>
      <c r="AJ13" s="494">
        <f t="shared" ref="AJ13:AL13" si="31">SUM(AJ5:AJ12)</f>
        <v>-18677163.365235794</v>
      </c>
      <c r="AK13" s="494">
        <f t="shared" si="31"/>
        <v>-19095614.906968795</v>
      </c>
      <c r="AL13" s="494">
        <f t="shared" si="31"/>
        <v>-22888085.886205796</v>
      </c>
      <c r="AM13" s="494">
        <f t="shared" ref="AM13:AR13" si="32">SUM(AM5:AM12)</f>
        <v>-11298837.777765797</v>
      </c>
      <c r="AN13" s="494">
        <f t="shared" si="32"/>
        <v>-12602073.841011796</v>
      </c>
      <c r="AO13" s="494">
        <f t="shared" si="32"/>
        <v>-13118053.916233797</v>
      </c>
      <c r="AP13" s="494">
        <f t="shared" si="32"/>
        <v>-7482556.3398997923</v>
      </c>
      <c r="AQ13" s="494">
        <f t="shared" si="32"/>
        <v>4374910.7761692042</v>
      </c>
      <c r="AR13" s="494">
        <f t="shared" si="32"/>
        <v>4570416.7615592042</v>
      </c>
      <c r="AS13" s="494">
        <f>SUM(AS5:AS12)</f>
        <v>3844456.2385172043</v>
      </c>
      <c r="AT13" s="494">
        <f>SUM(AT5:AT12)</f>
        <v>4456424.951417204</v>
      </c>
      <c r="AU13" s="494">
        <f>SUM(AU5:AU12)</f>
        <v>3833773.4928352041</v>
      </c>
      <c r="AV13" s="494">
        <f>SUM(AV5:AV12)</f>
        <v>2862582.8856972042</v>
      </c>
      <c r="AW13" s="494">
        <f>SUM(AW5:AW12)</f>
        <v>1879040.3876472039</v>
      </c>
    </row>
    <row r="14" spans="1:57" ht="15.75" thickTop="1">
      <c r="B14" s="41" t="s">
        <v>255</v>
      </c>
      <c r="D14" s="331">
        <f>_xll.Get_Balance(AB3,"YTD","USD","Total","A","","001",$A$3,"GD","WA","DL")</f>
        <v>-11107523.800000001</v>
      </c>
      <c r="E14" s="331">
        <v>-8432290.1199999992</v>
      </c>
      <c r="F14" s="331">
        <f>_xll.Get_Balance(F3,"YTD","USD","Total","A","","001",$A$3,"GD","WA","DL")</f>
        <v>-9264796.9499999993</v>
      </c>
      <c r="G14" s="331">
        <f>_xll.Get_Balance(G3,"YTD","USD","Total","A","","001",$A$3,"GD","WA","DL")</f>
        <v>-10398819.539999999</v>
      </c>
      <c r="H14" s="331">
        <f>_xll.Get_Balance(H3,"YTD","USD","Total","A","","001",$A$3,"GD","WA","DL")</f>
        <v>-12153304.789999999</v>
      </c>
      <c r="I14" s="331">
        <f>_xll.Get_Balance(I3,"YTD","USD","Total","A","","001",$A$3,"GD","WA","DL")</f>
        <v>-12778894.08</v>
      </c>
      <c r="J14" s="331">
        <f>_xll.Get_Balance(J3,"YTD","USD","Total","A","","001",$A$3,"GD","WA","DL")</f>
        <v>-14182183.949999999</v>
      </c>
      <c r="K14" s="331">
        <f>_xll.Get_Balance(K3,"YTD","USD","Total","A","","001",$A$3,"GD","WA","DL")</f>
        <v>-15130761.41</v>
      </c>
      <c r="L14" s="331">
        <f>_xll.Get_Balance(L3,"YTD","USD","Total","A","","001",$A$3,"GD","WA","DL")</f>
        <v>-15660034.01</v>
      </c>
      <c r="M14" s="331">
        <f>_xll.Get_Balance(M3,"YTD","USD","Total","A","","001",$A$3,"GD","WA","DL")</f>
        <v>-16306032.84</v>
      </c>
      <c r="N14" s="331">
        <f>_xll.Get_Balance(N3,"YTD","USD","Total","A","","001",$A$3,"GD","WA","DL")</f>
        <v>-16534597.34</v>
      </c>
      <c r="O14" s="331">
        <f>_xll.Get_Balance(O3,"YTD","USD","Total","A","","001",$A$3,"GD","WA","DL")</f>
        <v>-3075004.58</v>
      </c>
      <c r="P14" s="331">
        <f>_xll.Get_Balance(P3,"YTD","USD","Total","A","","001",$A$3,"GD","WA","DL")</f>
        <v>-6818269.0499999998</v>
      </c>
      <c r="Q14" s="331">
        <f>_xll.Get_Balance(Q3,"YTD","USD","Total","A","","001",$A$3,"GD","WA","DL")</f>
        <v>-10248016.539999999</v>
      </c>
      <c r="R14" s="331">
        <f>_xll.Get_Balance(R3,"YTD","USD","Total","A","","001",$A$3,"GD","WA","DL")</f>
        <v>-12338677.210000001</v>
      </c>
      <c r="S14" s="331">
        <f>_xll.Get_Balance(S3,"YTD","USD","Total","A","","001",$A$3,"GD","WA","DL")</f>
        <v>-13990367.1</v>
      </c>
      <c r="T14" s="331">
        <f>_xll.Get_Balance(T3,"YTD","USD","Total","A","","001",$A$3,"GD","WA","DL")</f>
        <v>-15173451.43</v>
      </c>
      <c r="U14" s="331">
        <f>_xll.Get_Balance(U3,"YTD","USD","Total","A","","001",$A$3,"GD","WA","DL")</f>
        <v>-15098116.98</v>
      </c>
      <c r="V14" s="331">
        <f>_xll.Get_Balance(V3,"YTD","USD","Total","A","","001",$A$3,"GD","WA","DL")</f>
        <v>-14771177.4</v>
      </c>
      <c r="W14" s="331">
        <f>_xll.Get_Balance(W3,"YTD","USD","Total","A","","001",$A$3,"GD","WA","DL")</f>
        <v>-15909772.720000001</v>
      </c>
      <c r="X14" s="331">
        <f>_xll.Get_Balance(X3,"YTD","USD","Total","A","","001",$A$3,"GD","WA","DL")</f>
        <v>-16977268.91</v>
      </c>
      <c r="Y14" s="331">
        <f>_xll.Get_Balance(Y3,"YTD","USD","Total","A","","001",$A$3,"GD","WA","DL")</f>
        <v>-18962414.809999999</v>
      </c>
      <c r="Z14" s="331">
        <f>_xll.Get_Balance(Z3,"YTD","USD","Total","A","","001",$A$3,"GD","WA","DL")</f>
        <v>-21954910.57</v>
      </c>
      <c r="AA14" s="331">
        <f>_xll.Get_Balance(AA3,"YTD","USD","Total","A","","001",$A$3,"GD","WA","DL")</f>
        <v>-8189815.5499999998</v>
      </c>
      <c r="AB14" s="331">
        <f>_xll.Get_Balance(AB3,"YTD","USD","Total","A","","001",$A$3,"GD","WA","DL")</f>
        <v>-11107523.800000001</v>
      </c>
      <c r="AC14" s="331">
        <f>_xll.Get_Balance(AC3,"YTD","USD","Total","A","","001",$A$3,"GD","WA","DL")</f>
        <v>-13242800.26</v>
      </c>
      <c r="AD14" s="331">
        <f>_xll.Get_Balance(AD3,"YTD","USD","Total","A","","001",$A$3,"GD","WA","DL")</f>
        <v>-13281817.529999999</v>
      </c>
      <c r="AE14" s="331">
        <f>_xll.Get_Balance(AE3,"YTD","USD","Total","A","","001",$A$3,"GD","WA","DL")</f>
        <v>-13840310.02</v>
      </c>
      <c r="AF14" s="331">
        <f>_xll.Get_Balance(AF3,"YTD","USD","Total","A","","001",$A$3,"GD","WA","DL")</f>
        <v>-15210763.189999999</v>
      </c>
      <c r="AG14" s="331">
        <f>_xll.Get_Balance(AG3,"YTD","USD","Total","A","","001",$A$3,"GD","WA","DL")</f>
        <v>-15585609.439999999</v>
      </c>
      <c r="AH14" s="331">
        <f>_xll.Get_Balance(AH3,"YTD","USD","Total","A","","001",$A$3,"GD","WA","DL")</f>
        <v>-15619860.029999999</v>
      </c>
      <c r="AI14" s="331">
        <f>_xll.Get_Balance(AI3,"YTD","USD","Total","A","","001",$A$3,"GD","WA","DL")</f>
        <v>-16745497.689999999</v>
      </c>
      <c r="AJ14" s="331">
        <f>_xll.Get_Balance(AJ3,"YTD","USD","Total","A","","001",$A$3,"GD","WA","DL")</f>
        <v>-18677163.379999999</v>
      </c>
      <c r="AK14" s="331">
        <f>_xll.Get_Balance(AK3,"YTD","USD","Total","A","","001",$A$3,"GD","WA","DL")</f>
        <v>-19095614.920000002</v>
      </c>
      <c r="AL14" s="331">
        <f>_xll.Get_Balance(AL3,"YTD","USD","Total","A","","001",$A$3,"GD","WA","DL")</f>
        <v>-22888085.899999999</v>
      </c>
      <c r="AM14" s="331">
        <f>_xll.Get_Balance(AM3,"YTD","USD","Total","A","","001",$A$3,"GD","WA","DL")</f>
        <v>-11298837.789999999</v>
      </c>
      <c r="AN14" s="331">
        <f>_xll.Get_Balance(AN3,"YTD","USD","Total","A","","001",$A$3,"GD","WA","DL")</f>
        <v>-12602073.85</v>
      </c>
      <c r="AO14" s="331">
        <f>_xll.Get_Balance(AO3,"YTD","USD","Total","A","","001",$A$3,"GD","WA","DL")</f>
        <v>-13118053.93</v>
      </c>
      <c r="AP14" s="331">
        <f>_xll.Get_Balance(AP3,"YTD","USD","Total","A","","001",$A$3,"GD","WA","DL")</f>
        <v>-7482556.3499999996</v>
      </c>
      <c r="AQ14" s="331">
        <f>_xll.Get_Balance(AQ3,"YTD","USD","Total","A","","001",$A$3,"GD","WA","DL")</f>
        <v>4374910.7699999996</v>
      </c>
      <c r="AR14" s="331">
        <f>_xll.Get_Balance(AR3,"YTD","USD","Total","A","","001",$A$3,"GD","WA","DL")</f>
        <v>4570416.76</v>
      </c>
      <c r="AS14" s="331">
        <f>_xll.Get_Balance(AS3,"YTD","USD","Total","A","","001",$A$3,"GD","WA","DL")</f>
        <v>3844456.24</v>
      </c>
      <c r="AT14" s="331">
        <f>_xll.Get_Balance(AS3,"YTD","USD","Total","A","","001",$A$3,"GD","WA","DL")</f>
        <v>3844456.24</v>
      </c>
      <c r="AU14" s="331">
        <f>_xll.Get_Balance(AU3,"YTD","USD","Total","A","","001",$A$3,"GD","WA","DL")</f>
        <v>3833773.49</v>
      </c>
      <c r="AV14" s="331">
        <f>_xll.Get_Balance(AV3,"YTD","USD","Total","A","","001",$A$3,"GD","WA","DL")</f>
        <v>2862582.88</v>
      </c>
      <c r="AW14" s="331">
        <f>_xll.Get_Balance(AW3,"YTD","USD","Total","A","","001",$A$3,"GD","WA","DL")</f>
        <v>2862582.88</v>
      </c>
    </row>
    <row r="15" spans="1:57">
      <c r="B15" s="41" t="s">
        <v>242</v>
      </c>
      <c r="E15" s="331">
        <v>-7556.9932167734951</v>
      </c>
      <c r="F15" s="331">
        <f t="shared" ref="F15:I15" si="33">F13-F14</f>
        <v>5.9522874653339386E-4</v>
      </c>
      <c r="G15" s="331">
        <f t="shared" si="33"/>
        <v>4.5292302966117859E-3</v>
      </c>
      <c r="H15" s="331">
        <f t="shared" si="33"/>
        <v>4.0392298251390457E-3</v>
      </c>
      <c r="I15" s="331">
        <f t="shared" si="33"/>
        <v>7.895229384303093E-3</v>
      </c>
      <c r="J15" s="331">
        <f t="shared" ref="J15:N15" si="34">J13-J14</f>
        <v>5.0072316080331802E-3</v>
      </c>
      <c r="K15" s="331">
        <f>K13-K14</f>
        <v>2.2832304239273071E-3</v>
      </c>
      <c r="L15" s="331">
        <f t="shared" si="34"/>
        <v>6.6432300955057144E-3</v>
      </c>
      <c r="M15" s="331">
        <f t="shared" si="34"/>
        <v>7.0602260529994965E-3</v>
      </c>
      <c r="N15" s="331">
        <f t="shared" si="34"/>
        <v>1.0898226872086525E-2</v>
      </c>
      <c r="O15" s="331">
        <f>O13-O14</f>
        <v>9.0442136861383915E-3</v>
      </c>
      <c r="P15" s="331">
        <f>P13-P14</f>
        <v>1.2190214358270168E-2</v>
      </c>
      <c r="Q15" s="331">
        <f>Q13-Q14</f>
        <v>1.4671212062239647E-2</v>
      </c>
      <c r="R15" s="331">
        <f t="shared" ref="R15:Z15" si="35">R13-R14</f>
        <v>1.8762214109301567E-2</v>
      </c>
      <c r="S15" s="331">
        <f t="shared" si="35"/>
        <v>1.8333211541175842E-2</v>
      </c>
      <c r="T15" s="331">
        <f t="shared" si="35"/>
        <v>2.021821029484272E-2</v>
      </c>
      <c r="U15" s="331">
        <f t="shared" si="35"/>
        <v>1.7654210329055786E-2</v>
      </c>
      <c r="V15" s="331">
        <f t="shared" si="35"/>
        <v>1.2680210173130035E-2</v>
      </c>
      <c r="W15" s="331">
        <f t="shared" si="35"/>
        <v>1.7449209466576576E-2</v>
      </c>
      <c r="X15" s="331">
        <f t="shared" si="35"/>
        <v>1.256420835852623E-2</v>
      </c>
      <c r="Y15" s="331">
        <f t="shared" si="35"/>
        <v>1.1105205863714218E-2</v>
      </c>
      <c r="Z15" s="331">
        <f t="shared" si="35"/>
        <v>6.5272115170955658E-3</v>
      </c>
      <c r="AA15" s="331">
        <f t="shared" ref="AA15:AE15" si="36">AA13-AA14</f>
        <v>1.038521621376276E-2</v>
      </c>
      <c r="AB15" s="331">
        <f t="shared" si="36"/>
        <v>1.0651210322976112E-2</v>
      </c>
      <c r="AC15" s="331">
        <f t="shared" si="36"/>
        <v>17671.214396208525</v>
      </c>
      <c r="AD15" s="331">
        <f t="shared" si="36"/>
        <v>17733.800950208679</v>
      </c>
      <c r="AE15" s="331">
        <f t="shared" si="36"/>
        <v>17796.611202208325</v>
      </c>
      <c r="AF15" s="331">
        <f>AF13-AF14</f>
        <v>1.0950207710266113E-2</v>
      </c>
      <c r="AG15" s="331">
        <f t="shared" ref="AG15" si="37">AG13-AG14</f>
        <v>6.9612078368663788E-3</v>
      </c>
      <c r="AH15" s="331">
        <f t="shared" ref="AH15:AL15" si="38">AH13-AH14</f>
        <v>1.0317206382751465E-2</v>
      </c>
      <c r="AI15" s="331">
        <f t="shared" si="38"/>
        <v>9.5182061195373535E-3</v>
      </c>
      <c r="AJ15" s="331">
        <f>AJ13-AJ14</f>
        <v>1.4764204621315002E-2</v>
      </c>
      <c r="AK15" s="331">
        <f t="shared" si="38"/>
        <v>1.3031207025051117E-2</v>
      </c>
      <c r="AL15" s="331">
        <f t="shared" si="38"/>
        <v>1.3794202357530594E-2</v>
      </c>
      <c r="AM15" s="331">
        <f>AM13-AM14</f>
        <v>1.2234201654791832E-2</v>
      </c>
      <c r="AN15" s="331">
        <f t="shared" ref="AN15" si="39">AN13-AN14</f>
        <v>8.9882034808397293E-3</v>
      </c>
      <c r="AO15" s="331">
        <f t="shared" ref="AO15:AT15" si="40">AO13-AO14</f>
        <v>1.3766203075647354E-2</v>
      </c>
      <c r="AP15" s="331">
        <f t="shared" si="40"/>
        <v>1.0100207291543484E-2</v>
      </c>
      <c r="AQ15" s="331">
        <f t="shared" si="40"/>
        <v>6.1692046001553535E-3</v>
      </c>
      <c r="AR15" s="331">
        <f t="shared" si="40"/>
        <v>1.5592044219374657E-3</v>
      </c>
      <c r="AS15" s="331">
        <f t="shared" si="40"/>
        <v>-1.482795923948288E-3</v>
      </c>
      <c r="AT15" s="331">
        <f t="shared" si="40"/>
        <v>611968.71141720377</v>
      </c>
      <c r="AU15" s="331">
        <f>AU13-AU14</f>
        <v>2.8352038934826851E-3</v>
      </c>
      <c r="AV15" s="331">
        <f>AV13-AV14</f>
        <v>5.697204265743494E-3</v>
      </c>
      <c r="AW15" s="331">
        <f>AW13-AW14</f>
        <v>-983542.49235279602</v>
      </c>
    </row>
    <row r="16" spans="1:57" ht="15.75">
      <c r="A16" s="26" t="s">
        <v>262</v>
      </c>
    </row>
    <row r="17" spans="1:57" ht="15.75">
      <c r="A17" s="26" t="s">
        <v>308</v>
      </c>
      <c r="E17" s="495"/>
      <c r="F17" s="495"/>
      <c r="G17" s="495"/>
      <c r="H17" s="495"/>
      <c r="I17" s="495"/>
      <c r="J17" s="495"/>
      <c r="K17" s="495"/>
      <c r="L17" s="495"/>
      <c r="M17" s="495"/>
      <c r="N17" s="495"/>
      <c r="O17" s="495"/>
      <c r="P17" s="495"/>
      <c r="Q17" s="495"/>
      <c r="R17" s="495"/>
      <c r="S17" s="495"/>
      <c r="T17" s="495"/>
      <c r="U17" s="495"/>
      <c r="V17" s="495"/>
      <c r="W17" s="495"/>
      <c r="X17" s="495"/>
      <c r="Y17" s="495"/>
      <c r="Z17" s="495"/>
      <c r="AA17" s="495"/>
      <c r="AB17" s="495"/>
      <c r="AC17" s="495"/>
      <c r="AD17" s="495"/>
      <c r="AE17" s="495"/>
      <c r="AF17" s="495"/>
      <c r="AG17" s="495"/>
      <c r="AH17" s="495"/>
      <c r="AI17" s="495"/>
      <c r="AJ17" s="495"/>
      <c r="AK17" s="495"/>
      <c r="AL17" s="495"/>
      <c r="AM17" s="495"/>
      <c r="AN17" s="495"/>
      <c r="AO17" s="495"/>
      <c r="AP17" s="495"/>
      <c r="AQ17" s="495"/>
      <c r="AR17" s="495"/>
      <c r="AS17" s="495"/>
      <c r="AT17" s="495"/>
      <c r="AU17" s="495"/>
      <c r="AV17" s="495"/>
      <c r="AW17" s="495"/>
    </row>
    <row r="18" spans="1:57" ht="15.75">
      <c r="A18" s="496">
        <v>191000</v>
      </c>
      <c r="B18" s="107" t="s">
        <v>251</v>
      </c>
      <c r="C18" s="539" t="s">
        <v>247</v>
      </c>
      <c r="D18" s="539" t="s">
        <v>248</v>
      </c>
      <c r="E18" s="496">
        <v>201601</v>
      </c>
      <c r="F18" s="496">
        <f>E18+1</f>
        <v>201602</v>
      </c>
      <c r="G18" s="496">
        <f t="shared" ref="G18:P18" si="41">F18+1</f>
        <v>201603</v>
      </c>
      <c r="H18" s="496">
        <f t="shared" si="41"/>
        <v>201604</v>
      </c>
      <c r="I18" s="496">
        <f t="shared" si="41"/>
        <v>201605</v>
      </c>
      <c r="J18" s="496">
        <f t="shared" si="41"/>
        <v>201606</v>
      </c>
      <c r="K18" s="496">
        <f t="shared" si="41"/>
        <v>201607</v>
      </c>
      <c r="L18" s="496">
        <f t="shared" si="41"/>
        <v>201608</v>
      </c>
      <c r="M18" s="496">
        <f t="shared" si="41"/>
        <v>201609</v>
      </c>
      <c r="N18" s="496">
        <f t="shared" si="41"/>
        <v>201610</v>
      </c>
      <c r="O18" s="496">
        <f t="shared" si="41"/>
        <v>201611</v>
      </c>
      <c r="P18" s="496">
        <f t="shared" si="41"/>
        <v>201612</v>
      </c>
      <c r="Q18" s="496">
        <f>Q3</f>
        <v>201701</v>
      </c>
      <c r="R18" s="496">
        <f>Q18+1</f>
        <v>201702</v>
      </c>
      <c r="S18" s="496">
        <f t="shared" ref="S18" si="42">R18+1</f>
        <v>201703</v>
      </c>
      <c r="T18" s="496">
        <f t="shared" ref="T18" si="43">S18+1</f>
        <v>201704</v>
      </c>
      <c r="U18" s="496">
        <f t="shared" ref="U18" si="44">T18+1</f>
        <v>201705</v>
      </c>
      <c r="V18" s="496">
        <f t="shared" ref="V18" si="45">U18+1</f>
        <v>201706</v>
      </c>
      <c r="W18" s="496">
        <f t="shared" ref="W18" si="46">V18+1</f>
        <v>201707</v>
      </c>
      <c r="X18" s="496">
        <f t="shared" ref="X18" si="47">W18+1</f>
        <v>201708</v>
      </c>
      <c r="Y18" s="496">
        <f t="shared" ref="Y18" si="48">X18+1</f>
        <v>201709</v>
      </c>
      <c r="Z18" s="496">
        <f t="shared" ref="Z18" si="49">Y18+1</f>
        <v>201710</v>
      </c>
      <c r="AA18" s="496">
        <f t="shared" ref="AA18" si="50">Z18+1</f>
        <v>201711</v>
      </c>
      <c r="AB18" s="496">
        <f t="shared" ref="AB18" si="51">AA18+1</f>
        <v>201712</v>
      </c>
      <c r="AC18" s="496">
        <f t="shared" ref="AC18:AG18" si="52">AC3</f>
        <v>201801</v>
      </c>
      <c r="AD18" s="496">
        <f t="shared" si="52"/>
        <v>201802</v>
      </c>
      <c r="AE18" s="496">
        <f t="shared" si="52"/>
        <v>201803</v>
      </c>
      <c r="AF18" s="496">
        <f t="shared" si="52"/>
        <v>201804</v>
      </c>
      <c r="AG18" s="496">
        <f t="shared" si="52"/>
        <v>201805</v>
      </c>
      <c r="AH18" s="496">
        <f t="shared" ref="AH18:AL18" si="53">AH3</f>
        <v>201806</v>
      </c>
      <c r="AI18" s="496">
        <f t="shared" si="53"/>
        <v>201807</v>
      </c>
      <c r="AJ18" s="496">
        <f t="shared" si="53"/>
        <v>201808</v>
      </c>
      <c r="AK18" s="496">
        <f t="shared" si="53"/>
        <v>201809</v>
      </c>
      <c r="AL18" s="496">
        <f t="shared" si="53"/>
        <v>201810</v>
      </c>
      <c r="AM18" s="496">
        <f>AM3</f>
        <v>201811</v>
      </c>
      <c r="AN18" s="496">
        <f t="shared" ref="AN18:AO18" si="54">AN3</f>
        <v>201812</v>
      </c>
      <c r="AO18" s="496">
        <f t="shared" si="54"/>
        <v>201901</v>
      </c>
      <c r="AP18" s="496">
        <f t="shared" ref="AP18:AQ18" si="55">AP3</f>
        <v>201902</v>
      </c>
      <c r="AQ18" s="496">
        <f t="shared" si="55"/>
        <v>201903</v>
      </c>
      <c r="AR18" s="496">
        <f t="shared" ref="AR18:AS18" si="56">AR3</f>
        <v>201904</v>
      </c>
      <c r="AS18" s="496">
        <f t="shared" si="56"/>
        <v>201905</v>
      </c>
      <c r="AT18" s="502" t="str">
        <f t="shared" ref="AT18:AU18" si="57">AT3</f>
        <v>201905 Revised</v>
      </c>
      <c r="AU18" s="502">
        <f t="shared" si="57"/>
        <v>201906</v>
      </c>
      <c r="AV18" s="502">
        <f t="shared" ref="AV18:AW18" si="58">AV3</f>
        <v>201907</v>
      </c>
      <c r="AW18" s="502">
        <f t="shared" si="58"/>
        <v>201908</v>
      </c>
    </row>
    <row r="19" spans="1:57" ht="15.75">
      <c r="A19" s="26"/>
      <c r="B19" s="41" t="s">
        <v>37</v>
      </c>
      <c r="C19" s="331">
        <f>SUM(Q19:AB19)</f>
        <v>131594728</v>
      </c>
      <c r="D19" s="498">
        <f t="shared" ref="D19:D24" si="59">SUM(E19:AB19)</f>
        <v>240238598</v>
      </c>
      <c r="E19" s="500">
        <v>20140968</v>
      </c>
      <c r="F19" s="500">
        <v>14297044</v>
      </c>
      <c r="G19" s="500">
        <v>12238194</v>
      </c>
      <c r="H19" s="500">
        <v>5348802</v>
      </c>
      <c r="I19" s="500">
        <v>3384728</v>
      </c>
      <c r="J19" s="500">
        <v>2765049</v>
      </c>
      <c r="K19" s="500">
        <v>2292583</v>
      </c>
      <c r="L19" s="500">
        <v>2354714</v>
      </c>
      <c r="M19" s="500">
        <v>3123052</v>
      </c>
      <c r="N19" s="500">
        <v>7137333</v>
      </c>
      <c r="O19" s="500">
        <v>11352396</v>
      </c>
      <c r="P19" s="500">
        <v>24209007</v>
      </c>
      <c r="Q19" s="500">
        <v>27259641</v>
      </c>
      <c r="R19" s="500">
        <v>19157522</v>
      </c>
      <c r="S19" s="500">
        <v>14316138</v>
      </c>
      <c r="T19" s="500">
        <v>9641125</v>
      </c>
      <c r="U19" s="500">
        <v>4941679</v>
      </c>
      <c r="V19" s="500">
        <v>2542069</v>
      </c>
      <c r="W19" s="500">
        <v>2070483</v>
      </c>
      <c r="X19" s="500">
        <v>2080707</v>
      </c>
      <c r="Y19" s="500">
        <v>3147236</v>
      </c>
      <c r="Z19" s="500">
        <v>8835836</v>
      </c>
      <c r="AA19" s="500">
        <v>14838696</v>
      </c>
      <c r="AB19" s="500">
        <v>22763596</v>
      </c>
      <c r="AC19" s="500">
        <v>20257484</v>
      </c>
      <c r="AD19" s="500">
        <v>18179866</v>
      </c>
      <c r="AE19" s="500">
        <v>15771469</v>
      </c>
      <c r="AF19" s="500">
        <v>9759881</v>
      </c>
      <c r="AG19" s="500">
        <v>3286813</v>
      </c>
      <c r="AH19" s="500">
        <v>2630854</v>
      </c>
      <c r="AI19" s="500">
        <v>2294066</v>
      </c>
      <c r="AJ19" s="500">
        <v>2214130</v>
      </c>
      <c r="AK19" s="500">
        <v>3077139</v>
      </c>
      <c r="AL19" s="500">
        <v>8390464</v>
      </c>
      <c r="AM19" s="500">
        <v>15558764</v>
      </c>
      <c r="AN19" s="500">
        <v>20570424</v>
      </c>
      <c r="AO19" s="500">
        <f>Jan!G23</f>
        <v>21076213</v>
      </c>
      <c r="AP19" s="500">
        <f>Feb!G23</f>
        <v>23394682</v>
      </c>
      <c r="AQ19" s="500">
        <f>Mar!G23</f>
        <v>18476572</v>
      </c>
      <c r="AR19" s="500">
        <f>Apr!$G23</f>
        <v>8678511</v>
      </c>
      <c r="AS19" s="500">
        <f>May!$G23</f>
        <v>4312435</v>
      </c>
      <c r="AT19" s="500">
        <f>'May Revised'!$G23</f>
        <v>4312435</v>
      </c>
      <c r="AU19" s="500">
        <f>Jun!$G23</f>
        <v>2497712</v>
      </c>
      <c r="AV19" s="500">
        <f>Jul!$G23</f>
        <v>2393172</v>
      </c>
      <c r="AW19" s="500">
        <f>Aug!$G23</f>
        <v>2217255</v>
      </c>
    </row>
    <row r="20" spans="1:57" ht="15.75">
      <c r="A20" s="26"/>
      <c r="B20" s="41" t="s">
        <v>304</v>
      </c>
      <c r="C20" s="331">
        <f t="shared" ref="C20:C24" si="60">SUM(Q20:AB20)</f>
        <v>188194</v>
      </c>
      <c r="D20" s="498">
        <f t="shared" si="59"/>
        <v>340511</v>
      </c>
      <c r="E20" s="500">
        <v>17893</v>
      </c>
      <c r="F20" s="500">
        <v>14593</v>
      </c>
      <c r="G20" s="500">
        <v>18603</v>
      </c>
      <c r="H20" s="500">
        <v>12171</v>
      </c>
      <c r="I20" s="500">
        <v>5734</v>
      </c>
      <c r="J20" s="500">
        <v>4482</v>
      </c>
      <c r="K20" s="500">
        <v>3610</v>
      </c>
      <c r="L20" s="500">
        <v>2820</v>
      </c>
      <c r="M20" s="500">
        <v>4729</v>
      </c>
      <c r="N20" s="500">
        <v>12809</v>
      </c>
      <c r="O20" s="500">
        <v>19581</v>
      </c>
      <c r="P20" s="500">
        <v>35292</v>
      </c>
      <c r="Q20" s="500">
        <v>40615</v>
      </c>
      <c r="R20" s="500">
        <v>29103</v>
      </c>
      <c r="S20" s="500">
        <v>22738</v>
      </c>
      <c r="T20" s="500">
        <v>15697</v>
      </c>
      <c r="U20" s="500">
        <v>8078</v>
      </c>
      <c r="V20" s="500">
        <v>3619</v>
      </c>
      <c r="W20" s="500">
        <v>2296</v>
      </c>
      <c r="X20" s="500">
        <v>2393</v>
      </c>
      <c r="Y20" s="500">
        <v>3920</v>
      </c>
      <c r="Z20" s="500">
        <v>13952</v>
      </c>
      <c r="AA20" s="500">
        <v>20740</v>
      </c>
      <c r="AB20" s="500">
        <v>25043</v>
      </c>
      <c r="AC20" s="500">
        <v>22671</v>
      </c>
      <c r="AD20" s="500">
        <v>21014</v>
      </c>
      <c r="AE20" s="500">
        <v>19043</v>
      </c>
      <c r="AF20" s="500">
        <v>11770</v>
      </c>
      <c r="AG20" s="500">
        <v>4240</v>
      </c>
      <c r="AH20" s="500">
        <v>2604</v>
      </c>
      <c r="AI20" s="500">
        <v>2356</v>
      </c>
      <c r="AJ20" s="500">
        <v>1944</v>
      </c>
      <c r="AK20" s="500">
        <v>3129</v>
      </c>
      <c r="AL20" s="500">
        <v>10239</v>
      </c>
      <c r="AM20" s="500">
        <v>17080</v>
      </c>
      <c r="AN20" s="500">
        <v>21435</v>
      </c>
      <c r="AO20" s="500">
        <f>Jan!G24</f>
        <v>21566</v>
      </c>
      <c r="AP20" s="500">
        <f>Feb!G24</f>
        <v>23936</v>
      </c>
      <c r="AQ20" s="500">
        <f>Mar!G24</f>
        <v>18913</v>
      </c>
      <c r="AR20" s="500">
        <f>Apr!$G24</f>
        <v>9640</v>
      </c>
      <c r="AS20" s="500">
        <f>May!$G24</f>
        <v>4874</v>
      </c>
      <c r="AT20" s="500">
        <f>'May Revised'!$G24</f>
        <v>4874</v>
      </c>
      <c r="AU20" s="500">
        <f>Jun!$G24</f>
        <v>2253</v>
      </c>
      <c r="AV20" s="500">
        <f>Jul!$G24</f>
        <v>1928</v>
      </c>
      <c r="AW20" s="500">
        <f>Aug!$G24</f>
        <v>1943</v>
      </c>
    </row>
    <row r="21" spans="1:57" ht="15.75">
      <c r="A21" s="26"/>
      <c r="B21" s="41" t="s">
        <v>38</v>
      </c>
      <c r="C21" s="331">
        <f t="shared" si="60"/>
        <v>51787474</v>
      </c>
      <c r="D21" s="498">
        <f t="shared" si="59"/>
        <v>96346775</v>
      </c>
      <c r="E21" s="500">
        <v>6568112</v>
      </c>
      <c r="F21" s="500">
        <v>5200734</v>
      </c>
      <c r="G21" s="500">
        <v>4795258</v>
      </c>
      <c r="H21" s="500">
        <v>2668983</v>
      </c>
      <c r="I21" s="500">
        <v>2221542</v>
      </c>
      <c r="J21" s="500">
        <v>1675034</v>
      </c>
      <c r="K21" s="500">
        <v>1510014</v>
      </c>
      <c r="L21" s="500">
        <v>1583471</v>
      </c>
      <c r="M21" s="500">
        <v>2056535</v>
      </c>
      <c r="N21" s="500">
        <v>3586972</v>
      </c>
      <c r="O21" s="500">
        <v>4116109</v>
      </c>
      <c r="P21" s="500">
        <v>8576537</v>
      </c>
      <c r="Q21" s="500">
        <v>8738107</v>
      </c>
      <c r="R21" s="500">
        <v>7258148</v>
      </c>
      <c r="S21" s="500">
        <v>5603968</v>
      </c>
      <c r="T21" s="500">
        <v>4021494</v>
      </c>
      <c r="U21" s="500">
        <v>2425238</v>
      </c>
      <c r="V21" s="500">
        <v>1878375</v>
      </c>
      <c r="W21" s="500">
        <v>1446879</v>
      </c>
      <c r="X21" s="500">
        <v>1463939</v>
      </c>
      <c r="Y21" s="500">
        <v>2165313</v>
      </c>
      <c r="Z21" s="500">
        <v>3629858</v>
      </c>
      <c r="AA21" s="500">
        <v>5325716</v>
      </c>
      <c r="AB21" s="500">
        <v>7830439</v>
      </c>
      <c r="AC21" s="500">
        <v>6608892</v>
      </c>
      <c r="AD21" s="500">
        <v>7202971</v>
      </c>
      <c r="AE21" s="500">
        <v>5606266</v>
      </c>
      <c r="AF21" s="500">
        <v>4266905</v>
      </c>
      <c r="AG21" s="500">
        <v>2210506</v>
      </c>
      <c r="AH21" s="500">
        <v>1922676</v>
      </c>
      <c r="AI21" s="500">
        <v>1476772</v>
      </c>
      <c r="AJ21" s="500">
        <v>1588311</v>
      </c>
      <c r="AK21" s="500">
        <v>1948398</v>
      </c>
      <c r="AL21" s="500">
        <v>3674467</v>
      </c>
      <c r="AM21" s="500">
        <v>5726364</v>
      </c>
      <c r="AN21" s="500">
        <v>18064862</v>
      </c>
      <c r="AO21" s="500">
        <f>Jan!G25</f>
        <v>4326716</v>
      </c>
      <c r="AP21" s="500">
        <f>Feb!G25</f>
        <v>8977809</v>
      </c>
      <c r="AQ21" s="500">
        <f>Mar!G25</f>
        <v>6826624</v>
      </c>
      <c r="AR21" s="500">
        <f>Apr!$G25</f>
        <v>4528915</v>
      </c>
      <c r="AS21" s="500">
        <f>May!$G25</f>
        <v>2394969</v>
      </c>
      <c r="AT21" s="500">
        <f>'May Revised'!$G25</f>
        <v>2394969</v>
      </c>
      <c r="AU21" s="500">
        <f>Jun!$G25</f>
        <v>2410231</v>
      </c>
      <c r="AV21" s="500">
        <f>Jul!$G25</f>
        <v>1815710</v>
      </c>
      <c r="AW21" s="500">
        <f>Aug!$G25</f>
        <v>1827018</v>
      </c>
    </row>
    <row r="22" spans="1:57" ht="15.75">
      <c r="A22" s="26"/>
      <c r="B22" s="41" t="s">
        <v>40</v>
      </c>
      <c r="C22" s="331">
        <f t="shared" si="60"/>
        <v>3896834</v>
      </c>
      <c r="D22" s="498">
        <f t="shared" si="59"/>
        <v>7546429</v>
      </c>
      <c r="E22" s="500">
        <v>345863</v>
      </c>
      <c r="F22" s="500">
        <v>408568</v>
      </c>
      <c r="G22" s="500">
        <v>361566</v>
      </c>
      <c r="H22" s="500">
        <v>227877</v>
      </c>
      <c r="I22" s="500">
        <v>311290</v>
      </c>
      <c r="J22" s="500">
        <v>225272</v>
      </c>
      <c r="K22" s="500">
        <v>266816</v>
      </c>
      <c r="L22" s="500">
        <v>259403</v>
      </c>
      <c r="M22" s="500">
        <v>291879</v>
      </c>
      <c r="N22" s="500">
        <v>401880</v>
      </c>
      <c r="O22" s="500">
        <v>314956</v>
      </c>
      <c r="P22" s="500">
        <v>234225</v>
      </c>
      <c r="Q22" s="500">
        <v>284721</v>
      </c>
      <c r="R22" s="500">
        <v>399264</v>
      </c>
      <c r="S22" s="500">
        <v>334116</v>
      </c>
      <c r="T22" s="500">
        <v>288026</v>
      </c>
      <c r="U22" s="500">
        <v>302382</v>
      </c>
      <c r="V22" s="500">
        <v>289055</v>
      </c>
      <c r="W22" s="500">
        <v>274504</v>
      </c>
      <c r="X22" s="500">
        <v>291721</v>
      </c>
      <c r="Y22" s="500">
        <v>348558</v>
      </c>
      <c r="Z22" s="500">
        <v>248414</v>
      </c>
      <c r="AA22" s="500">
        <v>458380</v>
      </c>
      <c r="AB22" s="500">
        <v>377693</v>
      </c>
      <c r="AC22" s="500">
        <v>362835</v>
      </c>
      <c r="AD22" s="500">
        <v>448875</v>
      </c>
      <c r="AE22" s="500">
        <v>345298</v>
      </c>
      <c r="AF22" s="500">
        <v>305691</v>
      </c>
      <c r="AG22" s="500">
        <v>234262</v>
      </c>
      <c r="AH22" s="500">
        <v>318982</v>
      </c>
      <c r="AI22" s="500">
        <v>256335</v>
      </c>
      <c r="AJ22" s="500">
        <v>306054</v>
      </c>
      <c r="AK22" s="500">
        <v>302898</v>
      </c>
      <c r="AL22" s="500">
        <v>398880</v>
      </c>
      <c r="AM22" s="500">
        <v>420845</v>
      </c>
      <c r="AN22" s="500">
        <v>-10914823</v>
      </c>
      <c r="AO22" s="500">
        <f>Jan!G27</f>
        <v>3809625</v>
      </c>
      <c r="AP22" s="500">
        <f>Feb!G27</f>
        <v>177522</v>
      </c>
      <c r="AQ22" s="500">
        <f>Mar!G27</f>
        <v>115935</v>
      </c>
      <c r="AR22" s="500">
        <f>Apr!$G27</f>
        <v>108923</v>
      </c>
      <c r="AS22" s="500">
        <f>May!$G27</f>
        <v>97867</v>
      </c>
      <c r="AT22" s="500">
        <f>'May Revised'!$G27</f>
        <v>97867</v>
      </c>
      <c r="AU22" s="500">
        <f>Jun!$G27</f>
        <v>-90738</v>
      </c>
      <c r="AV22" s="500">
        <f>Jul!$G27</f>
        <v>133593</v>
      </c>
      <c r="AW22" s="500">
        <f>Aug!$G27</f>
        <v>137205</v>
      </c>
    </row>
    <row r="23" spans="1:57" ht="15.75">
      <c r="A23" s="26"/>
      <c r="B23" s="41" t="s">
        <v>42</v>
      </c>
      <c r="C23" s="331">
        <f t="shared" si="60"/>
        <v>0</v>
      </c>
      <c r="D23" s="498">
        <f t="shared" si="59"/>
        <v>0</v>
      </c>
      <c r="E23" s="500">
        <v>0</v>
      </c>
      <c r="F23" s="500">
        <v>0</v>
      </c>
      <c r="G23" s="500">
        <v>0</v>
      </c>
      <c r="H23" s="500">
        <v>0</v>
      </c>
      <c r="I23" s="500">
        <v>0</v>
      </c>
      <c r="J23" s="500">
        <v>0</v>
      </c>
      <c r="K23" s="500">
        <v>0</v>
      </c>
      <c r="L23" s="500">
        <v>0</v>
      </c>
      <c r="M23" s="500">
        <v>0</v>
      </c>
      <c r="N23" s="500">
        <v>0</v>
      </c>
      <c r="O23" s="500">
        <v>0</v>
      </c>
      <c r="P23" s="500">
        <v>0</v>
      </c>
      <c r="Q23" s="500">
        <v>0</v>
      </c>
      <c r="R23" s="500">
        <v>0</v>
      </c>
      <c r="S23" s="500">
        <v>0</v>
      </c>
      <c r="T23" s="500">
        <v>0</v>
      </c>
      <c r="U23" s="500">
        <v>0</v>
      </c>
      <c r="V23" s="500">
        <v>0</v>
      </c>
      <c r="W23" s="500">
        <v>0</v>
      </c>
      <c r="X23" s="500">
        <v>0</v>
      </c>
      <c r="Y23" s="500">
        <v>0</v>
      </c>
      <c r="Z23" s="500">
        <v>0</v>
      </c>
      <c r="AA23" s="500">
        <v>0</v>
      </c>
      <c r="AB23" s="500">
        <v>0</v>
      </c>
      <c r="AC23" s="500">
        <v>0</v>
      </c>
      <c r="AD23" s="500">
        <v>0</v>
      </c>
      <c r="AE23" s="500">
        <v>0</v>
      </c>
      <c r="AF23" s="500">
        <v>0</v>
      </c>
      <c r="AG23" s="500">
        <v>0</v>
      </c>
      <c r="AH23" s="500">
        <v>0</v>
      </c>
      <c r="AI23" s="500">
        <v>0</v>
      </c>
      <c r="AJ23" s="500">
        <v>0</v>
      </c>
      <c r="AK23" s="500">
        <v>0</v>
      </c>
      <c r="AL23" s="500">
        <v>0</v>
      </c>
      <c r="AM23" s="500">
        <v>0</v>
      </c>
      <c r="AN23" s="500">
        <v>0</v>
      </c>
      <c r="AO23" s="500">
        <f>Jan!G29</f>
        <v>0</v>
      </c>
      <c r="AP23" s="500">
        <f>Feb!G29</f>
        <v>0</v>
      </c>
      <c r="AQ23" s="500">
        <f>Mar!G29</f>
        <v>0</v>
      </c>
      <c r="AR23" s="500">
        <f>Apr!$G29</f>
        <v>0</v>
      </c>
      <c r="AS23" s="500">
        <f>May!$G29</f>
        <v>0</v>
      </c>
      <c r="AT23" s="500">
        <f>'May Revised'!$G29</f>
        <v>0</v>
      </c>
      <c r="AU23" s="500">
        <f>Jun!$G29</f>
        <v>0</v>
      </c>
      <c r="AV23" s="500">
        <f>Jul!$G29</f>
        <v>0</v>
      </c>
      <c r="AW23" s="500">
        <f>Aug!$G29</f>
        <v>0</v>
      </c>
    </row>
    <row r="24" spans="1:57" ht="15.75">
      <c r="A24" s="26"/>
      <c r="B24" s="41" t="s">
        <v>74</v>
      </c>
      <c r="C24" s="331">
        <f t="shared" si="60"/>
        <v>36224919</v>
      </c>
      <c r="D24" s="498">
        <f t="shared" si="59"/>
        <v>67139519</v>
      </c>
      <c r="E24" s="500">
        <v>3346687</v>
      </c>
      <c r="F24" s="500">
        <v>2956295</v>
      </c>
      <c r="G24" s="500">
        <v>2822744</v>
      </c>
      <c r="H24" s="500">
        <v>2379815</v>
      </c>
      <c r="I24" s="500">
        <v>2359261</v>
      </c>
      <c r="J24" s="500">
        <v>2149880</v>
      </c>
      <c r="K24" s="500">
        <v>1956378</v>
      </c>
      <c r="L24" s="500">
        <v>1966117</v>
      </c>
      <c r="M24" s="500">
        <v>1915306</v>
      </c>
      <c r="N24" s="500">
        <v>2505633</v>
      </c>
      <c r="O24" s="500">
        <v>2750386</v>
      </c>
      <c r="P24" s="500">
        <v>3806098</v>
      </c>
      <c r="Q24" s="500">
        <v>4261630</v>
      </c>
      <c r="R24" s="500">
        <v>3513623</v>
      </c>
      <c r="S24" s="500">
        <v>3381923</v>
      </c>
      <c r="T24" s="500">
        <v>2868630</v>
      </c>
      <c r="U24" s="500">
        <v>2501903</v>
      </c>
      <c r="V24" s="500">
        <v>2531843</v>
      </c>
      <c r="W24" s="500">
        <v>2144434</v>
      </c>
      <c r="X24" s="500">
        <v>2338940</v>
      </c>
      <c r="Y24" s="500">
        <v>2209861</v>
      </c>
      <c r="Z24" s="500">
        <v>3085921</v>
      </c>
      <c r="AA24" s="500">
        <v>3418526</v>
      </c>
      <c r="AB24" s="500">
        <v>3967685</v>
      </c>
      <c r="AC24" s="500">
        <v>3629622</v>
      </c>
      <c r="AD24" s="500">
        <v>3567188</v>
      </c>
      <c r="AE24" s="500">
        <v>3349134</v>
      </c>
      <c r="AF24" s="500">
        <v>3031741</v>
      </c>
      <c r="AG24" s="500">
        <v>2500964</v>
      </c>
      <c r="AH24" s="500">
        <v>2373589</v>
      </c>
      <c r="AI24" s="500">
        <v>2236824</v>
      </c>
      <c r="AJ24" s="500">
        <v>2281688</v>
      </c>
      <c r="AK24" s="500">
        <v>2309719</v>
      </c>
      <c r="AL24" s="500">
        <v>3098253</v>
      </c>
      <c r="AM24" s="500">
        <v>3268121</v>
      </c>
      <c r="AN24" s="500">
        <v>3535845</v>
      </c>
      <c r="AO24" s="500">
        <f>Jan!G31</f>
        <v>3921073</v>
      </c>
      <c r="AP24" s="500">
        <f>Feb!G31</f>
        <v>3900873</v>
      </c>
      <c r="AQ24" s="500">
        <f>Mar!G31</f>
        <v>3846520</v>
      </c>
      <c r="AR24" s="500">
        <f>Apr!$G31</f>
        <v>3113093</v>
      </c>
      <c r="AS24" s="500">
        <f>May!$G31</f>
        <v>2599421</v>
      </c>
      <c r="AT24" s="500">
        <f>'May Revised'!$G31</f>
        <v>2599421</v>
      </c>
      <c r="AU24" s="500">
        <f>Jun!$G31</f>
        <v>2420689</v>
      </c>
      <c r="AV24" s="500">
        <f>Jul!$G31</f>
        <v>2422953</v>
      </c>
      <c r="AW24" s="500">
        <f>Aug!$G31</f>
        <v>2327120</v>
      </c>
    </row>
    <row r="25" spans="1:57" ht="16.5" thickBot="1">
      <c r="A25" s="26"/>
      <c r="B25" s="41" t="s">
        <v>21</v>
      </c>
      <c r="C25" s="497">
        <f>SUM(C19:C24)</f>
        <v>223692149</v>
      </c>
      <c r="D25" s="497">
        <f>SUM(D19:D24)</f>
        <v>411611832</v>
      </c>
      <c r="E25" s="497">
        <v>30419523</v>
      </c>
      <c r="F25" s="497">
        <f t="shared" ref="F25:AD25" si="61">SUM(F19:F24)</f>
        <v>22877234</v>
      </c>
      <c r="G25" s="497">
        <f t="shared" si="61"/>
        <v>20236365</v>
      </c>
      <c r="H25" s="497">
        <f t="shared" si="61"/>
        <v>10637648</v>
      </c>
      <c r="I25" s="497">
        <f t="shared" si="61"/>
        <v>8282555</v>
      </c>
      <c r="J25" s="497">
        <f t="shared" si="61"/>
        <v>6819717</v>
      </c>
      <c r="K25" s="497">
        <f t="shared" si="61"/>
        <v>6029401</v>
      </c>
      <c r="L25" s="497">
        <f t="shared" si="61"/>
        <v>6166525</v>
      </c>
      <c r="M25" s="497">
        <f t="shared" si="61"/>
        <v>7391501</v>
      </c>
      <c r="N25" s="497">
        <f t="shared" si="61"/>
        <v>13644627</v>
      </c>
      <c r="O25" s="497">
        <f t="shared" si="61"/>
        <v>18553428</v>
      </c>
      <c r="P25" s="497">
        <f t="shared" si="61"/>
        <v>36861159</v>
      </c>
      <c r="Q25" s="497">
        <f t="shared" si="61"/>
        <v>40584714</v>
      </c>
      <c r="R25" s="497">
        <f t="shared" si="61"/>
        <v>30357660</v>
      </c>
      <c r="S25" s="497">
        <f t="shared" si="61"/>
        <v>23658883</v>
      </c>
      <c r="T25" s="497">
        <f t="shared" si="61"/>
        <v>16834972</v>
      </c>
      <c r="U25" s="497">
        <f t="shared" si="61"/>
        <v>10179280</v>
      </c>
      <c r="V25" s="497">
        <f t="shared" si="61"/>
        <v>7244961</v>
      </c>
      <c r="W25" s="497">
        <f t="shared" si="61"/>
        <v>5938596</v>
      </c>
      <c r="X25" s="497">
        <f t="shared" si="61"/>
        <v>6177700</v>
      </c>
      <c r="Y25" s="497">
        <f t="shared" si="61"/>
        <v>7874888</v>
      </c>
      <c r="Z25" s="497">
        <f t="shared" si="61"/>
        <v>15813981</v>
      </c>
      <c r="AA25" s="497">
        <f t="shared" si="61"/>
        <v>24062058</v>
      </c>
      <c r="AB25" s="497">
        <f t="shared" si="61"/>
        <v>34964456</v>
      </c>
      <c r="AC25" s="497">
        <f t="shared" si="61"/>
        <v>30881504</v>
      </c>
      <c r="AD25" s="497">
        <f t="shared" si="61"/>
        <v>29419914</v>
      </c>
      <c r="AE25" s="497">
        <f t="shared" ref="AE25" si="62">SUM(AE19:AE24)</f>
        <v>25091210</v>
      </c>
      <c r="AF25" s="497">
        <f>SUM(AF19:AF24)</f>
        <v>17375988</v>
      </c>
      <c r="AG25" s="497">
        <f>SUM(AG19:AG24)</f>
        <v>8236785</v>
      </c>
      <c r="AH25" s="497">
        <f>SUM(AH19:AH24)</f>
        <v>7248705</v>
      </c>
      <c r="AI25" s="497">
        <f>SUM(AI19:AI24)</f>
        <v>6266353</v>
      </c>
      <c r="AJ25" s="497">
        <f t="shared" ref="AJ25:AL25" si="63">SUM(AJ19:AJ24)</f>
        <v>6392127</v>
      </c>
      <c r="AK25" s="497">
        <f t="shared" si="63"/>
        <v>7641283</v>
      </c>
      <c r="AL25" s="497">
        <f t="shared" si="63"/>
        <v>15572303</v>
      </c>
      <c r="AM25" s="497">
        <f t="shared" ref="AM25:AR25" si="64">SUM(AM19:AM24)</f>
        <v>24991174</v>
      </c>
      <c r="AN25" s="497">
        <f t="shared" si="64"/>
        <v>31277743</v>
      </c>
      <c r="AO25" s="497">
        <f t="shared" si="64"/>
        <v>33155193</v>
      </c>
      <c r="AP25" s="497">
        <f t="shared" si="64"/>
        <v>36474822</v>
      </c>
      <c r="AQ25" s="497">
        <f t="shared" si="64"/>
        <v>29284564</v>
      </c>
      <c r="AR25" s="497">
        <f t="shared" si="64"/>
        <v>16439082</v>
      </c>
      <c r="AS25" s="497">
        <f>SUM(AS19:AS24)</f>
        <v>9409566</v>
      </c>
      <c r="AT25" s="497">
        <f>SUM(AT19:AT24)</f>
        <v>9409566</v>
      </c>
      <c r="AU25" s="497">
        <f>SUM(AU19:AU24)</f>
        <v>7240147</v>
      </c>
      <c r="AV25" s="497">
        <f>SUM(AV19:AV24)</f>
        <v>6767356</v>
      </c>
      <c r="AW25" s="497">
        <f>SUM(AW19:AW24)</f>
        <v>6510541</v>
      </c>
    </row>
    <row r="26" spans="1:57" ht="16.5" thickTop="1">
      <c r="A26" s="26"/>
      <c r="B26" s="41" t="s">
        <v>263</v>
      </c>
      <c r="C26" s="498">
        <f>SUM(Q26:AB26)</f>
        <v>223692149</v>
      </c>
      <c r="D26" s="498">
        <f>SUM(E26:AB26)</f>
        <v>411611832</v>
      </c>
      <c r="E26" s="498">
        <v>30419523</v>
      </c>
      <c r="F26" s="498">
        <v>22877234</v>
      </c>
      <c r="G26" s="498">
        <v>20236365</v>
      </c>
      <c r="H26" s="498">
        <v>10637648</v>
      </c>
      <c r="I26" s="498">
        <v>8282555</v>
      </c>
      <c r="J26" s="498">
        <v>6819717</v>
      </c>
      <c r="K26" s="498">
        <v>6029401</v>
      </c>
      <c r="L26" s="498">
        <v>6166525</v>
      </c>
      <c r="M26" s="498">
        <v>7391501</v>
      </c>
      <c r="N26" s="498">
        <v>13644627</v>
      </c>
      <c r="O26" s="498">
        <v>18553428</v>
      </c>
      <c r="P26" s="498">
        <v>36861159</v>
      </c>
      <c r="Q26" s="498">
        <v>40584714</v>
      </c>
      <c r="R26" s="498">
        <v>30357660</v>
      </c>
      <c r="S26" s="498">
        <v>23658883</v>
      </c>
      <c r="T26" s="498">
        <v>16834972</v>
      </c>
      <c r="U26" s="498">
        <v>10179280</v>
      </c>
      <c r="V26" s="498">
        <v>7244961</v>
      </c>
      <c r="W26" s="498">
        <v>5938596</v>
      </c>
      <c r="X26" s="498">
        <v>6177700</v>
      </c>
      <c r="Y26" s="498">
        <v>7874888</v>
      </c>
      <c r="Z26" s="498">
        <v>15813981</v>
      </c>
      <c r="AA26" s="498">
        <v>24062058</v>
      </c>
      <c r="AB26" s="498">
        <v>34964456</v>
      </c>
      <c r="AC26" s="498">
        <v>30881504</v>
      </c>
      <c r="AD26" s="498">
        <v>29419914</v>
      </c>
      <c r="AE26" s="498">
        <v>25091210</v>
      </c>
      <c r="AF26" s="498">
        <v>17375988</v>
      </c>
      <c r="AG26" s="498">
        <v>8236785</v>
      </c>
      <c r="AH26" s="498">
        <v>7248705</v>
      </c>
      <c r="AI26" s="498">
        <v>6266353</v>
      </c>
      <c r="AJ26" s="498">
        <v>6392127</v>
      </c>
      <c r="AK26" s="498">
        <v>7641283</v>
      </c>
      <c r="AL26" s="498">
        <v>15572303</v>
      </c>
      <c r="AM26" s="498">
        <v>24991174</v>
      </c>
      <c r="AN26" s="498">
        <v>31277743</v>
      </c>
      <c r="AO26" s="498">
        <v>33155193</v>
      </c>
      <c r="AP26" s="498">
        <v>36474822</v>
      </c>
      <c r="AQ26" s="498">
        <v>29284564</v>
      </c>
      <c r="AR26" s="498">
        <v>16439082</v>
      </c>
      <c r="AS26" s="498">
        <v>9409566</v>
      </c>
      <c r="AT26" s="498">
        <v>9409566</v>
      </c>
      <c r="AU26" s="498">
        <v>7240147</v>
      </c>
      <c r="AV26" s="498">
        <v>6767356</v>
      </c>
      <c r="AW26" s="498">
        <v>6510541</v>
      </c>
    </row>
    <row r="27" spans="1:57" ht="15.75">
      <c r="A27" s="26" t="s">
        <v>22</v>
      </c>
      <c r="E27" s="495"/>
      <c r="F27" s="495"/>
      <c r="G27" s="495"/>
      <c r="H27" s="495"/>
      <c r="I27" s="495"/>
      <c r="J27" s="495"/>
      <c r="K27" s="495"/>
      <c r="L27" s="495"/>
      <c r="M27" s="495"/>
      <c r="N27" s="495"/>
      <c r="O27" s="495"/>
      <c r="P27" s="495"/>
      <c r="Q27" s="495"/>
      <c r="R27" s="495"/>
      <c r="S27" s="495"/>
      <c r="T27" s="495"/>
      <c r="U27" s="495"/>
      <c r="V27" s="495"/>
      <c r="W27" s="495"/>
      <c r="X27" s="495"/>
      <c r="Y27" s="495"/>
      <c r="Z27" s="495"/>
      <c r="AA27" s="495"/>
      <c r="AB27" s="495"/>
      <c r="AC27" s="495"/>
      <c r="AD27" s="495"/>
      <c r="AE27" s="495"/>
      <c r="AF27" s="495"/>
      <c r="AG27" s="495"/>
      <c r="AH27" s="495"/>
      <c r="AI27" s="495"/>
      <c r="AJ27" s="495"/>
      <c r="AK27" s="495"/>
      <c r="AL27" s="495"/>
      <c r="AM27" s="495"/>
      <c r="AN27" s="495"/>
      <c r="AO27" s="495"/>
      <c r="AP27" s="495"/>
      <c r="AQ27" s="495"/>
      <c r="AR27" s="495"/>
      <c r="AS27" s="495"/>
      <c r="AT27" s="495"/>
      <c r="AU27" s="495"/>
      <c r="AV27" s="495"/>
      <c r="AW27" s="495"/>
      <c r="BD27" s="7"/>
      <c r="BE27" s="7"/>
    </row>
    <row r="28" spans="1:57" ht="15.75">
      <c r="A28" s="496">
        <v>191000</v>
      </c>
      <c r="B28" s="107" t="s">
        <v>251</v>
      </c>
      <c r="E28" s="496">
        <v>201601</v>
      </c>
      <c r="F28" s="496">
        <f>E28+1</f>
        <v>201602</v>
      </c>
      <c r="G28" s="496">
        <f t="shared" ref="G28:P28" si="65">F28+1</f>
        <v>201603</v>
      </c>
      <c r="H28" s="496">
        <f t="shared" si="65"/>
        <v>201604</v>
      </c>
      <c r="I28" s="496">
        <f t="shared" si="65"/>
        <v>201605</v>
      </c>
      <c r="J28" s="496">
        <f t="shared" si="65"/>
        <v>201606</v>
      </c>
      <c r="K28" s="496">
        <f t="shared" si="65"/>
        <v>201607</v>
      </c>
      <c r="L28" s="496">
        <f t="shared" si="65"/>
        <v>201608</v>
      </c>
      <c r="M28" s="496">
        <f t="shared" si="65"/>
        <v>201609</v>
      </c>
      <c r="N28" s="496">
        <f t="shared" si="65"/>
        <v>201610</v>
      </c>
      <c r="O28" s="496">
        <f t="shared" si="65"/>
        <v>201611</v>
      </c>
      <c r="P28" s="496">
        <f t="shared" si="65"/>
        <v>201612</v>
      </c>
      <c r="Q28" s="496">
        <f>Q3</f>
        <v>201701</v>
      </c>
      <c r="R28" s="496">
        <f>Q28+1</f>
        <v>201702</v>
      </c>
      <c r="S28" s="496">
        <f t="shared" ref="S28" si="66">R28+1</f>
        <v>201703</v>
      </c>
      <c r="T28" s="496">
        <f t="shared" ref="T28" si="67">S28+1</f>
        <v>201704</v>
      </c>
      <c r="U28" s="496">
        <f t="shared" ref="U28" si="68">T28+1</f>
        <v>201705</v>
      </c>
      <c r="V28" s="496">
        <f t="shared" ref="V28" si="69">U28+1</f>
        <v>201706</v>
      </c>
      <c r="W28" s="496">
        <f t="shared" ref="W28" si="70">V28+1</f>
        <v>201707</v>
      </c>
      <c r="X28" s="496">
        <f t="shared" ref="X28" si="71">W28+1</f>
        <v>201708</v>
      </c>
      <c r="Y28" s="496">
        <f t="shared" ref="Y28" si="72">X28+1</f>
        <v>201709</v>
      </c>
      <c r="Z28" s="496">
        <f t="shared" ref="Z28" si="73">Y28+1</f>
        <v>201710</v>
      </c>
      <c r="AA28" s="496">
        <f t="shared" ref="AA28" si="74">Z28+1</f>
        <v>201711</v>
      </c>
      <c r="AB28" s="496">
        <f t="shared" ref="AB28" si="75">AA28+1</f>
        <v>201712</v>
      </c>
      <c r="AC28" s="496">
        <f t="shared" ref="AC28:AG28" si="76">AC3</f>
        <v>201801</v>
      </c>
      <c r="AD28" s="496">
        <f t="shared" si="76"/>
        <v>201802</v>
      </c>
      <c r="AE28" s="496">
        <f t="shared" si="76"/>
        <v>201803</v>
      </c>
      <c r="AF28" s="496">
        <f t="shared" si="76"/>
        <v>201804</v>
      </c>
      <c r="AG28" s="496">
        <f t="shared" si="76"/>
        <v>201805</v>
      </c>
      <c r="AH28" s="496">
        <f t="shared" ref="AH28:AL28" si="77">AH3</f>
        <v>201806</v>
      </c>
      <c r="AI28" s="496">
        <f t="shared" si="77"/>
        <v>201807</v>
      </c>
      <c r="AJ28" s="496">
        <f t="shared" si="77"/>
        <v>201808</v>
      </c>
      <c r="AK28" s="496">
        <f t="shared" si="77"/>
        <v>201809</v>
      </c>
      <c r="AL28" s="496">
        <f t="shared" si="77"/>
        <v>201810</v>
      </c>
      <c r="AM28" s="496">
        <f>AM3</f>
        <v>201811</v>
      </c>
      <c r="AN28" s="496">
        <f t="shared" ref="AN28:AO28" si="78">AN3</f>
        <v>201812</v>
      </c>
      <c r="AO28" s="496">
        <f t="shared" si="78"/>
        <v>201901</v>
      </c>
      <c r="AP28" s="496">
        <f t="shared" ref="AP28:AQ28" si="79">AP3</f>
        <v>201902</v>
      </c>
      <c r="AQ28" s="496">
        <f t="shared" si="79"/>
        <v>201903</v>
      </c>
      <c r="AR28" s="496">
        <f t="shared" ref="AR28:AS28" si="80">AR3</f>
        <v>201904</v>
      </c>
      <c r="AS28" s="496">
        <f t="shared" si="80"/>
        <v>201905</v>
      </c>
      <c r="AT28" s="502" t="str">
        <f t="shared" ref="AT28:AU28" si="81">AT3</f>
        <v>201905 Revised</v>
      </c>
      <c r="AU28" s="502">
        <f t="shared" si="81"/>
        <v>201906</v>
      </c>
      <c r="AV28" s="502">
        <f t="shared" ref="AV28:AW28" si="82">AV3</f>
        <v>201907</v>
      </c>
      <c r="AW28" s="502">
        <f t="shared" si="82"/>
        <v>201908</v>
      </c>
      <c r="BD28" s="7"/>
      <c r="BE28" s="7"/>
    </row>
    <row r="29" spans="1:57" ht="15.75">
      <c r="A29" s="26"/>
      <c r="B29" s="41" t="s">
        <v>37</v>
      </c>
      <c r="E29" s="552">
        <v>2.571E-2</v>
      </c>
      <c r="F29" s="552">
        <v>2.571E-2</v>
      </c>
      <c r="G29" s="552">
        <v>2.571E-2</v>
      </c>
      <c r="H29" s="552">
        <v>2.571E-2</v>
      </c>
      <c r="I29" s="552">
        <v>2.571E-2</v>
      </c>
      <c r="J29" s="552">
        <v>2.571E-2</v>
      </c>
      <c r="K29" s="552">
        <v>2.571E-2</v>
      </c>
      <c r="L29" s="552">
        <v>2.571E-2</v>
      </c>
      <c r="M29" s="552">
        <v>2.571E-2</v>
      </c>
      <c r="N29" s="552">
        <v>2.571E-2</v>
      </c>
      <c r="O29" s="552" t="s">
        <v>305</v>
      </c>
      <c r="P29" s="552" t="s">
        <v>305</v>
      </c>
      <c r="Q29" s="552">
        <v>9.1740000000000002E-2</v>
      </c>
      <c r="R29" s="552">
        <v>9.1740000000000002E-2</v>
      </c>
      <c r="S29" s="552">
        <v>9.1740000000000002E-2</v>
      </c>
      <c r="T29" s="552">
        <v>9.1740000000000002E-2</v>
      </c>
      <c r="U29" s="552">
        <v>9.1740000000000002E-2</v>
      </c>
      <c r="V29" s="552">
        <v>9.1740000000000002E-2</v>
      </c>
      <c r="W29" s="552">
        <v>9.1740000000000002E-2</v>
      </c>
      <c r="X29" s="552">
        <v>9.1740000000000002E-2</v>
      </c>
      <c r="Y29" s="552">
        <v>9.1740000000000002E-2</v>
      </c>
      <c r="Z29" s="552">
        <v>9.1740000000000002E-2</v>
      </c>
      <c r="AA29" s="501" t="s">
        <v>305</v>
      </c>
      <c r="AB29" s="501" t="s">
        <v>305</v>
      </c>
      <c r="AC29" s="501">
        <v>9.0670000000000001E-2</v>
      </c>
      <c r="AD29" s="501">
        <v>9.0670000000000001E-2</v>
      </c>
      <c r="AE29" s="501">
        <v>9.0670000000000001E-2</v>
      </c>
      <c r="AF29" s="501">
        <v>9.0670000000000001E-2</v>
      </c>
      <c r="AG29" s="501">
        <v>9.0670000000000001E-2</v>
      </c>
      <c r="AH29" s="501">
        <v>9.0670000000000001E-2</v>
      </c>
      <c r="AI29" s="501">
        <v>9.0670000000000001E-2</v>
      </c>
      <c r="AJ29" s="501">
        <v>9.0670000000000001E-2</v>
      </c>
      <c r="AK29" s="501">
        <v>9.0670000000000001E-2</v>
      </c>
      <c r="AL29" s="501">
        <v>9.0670000000000001E-2</v>
      </c>
      <c r="AM29" s="501" t="s">
        <v>305</v>
      </c>
      <c r="AN29" s="501" t="s">
        <v>305</v>
      </c>
      <c r="AO29" s="501">
        <v>9.1660000000000005E-2</v>
      </c>
      <c r="AP29" s="501">
        <v>9.1660000000000005E-2</v>
      </c>
      <c r="AQ29" s="501">
        <v>9.1660000000000005E-2</v>
      </c>
      <c r="AR29" s="501">
        <v>9.1660000000000005E-2</v>
      </c>
      <c r="AS29" s="501">
        <v>9.1660000000000005E-2</v>
      </c>
      <c r="AT29" s="501">
        <v>9.1660000000000005E-2</v>
      </c>
      <c r="AU29" s="501">
        <v>9.1660000000000005E-2</v>
      </c>
      <c r="AV29" s="501">
        <v>9.1660000000000005E-2</v>
      </c>
      <c r="AW29" s="501">
        <v>9.1660000000000005E-2</v>
      </c>
    </row>
    <row r="30" spans="1:57" ht="15.75">
      <c r="A30" s="26"/>
      <c r="B30" s="41" t="s">
        <v>304</v>
      </c>
      <c r="E30" s="552">
        <v>2.571E-2</v>
      </c>
      <c r="F30" s="552">
        <v>2.571E-2</v>
      </c>
      <c r="G30" s="552">
        <v>2.571E-2</v>
      </c>
      <c r="H30" s="552">
        <v>2.571E-2</v>
      </c>
      <c r="I30" s="552">
        <v>2.571E-2</v>
      </c>
      <c r="J30" s="552">
        <v>2.571E-2</v>
      </c>
      <c r="K30" s="552">
        <v>2.571E-2</v>
      </c>
      <c r="L30" s="552">
        <v>2.571E-2</v>
      </c>
      <c r="M30" s="552">
        <v>2.571E-2</v>
      </c>
      <c r="N30" s="552">
        <v>2.571E-2</v>
      </c>
      <c r="O30" s="552" t="s">
        <v>305</v>
      </c>
      <c r="P30" s="552" t="s">
        <v>305</v>
      </c>
      <c r="Q30" s="552">
        <v>9.1740000000000002E-2</v>
      </c>
      <c r="R30" s="552">
        <v>9.1740000000000002E-2</v>
      </c>
      <c r="S30" s="552">
        <v>9.1740000000000002E-2</v>
      </c>
      <c r="T30" s="552">
        <v>9.1740000000000002E-2</v>
      </c>
      <c r="U30" s="552">
        <v>9.1740000000000002E-2</v>
      </c>
      <c r="V30" s="552">
        <v>9.1740000000000002E-2</v>
      </c>
      <c r="W30" s="552">
        <v>9.1740000000000002E-2</v>
      </c>
      <c r="X30" s="552">
        <v>9.1740000000000002E-2</v>
      </c>
      <c r="Y30" s="552">
        <v>9.1740000000000002E-2</v>
      </c>
      <c r="Z30" s="552">
        <v>9.1740000000000002E-2</v>
      </c>
      <c r="AA30" s="501" t="s">
        <v>305</v>
      </c>
      <c r="AB30" s="501" t="s">
        <v>305</v>
      </c>
      <c r="AC30" s="501">
        <v>9.0670000000000001E-2</v>
      </c>
      <c r="AD30" s="501">
        <v>9.0670000000000001E-2</v>
      </c>
      <c r="AE30" s="501">
        <v>9.0670000000000001E-2</v>
      </c>
      <c r="AF30" s="501">
        <v>9.0670000000000001E-2</v>
      </c>
      <c r="AG30" s="501">
        <v>9.0670000000000001E-2</v>
      </c>
      <c r="AH30" s="501">
        <v>9.0670000000000001E-2</v>
      </c>
      <c r="AI30" s="501">
        <v>9.0670000000000001E-2</v>
      </c>
      <c r="AJ30" s="501">
        <v>9.0670000000000001E-2</v>
      </c>
      <c r="AK30" s="501">
        <v>9.0670000000000001E-2</v>
      </c>
      <c r="AL30" s="501">
        <v>9.0670000000000001E-2</v>
      </c>
      <c r="AM30" s="501" t="s">
        <v>305</v>
      </c>
      <c r="AN30" s="501" t="s">
        <v>305</v>
      </c>
      <c r="AO30" s="501">
        <v>9.1660000000000005E-2</v>
      </c>
      <c r="AP30" s="501">
        <v>9.1660000000000005E-2</v>
      </c>
      <c r="AQ30" s="501">
        <v>9.1660000000000005E-2</v>
      </c>
      <c r="AR30" s="501">
        <v>9.1660000000000005E-2</v>
      </c>
      <c r="AS30" s="501">
        <v>9.1660000000000005E-2</v>
      </c>
      <c r="AT30" s="501">
        <v>9.1660000000000005E-2</v>
      </c>
      <c r="AU30" s="501">
        <v>9.1660000000000005E-2</v>
      </c>
      <c r="AV30" s="501">
        <v>9.1660000000000005E-2</v>
      </c>
      <c r="AW30" s="501">
        <v>9.1660000000000005E-2</v>
      </c>
      <c r="AX30" s="7"/>
      <c r="AY30" s="170"/>
      <c r="AZ30" s="7"/>
      <c r="BA30" s="7"/>
      <c r="BB30" s="7"/>
      <c r="BC30" s="7"/>
    </row>
    <row r="31" spans="1:57" ht="15.75">
      <c r="A31" s="26"/>
      <c r="B31" s="41" t="s">
        <v>38</v>
      </c>
      <c r="E31" s="552">
        <v>1.372E-2</v>
      </c>
      <c r="F31" s="552">
        <v>1.372E-2</v>
      </c>
      <c r="G31" s="552">
        <v>1.372E-2</v>
      </c>
      <c r="H31" s="552">
        <v>1.372E-2</v>
      </c>
      <c r="I31" s="552">
        <v>1.372E-2</v>
      </c>
      <c r="J31" s="552">
        <v>1.372E-2</v>
      </c>
      <c r="K31" s="552">
        <v>1.372E-2</v>
      </c>
      <c r="L31" s="552">
        <v>1.372E-2</v>
      </c>
      <c r="M31" s="552">
        <v>1.372E-2</v>
      </c>
      <c r="N31" s="552">
        <v>1.372E-2</v>
      </c>
      <c r="O31" s="552" t="s">
        <v>305</v>
      </c>
      <c r="P31" s="552" t="s">
        <v>305</v>
      </c>
      <c r="Q31" s="552">
        <v>7.2489999999999999E-2</v>
      </c>
      <c r="R31" s="552">
        <v>7.2489999999999999E-2</v>
      </c>
      <c r="S31" s="552">
        <v>7.2489999999999999E-2</v>
      </c>
      <c r="T31" s="552">
        <v>7.2489999999999999E-2</v>
      </c>
      <c r="U31" s="552">
        <v>7.2489999999999999E-2</v>
      </c>
      <c r="V31" s="552">
        <v>7.2489999999999999E-2</v>
      </c>
      <c r="W31" s="552">
        <v>7.2489999999999999E-2</v>
      </c>
      <c r="X31" s="552">
        <v>7.2489999999999999E-2</v>
      </c>
      <c r="Y31" s="552">
        <v>7.2489999999999999E-2</v>
      </c>
      <c r="Z31" s="552">
        <v>7.2489999999999999E-2</v>
      </c>
      <c r="AA31" s="501" t="s">
        <v>305</v>
      </c>
      <c r="AB31" s="501" t="s">
        <v>305</v>
      </c>
      <c r="AC31" s="501">
        <v>7.4749999999999997E-2</v>
      </c>
      <c r="AD31" s="501">
        <v>7.4749999999999997E-2</v>
      </c>
      <c r="AE31" s="501">
        <v>7.4749999999999997E-2</v>
      </c>
      <c r="AF31" s="501">
        <v>7.4749999999999997E-2</v>
      </c>
      <c r="AG31" s="501">
        <v>7.4749999999999997E-2</v>
      </c>
      <c r="AH31" s="501">
        <v>7.4749999999999997E-2</v>
      </c>
      <c r="AI31" s="501">
        <v>7.4749999999999997E-2</v>
      </c>
      <c r="AJ31" s="501">
        <v>7.4749999999999997E-2</v>
      </c>
      <c r="AK31" s="501">
        <v>7.4749999999999997E-2</v>
      </c>
      <c r="AL31" s="501">
        <v>7.4749999999999997E-2</v>
      </c>
      <c r="AM31" s="501" t="s">
        <v>305</v>
      </c>
      <c r="AN31" s="501" t="s">
        <v>305</v>
      </c>
      <c r="AO31" s="501">
        <v>7.6249999999999998E-2</v>
      </c>
      <c r="AP31" s="501">
        <v>7.6249999999999998E-2</v>
      </c>
      <c r="AQ31" s="501">
        <v>7.6249999999999998E-2</v>
      </c>
      <c r="AR31" s="501">
        <v>7.6249999999999998E-2</v>
      </c>
      <c r="AS31" s="501">
        <v>7.6249999999999998E-2</v>
      </c>
      <c r="AT31" s="501">
        <v>7.6249999999999998E-2</v>
      </c>
      <c r="AU31" s="501">
        <v>7.6249999999999998E-2</v>
      </c>
      <c r="AV31" s="501">
        <v>7.6249999999999998E-2</v>
      </c>
      <c r="AW31" s="501">
        <v>7.6249999999999998E-2</v>
      </c>
    </row>
    <row r="32" spans="1:57" ht="15.75">
      <c r="A32" s="26"/>
      <c r="B32" s="41" t="s">
        <v>40</v>
      </c>
      <c r="E32" s="552">
        <v>-5.2900000000000004E-3</v>
      </c>
      <c r="F32" s="552">
        <v>-5.2900000000000004E-3</v>
      </c>
      <c r="G32" s="552">
        <v>-5.2900000000000004E-3</v>
      </c>
      <c r="H32" s="552">
        <v>-5.2900000000000004E-3</v>
      </c>
      <c r="I32" s="552">
        <v>-5.2900000000000004E-3</v>
      </c>
      <c r="J32" s="552">
        <v>-5.2900000000000004E-3</v>
      </c>
      <c r="K32" s="552">
        <v>-5.2900000000000004E-3</v>
      </c>
      <c r="L32" s="552">
        <v>-5.2900000000000004E-3</v>
      </c>
      <c r="M32" s="552">
        <v>-5.2900000000000004E-3</v>
      </c>
      <c r="N32" s="552">
        <v>-5.2900000000000004E-3</v>
      </c>
      <c r="O32" s="552" t="s">
        <v>305</v>
      </c>
      <c r="P32" s="552" t="s">
        <v>305</v>
      </c>
      <c r="Q32" s="552">
        <v>4.4479999999999999E-2</v>
      </c>
      <c r="R32" s="552">
        <v>4.4479999999999999E-2</v>
      </c>
      <c r="S32" s="552">
        <v>4.4479999999999999E-2</v>
      </c>
      <c r="T32" s="552">
        <v>4.4479999999999999E-2</v>
      </c>
      <c r="U32" s="552">
        <v>4.4479999999999999E-2</v>
      </c>
      <c r="V32" s="552">
        <v>4.4479999999999999E-2</v>
      </c>
      <c r="W32" s="552">
        <v>4.4479999999999999E-2</v>
      </c>
      <c r="X32" s="552">
        <v>4.4479999999999999E-2</v>
      </c>
      <c r="Y32" s="552">
        <v>4.4479999999999999E-2</v>
      </c>
      <c r="Z32" s="552">
        <v>4.4479999999999999E-2</v>
      </c>
      <c r="AA32" s="501" t="s">
        <v>305</v>
      </c>
      <c r="AB32" s="501" t="s">
        <v>305</v>
      </c>
      <c r="AC32" s="501">
        <v>4.7449999999999999E-2</v>
      </c>
      <c r="AD32" s="501">
        <v>4.7449999999999999E-2</v>
      </c>
      <c r="AE32" s="501">
        <v>4.7449999999999999E-2</v>
      </c>
      <c r="AF32" s="501">
        <v>4.7449999999999999E-2</v>
      </c>
      <c r="AG32" s="501">
        <v>4.7449999999999999E-2</v>
      </c>
      <c r="AH32" s="501">
        <v>4.7449999999999999E-2</v>
      </c>
      <c r="AI32" s="501">
        <v>4.7449999999999999E-2</v>
      </c>
      <c r="AJ32" s="501">
        <v>4.7449999999999999E-2</v>
      </c>
      <c r="AK32" s="501">
        <v>4.7449999999999999E-2</v>
      </c>
      <c r="AL32" s="501">
        <v>4.7449999999999999E-2</v>
      </c>
      <c r="AM32" s="501" t="s">
        <v>305</v>
      </c>
      <c r="AN32" s="501" t="s">
        <v>305</v>
      </c>
      <c r="AO32" s="501">
        <v>4.7800000000000002E-2</v>
      </c>
      <c r="AP32" s="501">
        <v>4.7800000000000002E-2</v>
      </c>
      <c r="AQ32" s="501">
        <v>4.7800000000000002E-2</v>
      </c>
      <c r="AR32" s="501">
        <v>4.7800000000000002E-2</v>
      </c>
      <c r="AS32" s="501">
        <v>4.7800000000000002E-2</v>
      </c>
      <c r="AT32" s="501">
        <v>4.7800000000000002E-2</v>
      </c>
      <c r="AU32" s="501">
        <v>4.7800000000000002E-2</v>
      </c>
      <c r="AV32" s="501">
        <v>4.7800000000000002E-2</v>
      </c>
      <c r="AW32" s="501">
        <v>4.7800000000000002E-2</v>
      </c>
    </row>
    <row r="33" spans="1:70" ht="16.5" thickBot="1">
      <c r="A33" s="26"/>
      <c r="B33" s="41" t="s">
        <v>42</v>
      </c>
      <c r="E33" s="552">
        <v>1.635E-2</v>
      </c>
      <c r="F33" s="552">
        <v>1.635E-2</v>
      </c>
      <c r="G33" s="552">
        <v>1.635E-2</v>
      </c>
      <c r="H33" s="552">
        <v>1.635E-2</v>
      </c>
      <c r="I33" s="552">
        <v>1.635E-2</v>
      </c>
      <c r="J33" s="552">
        <v>1.635E-2</v>
      </c>
      <c r="K33" s="552">
        <v>1.635E-2</v>
      </c>
      <c r="L33" s="552">
        <v>1.635E-2</v>
      </c>
      <c r="M33" s="552">
        <v>1.635E-2</v>
      </c>
      <c r="N33" s="552">
        <v>1.635E-2</v>
      </c>
      <c r="O33" s="552" t="s">
        <v>305</v>
      </c>
      <c r="P33" s="552" t="s">
        <v>305</v>
      </c>
      <c r="Q33" s="552">
        <v>8.8340000000000002E-2</v>
      </c>
      <c r="R33" s="552">
        <v>8.8340000000000002E-2</v>
      </c>
      <c r="S33" s="552">
        <v>8.8340000000000002E-2</v>
      </c>
      <c r="T33" s="552">
        <v>8.8340000000000002E-2</v>
      </c>
      <c r="U33" s="552">
        <v>8.8340000000000002E-2</v>
      </c>
      <c r="V33" s="552">
        <v>8.8340000000000002E-2</v>
      </c>
      <c r="W33" s="552">
        <v>8.8340000000000002E-2</v>
      </c>
      <c r="X33" s="552">
        <v>8.8340000000000002E-2</v>
      </c>
      <c r="Y33" s="552">
        <v>8.8340000000000002E-2</v>
      </c>
      <c r="Z33" s="552">
        <v>8.8340000000000002E-2</v>
      </c>
      <c r="AA33" s="501" t="s">
        <v>305</v>
      </c>
      <c r="AB33" s="501" t="s">
        <v>305</v>
      </c>
      <c r="AC33" s="501" t="s">
        <v>318</v>
      </c>
      <c r="AD33" s="501" t="s">
        <v>318</v>
      </c>
      <c r="AE33" s="501" t="s">
        <v>318</v>
      </c>
      <c r="AF33" s="501" t="s">
        <v>318</v>
      </c>
      <c r="AG33" s="501" t="s">
        <v>318</v>
      </c>
      <c r="AH33" s="501" t="s">
        <v>318</v>
      </c>
      <c r="AI33" s="501" t="s">
        <v>318</v>
      </c>
      <c r="AJ33" s="501" t="s">
        <v>318</v>
      </c>
      <c r="AK33" s="501" t="s">
        <v>318</v>
      </c>
      <c r="AL33" s="501" t="s">
        <v>318</v>
      </c>
      <c r="AM33" s="501" t="s">
        <v>305</v>
      </c>
      <c r="AN33" s="501" t="s">
        <v>305</v>
      </c>
      <c r="AO33" s="501" t="s">
        <v>318</v>
      </c>
      <c r="AP33" s="501" t="s">
        <v>318</v>
      </c>
      <c r="AQ33" s="501" t="s">
        <v>318</v>
      </c>
      <c r="AR33" s="501" t="s">
        <v>318</v>
      </c>
      <c r="AS33" s="501" t="s">
        <v>318</v>
      </c>
      <c r="AT33" s="501" t="s">
        <v>318</v>
      </c>
      <c r="AU33" s="501" t="s">
        <v>318</v>
      </c>
      <c r="AV33" s="501" t="s">
        <v>318</v>
      </c>
      <c r="AW33" s="501" t="s">
        <v>318</v>
      </c>
    </row>
    <row r="34" spans="1:70" ht="16.5" thickBot="1">
      <c r="A34" s="26"/>
      <c r="B34" s="41" t="s">
        <v>74</v>
      </c>
      <c r="E34" s="552">
        <v>0</v>
      </c>
      <c r="F34" s="552">
        <v>0</v>
      </c>
      <c r="G34" s="552">
        <v>0</v>
      </c>
      <c r="H34" s="552">
        <v>0</v>
      </c>
      <c r="I34" s="552">
        <v>0</v>
      </c>
      <c r="J34" s="552">
        <v>0</v>
      </c>
      <c r="K34" s="552">
        <v>0</v>
      </c>
      <c r="L34" s="552">
        <v>0</v>
      </c>
      <c r="M34" s="552">
        <v>0</v>
      </c>
      <c r="N34" s="552">
        <v>0</v>
      </c>
      <c r="O34" s="552" t="s">
        <v>305</v>
      </c>
      <c r="P34" s="552" t="s">
        <v>305</v>
      </c>
      <c r="Q34" s="552">
        <v>0</v>
      </c>
      <c r="R34" s="552">
        <v>0</v>
      </c>
      <c r="S34" s="552">
        <v>0</v>
      </c>
      <c r="T34" s="552">
        <v>0</v>
      </c>
      <c r="U34" s="552">
        <v>0</v>
      </c>
      <c r="V34" s="552">
        <v>0</v>
      </c>
      <c r="W34" s="552">
        <v>0</v>
      </c>
      <c r="X34" s="552">
        <v>0</v>
      </c>
      <c r="Y34" s="552">
        <v>0</v>
      </c>
      <c r="Z34" s="552">
        <v>0</v>
      </c>
      <c r="AA34" s="501" t="s">
        <v>305</v>
      </c>
      <c r="AB34" s="501" t="s">
        <v>305</v>
      </c>
      <c r="AC34" s="501" t="s">
        <v>318</v>
      </c>
      <c r="AD34" s="501" t="s">
        <v>318</v>
      </c>
      <c r="AE34" s="501" t="s">
        <v>318</v>
      </c>
      <c r="AF34" s="501" t="s">
        <v>318</v>
      </c>
      <c r="AG34" s="501" t="s">
        <v>318</v>
      </c>
      <c r="AH34" s="501" t="s">
        <v>318</v>
      </c>
      <c r="AI34" s="501" t="s">
        <v>318</v>
      </c>
      <c r="AJ34" s="501" t="s">
        <v>318</v>
      </c>
      <c r="AK34" s="501" t="s">
        <v>318</v>
      </c>
      <c r="AL34" s="501" t="s">
        <v>318</v>
      </c>
      <c r="AM34" s="501" t="s">
        <v>305</v>
      </c>
      <c r="AN34" s="501" t="s">
        <v>305</v>
      </c>
      <c r="AO34" s="501" t="s">
        <v>318</v>
      </c>
      <c r="AP34" s="501" t="s">
        <v>318</v>
      </c>
      <c r="AQ34" s="501" t="s">
        <v>318</v>
      </c>
      <c r="AR34" s="501" t="s">
        <v>318</v>
      </c>
      <c r="AS34" s="501" t="s">
        <v>318</v>
      </c>
      <c r="AT34" s="501" t="s">
        <v>318</v>
      </c>
      <c r="AU34" s="501" t="s">
        <v>318</v>
      </c>
      <c r="AV34" s="501" t="s">
        <v>318</v>
      </c>
      <c r="AW34" s="501" t="s">
        <v>318</v>
      </c>
      <c r="AX34" s="553">
        <f>AX4</f>
        <v>201908</v>
      </c>
      <c r="AY34" s="542"/>
      <c r="AZ34" s="116"/>
      <c r="BA34" s="116"/>
      <c r="BB34" s="116"/>
      <c r="BC34" s="167"/>
    </row>
    <row r="35" spans="1:70" ht="15.75">
      <c r="A35" s="26" t="s">
        <v>282</v>
      </c>
      <c r="E35" s="499"/>
      <c r="F35" s="499"/>
      <c r="G35" s="499"/>
      <c r="H35" s="499"/>
      <c r="I35" s="499"/>
      <c r="J35" s="499"/>
      <c r="K35" s="499"/>
      <c r="L35" s="499"/>
      <c r="M35" s="499"/>
      <c r="N35" s="499"/>
      <c r="O35" s="499"/>
      <c r="P35" s="499"/>
      <c r="Q35" s="499"/>
      <c r="R35" s="499"/>
      <c r="S35" s="499"/>
      <c r="T35" s="499"/>
      <c r="U35" s="499"/>
      <c r="V35" s="499"/>
      <c r="W35" s="499"/>
      <c r="X35" s="499"/>
      <c r="Y35" s="499"/>
      <c r="Z35" s="499"/>
      <c r="AA35" s="499"/>
      <c r="AB35" s="499"/>
      <c r="AC35" s="499"/>
      <c r="AD35" s="499"/>
      <c r="AE35" s="499"/>
      <c r="AF35" s="499"/>
      <c r="AG35" s="499"/>
      <c r="AH35" s="499"/>
      <c r="AI35" s="499"/>
      <c r="AJ35" s="499"/>
      <c r="AK35" s="499"/>
      <c r="AL35" s="499"/>
      <c r="AM35" s="499"/>
      <c r="AN35" s="499"/>
      <c r="AO35" s="499"/>
      <c r="AP35" s="499"/>
      <c r="AQ35" s="499"/>
      <c r="AR35" s="499"/>
      <c r="AS35" s="499"/>
      <c r="AT35" s="499"/>
      <c r="AU35" s="499"/>
      <c r="AV35" s="499"/>
      <c r="AW35" s="499"/>
      <c r="AX35" s="115" t="s">
        <v>287</v>
      </c>
      <c r="AY35" s="542">
        <v>419600</v>
      </c>
      <c r="AZ35" s="116" t="s">
        <v>279</v>
      </c>
      <c r="BA35" s="116" t="s">
        <v>280</v>
      </c>
      <c r="BB35" s="410">
        <v>0</v>
      </c>
      <c r="BC35" s="411">
        <f>IF(SUMIF(E3:AW3,AX4,E40:AW40)&gt;0,SUMIF(E3:AW3,AX4,E40:AW40),0)</f>
        <v>4713.028036158029</v>
      </c>
      <c r="BE35" s="331" t="str">
        <f>_xll.GLW_Segment_Description(AY35,2,2)</f>
        <v>INTEREST ON ENERGY DEFERRALS</v>
      </c>
    </row>
    <row r="36" spans="1:70" s="26" customFormat="1" ht="15.75">
      <c r="A36" s="496">
        <v>191000</v>
      </c>
      <c r="B36" s="107" t="s">
        <v>251</v>
      </c>
      <c r="C36" s="539" t="s">
        <v>247</v>
      </c>
      <c r="D36" s="540" t="s">
        <v>248</v>
      </c>
      <c r="E36" s="496">
        <v>201601</v>
      </c>
      <c r="F36" s="496">
        <f>E36+1</f>
        <v>201602</v>
      </c>
      <c r="G36" s="496">
        <f t="shared" ref="G36:P36" si="83">F36+1</f>
        <v>201603</v>
      </c>
      <c r="H36" s="496">
        <f t="shared" si="83"/>
        <v>201604</v>
      </c>
      <c r="I36" s="496">
        <f t="shared" si="83"/>
        <v>201605</v>
      </c>
      <c r="J36" s="496">
        <f t="shared" si="83"/>
        <v>201606</v>
      </c>
      <c r="K36" s="496">
        <f t="shared" si="83"/>
        <v>201607</v>
      </c>
      <c r="L36" s="496">
        <f t="shared" si="83"/>
        <v>201608</v>
      </c>
      <c r="M36" s="496">
        <f t="shared" si="83"/>
        <v>201609</v>
      </c>
      <c r="N36" s="496">
        <f t="shared" si="83"/>
        <v>201610</v>
      </c>
      <c r="O36" s="496">
        <f t="shared" si="83"/>
        <v>201611</v>
      </c>
      <c r="P36" s="496">
        <f t="shared" si="83"/>
        <v>201612</v>
      </c>
      <c r="Q36" s="496">
        <f>Q3</f>
        <v>201701</v>
      </c>
      <c r="R36" s="496">
        <f>Q36+1</f>
        <v>201702</v>
      </c>
      <c r="S36" s="496">
        <f t="shared" ref="S36" si="84">R36+1</f>
        <v>201703</v>
      </c>
      <c r="T36" s="496">
        <f t="shared" ref="T36" si="85">S36+1</f>
        <v>201704</v>
      </c>
      <c r="U36" s="496">
        <f t="shared" ref="U36" si="86">T36+1</f>
        <v>201705</v>
      </c>
      <c r="V36" s="496">
        <f t="shared" ref="V36" si="87">U36+1</f>
        <v>201706</v>
      </c>
      <c r="W36" s="496">
        <f t="shared" ref="W36" si="88">V36+1</f>
        <v>201707</v>
      </c>
      <c r="X36" s="496">
        <f t="shared" ref="X36" si="89">W36+1</f>
        <v>201708</v>
      </c>
      <c r="Y36" s="496">
        <f t="shared" ref="Y36" si="90">X36+1</f>
        <v>201709</v>
      </c>
      <c r="Z36" s="496">
        <f t="shared" ref="Z36" si="91">Y36+1</f>
        <v>201710</v>
      </c>
      <c r="AA36" s="496">
        <f t="shared" ref="AA36" si="92">Z36+1</f>
        <v>201711</v>
      </c>
      <c r="AB36" s="496">
        <f t="shared" ref="AB36" si="93">AA36+1</f>
        <v>201712</v>
      </c>
      <c r="AC36" s="496">
        <f t="shared" ref="AC36:AE37" si="94">AC3</f>
        <v>201801</v>
      </c>
      <c r="AD36" s="496">
        <f t="shared" si="94"/>
        <v>201802</v>
      </c>
      <c r="AE36" s="496">
        <f t="shared" si="94"/>
        <v>201803</v>
      </c>
      <c r="AF36" s="496">
        <f>AF3</f>
        <v>201804</v>
      </c>
      <c r="AG36" s="496">
        <f t="shared" ref="AG36" si="95">AG3</f>
        <v>201805</v>
      </c>
      <c r="AH36" s="496">
        <f t="shared" ref="AH36:AL36" si="96">AH3</f>
        <v>201806</v>
      </c>
      <c r="AI36" s="496">
        <f t="shared" si="96"/>
        <v>201807</v>
      </c>
      <c r="AJ36" s="496">
        <f t="shared" si="96"/>
        <v>201808</v>
      </c>
      <c r="AK36" s="496">
        <f t="shared" si="96"/>
        <v>201809</v>
      </c>
      <c r="AL36" s="496">
        <f t="shared" si="96"/>
        <v>201810</v>
      </c>
      <c r="AM36" s="496">
        <f>AM3</f>
        <v>201811</v>
      </c>
      <c r="AN36" s="496">
        <f t="shared" ref="AN36:AO36" si="97">AN3</f>
        <v>201812</v>
      </c>
      <c r="AO36" s="496">
        <f t="shared" si="97"/>
        <v>201901</v>
      </c>
      <c r="AP36" s="496">
        <f t="shared" ref="AP36:AQ36" si="98">AP3</f>
        <v>201902</v>
      </c>
      <c r="AQ36" s="496">
        <f t="shared" si="98"/>
        <v>201903</v>
      </c>
      <c r="AR36" s="496">
        <f t="shared" ref="AR36:AS36" si="99">AR3</f>
        <v>201904</v>
      </c>
      <c r="AS36" s="496">
        <f t="shared" si="99"/>
        <v>201905</v>
      </c>
      <c r="AT36" s="502" t="str">
        <f t="shared" ref="AT36:AU36" si="100">AT3</f>
        <v>201905 Revised</v>
      </c>
      <c r="AU36" s="502">
        <f t="shared" si="100"/>
        <v>201906</v>
      </c>
      <c r="AV36" s="502">
        <f t="shared" ref="AV36:AW36" si="101">AV3</f>
        <v>201907</v>
      </c>
      <c r="AW36" s="502">
        <f t="shared" si="101"/>
        <v>201908</v>
      </c>
      <c r="AX36" s="117" t="s">
        <v>288</v>
      </c>
      <c r="AY36" s="170">
        <v>431600</v>
      </c>
      <c r="AZ36" s="7" t="s">
        <v>279</v>
      </c>
      <c r="BA36" s="7" t="s">
        <v>280</v>
      </c>
      <c r="BB36" s="412">
        <f>IF(SUMIF(E36:AW36,AX34,E40:AW40)&lt;0,-SUMIF(E36:AW36,AX34,E40:AW40),0)</f>
        <v>0</v>
      </c>
      <c r="BC36" s="402">
        <v>0</v>
      </c>
      <c r="BE36" s="331" t="str">
        <f>_xll.GLW_Segment_Description(AY36,2,2)</f>
        <v>INTEREST EXPENSE ENERGY DEFERRALS</v>
      </c>
    </row>
    <row r="37" spans="1:70" s="26" customFormat="1" ht="15.75">
      <c r="B37" s="107" t="s">
        <v>252</v>
      </c>
      <c r="C37" s="331"/>
      <c r="E37" s="492">
        <v>3.2500000000000001E-2</v>
      </c>
      <c r="F37" s="492">
        <v>3.2500000000000001E-2</v>
      </c>
      <c r="G37" s="492">
        <v>3.2500000000000001E-2</v>
      </c>
      <c r="H37" s="492">
        <v>3.4599999999999999E-2</v>
      </c>
      <c r="I37" s="492">
        <v>3.4599999999999999E-2</v>
      </c>
      <c r="J37" s="492">
        <v>3.4599999999999999E-2</v>
      </c>
      <c r="K37" s="492">
        <v>3.5000000000000003E-2</v>
      </c>
      <c r="L37" s="492">
        <v>3.5000000000000003E-2</v>
      </c>
      <c r="M37" s="492">
        <v>3.5000000000000003E-2</v>
      </c>
      <c r="N37" s="492">
        <v>3.5000000000000003E-2</v>
      </c>
      <c r="O37" s="492">
        <v>3.5000000000000003E-2</v>
      </c>
      <c r="P37" s="492">
        <v>3.5000000000000003E-2</v>
      </c>
      <c r="Q37" s="492">
        <v>3.5000000000000003E-2</v>
      </c>
      <c r="R37" s="492">
        <v>3.5000000000000003E-2</v>
      </c>
      <c r="S37" s="492">
        <v>3.5000000000000003E-2</v>
      </c>
      <c r="T37" s="492">
        <v>3.7100000000000001E-2</v>
      </c>
      <c r="U37" s="492">
        <v>3.7100000000000001E-2</v>
      </c>
      <c r="V37" s="492">
        <v>3.7100000000000001E-2</v>
      </c>
      <c r="W37" s="492">
        <v>3.9600000000000003E-2</v>
      </c>
      <c r="X37" s="492">
        <v>3.9600000000000003E-2</v>
      </c>
      <c r="Y37" s="492">
        <v>3.9600000000000003E-2</v>
      </c>
      <c r="Z37" s="492">
        <v>4.2099999999999999E-2</v>
      </c>
      <c r="AA37" s="492">
        <v>4.2099999999999999E-2</v>
      </c>
      <c r="AB37" s="492">
        <v>4.2099999999999999E-2</v>
      </c>
      <c r="AC37" s="492">
        <f t="shared" si="94"/>
        <v>4.2500000000000003E-2</v>
      </c>
      <c r="AD37" s="492">
        <f t="shared" si="94"/>
        <v>4.2500000000000003E-2</v>
      </c>
      <c r="AE37" s="492">
        <f t="shared" si="94"/>
        <v>4.2500000000000003E-2</v>
      </c>
      <c r="AF37" s="492">
        <f>AF4</f>
        <v>4.4699999999999997E-2</v>
      </c>
      <c r="AG37" s="492">
        <f t="shared" ref="AG37" si="102">AG4</f>
        <v>4.4699999999999997E-2</v>
      </c>
      <c r="AH37" s="492">
        <f t="shared" ref="AH37:AK37" si="103">AH4</f>
        <v>4.4699999999999997E-2</v>
      </c>
      <c r="AI37" s="492">
        <f t="shared" si="103"/>
        <v>4.6899999999999997E-2</v>
      </c>
      <c r="AJ37" s="492">
        <f t="shared" si="103"/>
        <v>4.6899999999999997E-2</v>
      </c>
      <c r="AK37" s="492">
        <f t="shared" si="103"/>
        <v>4.6899999999999997E-2</v>
      </c>
      <c r="AL37" s="492">
        <f>AL4</f>
        <v>4.9599999999999998E-2</v>
      </c>
      <c r="AM37" s="492">
        <f>AM4</f>
        <v>4.9599999999999998E-2</v>
      </c>
      <c r="AN37" s="492">
        <f t="shared" ref="AN37:AO37" si="104">AN4</f>
        <v>4.9599999999999998E-2</v>
      </c>
      <c r="AO37" s="492">
        <f t="shared" si="104"/>
        <v>5.1799999999999999E-2</v>
      </c>
      <c r="AP37" s="492">
        <f t="shared" ref="AP37" si="105">AP4</f>
        <v>5.1799999999999999E-2</v>
      </c>
      <c r="AQ37" s="492">
        <f t="shared" ref="AQ37:AV37" si="106">AQ4</f>
        <v>5.1799999999999999E-2</v>
      </c>
      <c r="AR37" s="492">
        <f t="shared" si="106"/>
        <v>5.45E-2</v>
      </c>
      <c r="AS37" s="492">
        <f t="shared" si="106"/>
        <v>5.45E-2</v>
      </c>
      <c r="AT37" s="492">
        <f t="shared" si="106"/>
        <v>5.45E-2</v>
      </c>
      <c r="AU37" s="492">
        <f t="shared" si="106"/>
        <v>5.45E-2</v>
      </c>
      <c r="AV37" s="492">
        <f t="shared" si="106"/>
        <v>5.5E-2</v>
      </c>
      <c r="AW37" s="492">
        <f t="shared" ref="AW37" si="107">AW4</f>
        <v>5.5E-2</v>
      </c>
      <c r="AX37" s="117" t="s">
        <v>289</v>
      </c>
      <c r="AY37" s="170">
        <v>191000</v>
      </c>
      <c r="AZ37" s="7" t="s">
        <v>279</v>
      </c>
      <c r="BA37" s="7" t="s">
        <v>280</v>
      </c>
      <c r="BB37" s="412">
        <f>IF((SUMIF(E36:AW36,AX34,E39:AW39)+SUMIF(E36:AW36,AX34,E40:AW40))&gt;0,(SUMIF(E36:AW36,AX34,E39:AW39)+SUMIF(E36:AW36,AX34,E40:AW40)),0)</f>
        <v>353993.238216158</v>
      </c>
      <c r="BC37" s="402">
        <f>IF((SUMIF(E36:AW36,AX34,E39:AW39)+SUMIF(E36:AW36,AX34,E40:AW40))&lt;0,-(SUMIF(E36:AW36,AX34,E39:AW39)+SUMIF(E36:AW36,AX34,E40:AW40)),0)</f>
        <v>0</v>
      </c>
      <c r="BE37" s="331" t="str">
        <f>_xll.GLW_Segment_Description(AY37,2,2)</f>
        <v>RECOVERABLE GAS COSTS AMORTIZED</v>
      </c>
    </row>
    <row r="38" spans="1:70" ht="15.75">
      <c r="A38" s="445"/>
      <c r="B38" s="41" t="s">
        <v>249</v>
      </c>
      <c r="D38" s="331">
        <f>E38</f>
        <v>-2400830.7877258095</v>
      </c>
      <c r="E38" s="331">
        <v>-2400830.7877258095</v>
      </c>
      <c r="F38" s="331">
        <f t="shared" ref="F38" si="108">E43</f>
        <v>-1799942.4443073752</v>
      </c>
      <c r="G38" s="331">
        <f t="shared" ref="G38" si="109">F43</f>
        <v>-1367080.388300563</v>
      </c>
      <c r="H38" s="331">
        <f t="shared" ref="H38" si="110">G43</f>
        <v>-991269.16134300514</v>
      </c>
      <c r="I38" s="331">
        <f t="shared" ref="I38" si="111">H43</f>
        <v>-820633.96798459429</v>
      </c>
      <c r="J38" s="331">
        <f>I43</f>
        <v>-706831.28344430251</v>
      </c>
      <c r="K38" s="331">
        <f t="shared" ref="K38" si="112">J43</f>
        <v>-615740.82707996247</v>
      </c>
      <c r="L38" s="331">
        <f t="shared" ref="L38" si="113">K43</f>
        <v>-539081.43298013532</v>
      </c>
      <c r="M38" s="331">
        <f t="shared" ref="M38:R38" si="114">L43</f>
        <v>-459570.5002163836</v>
      </c>
      <c r="N38" s="331">
        <f t="shared" si="114"/>
        <v>-353667.8760235564</v>
      </c>
      <c r="O38" s="331">
        <f t="shared" si="114"/>
        <v>-123445.19123732927</v>
      </c>
      <c r="P38" s="331">
        <f t="shared" si="114"/>
        <v>-12794629.54065969</v>
      </c>
      <c r="Q38" s="331">
        <f>P43</f>
        <v>-9990002.7430699486</v>
      </c>
      <c r="R38" s="331">
        <f t="shared" si="114"/>
        <v>-6863930.3518781429</v>
      </c>
      <c r="S38" s="331">
        <f>R43</f>
        <v>-4576506.6383892084</v>
      </c>
      <c r="T38" s="331">
        <f t="shared" ref="T38" si="115">S43</f>
        <v>-2850780.7220049934</v>
      </c>
      <c r="U38" s="331">
        <f t="shared" ref="U38" si="116">T43</f>
        <v>-1667508.1164393995</v>
      </c>
      <c r="V38" s="331">
        <f>U43</f>
        <v>-1028322.8285985981</v>
      </c>
      <c r="W38" s="331">
        <f t="shared" ref="W38" si="117">V43</f>
        <v>-648348.69566836057</v>
      </c>
      <c r="X38" s="331">
        <f t="shared" ref="X38:AB38" si="118">W43</f>
        <v>-342730.3402196177</v>
      </c>
      <c r="Y38" s="331">
        <f t="shared" si="118"/>
        <v>-33149.237686728884</v>
      </c>
      <c r="Z38" s="331">
        <f t="shared" si="118"/>
        <v>429057.38532247738</v>
      </c>
      <c r="AA38" s="331">
        <f t="shared" si="118"/>
        <v>1518525.1996199901</v>
      </c>
      <c r="AB38" s="331">
        <f t="shared" si="118"/>
        <v>-11530857.691050928</v>
      </c>
      <c r="AC38" s="331">
        <f t="shared" ref="AC38:AG38" si="119">AB43</f>
        <v>-8772939.4477731995</v>
      </c>
      <c r="AD38" s="331">
        <f t="shared" si="119"/>
        <v>-6449815.9068760211</v>
      </c>
      <c r="AE38" s="331">
        <f t="shared" si="119"/>
        <v>-4259121.6475951439</v>
      </c>
      <c r="AF38" s="331">
        <f t="shared" si="119"/>
        <v>-2403721.0782025773</v>
      </c>
      <c r="AG38" s="331">
        <f t="shared" si="119"/>
        <v>-1190951.9274032866</v>
      </c>
      <c r="AH38" s="331">
        <f t="shared" ref="AH38:AL38" si="120">AG43</f>
        <v>-719753.16900029394</v>
      </c>
      <c r="AI38" s="331">
        <f t="shared" si="120"/>
        <v>-324062.29737981706</v>
      </c>
      <c r="AJ38" s="331">
        <f t="shared" si="120"/>
        <v>6085.9211845684895</v>
      </c>
      <c r="AK38" s="331">
        <f>AJ43</f>
        <v>340942.68942091474</v>
      </c>
      <c r="AL38" s="331">
        <f t="shared" si="120"/>
        <v>782436.83885088074</v>
      </c>
      <c r="AM38" s="331">
        <f t="shared" ref="AM38:AR38" si="121">AL43</f>
        <v>1843136.8387223349</v>
      </c>
      <c r="AN38" s="331">
        <f t="shared" si="121"/>
        <v>-11755837.766428944</v>
      </c>
      <c r="AO38" s="331">
        <f t="shared" si="121"/>
        <v>-9086016.0967968497</v>
      </c>
      <c r="AP38" s="331">
        <f t="shared" si="121"/>
        <v>-6674123.8801444955</v>
      </c>
      <c r="AQ38" s="331">
        <f t="shared" si="121"/>
        <v>-3857211.0440841522</v>
      </c>
      <c r="AR38" s="331">
        <f t="shared" si="121"/>
        <v>-1647698.9578796327</v>
      </c>
      <c r="AS38" s="331">
        <f>AR43</f>
        <v>-505685.64744582976</v>
      </c>
      <c r="AT38" s="331">
        <f>AR43</f>
        <v>-505685.64744582976</v>
      </c>
      <c r="AU38" s="331">
        <f>AT43</f>
        <v>76360.607610460313</v>
      </c>
      <c r="AV38" s="331">
        <f>AU43</f>
        <v>486224.88023644633</v>
      </c>
      <c r="AW38" s="331">
        <f>AV43</f>
        <v>853656.92098084267</v>
      </c>
      <c r="AX38" s="117" t="s">
        <v>290</v>
      </c>
      <c r="AY38" s="170">
        <v>805110</v>
      </c>
      <c r="AZ38" s="7" t="s">
        <v>279</v>
      </c>
      <c r="BA38" s="7" t="s">
        <v>280</v>
      </c>
      <c r="BB38" s="412">
        <f>IF((SUMIF(E36:AW36,AX34,E39:AW39))&lt;0,-(SUMIF(E36:AW36,AX34,E39:AW39)),0)</f>
        <v>0</v>
      </c>
      <c r="BC38" s="402">
        <f>IF((SUMIF(E36:AW36,AX34,E39:AW39))&gt;0,(SUMIF(E36:AW36,AX34,E39:AW39)),0)</f>
        <v>349280.21017999999</v>
      </c>
      <c r="BE38" s="331" t="str">
        <f>_xll.GLW_Segment_Description(AY38,2,2)</f>
        <v>AMORTIZE RECOVERABLE GAS COSTS</v>
      </c>
      <c r="BK38" s="26"/>
      <c r="BL38" s="26"/>
      <c r="BM38" s="26"/>
      <c r="BN38" s="26"/>
      <c r="BO38" s="26"/>
      <c r="BP38" s="26"/>
      <c r="BQ38" s="26"/>
      <c r="BR38" s="26"/>
    </row>
    <row r="39" spans="1:70" ht="15.75">
      <c r="B39" s="41" t="s">
        <v>23</v>
      </c>
      <c r="C39" s="331">
        <f>SUM(Q39:AB39)</f>
        <v>16000586.827369999</v>
      </c>
      <c r="D39" s="554">
        <f>SUM(E39:AB39)</f>
        <v>22501687.655719999</v>
      </c>
      <c r="E39" s="331">
        <v>606569.19767999998</v>
      </c>
      <c r="F39" s="331">
        <v>437144.93303000001</v>
      </c>
      <c r="G39" s="331">
        <v>379000.50648999994</v>
      </c>
      <c r="H39" s="331">
        <v>173243.59325999999</v>
      </c>
      <c r="I39" s="331">
        <v>116001.61016</v>
      </c>
      <c r="J39" s="331">
        <v>92994.419610000012</v>
      </c>
      <c r="K39" s="331">
        <v>78341.057469999985</v>
      </c>
      <c r="L39" s="331">
        <v>80965.179390000005</v>
      </c>
      <c r="M39" s="331">
        <v>107086.8698</v>
      </c>
      <c r="N39" s="331">
        <v>230917.46145999999</v>
      </c>
      <c r="O39" s="331">
        <v>1361030</v>
      </c>
      <c r="P39" s="331">
        <f>2837806</f>
        <v>2837806</v>
      </c>
      <c r="Q39" s="331">
        <f t="shared" ref="Q39:Z39" si="122">SUMPRODUCT(Q19:Q24,Q29:Q34)</f>
        <v>3150615.2519499999</v>
      </c>
      <c r="R39" s="331">
        <f>SUMPRODUCT(R19:R24,R29:R34)</f>
        <v>2304083.3887400003</v>
      </c>
      <c r="S39" s="331">
        <f t="shared" si="122"/>
        <v>1736541.60424</v>
      </c>
      <c r="T39" s="331">
        <f t="shared" si="122"/>
        <v>1190246.3468200001</v>
      </c>
      <c r="U39" s="331">
        <f t="shared" si="122"/>
        <v>643346.16116000002</v>
      </c>
      <c r="V39" s="331">
        <f t="shared" si="122"/>
        <v>382561.98726999998</v>
      </c>
      <c r="W39" s="331">
        <f t="shared" si="122"/>
        <v>307250.94208999997</v>
      </c>
      <c r="X39" s="331">
        <f t="shared" si="122"/>
        <v>310200.28219000006</v>
      </c>
      <c r="Y39" s="331">
        <f t="shared" si="122"/>
        <v>461554.45064999996</v>
      </c>
      <c r="Z39" s="331">
        <f t="shared" si="122"/>
        <v>1086057.4122600001</v>
      </c>
      <c r="AA39" s="331">
        <v>1765228</v>
      </c>
      <c r="AB39" s="331">
        <v>2662901</v>
      </c>
      <c r="AC39" s="331">
        <f>SUMPRODUCT(AC19:AC24,AC29:AC34)</f>
        <v>2350032.8516000002</v>
      </c>
      <c r="AD39" s="331">
        <f t="shared" ref="AD39:AG39" si="123">SUMPRODUCT(AD19:AD24,AD29:AD34)</f>
        <v>2209994.9905999997</v>
      </c>
      <c r="AE39" s="331">
        <f t="shared" si="123"/>
        <v>1867178.4966399998</v>
      </c>
      <c r="AF39" s="331">
        <f t="shared" si="123"/>
        <v>1219451.78287</v>
      </c>
      <c r="AG39" s="331">
        <f t="shared" si="123"/>
        <v>474750.83091000002</v>
      </c>
      <c r="AH39" s="331">
        <f t="shared" ref="AH39:AI39" si="124">SUMPRODUCT(AH19:AH24,AH29:AH34)</f>
        <v>397631.36375999998</v>
      </c>
      <c r="AI39" s="331">
        <f t="shared" si="124"/>
        <v>330768.38548999996</v>
      </c>
      <c r="AJ39" s="331">
        <f>SUMPRODUCT(AJ19:AJ24,AJ29:AJ34)</f>
        <v>334179.93913000001</v>
      </c>
      <c r="AK39" s="331">
        <f>SUMPRODUCT(AK19:AK24,AK29:AK34)</f>
        <v>439303.16016000003</v>
      </c>
      <c r="AL39" s="331">
        <f>SUMPRODUCT(AL19:AL24,AL29:AL34)</f>
        <v>1055285.00526</v>
      </c>
      <c r="AM39" s="331">
        <v>1880095</v>
      </c>
      <c r="AN39" s="331">
        <v>2712806</v>
      </c>
      <c r="AO39" s="331">
        <f t="shared" ref="AO39:AT39" si="125">SUMPRODUCT(AO19:AO24,AO29:AO34)</f>
        <v>2445834.5931400005</v>
      </c>
      <c r="AP39" s="331">
        <f t="shared" si="125"/>
        <v>2839594.0137299998</v>
      </c>
      <c r="AQ39" s="331">
        <f t="shared" si="125"/>
        <v>2221367.9281000001</v>
      </c>
      <c r="AR39" s="331">
        <f t="shared" si="125"/>
        <v>1146892.2088100002</v>
      </c>
      <c r="AS39" s="331">
        <f t="shared" si="125"/>
        <v>583018.9717900001</v>
      </c>
      <c r="AT39" s="331">
        <f t="shared" si="125"/>
        <v>583018.9717900001</v>
      </c>
      <c r="AU39" s="331">
        <f>SUMPRODUCT(AU19:AU24,AU29:AU34)</f>
        <v>408589.62925</v>
      </c>
      <c r="AV39" s="331">
        <f>SUMPRODUCT(AV19:AV24,AV29:AV34)</f>
        <v>364368.49890000001</v>
      </c>
      <c r="AW39" s="331">
        <f>SUMPRODUCT(AW19:AW24,AW29:AW34)</f>
        <v>349280.21017999999</v>
      </c>
      <c r="AX39" s="117" t="s">
        <v>156</v>
      </c>
      <c r="AY39" s="170">
        <f>AY37</f>
        <v>191000</v>
      </c>
      <c r="AZ39" s="170" t="str">
        <f t="shared" ref="AZ39:BA39" si="126">AZ37</f>
        <v>GD</v>
      </c>
      <c r="BA39" s="170" t="str">
        <f t="shared" si="126"/>
        <v>WA</v>
      </c>
      <c r="BB39" s="412">
        <v>0</v>
      </c>
      <c r="BC39" s="402">
        <f>-IF(SUMIF(E36:AW36,AX34,E42:AW42)&lt;0,SUMIF(E36:AW36,AX34,E42:AW42),0)</f>
        <v>0</v>
      </c>
      <c r="BE39" s="331" t="str">
        <f>_xll.GLW_Segment_Description(AY39,2,2)</f>
        <v>RECOVERABLE GAS COSTS AMORTIZED</v>
      </c>
      <c r="BK39" s="26"/>
      <c r="BL39" s="26"/>
      <c r="BM39" s="26"/>
      <c r="BN39" s="26"/>
      <c r="BO39" s="26"/>
      <c r="BP39" s="26"/>
      <c r="BQ39" s="26"/>
      <c r="BR39" s="26"/>
    </row>
    <row r="40" spans="1:70" ht="16.5" thickBot="1">
      <c r="B40" s="41" t="s">
        <v>4</v>
      </c>
      <c r="C40" s="331">
        <f>SUM(Q40:AB40)</f>
        <v>-142882.10207324801</v>
      </c>
      <c r="D40" s="331">
        <f>SUM(E40:AB40)</f>
        <v>-240404.19576738396</v>
      </c>
      <c r="E40" s="493">
        <v>-5680.8542615657343</v>
      </c>
      <c r="F40" s="493">
        <v>-4282.8770231876824</v>
      </c>
      <c r="G40" s="493">
        <v>-3189.27953244215</v>
      </c>
      <c r="H40" s="493">
        <v>-2608.3999015891645</v>
      </c>
      <c r="I40" s="493">
        <v>-2198.9256197082468</v>
      </c>
      <c r="J40" s="493">
        <v>-1903.9632456599886</v>
      </c>
      <c r="K40" s="493">
        <v>-1681.6633701728074</v>
      </c>
      <c r="L40" s="493">
        <v>-1454.2466262483115</v>
      </c>
      <c r="M40" s="493">
        <v>-1184.2456071727854</v>
      </c>
      <c r="N40" s="493">
        <v>-694.77667377287275</v>
      </c>
      <c r="O40" s="493">
        <f>((O38+O41)*(O37/12))+(((O39+O42)/2)*(O37/12))</f>
        <v>-39463.659422358884</v>
      </c>
      <c r="P40" s="493">
        <f t="shared" ref="P40:T40" si="127">((P38+P41)*(P37/12))+(((P39+P42)/2)*(P37/12))</f>
        <v>-33179.202410257429</v>
      </c>
      <c r="Q40" s="493">
        <f>((Q38+Q41)*(Q37/12))+(((Q39+Q42)/2)*(Q37/12))</f>
        <v>-24542.860758193601</v>
      </c>
      <c r="R40" s="493">
        <f t="shared" si="127"/>
        <v>-16659.675251065419</v>
      </c>
      <c r="S40" s="493">
        <f t="shared" si="127"/>
        <v>-10815.687855785192</v>
      </c>
      <c r="T40" s="493">
        <f t="shared" si="127"/>
        <v>-6973.7412544061872</v>
      </c>
      <c r="U40" s="493">
        <f>((U38+U41)*(U37/12))+(((U39+U42)/2)*(U37/12))</f>
        <v>-4160.873319198643</v>
      </c>
      <c r="V40" s="493">
        <f>((V38+V41)*(V37/12))+(((V39+V42)/2)*(V37/12))</f>
        <v>-2587.8543397624576</v>
      </c>
      <c r="W40" s="493">
        <f t="shared" ref="W40" si="128">((W38+W41)*(W37/12))+(((W39+W42)/2)*(W37/12))</f>
        <v>-1632.5866412570899</v>
      </c>
      <c r="X40" s="493">
        <f t="shared" ref="X40:Z40" si="129">((X38+X41)*(X37/12))+(((X39+X42)/2)*(X37/12))</f>
        <v>-619.17965711123838</v>
      </c>
      <c r="Y40" s="493">
        <f t="shared" si="129"/>
        <v>652.17235920629469</v>
      </c>
      <c r="Z40" s="493">
        <f t="shared" si="129"/>
        <v>3410.4020375124419</v>
      </c>
      <c r="AA40" s="493">
        <f>((AA38+AA41)*(AA37/12))+(((AA39+AA42)/2)*(AA37/12))</f>
        <v>-43398.340670916543</v>
      </c>
      <c r="AB40" s="493">
        <f t="shared" ref="AB40:AE40" si="130">((AB38+AB41)*(AB37/12))+(((AB39+AB42)/2)*(AB37/12))</f>
        <v>-35553.876722270346</v>
      </c>
      <c r="AC40" s="493">
        <f>((AC38+AC41)*(AC37/12))+(((AC39+AC42)/2)*(AC37/12))</f>
        <v>-26909.310702821749</v>
      </c>
      <c r="AD40" s="493">
        <f t="shared" si="130"/>
        <v>-18930.221319123411</v>
      </c>
      <c r="AE40" s="493">
        <f t="shared" si="130"/>
        <v>-11777.927247432803</v>
      </c>
      <c r="AF40" s="493">
        <f t="shared" ref="AF40:AL40" si="131">((AF38+AF41)*(AF37/12))+(((AF39+AF42)/2)*(AF37/12))</f>
        <v>-6682.6320707092254</v>
      </c>
      <c r="AG40" s="493">
        <f t="shared" si="131"/>
        <v>-3552.0725070073668</v>
      </c>
      <c r="AH40" s="493">
        <f t="shared" si="131"/>
        <v>-1940.4921395230947</v>
      </c>
      <c r="AI40" s="493">
        <f t="shared" si="131"/>
        <v>-620.16692561441005</v>
      </c>
      <c r="AJ40" s="493">
        <f>((AJ38+AJ41)*(AJ37/12))+(((AJ39+AJ42)/2)*(AJ37/12))</f>
        <v>676.82910634623022</v>
      </c>
      <c r="AK40" s="493">
        <f>((AK38+AK41)*(AK37/12))+(((AK39+AK42)/2)*(AK37/12))</f>
        <v>2190.989269966075</v>
      </c>
      <c r="AL40" s="493">
        <f t="shared" si="131"/>
        <v>5414.9946114543072</v>
      </c>
      <c r="AM40" s="493">
        <f t="shared" ref="AM40:AR40" si="132">((AM38+AM41)*(AM37/12))+(((AM39+AM42)/2)*(AM37/12))</f>
        <v>-52658.465151281016</v>
      </c>
      <c r="AN40" s="493">
        <f t="shared" si="132"/>
        <v>-42984.330367906303</v>
      </c>
      <c r="AO40" s="493">
        <f t="shared" si="132"/>
        <v>-33942.376487645903</v>
      </c>
      <c r="AP40" s="493">
        <f t="shared" si="132"/>
        <v>-22681.177669656488</v>
      </c>
      <c r="AQ40" s="493">
        <f t="shared" si="132"/>
        <v>-11855.841895480757</v>
      </c>
      <c r="AR40" s="493">
        <f t="shared" si="132"/>
        <v>-4878.8983761972904</v>
      </c>
      <c r="AS40" s="493">
        <f>((AS38+AS41)*(AS37/12))+(((AS39+AS42)/2)*(AS37/12))</f>
        <v>-972.71673371001839</v>
      </c>
      <c r="AT40" s="493">
        <f>((AT38+AT41)*(AT37/12))+(((AT39+AT42)/2)*(AT37/12))</f>
        <v>-972.71673371001839</v>
      </c>
      <c r="AU40" s="493">
        <f>((AU38+AU41)*(AU37/12))+(((AU39+AU42)/2)*(AU37/12))</f>
        <v>1274.643375986049</v>
      </c>
      <c r="AV40" s="493">
        <f>((AV38+AV41)*(AV37/12))+(((AV39+AV42)/2)*(AV37/12))</f>
        <v>3063.5418443962126</v>
      </c>
      <c r="AW40" s="493">
        <f>((AW38+AW41)*(AW37/12))+(((AW39+AW42)/2)*(AW37/12))</f>
        <v>4713.028036158029</v>
      </c>
      <c r="AX40" s="118" t="str">
        <f>AX39</f>
        <v>Large Customer Refund</v>
      </c>
      <c r="AY40" s="438">
        <f>AY38</f>
        <v>805110</v>
      </c>
      <c r="AZ40" s="438" t="str">
        <f t="shared" ref="AZ40:BA40" si="133">AZ38</f>
        <v>GD</v>
      </c>
      <c r="BA40" s="438" t="str">
        <f t="shared" si="133"/>
        <v>WA</v>
      </c>
      <c r="BB40" s="404">
        <f>BC39</f>
        <v>0</v>
      </c>
      <c r="BC40" s="413">
        <f>BB39</f>
        <v>0</v>
      </c>
      <c r="BE40" s="331" t="str">
        <f>_xll.GLW_Segment_Description(AY40,2,2)</f>
        <v>AMORTIZE RECOVERABLE GAS COSTS</v>
      </c>
      <c r="BK40" s="26"/>
      <c r="BL40" s="26"/>
      <c r="BM40" s="26"/>
      <c r="BN40" s="26"/>
      <c r="BO40" s="26"/>
      <c r="BP40" s="26"/>
      <c r="BQ40" s="26"/>
      <c r="BR40" s="26"/>
    </row>
    <row r="41" spans="1:70" ht="16.5" thickBot="1">
      <c r="B41" s="41" t="s">
        <v>254</v>
      </c>
      <c r="C41" s="331">
        <f t="shared" ref="C41:C42" si="134">SUM(Q41:AB41)</f>
        <v>-14771212.550000001</v>
      </c>
      <c r="D41" s="331">
        <f>SUM(E41:AB41)</f>
        <v>-28953396.510000002</v>
      </c>
      <c r="E41" s="331">
        <v>0</v>
      </c>
      <c r="F41" s="331">
        <v>0</v>
      </c>
      <c r="G41" s="331">
        <v>0</v>
      </c>
      <c r="H41" s="331">
        <v>0</v>
      </c>
      <c r="I41" s="331">
        <v>0</v>
      </c>
      <c r="J41" s="331">
        <v>0</v>
      </c>
      <c r="K41" s="331">
        <v>0</v>
      </c>
      <c r="L41" s="331">
        <v>0</v>
      </c>
      <c r="M41" s="331">
        <v>0</v>
      </c>
      <c r="N41" s="331">
        <v>0</v>
      </c>
      <c r="O41" s="555">
        <v>-14182183.960000001</v>
      </c>
      <c r="P41" s="331">
        <v>0</v>
      </c>
      <c r="Q41" s="331">
        <v>0</v>
      </c>
      <c r="R41" s="331">
        <v>0</v>
      </c>
      <c r="S41" s="331">
        <v>0</v>
      </c>
      <c r="T41" s="331">
        <v>0</v>
      </c>
      <c r="U41" s="331">
        <v>0</v>
      </c>
      <c r="V41" s="331">
        <v>0</v>
      </c>
      <c r="W41" s="331">
        <v>0</v>
      </c>
      <c r="X41" s="331">
        <v>0</v>
      </c>
      <c r="Y41" s="331">
        <v>0</v>
      </c>
      <c r="Z41" s="331">
        <v>0</v>
      </c>
      <c r="AA41" s="555">
        <v>-14771212.550000001</v>
      </c>
      <c r="AB41" s="331">
        <v>0</v>
      </c>
      <c r="AC41" s="331">
        <v>0</v>
      </c>
      <c r="AD41" s="331">
        <v>0</v>
      </c>
      <c r="AE41" s="331">
        <v>0</v>
      </c>
      <c r="AF41" s="331">
        <v>0</v>
      </c>
      <c r="AG41" s="331">
        <v>0</v>
      </c>
      <c r="AH41" s="331">
        <v>0</v>
      </c>
      <c r="AI41" s="331">
        <v>0</v>
      </c>
      <c r="AJ41" s="331">
        <v>0</v>
      </c>
      <c r="AK41" s="331">
        <v>0</v>
      </c>
      <c r="AL41" s="331">
        <v>0</v>
      </c>
      <c r="AM41" s="331">
        <f>-15619860.03</f>
        <v>-15619860.029999999</v>
      </c>
      <c r="AN41" s="331">
        <v>0</v>
      </c>
      <c r="AO41" s="331">
        <v>0</v>
      </c>
      <c r="AP41" s="331">
        <v>0</v>
      </c>
      <c r="AQ41" s="331">
        <v>0</v>
      </c>
      <c r="AR41" s="331">
        <v>0</v>
      </c>
      <c r="AS41" s="331">
        <v>0</v>
      </c>
      <c r="AT41" s="331">
        <v>0</v>
      </c>
      <c r="AU41" s="331">
        <v>0</v>
      </c>
      <c r="AV41" s="331">
        <v>0</v>
      </c>
      <c r="AW41" s="331">
        <v>0</v>
      </c>
      <c r="AX41" s="118"/>
      <c r="AY41" s="438"/>
      <c r="AZ41" s="111"/>
      <c r="BA41" s="111"/>
      <c r="BB41" s="111" t="s">
        <v>159</v>
      </c>
      <c r="BC41" s="549">
        <f>SUM(BB35:BB40)-SUM(BC35:BC40)</f>
        <v>0</v>
      </c>
      <c r="BK41" s="26"/>
      <c r="BL41" s="26"/>
      <c r="BM41" s="26"/>
      <c r="BN41" s="26"/>
      <c r="BO41" s="26"/>
      <c r="BP41" s="26"/>
      <c r="BQ41" s="26"/>
      <c r="BR41" s="26"/>
    </row>
    <row r="42" spans="1:70">
      <c r="B42" s="41" t="s">
        <v>148</v>
      </c>
      <c r="C42" s="331">
        <f t="shared" si="134"/>
        <v>130571.12</v>
      </c>
      <c r="D42" s="554">
        <f>SUM(E42:AB42)</f>
        <v>320004.39</v>
      </c>
      <c r="E42" s="331">
        <v>0</v>
      </c>
      <c r="F42" s="331">
        <v>0</v>
      </c>
      <c r="G42" s="331">
        <v>0</v>
      </c>
      <c r="H42" s="331">
        <v>0</v>
      </c>
      <c r="I42" s="331">
        <v>0</v>
      </c>
      <c r="J42" s="331">
        <v>0</v>
      </c>
      <c r="K42" s="331">
        <v>0</v>
      </c>
      <c r="L42" s="331">
        <v>0</v>
      </c>
      <c r="M42" s="331">
        <v>0</v>
      </c>
      <c r="N42" s="331">
        <v>0</v>
      </c>
      <c r="O42" s="331">
        <v>189433.27</v>
      </c>
      <c r="P42" s="331">
        <v>0</v>
      </c>
      <c r="Q42" s="331">
        <v>0</v>
      </c>
      <c r="R42" s="331">
        <v>0</v>
      </c>
      <c r="S42" s="331">
        <v>0</v>
      </c>
      <c r="T42" s="331">
        <v>0</v>
      </c>
      <c r="U42" s="331">
        <v>0</v>
      </c>
      <c r="V42" s="331">
        <v>0</v>
      </c>
      <c r="W42" s="331">
        <v>0</v>
      </c>
      <c r="X42" s="331">
        <v>0</v>
      </c>
      <c r="Y42" s="331">
        <v>0</v>
      </c>
      <c r="Z42" s="331">
        <v>0</v>
      </c>
      <c r="AA42" s="331">
        <v>0</v>
      </c>
      <c r="AB42" s="331">
        <v>130571.12</v>
      </c>
      <c r="AC42" s="331">
        <v>0</v>
      </c>
      <c r="AD42" s="331">
        <f>-158.62-25.94-185.95</f>
        <v>-370.51</v>
      </c>
      <c r="AE42" s="331">
        <v>0</v>
      </c>
      <c r="AF42" s="331">
        <v>0</v>
      </c>
      <c r="AG42" s="331">
        <v>0</v>
      </c>
      <c r="AH42" s="331">
        <v>0</v>
      </c>
      <c r="AI42" s="331">
        <v>0</v>
      </c>
      <c r="AJ42" s="331">
        <v>0</v>
      </c>
      <c r="AK42" s="331">
        <v>0</v>
      </c>
      <c r="AL42" s="331">
        <v>0</v>
      </c>
      <c r="AM42" s="331">
        <f>(20527.62+70176.6+102744.67)</f>
        <v>193448.89</v>
      </c>
      <c r="AN42" s="331">
        <v>0</v>
      </c>
      <c r="AO42" s="331">
        <v>0</v>
      </c>
      <c r="AP42" s="331">
        <v>0</v>
      </c>
      <c r="AQ42" s="331">
        <v>0</v>
      </c>
      <c r="AR42" s="331">
        <v>0</v>
      </c>
      <c r="AS42" s="331">
        <v>0</v>
      </c>
      <c r="AT42" s="331">
        <v>0</v>
      </c>
      <c r="AU42" s="331">
        <v>0</v>
      </c>
      <c r="AV42" s="331">
        <v>0</v>
      </c>
      <c r="AW42" s="331">
        <v>0</v>
      </c>
    </row>
    <row r="43" spans="1:70" ht="16.5" thickBot="1">
      <c r="B43" s="41" t="s">
        <v>56</v>
      </c>
      <c r="C43" s="494">
        <f>SUM(C39:C42)</f>
        <v>1217063.29529675</v>
      </c>
      <c r="D43" s="494">
        <f>SUM(D38:D42)</f>
        <v>-8772939.4477731958</v>
      </c>
      <c r="E43" s="494">
        <v>-1799942.4443073752</v>
      </c>
      <c r="F43" s="494">
        <f t="shared" ref="F43:P43" si="135">SUM(F38:F42)</f>
        <v>-1367080.388300563</v>
      </c>
      <c r="G43" s="494">
        <f t="shared" si="135"/>
        <v>-991269.16134300514</v>
      </c>
      <c r="H43" s="494">
        <f t="shared" si="135"/>
        <v>-820633.96798459429</v>
      </c>
      <c r="I43" s="494">
        <f t="shared" si="135"/>
        <v>-706831.28344430251</v>
      </c>
      <c r="J43" s="494">
        <f t="shared" si="135"/>
        <v>-615740.82707996247</v>
      </c>
      <c r="K43" s="494">
        <f>SUM(K38:K42)</f>
        <v>-539081.43298013532</v>
      </c>
      <c r="L43" s="494">
        <f t="shared" si="135"/>
        <v>-459570.5002163836</v>
      </c>
      <c r="M43" s="494">
        <f t="shared" si="135"/>
        <v>-353667.8760235564</v>
      </c>
      <c r="N43" s="494">
        <f t="shared" si="135"/>
        <v>-123445.19123732927</v>
      </c>
      <c r="O43" s="494">
        <f>SUM(O38:O42)</f>
        <v>-12794629.54065969</v>
      </c>
      <c r="P43" s="494">
        <f t="shared" si="135"/>
        <v>-9990002.7430699486</v>
      </c>
      <c r="Q43" s="494">
        <f>SUM(Q38:Q42)</f>
        <v>-6863930.3518781429</v>
      </c>
      <c r="R43" s="494">
        <f t="shared" ref="R43:V43" si="136">SUM(R38:R42)</f>
        <v>-4576506.6383892084</v>
      </c>
      <c r="S43" s="494">
        <f>SUM(S38:S42)</f>
        <v>-2850780.7220049934</v>
      </c>
      <c r="T43" s="494">
        <f t="shared" si="136"/>
        <v>-1667508.1164393995</v>
      </c>
      <c r="U43" s="494">
        <f t="shared" si="136"/>
        <v>-1028322.8285985981</v>
      </c>
      <c r="V43" s="494">
        <f t="shared" si="136"/>
        <v>-648348.69566836057</v>
      </c>
      <c r="W43" s="494">
        <f>SUM(W38:W42)</f>
        <v>-342730.3402196177</v>
      </c>
      <c r="X43" s="494">
        <f t="shared" ref="X43:Z43" si="137">SUM(X38:X42)</f>
        <v>-33149.237686728884</v>
      </c>
      <c r="Y43" s="494">
        <f t="shared" si="137"/>
        <v>429057.38532247738</v>
      </c>
      <c r="Z43" s="494">
        <f t="shared" si="137"/>
        <v>1518525.1996199901</v>
      </c>
      <c r="AA43" s="494">
        <f t="shared" ref="AA43:AE43" si="138">SUM(AA38:AA42)</f>
        <v>-11530857.691050928</v>
      </c>
      <c r="AB43" s="494">
        <f t="shared" si="138"/>
        <v>-8772939.4477731995</v>
      </c>
      <c r="AC43" s="494">
        <f t="shared" si="138"/>
        <v>-6449815.9068760211</v>
      </c>
      <c r="AD43" s="494">
        <f t="shared" si="138"/>
        <v>-4259121.6475951439</v>
      </c>
      <c r="AE43" s="494">
        <f t="shared" si="138"/>
        <v>-2403721.0782025773</v>
      </c>
      <c r="AF43" s="494">
        <f>SUM(AF38:AF42)</f>
        <v>-1190951.9274032866</v>
      </c>
      <c r="AG43" s="494">
        <f t="shared" ref="AG43" si="139">SUM(AG38:AG42)</f>
        <v>-719753.16900029394</v>
      </c>
      <c r="AH43" s="494">
        <f t="shared" ref="AH43:AK43" si="140">SUM(AH38:AH42)</f>
        <v>-324062.29737981706</v>
      </c>
      <c r="AI43" s="494">
        <f t="shared" si="140"/>
        <v>6085.9211845684895</v>
      </c>
      <c r="AJ43" s="494">
        <f t="shared" si="140"/>
        <v>340942.68942091474</v>
      </c>
      <c r="AK43" s="494">
        <f t="shared" si="140"/>
        <v>782436.83885088074</v>
      </c>
      <c r="AL43" s="494">
        <f t="shared" ref="AL43:AQ43" si="141">SUM(AL38:AL42)</f>
        <v>1843136.8387223349</v>
      </c>
      <c r="AM43" s="494">
        <f t="shared" si="141"/>
        <v>-11755837.766428944</v>
      </c>
      <c r="AN43" s="494">
        <f t="shared" si="141"/>
        <v>-9086016.0967968497</v>
      </c>
      <c r="AO43" s="494">
        <f t="shared" si="141"/>
        <v>-6674123.8801444955</v>
      </c>
      <c r="AP43" s="494">
        <f t="shared" si="141"/>
        <v>-3857211.0440841522</v>
      </c>
      <c r="AQ43" s="494">
        <f t="shared" si="141"/>
        <v>-1647698.9578796327</v>
      </c>
      <c r="AR43" s="494">
        <f t="shared" ref="AR43:AW43" si="142">SUM(AR38:AR42)</f>
        <v>-505685.64744582976</v>
      </c>
      <c r="AS43" s="494">
        <f t="shared" si="142"/>
        <v>76360.607610460313</v>
      </c>
      <c r="AT43" s="494">
        <f t="shared" si="142"/>
        <v>76360.607610460313</v>
      </c>
      <c r="AU43" s="494">
        <f t="shared" si="142"/>
        <v>486224.88023644633</v>
      </c>
      <c r="AV43" s="494">
        <f t="shared" si="142"/>
        <v>853656.92098084267</v>
      </c>
      <c r="AW43" s="494">
        <f t="shared" si="142"/>
        <v>1207650.1591970008</v>
      </c>
      <c r="AX43" s="7"/>
      <c r="AY43" s="170"/>
      <c r="AZ43" s="7"/>
      <c r="BA43" s="7"/>
      <c r="BB43" s="412"/>
      <c r="BC43" s="412"/>
      <c r="BD43" s="7"/>
      <c r="BE43" s="7"/>
      <c r="BF43" s="7"/>
      <c r="BG43" s="7"/>
    </row>
    <row r="44" spans="1:70" ht="15.75" thickTop="1">
      <c r="B44" s="41" t="s">
        <v>255</v>
      </c>
      <c r="D44" s="331">
        <f>_xll.Get_Balance(AB36,"YTD","USD","Total","A","","001",$A$36,"GD","WA","DL")</f>
        <v>-8772480.3499999996</v>
      </c>
      <c r="E44" s="331">
        <v>-1799942.22</v>
      </c>
      <c r="F44" s="331">
        <f>_xll.Get_Balance(F36,"YTD","USD","Total","A","","001",$A$36,"GD","WA","DL")</f>
        <v>-1367080.17</v>
      </c>
      <c r="G44" s="331">
        <f>_xll.Get_Balance(G36,"YTD","USD","Total","A","","001",$A$36,"GD","WA","DL")</f>
        <v>-991268.94</v>
      </c>
      <c r="H44" s="331">
        <f>_xll.Get_Balance(H36,"YTD","USD","Total","A","","001",$A$36,"GD","WA","DL")</f>
        <v>-820633.75</v>
      </c>
      <c r="I44" s="331">
        <f>_xll.Get_Balance(I36,"YTD","USD","Total","A","","001",$A$36,"GD","WA","DL")</f>
        <v>-706831.07</v>
      </c>
      <c r="J44" s="331">
        <f>_xll.Get_Balance(J36,"YTD","USD","Total","A","","001",$A$36,"GD","WA","DL")</f>
        <v>-615740.61</v>
      </c>
      <c r="K44" s="331">
        <f>_xll.Get_Balance(K36,"YTD","USD","Total","A","","001",$A$36,"GD","WA","DL")</f>
        <v>-539081.21</v>
      </c>
      <c r="L44" s="331">
        <f>_xll.Get_Balance(L36,"YTD","USD","Total","A","","001",$A$36,"GD","WA","DL")</f>
        <v>-459570.28</v>
      </c>
      <c r="M44" s="331">
        <f>_xll.Get_Balance(M36,"YTD","USD","Total","A","","001",$A$36,"GD","WA","DL")</f>
        <v>-353667.66</v>
      </c>
      <c r="N44" s="331">
        <f>_xll.Get_Balance(N36,"YTD","USD","Total","A","","001",$A$36,"GD","WA","DL")</f>
        <v>-123444.98</v>
      </c>
      <c r="O44" s="331">
        <f>_xll.Get_Balance(O36,"YTD","USD","Total","A","","001",$A$36,"GD","WA","DL")</f>
        <v>-12794629.33</v>
      </c>
      <c r="P44" s="331">
        <f>_xll.Get_Balance(P36,"YTD","USD","Total","A","","001",$A$36,"GD","WA","DL")</f>
        <v>-9990002.5299999993</v>
      </c>
      <c r="Q44" s="331">
        <f>_xll.Get_Balance(Q36,"YTD","USD","Total","A","","001",$A$36,"GD","WA","DL")</f>
        <v>-6863930.1399999997</v>
      </c>
      <c r="R44" s="331">
        <f>_xll.Get_Balance(R36,"YTD","USD","Total","A","","001",$A$36,"GD","WA","DL")</f>
        <v>-4576506.43</v>
      </c>
      <c r="S44" s="331">
        <f>_xll.Get_Balance(S36,"YTD","USD","Total","A","","001",$A$36,"GD","WA","DL")</f>
        <v>-2850780.51</v>
      </c>
      <c r="T44" s="331">
        <f>_xll.Get_Balance(T36,"YTD","USD","Total","A","","001",$A$36,"GD","WA","DL")</f>
        <v>-1667507.9</v>
      </c>
      <c r="U44" s="331">
        <f>_xll.Get_Balance(U36,"YTD","USD","Total","A","","001",$A$36,"GD","WA","DL")</f>
        <v>-1028322.61</v>
      </c>
      <c r="V44" s="331">
        <f>_xll.Get_Balance(V36,"YTD","USD","Total","A","","001",$A$36,"GD","WA","DL")</f>
        <v>-648348.48</v>
      </c>
      <c r="W44" s="331">
        <f>_xll.Get_Balance(W36,"YTD","USD","Total","A","","001",$A$36,"GD","WA","DL")</f>
        <v>-342730.12</v>
      </c>
      <c r="X44" s="331">
        <f>_xll.Get_Balance(X36,"YTD","USD","Total","A","","001",$A$36,"GD","WA","DL")</f>
        <v>-33149.019999999997</v>
      </c>
      <c r="Y44" s="331">
        <f>_xll.Get_Balance(Y36,"YTD","USD","Total","A","","001",$A$36,"GD","WA","DL")</f>
        <v>429057.6</v>
      </c>
      <c r="Z44" s="331">
        <f>_xll.Get_Balance(Z36,"YTD","USD","Total","A","","001",$A$36,"GD","WA","DL")</f>
        <v>1518525.41</v>
      </c>
      <c r="AA44" s="331">
        <f>_xll.Get_Balance(AA36,"YTD","USD","Total","A","","001",$A$36,"GD","WA","DL")</f>
        <v>-11530628.439999999</v>
      </c>
      <c r="AB44" s="331">
        <f>_xll.Get_Balance(AB36,"YTD","USD","Total","A","","001",$A$36,"GD","WA","DL")</f>
        <v>-8772480.3499999996</v>
      </c>
      <c r="AC44" s="331">
        <f>_xll.Get_Balance(AC36,"YTD","USD","Total","A","","001",$A$36,"GD","WA","DL")</f>
        <v>-6449815.9100000001</v>
      </c>
      <c r="AD44" s="331">
        <f>_xll.Get_Balance(AD36,"YTD","USD","Total","A","","001",$A$36,"GD","WA","DL")</f>
        <v>-4259121.6500000004</v>
      </c>
      <c r="AE44" s="331">
        <f>_xll.Get_Balance(AE36,"YTD","USD","Total","A","","001",$A$36,"GD","WA","DL")</f>
        <v>-2403721.08</v>
      </c>
      <c r="AF44" s="331">
        <f>_xll.Get_Balance(AF36,"YTD","USD","Total","A","","001",$A$36,"GD","WA","DL")</f>
        <v>-1190951.93</v>
      </c>
      <c r="AG44" s="331">
        <f>_xll.Get_Balance(AG36,"YTD","USD","Total","A","","001",$A$36,"GD","WA","DL")</f>
        <v>-719753.17</v>
      </c>
      <c r="AH44" s="331">
        <f>_xll.Get_Balance(AH36,"YTD","USD","Total","A","","001",$A$36,"GD","WA","DL")</f>
        <v>-324062.3</v>
      </c>
      <c r="AI44" s="331">
        <f>_xll.Get_Balance(AI36,"YTD","USD","Total","A","","001",$A$36,"GD","WA","DL")</f>
        <v>6085.92</v>
      </c>
      <c r="AJ44" s="331">
        <f>_xll.Get_Balance(AJ36,"YTD","USD","Total","A","","001",$A$36,"GD","WA","DL")</f>
        <v>340942.69</v>
      </c>
      <c r="AK44" s="331">
        <f>_xll.Get_Balance(AK36,"YTD","USD","Total","A","","001",$A$36,"GD","WA","DL")</f>
        <v>782436.84</v>
      </c>
      <c r="AL44" s="331">
        <f>_xll.Get_Balance(AL36,"YTD","USD","Total","A","","001",$A$36,"GD","WA","DL")</f>
        <v>1843136.84</v>
      </c>
      <c r="AM44" s="331">
        <f>_xll.Get_Balance(AM36,"YTD","USD","Total","A","","001",$A$36,"GD","WA","DL")</f>
        <v>-11755837.77</v>
      </c>
      <c r="AN44" s="331">
        <f>_xll.Get_Balance(AN36,"YTD","USD","Total","A","","001",$A$36,"GD","WA","DL")</f>
        <v>-9086016.0999999996</v>
      </c>
      <c r="AO44" s="331">
        <f>_xll.Get_Balance(AO36,"YTD","USD","Total","A","","001",$A$36,"GD","WA","DL")</f>
        <v>-6674123.8799999999</v>
      </c>
      <c r="AP44" s="331">
        <f>_xll.Get_Balance(AP36,"YTD","USD","Total","A","","001",$A$36,"GD","WA","DL")</f>
        <v>-3857211.04</v>
      </c>
      <c r="AQ44" s="331">
        <f>_xll.Get_Balance(AQ36,"YTD","USD","Total","A","","001",$A$36,"GD","WA","DL")</f>
        <v>-1647698.95</v>
      </c>
      <c r="AR44" s="331">
        <f>_xll.Get_Balance(AR36,"YTD","USD","Total","A","","001",$A$36,"GD","WA","DL")</f>
        <v>-505685.64</v>
      </c>
      <c r="AS44" s="331">
        <f>_xll.Get_Balance(AS36,"YTD","USD","Total","A","","001",$A$36,"GD","WA","DL")</f>
        <v>76360.62</v>
      </c>
      <c r="AT44" s="331">
        <f>_xll.Get_Balance(AS36,"YTD","USD","Total","A","","001",$A$36,"GD","WA","DL")</f>
        <v>76360.62</v>
      </c>
      <c r="AU44" s="331">
        <f>_xll.Get_Balance(AU36,"YTD","USD","Total","A","","001",$A$36,"GD","WA","DL")</f>
        <v>486224.89</v>
      </c>
      <c r="AV44" s="331">
        <f>_xll.Get_Balance(AV36,"YTD","USD","Total","A","","001",$A$36,"GD","WA","DL")</f>
        <v>853656.93</v>
      </c>
      <c r="AW44" s="331">
        <f>_xll.Get_Balance(AW36,"YTD","USD","Total","A","","001",$A$36,"GD","WA","DL")</f>
        <v>853656.93</v>
      </c>
      <c r="AX44" s="7"/>
      <c r="AY44" s="170"/>
      <c r="AZ44" s="7"/>
      <c r="BA44" s="7"/>
      <c r="BB44" s="412"/>
      <c r="BC44" s="412"/>
      <c r="BD44" s="7"/>
      <c r="BE44" s="7"/>
      <c r="BF44" s="7"/>
      <c r="BG44" s="7"/>
    </row>
    <row r="45" spans="1:70">
      <c r="B45" s="41" t="s">
        <v>242</v>
      </c>
      <c r="E45" s="331">
        <v>-0.22430737526156008</v>
      </c>
      <c r="F45" s="331">
        <f t="shared" ref="F45:M45" si="143">F43-F44</f>
        <v>-0.21830056305043399</v>
      </c>
      <c r="G45" s="331">
        <f t="shared" si="143"/>
        <v>-0.22134300519246608</v>
      </c>
      <c r="H45" s="331">
        <f t="shared" si="143"/>
        <v>-0.2179845942882821</v>
      </c>
      <c r="I45" s="331">
        <f>I43-I44</f>
        <v>-0.21344430255703628</v>
      </c>
      <c r="J45" s="331">
        <f t="shared" si="143"/>
        <v>-0.21707996248733252</v>
      </c>
      <c r="K45" s="331">
        <f>K43-K44</f>
        <v>-0.22298013535328209</v>
      </c>
      <c r="L45" s="331">
        <f>L43-L44</f>
        <v>-0.2202163835754618</v>
      </c>
      <c r="M45" s="331">
        <f t="shared" si="143"/>
        <v>-0.2160235564224422</v>
      </c>
      <c r="N45" s="331">
        <f>N43-N44</f>
        <v>-0.21123732927662786</v>
      </c>
      <c r="O45" s="331">
        <f>O43-O44</f>
        <v>-0.2106596902012825</v>
      </c>
      <c r="P45" s="331">
        <f>P43-P44</f>
        <v>-0.21306994929909706</v>
      </c>
      <c r="Q45" s="331">
        <f>Q43-Q44</f>
        <v>-0.21187814325094223</v>
      </c>
      <c r="R45" s="331">
        <f t="shared" ref="R45:T45" si="144">R43-R44</f>
        <v>-0.20838920865207911</v>
      </c>
      <c r="S45" s="331">
        <f>S43-S44</f>
        <v>-0.21200499357655644</v>
      </c>
      <c r="T45" s="331">
        <f t="shared" si="144"/>
        <v>-0.21643939963541925</v>
      </c>
      <c r="U45" s="331">
        <f>U43-U44</f>
        <v>-0.21859859814867377</v>
      </c>
      <c r="V45" s="331">
        <f t="shared" ref="V45" si="145">V43-V44</f>
        <v>-0.21566836058627814</v>
      </c>
      <c r="W45" s="331">
        <f>W43-W44</f>
        <v>-0.22021961770951748</v>
      </c>
      <c r="X45" s="331">
        <f>X43-X44</f>
        <v>-0.21768672888720175</v>
      </c>
      <c r="Y45" s="331">
        <f t="shared" ref="Y45" si="146">Y43-Y44</f>
        <v>-0.21467752259923145</v>
      </c>
      <c r="Z45" s="331">
        <f t="shared" ref="Z45:AE45" si="147">Z43-Z44</f>
        <v>-0.21038000984117389</v>
      </c>
      <c r="AA45" s="331">
        <f t="shared" si="147"/>
        <v>-229.25105092860758</v>
      </c>
      <c r="AB45" s="331">
        <f t="shared" si="147"/>
        <v>-459.09777319990098</v>
      </c>
      <c r="AC45" s="331">
        <f t="shared" si="147"/>
        <v>3.1239790841937065E-3</v>
      </c>
      <c r="AD45" s="331">
        <f t="shared" si="147"/>
        <v>2.4048564955592155E-3</v>
      </c>
      <c r="AE45" s="331">
        <f t="shared" si="147"/>
        <v>1.7974227666854858E-3</v>
      </c>
      <c r="AF45" s="331">
        <f>AF43-AF44</f>
        <v>2.5967133697122335E-3</v>
      </c>
      <c r="AG45" s="331">
        <f>AG43-AG44</f>
        <v>9.9970609880983829E-4</v>
      </c>
      <c r="AH45" s="331">
        <f>AH43-AH44</f>
        <v>2.6201829314231873E-3</v>
      </c>
      <c r="AI45" s="331">
        <f>AI43-AI44</f>
        <v>1.1845684894069564E-3</v>
      </c>
      <c r="AJ45" s="331">
        <f>AJ43-AJ44</f>
        <v>-5.7908525923267007E-4</v>
      </c>
      <c r="AK45" s="331">
        <f t="shared" ref="AK45:AL45" si="148">AK43-AK44</f>
        <v>-1.149119227193296E-3</v>
      </c>
      <c r="AL45" s="331">
        <f t="shared" si="148"/>
        <v>-1.2776651419699192E-3</v>
      </c>
      <c r="AM45" s="331">
        <f t="shared" ref="AM45:AR45" si="149">AM43-AM44</f>
        <v>3.5710558295249939E-3</v>
      </c>
      <c r="AN45" s="331">
        <f t="shared" si="149"/>
        <v>3.2031498849391937E-3</v>
      </c>
      <c r="AO45" s="331">
        <f t="shared" si="149"/>
        <v>-1.4449562877416611E-4</v>
      </c>
      <c r="AP45" s="331">
        <f t="shared" si="149"/>
        <v>-4.0841521695256233E-3</v>
      </c>
      <c r="AQ45" s="331">
        <f t="shared" si="149"/>
        <v>-7.8796327579766512E-3</v>
      </c>
      <c r="AR45" s="331">
        <f t="shared" si="149"/>
        <v>-7.4458297458477318E-3</v>
      </c>
      <c r="AS45" s="331">
        <f>AS43-AS44</f>
        <v>-1.2389539682772011E-2</v>
      </c>
      <c r="AT45" s="331">
        <f>AT43-AT44</f>
        <v>-1.2389539682772011E-2</v>
      </c>
      <c r="AU45" s="331">
        <f>AU43-AU44</f>
        <v>-9.7635536803863943E-3</v>
      </c>
      <c r="AV45" s="331">
        <f>AV43-AV44</f>
        <v>-9.0191573835909367E-3</v>
      </c>
      <c r="AW45" s="331">
        <f>AW43-AW44</f>
        <v>353993.22919700074</v>
      </c>
    </row>
    <row r="47" spans="1:70" ht="15.75" hidden="1" outlineLevel="1">
      <c r="A47" s="26" t="s">
        <v>309</v>
      </c>
      <c r="E47" s="495"/>
      <c r="F47" s="495"/>
      <c r="G47" s="495"/>
      <c r="H47" s="495"/>
      <c r="I47" s="495"/>
      <c r="J47" s="495"/>
      <c r="K47" s="495"/>
      <c r="L47" s="495"/>
      <c r="M47" s="495"/>
      <c r="N47" s="495"/>
      <c r="O47" s="495"/>
      <c r="P47" s="495"/>
      <c r="Q47" s="495"/>
      <c r="R47" s="495"/>
      <c r="S47" s="495"/>
      <c r="T47" s="495"/>
      <c r="U47" s="495"/>
      <c r="V47" s="495"/>
      <c r="W47" s="495"/>
      <c r="X47" s="495"/>
      <c r="Y47" s="495"/>
      <c r="Z47" s="495"/>
      <c r="AA47" s="495"/>
      <c r="AB47" s="495"/>
      <c r="AC47" s="495"/>
      <c r="AD47" s="495"/>
      <c r="AE47" s="495"/>
      <c r="AF47" s="495"/>
      <c r="AG47" s="495"/>
      <c r="AH47" s="495"/>
      <c r="AI47" s="495"/>
      <c r="AJ47" s="495"/>
      <c r="AK47" s="495"/>
      <c r="AL47" s="495"/>
      <c r="AM47" s="495"/>
      <c r="AN47" s="495"/>
      <c r="AO47" s="495"/>
      <c r="AP47" s="495"/>
      <c r="AQ47" s="495"/>
      <c r="AR47" s="495"/>
      <c r="AS47" s="495"/>
      <c r="AT47" s="495"/>
      <c r="AU47" s="495"/>
      <c r="AV47" s="495"/>
      <c r="AW47" s="495"/>
    </row>
    <row r="48" spans="1:70" ht="15.75" hidden="1" outlineLevel="1">
      <c r="A48" s="496">
        <v>191025</v>
      </c>
      <c r="B48" s="107" t="s">
        <v>251</v>
      </c>
      <c r="C48" s="539" t="s">
        <v>247</v>
      </c>
      <c r="D48" s="539" t="s">
        <v>248</v>
      </c>
      <c r="E48" s="496">
        <v>201601</v>
      </c>
      <c r="F48" s="496">
        <f>E48+1</f>
        <v>201602</v>
      </c>
      <c r="G48" s="496">
        <f t="shared" ref="G48:P48" si="150">F48+1</f>
        <v>201603</v>
      </c>
      <c r="H48" s="496">
        <f t="shared" si="150"/>
        <v>201604</v>
      </c>
      <c r="I48" s="496">
        <f t="shared" si="150"/>
        <v>201605</v>
      </c>
      <c r="J48" s="496">
        <f t="shared" si="150"/>
        <v>201606</v>
      </c>
      <c r="K48" s="496">
        <f t="shared" si="150"/>
        <v>201607</v>
      </c>
      <c r="L48" s="496">
        <f t="shared" si="150"/>
        <v>201608</v>
      </c>
      <c r="M48" s="496">
        <f t="shared" si="150"/>
        <v>201609</v>
      </c>
      <c r="N48" s="496">
        <f t="shared" si="150"/>
        <v>201610</v>
      </c>
      <c r="O48" s="496">
        <f t="shared" si="150"/>
        <v>201611</v>
      </c>
      <c r="P48" s="496">
        <f t="shared" si="150"/>
        <v>201612</v>
      </c>
      <c r="Q48" s="496">
        <f>Q3</f>
        <v>201701</v>
      </c>
      <c r="R48" s="496">
        <f>Q48+1</f>
        <v>201702</v>
      </c>
      <c r="S48" s="496">
        <f t="shared" ref="S48" si="151">R48+1</f>
        <v>201703</v>
      </c>
      <c r="T48" s="496">
        <f t="shared" ref="T48" si="152">S48+1</f>
        <v>201704</v>
      </c>
      <c r="U48" s="496">
        <f t="shared" ref="U48" si="153">T48+1</f>
        <v>201705</v>
      </c>
      <c r="V48" s="496">
        <f t="shared" ref="V48" si="154">U48+1</f>
        <v>201706</v>
      </c>
      <c r="W48" s="496">
        <f t="shared" ref="W48" si="155">V48+1</f>
        <v>201707</v>
      </c>
      <c r="X48" s="496">
        <f t="shared" ref="X48" si="156">W48+1</f>
        <v>201708</v>
      </c>
      <c r="Y48" s="496">
        <f t="shared" ref="Y48" si="157">X48+1</f>
        <v>201709</v>
      </c>
      <c r="Z48" s="496">
        <f t="shared" ref="Z48" si="158">Y48+1</f>
        <v>201710</v>
      </c>
      <c r="AA48" s="496">
        <f t="shared" ref="AA48" si="159">Z48+1</f>
        <v>201711</v>
      </c>
      <c r="AB48" s="496">
        <f t="shared" ref="AB48" si="160">AA48+1</f>
        <v>201712</v>
      </c>
      <c r="AC48" s="496">
        <f t="shared" ref="AC48:AG48" si="161">AC3</f>
        <v>201801</v>
      </c>
      <c r="AD48" s="496">
        <f t="shared" si="161"/>
        <v>201802</v>
      </c>
      <c r="AE48" s="496">
        <f t="shared" si="161"/>
        <v>201803</v>
      </c>
      <c r="AF48" s="496">
        <f t="shared" si="161"/>
        <v>201804</v>
      </c>
      <c r="AG48" s="496">
        <f t="shared" si="161"/>
        <v>201805</v>
      </c>
      <c r="AH48" s="496">
        <f t="shared" ref="AH48:AL48" si="162">AH3</f>
        <v>201806</v>
      </c>
      <c r="AI48" s="496">
        <f t="shared" si="162"/>
        <v>201807</v>
      </c>
      <c r="AJ48" s="496">
        <f t="shared" si="162"/>
        <v>201808</v>
      </c>
      <c r="AK48" s="496">
        <f t="shared" si="162"/>
        <v>201809</v>
      </c>
      <c r="AL48" s="496">
        <f t="shared" si="162"/>
        <v>201810</v>
      </c>
      <c r="AM48" s="496">
        <f>AM3</f>
        <v>201811</v>
      </c>
      <c r="AN48" s="496">
        <f t="shared" ref="AN48:AO48" si="163">AN3</f>
        <v>201812</v>
      </c>
      <c r="AO48" s="496">
        <f t="shared" si="163"/>
        <v>201901</v>
      </c>
      <c r="AP48" s="496">
        <f t="shared" ref="AP48:AQ48" si="164">AP3</f>
        <v>201902</v>
      </c>
      <c r="AQ48" s="496">
        <f t="shared" si="164"/>
        <v>201903</v>
      </c>
      <c r="AR48" s="496">
        <f t="shared" ref="AR48:AS48" si="165">AR3</f>
        <v>201904</v>
      </c>
      <c r="AS48" s="496">
        <f t="shared" si="165"/>
        <v>201905</v>
      </c>
      <c r="AT48" s="496" t="str">
        <f t="shared" ref="AT48:AU48" si="166">AT3</f>
        <v>201905 Revised</v>
      </c>
      <c r="AU48" s="496">
        <f t="shared" si="166"/>
        <v>201906</v>
      </c>
      <c r="AV48" s="496">
        <f t="shared" ref="AV48:AW48" si="167">AV3</f>
        <v>201907</v>
      </c>
      <c r="AW48" s="496">
        <f t="shared" si="167"/>
        <v>201908</v>
      </c>
    </row>
    <row r="49" spans="1:51" ht="15.75" hidden="1" outlineLevel="1">
      <c r="A49" s="26"/>
      <c r="B49" s="41" t="s">
        <v>37</v>
      </c>
      <c r="C49" s="498" t="e">
        <f>SUM(Q49:AB49)</f>
        <v>#REF!</v>
      </c>
      <c r="D49" s="498" t="e">
        <f t="shared" ref="D49:D57" si="168">SUM(E49:AB49)</f>
        <v>#REF!</v>
      </c>
      <c r="E49" s="500">
        <v>20140968</v>
      </c>
      <c r="F49" s="500">
        <v>14297044</v>
      </c>
      <c r="G49" s="500">
        <v>12238194</v>
      </c>
      <c r="H49" s="500">
        <v>5348802</v>
      </c>
      <c r="I49" s="500">
        <v>3384728</v>
      </c>
      <c r="J49" s="500">
        <v>2765049</v>
      </c>
      <c r="K49" s="500">
        <v>2292583</v>
      </c>
      <c r="L49" s="500">
        <v>2354714</v>
      </c>
      <c r="M49" s="500">
        <v>3123052</v>
      </c>
      <c r="N49" s="500">
        <v>7137333</v>
      </c>
      <c r="O49" s="500">
        <v>11352396</v>
      </c>
      <c r="P49" s="500">
        <v>24209007</v>
      </c>
      <c r="Q49" s="500">
        <v>27259641</v>
      </c>
      <c r="R49" s="500">
        <f>Feb!$G23</f>
        <v>23394682</v>
      </c>
      <c r="S49" s="500">
        <f>Mar!$G23</f>
        <v>18476572</v>
      </c>
      <c r="T49" s="500">
        <f>Apr!$G23</f>
        <v>8678511</v>
      </c>
      <c r="U49" s="500">
        <f>May!$G23</f>
        <v>4312435</v>
      </c>
      <c r="V49" s="500">
        <f>Jun!$G23</f>
        <v>2497712</v>
      </c>
      <c r="W49" s="500">
        <f>Jul!$G23</f>
        <v>2393172</v>
      </c>
      <c r="X49" s="500">
        <f>Aug!$G23</f>
        <v>2217255</v>
      </c>
      <c r="Y49" s="500" t="e">
        <f>#REF!</f>
        <v>#REF!</v>
      </c>
      <c r="Z49" s="500" t="e">
        <f>#REF!</f>
        <v>#REF!</v>
      </c>
      <c r="AA49" s="500" t="e">
        <f>#REF!</f>
        <v>#REF!</v>
      </c>
      <c r="AB49" s="500" t="e">
        <f>#REF!</f>
        <v>#REF!</v>
      </c>
      <c r="AC49" s="500">
        <f>Jan!G23</f>
        <v>21076213</v>
      </c>
      <c r="AD49" s="500">
        <f>Feb!G23</f>
        <v>23394682</v>
      </c>
      <c r="AE49" s="500">
        <f>Feb!H23</f>
        <v>0.10238999999999999</v>
      </c>
      <c r="AF49" s="500">
        <f>Feb!I23</f>
        <v>2395381.4899800001</v>
      </c>
      <c r="AG49" s="500">
        <f>Feb!G23</f>
        <v>23394682</v>
      </c>
      <c r="AH49" s="500">
        <f>Feb!G23</f>
        <v>23394682</v>
      </c>
      <c r="AI49" s="500">
        <f>Feb!D23</f>
        <v>0</v>
      </c>
      <c r="AJ49" s="500">
        <f>Feb!E23</f>
        <v>0</v>
      </c>
      <c r="AK49" s="500" t="str">
        <f>Feb!F23</f>
        <v>Schedule 101</v>
      </c>
      <c r="AL49" s="500">
        <f>Feb!G23</f>
        <v>23394682</v>
      </c>
      <c r="AM49" s="500">
        <f>Feb!H23</f>
        <v>0.10238999999999999</v>
      </c>
      <c r="AN49" s="500">
        <f>Feb!H23</f>
        <v>0.10238999999999999</v>
      </c>
      <c r="AO49" s="500">
        <f>Feb!I23</f>
        <v>2395381.4899800001</v>
      </c>
      <c r="AP49" s="500">
        <f>Feb!I23</f>
        <v>2395381.4899800001</v>
      </c>
      <c r="AQ49" s="500" t="str">
        <f>Feb!J23</f>
        <v>Schedule 101</v>
      </c>
      <c r="AR49" s="500">
        <f>Feb!K23</f>
        <v>11758433</v>
      </c>
      <c r="AS49" s="500">
        <f>Feb!L23</f>
        <v>9.5839999999999995E-2</v>
      </c>
      <c r="AT49" s="500">
        <f>Feb!M23</f>
        <v>1126928.21872</v>
      </c>
      <c r="AU49" s="500">
        <f>Feb!N23</f>
        <v>0</v>
      </c>
      <c r="AV49" s="500">
        <f>Feb!O23</f>
        <v>0</v>
      </c>
      <c r="AW49" s="500">
        <f>Feb!P23</f>
        <v>0</v>
      </c>
    </row>
    <row r="50" spans="1:51" ht="15.75" hidden="1" outlineLevel="1">
      <c r="A50" s="26"/>
      <c r="B50" s="41" t="s">
        <v>304</v>
      </c>
      <c r="C50" s="498" t="e">
        <f t="shared" ref="C50:C57" si="169">SUM(Q50:AB50)</f>
        <v>#REF!</v>
      </c>
      <c r="D50" s="498" t="e">
        <f t="shared" si="168"/>
        <v>#REF!</v>
      </c>
      <c r="E50" s="500">
        <v>17893</v>
      </c>
      <c r="F50" s="500">
        <v>14593</v>
      </c>
      <c r="G50" s="500">
        <v>18603</v>
      </c>
      <c r="H50" s="500">
        <v>12171</v>
      </c>
      <c r="I50" s="500">
        <v>5734</v>
      </c>
      <c r="J50" s="500">
        <v>4482</v>
      </c>
      <c r="K50" s="500">
        <v>3610</v>
      </c>
      <c r="L50" s="500">
        <v>2820</v>
      </c>
      <c r="M50" s="500">
        <v>4729</v>
      </c>
      <c r="N50" s="500">
        <v>12809</v>
      </c>
      <c r="O50" s="500">
        <v>19581</v>
      </c>
      <c r="P50" s="500">
        <v>35292</v>
      </c>
      <c r="Q50" s="500">
        <v>40615</v>
      </c>
      <c r="R50" s="500">
        <f>Feb!$G24</f>
        <v>23936</v>
      </c>
      <c r="S50" s="500">
        <f>Mar!$G24</f>
        <v>18913</v>
      </c>
      <c r="T50" s="500">
        <f>Apr!$G24</f>
        <v>9640</v>
      </c>
      <c r="U50" s="500">
        <f>May!$G24</f>
        <v>4874</v>
      </c>
      <c r="V50" s="500">
        <f>Jun!$G24</f>
        <v>2253</v>
      </c>
      <c r="W50" s="500">
        <f>Jul!$G24</f>
        <v>1928</v>
      </c>
      <c r="X50" s="500">
        <f>Aug!$G24</f>
        <v>1943</v>
      </c>
      <c r="Y50" s="500" t="e">
        <f>#REF!</f>
        <v>#REF!</v>
      </c>
      <c r="Z50" s="500" t="e">
        <f>#REF!</f>
        <v>#REF!</v>
      </c>
      <c r="AA50" s="500" t="e">
        <f>#REF!</f>
        <v>#REF!</v>
      </c>
      <c r="AB50" s="500" t="e">
        <f>#REF!</f>
        <v>#REF!</v>
      </c>
      <c r="AC50" s="500">
        <f>Jan!G24</f>
        <v>21566</v>
      </c>
      <c r="AD50" s="500">
        <f>Feb!G24</f>
        <v>23936</v>
      </c>
      <c r="AE50" s="500">
        <f>Feb!H24</f>
        <v>0.10238999999999999</v>
      </c>
      <c r="AF50" s="500">
        <f>Feb!I24</f>
        <v>2450.8070399999997</v>
      </c>
      <c r="AG50" s="500">
        <f>Feb!G24</f>
        <v>23936</v>
      </c>
      <c r="AH50" s="500">
        <f>Feb!G24</f>
        <v>23936</v>
      </c>
      <c r="AI50" s="500">
        <f>Feb!D24</f>
        <v>0</v>
      </c>
      <c r="AJ50" s="500">
        <f>Feb!E24</f>
        <v>0</v>
      </c>
      <c r="AK50" s="500" t="str">
        <f>Feb!F24</f>
        <v>Schedule 102</v>
      </c>
      <c r="AL50" s="500">
        <f>Feb!G24</f>
        <v>23936</v>
      </c>
      <c r="AM50" s="500">
        <f>Feb!H24</f>
        <v>0.10238999999999999</v>
      </c>
      <c r="AN50" s="500">
        <f>Feb!H24</f>
        <v>0.10238999999999999</v>
      </c>
      <c r="AO50" s="500">
        <f>Feb!I24</f>
        <v>2450.8070399999997</v>
      </c>
      <c r="AP50" s="500">
        <f>Feb!I24</f>
        <v>2450.8070399999997</v>
      </c>
      <c r="AQ50" s="500" t="str">
        <f>Feb!J24</f>
        <v>Schedule 111</v>
      </c>
      <c r="AR50" s="500">
        <f>Feb!K24</f>
        <v>3777850</v>
      </c>
      <c r="AS50" s="500">
        <f>Feb!L24</f>
        <v>9.5839999999999995E-2</v>
      </c>
      <c r="AT50" s="500">
        <f>Feb!M24</f>
        <v>362069.14399999997</v>
      </c>
      <c r="AU50" s="500">
        <f>Feb!N24</f>
        <v>0</v>
      </c>
      <c r="AV50" s="500">
        <f>Feb!O24</f>
        <v>0</v>
      </c>
      <c r="AW50" s="500">
        <f>Feb!P24</f>
        <v>0</v>
      </c>
    </row>
    <row r="51" spans="1:51" ht="15.75" hidden="1" outlineLevel="1">
      <c r="A51" s="26"/>
      <c r="B51" s="41" t="s">
        <v>38</v>
      </c>
      <c r="C51" s="498" t="e">
        <f t="shared" si="169"/>
        <v>#REF!</v>
      </c>
      <c r="D51" s="498" t="e">
        <f t="shared" si="168"/>
        <v>#REF!</v>
      </c>
      <c r="E51" s="500">
        <v>6568112</v>
      </c>
      <c r="F51" s="500">
        <v>5200734</v>
      </c>
      <c r="G51" s="500">
        <v>4795258</v>
      </c>
      <c r="H51" s="500">
        <v>2668983</v>
      </c>
      <c r="I51" s="500">
        <v>2221542</v>
      </c>
      <c r="J51" s="500">
        <v>1675034</v>
      </c>
      <c r="K51" s="500">
        <v>1510014</v>
      </c>
      <c r="L51" s="500">
        <v>1583471</v>
      </c>
      <c r="M51" s="500">
        <v>2056535</v>
      </c>
      <c r="N51" s="500">
        <v>3586972</v>
      </c>
      <c r="O51" s="500">
        <v>4116109</v>
      </c>
      <c r="P51" s="500">
        <v>8576537</v>
      </c>
      <c r="Q51" s="500">
        <v>8738107</v>
      </c>
      <c r="R51" s="500">
        <f>Feb!$G25</f>
        <v>8977809</v>
      </c>
      <c r="S51" s="500">
        <f>Mar!$G25</f>
        <v>6826624</v>
      </c>
      <c r="T51" s="500">
        <f>Apr!$G25</f>
        <v>4528915</v>
      </c>
      <c r="U51" s="500">
        <f>May!$G25</f>
        <v>2394969</v>
      </c>
      <c r="V51" s="500">
        <f>Jun!$G25</f>
        <v>2410231</v>
      </c>
      <c r="W51" s="500">
        <f>Jul!$G25</f>
        <v>1815710</v>
      </c>
      <c r="X51" s="500">
        <f>Aug!$G25</f>
        <v>1827018</v>
      </c>
      <c r="Y51" s="500" t="e">
        <f>#REF!</f>
        <v>#REF!</v>
      </c>
      <c r="Z51" s="500" t="e">
        <f>#REF!</f>
        <v>#REF!</v>
      </c>
      <c r="AA51" s="500" t="e">
        <f>#REF!</f>
        <v>#REF!</v>
      </c>
      <c r="AB51" s="500" t="e">
        <f>#REF!</f>
        <v>#REF!</v>
      </c>
      <c r="AC51" s="500">
        <f>Jan!G25</f>
        <v>4326716</v>
      </c>
      <c r="AD51" s="500">
        <f>Feb!G25</f>
        <v>8977809</v>
      </c>
      <c r="AE51" s="500">
        <f>Feb!H25</f>
        <v>9.239E-2</v>
      </c>
      <c r="AF51" s="500">
        <f>Feb!I25</f>
        <v>829459.77350999997</v>
      </c>
      <c r="AG51" s="500">
        <f>Feb!G25</f>
        <v>8977809</v>
      </c>
      <c r="AH51" s="500">
        <f>Feb!G25</f>
        <v>8977809</v>
      </c>
      <c r="AI51" s="500">
        <f>Feb!D25</f>
        <v>0</v>
      </c>
      <c r="AJ51" s="500">
        <f>Feb!E25</f>
        <v>0</v>
      </c>
      <c r="AK51" s="500" t="str">
        <f>Feb!F25</f>
        <v>Schedule 111</v>
      </c>
      <c r="AL51" s="500">
        <f>Feb!G25</f>
        <v>8977809</v>
      </c>
      <c r="AM51" s="500">
        <f>Feb!H25</f>
        <v>9.239E-2</v>
      </c>
      <c r="AN51" s="500">
        <f>Feb!H25</f>
        <v>9.239E-2</v>
      </c>
      <c r="AO51" s="500">
        <f>Feb!I25</f>
        <v>829459.77350999997</v>
      </c>
      <c r="AP51" s="500">
        <f>Feb!I25</f>
        <v>829459.77350999997</v>
      </c>
      <c r="AQ51" s="500" t="str">
        <f>Feb!J25</f>
        <v>Schedule 112</v>
      </c>
      <c r="AR51" s="500">
        <f>Feb!K25</f>
        <v>974</v>
      </c>
      <c r="AS51" s="500">
        <f>Feb!L25</f>
        <v>9.5839999999999995E-2</v>
      </c>
      <c r="AT51" s="500">
        <f>Feb!M25</f>
        <v>93.348159999999993</v>
      </c>
      <c r="AU51" s="500">
        <f>Feb!N25</f>
        <v>0</v>
      </c>
      <c r="AV51" s="500">
        <f>Feb!O25</f>
        <v>0</v>
      </c>
      <c r="AW51" s="500">
        <f>Feb!P25</f>
        <v>0</v>
      </c>
    </row>
    <row r="52" spans="1:51" ht="15.75" hidden="1" outlineLevel="1">
      <c r="A52" s="26"/>
      <c r="B52" s="41" t="s">
        <v>39</v>
      </c>
      <c r="C52" s="498" t="e">
        <f t="shared" si="169"/>
        <v>#REF!</v>
      </c>
      <c r="D52" s="498" t="e">
        <f t="shared" si="168"/>
        <v>#REF!</v>
      </c>
      <c r="E52" s="500">
        <v>0</v>
      </c>
      <c r="F52" s="500">
        <v>0</v>
      </c>
      <c r="G52" s="500">
        <v>0</v>
      </c>
      <c r="H52" s="500">
        <v>0</v>
      </c>
      <c r="I52" s="500">
        <v>0</v>
      </c>
      <c r="J52" s="500">
        <v>0</v>
      </c>
      <c r="K52" s="500">
        <v>0</v>
      </c>
      <c r="L52" s="500">
        <v>0</v>
      </c>
      <c r="M52" s="500">
        <v>0</v>
      </c>
      <c r="N52" s="500">
        <v>0</v>
      </c>
      <c r="O52" s="500">
        <v>0</v>
      </c>
      <c r="P52" s="500">
        <v>0</v>
      </c>
      <c r="Q52" s="500">
        <v>0</v>
      </c>
      <c r="R52" s="500">
        <f>Feb!$G26</f>
        <v>26218</v>
      </c>
      <c r="S52" s="500">
        <f>Mar!$G26</f>
        <v>9819</v>
      </c>
      <c r="T52" s="500">
        <f>Apr!$G26</f>
        <v>11138</v>
      </c>
      <c r="U52" s="500">
        <f>May!$G26</f>
        <v>7673</v>
      </c>
      <c r="V52" s="500">
        <f>Jun!$G26</f>
        <v>5783</v>
      </c>
      <c r="W52" s="500">
        <f>Jul!$G26</f>
        <v>5596</v>
      </c>
      <c r="X52" s="500">
        <f>Aug!$G26</f>
        <v>6405</v>
      </c>
      <c r="Y52" s="500" t="e">
        <f>#REF!</f>
        <v>#REF!</v>
      </c>
      <c r="Z52" s="500" t="e">
        <f>#REF!</f>
        <v>#REF!</v>
      </c>
      <c r="AA52" s="500" t="e">
        <f>#REF!</f>
        <v>#REF!</v>
      </c>
      <c r="AB52" s="500" t="e">
        <f>#REF!</f>
        <v>#REF!</v>
      </c>
      <c r="AC52" s="500">
        <f>Jan!G26</f>
        <v>16283</v>
      </c>
      <c r="AD52" s="500">
        <f>Feb!G26</f>
        <v>26218</v>
      </c>
      <c r="AE52" s="500">
        <f>Feb!H26</f>
        <v>9.239E-2</v>
      </c>
      <c r="AF52" s="500">
        <f>Feb!I26</f>
        <v>2422.2810199999999</v>
      </c>
      <c r="AG52" s="500">
        <f>Feb!G26</f>
        <v>26218</v>
      </c>
      <c r="AH52" s="500">
        <f>Feb!G26</f>
        <v>26218</v>
      </c>
      <c r="AI52" s="500">
        <f>Feb!D26</f>
        <v>0</v>
      </c>
      <c r="AJ52" s="500">
        <f>Feb!E26</f>
        <v>0</v>
      </c>
      <c r="AK52" s="500" t="str">
        <f>Feb!F26</f>
        <v>Schedule 112</v>
      </c>
      <c r="AL52" s="500">
        <f>Feb!G26</f>
        <v>26218</v>
      </c>
      <c r="AM52" s="500">
        <f>Feb!H26</f>
        <v>9.239E-2</v>
      </c>
      <c r="AN52" s="500">
        <f>Feb!H26</f>
        <v>9.239E-2</v>
      </c>
      <c r="AO52" s="500">
        <f>Feb!I26</f>
        <v>2422.2810199999999</v>
      </c>
      <c r="AP52" s="500">
        <f>Feb!I26</f>
        <v>2422.2810199999999</v>
      </c>
      <c r="AQ52" s="500" t="str">
        <f>Feb!J26</f>
        <v>Schedule 121</v>
      </c>
      <c r="AR52" s="500">
        <f>Feb!K26</f>
        <v>0</v>
      </c>
      <c r="AS52" s="500">
        <f>Feb!L26</f>
        <v>9.5839999999999995E-2</v>
      </c>
      <c r="AT52" s="500">
        <f>Feb!M26</f>
        <v>0</v>
      </c>
      <c r="AU52" s="500">
        <f>Feb!N26</f>
        <v>0</v>
      </c>
      <c r="AV52" s="500">
        <f>Feb!O26</f>
        <v>0</v>
      </c>
      <c r="AW52" s="500">
        <f>Feb!P26</f>
        <v>0</v>
      </c>
    </row>
    <row r="53" spans="1:51" ht="15.75" hidden="1" outlineLevel="1">
      <c r="A53" s="26"/>
      <c r="B53" s="41" t="s">
        <v>40</v>
      </c>
      <c r="C53" s="498" t="e">
        <f t="shared" si="169"/>
        <v>#REF!</v>
      </c>
      <c r="D53" s="498" t="e">
        <f t="shared" si="168"/>
        <v>#REF!</v>
      </c>
      <c r="E53" s="500">
        <v>345863</v>
      </c>
      <c r="F53" s="500">
        <v>408568</v>
      </c>
      <c r="G53" s="500">
        <v>361566</v>
      </c>
      <c r="H53" s="500">
        <v>227877</v>
      </c>
      <c r="I53" s="500">
        <v>311290</v>
      </c>
      <c r="J53" s="500">
        <v>225272</v>
      </c>
      <c r="K53" s="500">
        <v>266816</v>
      </c>
      <c r="L53" s="500">
        <v>259403</v>
      </c>
      <c r="M53" s="500">
        <v>291879</v>
      </c>
      <c r="N53" s="500">
        <v>401880</v>
      </c>
      <c r="O53" s="500">
        <v>314956</v>
      </c>
      <c r="P53" s="500">
        <v>234225</v>
      </c>
      <c r="Q53" s="500">
        <v>284721</v>
      </c>
      <c r="R53" s="500">
        <f>Feb!$G27</f>
        <v>177522</v>
      </c>
      <c r="S53" s="500">
        <f>Mar!$G27</f>
        <v>115935</v>
      </c>
      <c r="T53" s="500">
        <f>Apr!$G27</f>
        <v>108923</v>
      </c>
      <c r="U53" s="500">
        <f>May!$G27</f>
        <v>97867</v>
      </c>
      <c r="V53" s="500">
        <f>Jun!$G27</f>
        <v>-90738</v>
      </c>
      <c r="W53" s="500">
        <f>Jul!$G27</f>
        <v>133593</v>
      </c>
      <c r="X53" s="500">
        <f>Aug!$G27</f>
        <v>137205</v>
      </c>
      <c r="Y53" s="500" t="e">
        <f>#REF!</f>
        <v>#REF!</v>
      </c>
      <c r="Z53" s="500" t="e">
        <f>#REF!</f>
        <v>#REF!</v>
      </c>
      <c r="AA53" s="500" t="e">
        <f>#REF!</f>
        <v>#REF!</v>
      </c>
      <c r="AB53" s="500" t="e">
        <f>#REF!</f>
        <v>#REF!</v>
      </c>
      <c r="AC53" s="500">
        <f>Jan!G27</f>
        <v>3809625</v>
      </c>
      <c r="AD53" s="500">
        <f>Feb!G27</f>
        <v>177522</v>
      </c>
      <c r="AE53" s="500">
        <f>Feb!H27</f>
        <v>9.2249999999999999E-2</v>
      </c>
      <c r="AF53" s="500">
        <f>Feb!I27</f>
        <v>16376.404500000001</v>
      </c>
      <c r="AG53" s="500">
        <f>Feb!G27</f>
        <v>177522</v>
      </c>
      <c r="AH53" s="500">
        <f>Feb!G27</f>
        <v>177522</v>
      </c>
      <c r="AI53" s="500">
        <f>Feb!D27</f>
        <v>0</v>
      </c>
      <c r="AJ53" s="500">
        <f>Feb!E27</f>
        <v>0</v>
      </c>
      <c r="AK53" s="500" t="str">
        <f>Feb!F27</f>
        <v>Schedule 121</v>
      </c>
      <c r="AL53" s="500">
        <f>Feb!G27</f>
        <v>177522</v>
      </c>
      <c r="AM53" s="500">
        <f>Feb!H27</f>
        <v>9.2249999999999999E-2</v>
      </c>
      <c r="AN53" s="500">
        <f>Feb!H27</f>
        <v>9.2249999999999999E-2</v>
      </c>
      <c r="AO53" s="500">
        <f>Feb!I27</f>
        <v>16376.404500000001</v>
      </c>
      <c r="AP53" s="500">
        <f>Feb!I27</f>
        <v>16376.404500000001</v>
      </c>
      <c r="AQ53" s="500" t="str">
        <f>Feb!J27</f>
        <v>Schedule 122</v>
      </c>
      <c r="AR53" s="500">
        <f>Feb!K27</f>
        <v>0</v>
      </c>
      <c r="AS53" s="500">
        <f>Feb!L27</f>
        <v>9.5839999999999995E-2</v>
      </c>
      <c r="AT53" s="500">
        <f>Feb!M27</f>
        <v>0</v>
      </c>
      <c r="AU53" s="500">
        <f>Feb!N27</f>
        <v>0</v>
      </c>
      <c r="AV53" s="500">
        <f>Feb!O27</f>
        <v>0</v>
      </c>
      <c r="AW53" s="500">
        <f>Feb!P27</f>
        <v>0</v>
      </c>
    </row>
    <row r="54" spans="1:51" ht="15.75" hidden="1" outlineLevel="1">
      <c r="A54" s="26"/>
      <c r="B54" s="41" t="s">
        <v>41</v>
      </c>
      <c r="C54" s="498" t="e">
        <f t="shared" si="169"/>
        <v>#REF!</v>
      </c>
      <c r="D54" s="498" t="e">
        <f t="shared" si="168"/>
        <v>#REF!</v>
      </c>
      <c r="E54" s="500">
        <v>83853</v>
      </c>
      <c r="F54" s="500">
        <v>67179</v>
      </c>
      <c r="G54" s="500">
        <v>59583</v>
      </c>
      <c r="H54" s="500">
        <v>54523</v>
      </c>
      <c r="I54" s="500">
        <v>42598</v>
      </c>
      <c r="J54" s="500">
        <v>35139</v>
      </c>
      <c r="K54" s="500">
        <v>27605</v>
      </c>
      <c r="L54" s="500">
        <v>25524</v>
      </c>
      <c r="M54" s="500">
        <v>26763</v>
      </c>
      <c r="N54" s="500">
        <v>37231</v>
      </c>
      <c r="O54" s="500">
        <v>51431</v>
      </c>
      <c r="P54" s="500">
        <v>69958</v>
      </c>
      <c r="Q54" s="500">
        <v>64203</v>
      </c>
      <c r="R54" s="500">
        <f>Feb!$G28</f>
        <v>56745</v>
      </c>
      <c r="S54" s="500">
        <f>Mar!$G28</f>
        <v>58316</v>
      </c>
      <c r="T54" s="500">
        <f>Apr!$G28</f>
        <v>42472</v>
      </c>
      <c r="U54" s="500">
        <f>May!$G28</f>
        <v>35233</v>
      </c>
      <c r="V54" s="500">
        <f>Jun!$G28</f>
        <v>25730</v>
      </c>
      <c r="W54" s="500">
        <f>Jul!$G28</f>
        <v>31604</v>
      </c>
      <c r="X54" s="500">
        <f>Aug!$G28</f>
        <v>26197</v>
      </c>
      <c r="Y54" s="500" t="e">
        <f>#REF!</f>
        <v>#REF!</v>
      </c>
      <c r="Z54" s="500" t="e">
        <f>#REF!</f>
        <v>#REF!</v>
      </c>
      <c r="AA54" s="500" t="e">
        <f>#REF!</f>
        <v>#REF!</v>
      </c>
      <c r="AB54" s="500" t="e">
        <f>#REF!</f>
        <v>#REF!</v>
      </c>
      <c r="AC54" s="500">
        <f>Jan!G28</f>
        <v>57768</v>
      </c>
      <c r="AD54" s="500">
        <f>Feb!G28</f>
        <v>56745</v>
      </c>
      <c r="AE54" s="500">
        <f>Feb!H28</f>
        <v>9.2249999999999999E-2</v>
      </c>
      <c r="AF54" s="500">
        <f>Feb!I28</f>
        <v>5234.7262499999997</v>
      </c>
      <c r="AG54" s="500">
        <f>Feb!G28</f>
        <v>56745</v>
      </c>
      <c r="AH54" s="500">
        <f>Feb!G28</f>
        <v>56745</v>
      </c>
      <c r="AI54" s="500">
        <f>Feb!D28</f>
        <v>0</v>
      </c>
      <c r="AJ54" s="500">
        <f>Feb!E28</f>
        <v>0</v>
      </c>
      <c r="AK54" s="500" t="str">
        <f>Feb!F28</f>
        <v>Schedule 122</v>
      </c>
      <c r="AL54" s="500">
        <f>Feb!G28</f>
        <v>56745</v>
      </c>
      <c r="AM54" s="500">
        <f>Feb!H28</f>
        <v>9.2249999999999999E-2</v>
      </c>
      <c r="AN54" s="500">
        <f>Feb!H28</f>
        <v>9.2249999999999999E-2</v>
      </c>
      <c r="AO54" s="500">
        <f>Feb!I28</f>
        <v>5234.7262499999997</v>
      </c>
      <c r="AP54" s="500">
        <f>Feb!I28</f>
        <v>5234.7262499999997</v>
      </c>
      <c r="AQ54" s="500" t="str">
        <f>Feb!J28</f>
        <v xml:space="preserve">Total Demand </v>
      </c>
      <c r="AR54" s="500">
        <f>Feb!K28</f>
        <v>15537257</v>
      </c>
      <c r="AS54" s="500">
        <f>Feb!L28</f>
        <v>0</v>
      </c>
      <c r="AT54" s="500">
        <f>Feb!M28</f>
        <v>1489090.7108800001</v>
      </c>
      <c r="AU54" s="500">
        <f>Feb!N28</f>
        <v>0</v>
      </c>
      <c r="AV54" s="500">
        <f>Feb!O28</f>
        <v>0</v>
      </c>
      <c r="AW54" s="500">
        <f>Feb!P28</f>
        <v>0</v>
      </c>
    </row>
    <row r="55" spans="1:51" ht="15.75" hidden="1" outlineLevel="1">
      <c r="A55" s="26"/>
      <c r="B55" s="41" t="s">
        <v>42</v>
      </c>
      <c r="C55" s="498" t="e">
        <f t="shared" si="169"/>
        <v>#REF!</v>
      </c>
      <c r="D55" s="498" t="e">
        <f t="shared" si="168"/>
        <v>#REF!</v>
      </c>
      <c r="E55" s="500">
        <v>0</v>
      </c>
      <c r="F55" s="500">
        <v>0</v>
      </c>
      <c r="G55" s="500">
        <v>0</v>
      </c>
      <c r="H55" s="500">
        <v>0</v>
      </c>
      <c r="I55" s="500">
        <v>0</v>
      </c>
      <c r="J55" s="500">
        <v>0</v>
      </c>
      <c r="K55" s="500">
        <v>0</v>
      </c>
      <c r="L55" s="500">
        <v>0</v>
      </c>
      <c r="M55" s="500">
        <v>0</v>
      </c>
      <c r="N55" s="500">
        <v>0</v>
      </c>
      <c r="O55" s="500">
        <v>0</v>
      </c>
      <c r="P55" s="500">
        <v>0</v>
      </c>
      <c r="Q55" s="500">
        <v>0</v>
      </c>
      <c r="R55" s="500">
        <f>Feb!$G29</f>
        <v>0</v>
      </c>
      <c r="S55" s="500">
        <f>Mar!$G29</f>
        <v>0</v>
      </c>
      <c r="T55" s="500">
        <f>Apr!$G29</f>
        <v>0</v>
      </c>
      <c r="U55" s="500">
        <f>May!$G29</f>
        <v>0</v>
      </c>
      <c r="V55" s="500">
        <f>Jun!$G29</f>
        <v>0</v>
      </c>
      <c r="W55" s="500">
        <f>Jul!$G29</f>
        <v>0</v>
      </c>
      <c r="X55" s="500">
        <f>Aug!$G29</f>
        <v>0</v>
      </c>
      <c r="Y55" s="500" t="e">
        <f>#REF!</f>
        <v>#REF!</v>
      </c>
      <c r="Z55" s="500" t="e">
        <f>#REF!</f>
        <v>#REF!</v>
      </c>
      <c r="AA55" s="500" t="e">
        <f>#REF!</f>
        <v>#REF!</v>
      </c>
      <c r="AB55" s="500" t="e">
        <f>#REF!</f>
        <v>#REF!</v>
      </c>
      <c r="AC55" s="500">
        <f>Jan!G29</f>
        <v>0</v>
      </c>
      <c r="AD55" s="500">
        <f>Feb!G29</f>
        <v>0</v>
      </c>
      <c r="AE55" s="500">
        <f>Feb!H29</f>
        <v>5.9499999999999997E-2</v>
      </c>
      <c r="AF55" s="500">
        <f>Feb!I29</f>
        <v>0</v>
      </c>
      <c r="AG55" s="500">
        <f>Feb!G29</f>
        <v>0</v>
      </c>
      <c r="AH55" s="500">
        <f>Feb!G29</f>
        <v>0</v>
      </c>
      <c r="AI55" s="500">
        <f>Feb!D29</f>
        <v>0</v>
      </c>
      <c r="AJ55" s="500">
        <f>Feb!E29</f>
        <v>0</v>
      </c>
      <c r="AK55" s="500" t="str">
        <f>Feb!F29</f>
        <v>Schedule 131</v>
      </c>
      <c r="AL55" s="500">
        <f>Feb!G29</f>
        <v>0</v>
      </c>
      <c r="AM55" s="500">
        <f>Feb!H29</f>
        <v>5.9499999999999997E-2</v>
      </c>
      <c r="AN55" s="500">
        <f>Feb!H29</f>
        <v>5.9499999999999997E-2</v>
      </c>
      <c r="AO55" s="500">
        <f>Feb!I29</f>
        <v>0</v>
      </c>
      <c r="AP55" s="500">
        <f>Feb!I29</f>
        <v>0</v>
      </c>
      <c r="AQ55" s="500">
        <f>Feb!J29</f>
        <v>0</v>
      </c>
      <c r="AR55" s="500">
        <f>Feb!K29</f>
        <v>15537257</v>
      </c>
      <c r="AS55" s="500" t="str">
        <f>Feb!L29</f>
        <v>check</v>
      </c>
      <c r="AT55" s="500">
        <f>Feb!M29</f>
        <v>9.5840000000000009E-2</v>
      </c>
      <c r="AU55" s="500">
        <f>Feb!N29</f>
        <v>0</v>
      </c>
      <c r="AV55" s="500">
        <f>Feb!O29</f>
        <v>0</v>
      </c>
      <c r="AW55" s="500">
        <f>Feb!P29</f>
        <v>0</v>
      </c>
    </row>
    <row r="56" spans="1:51" ht="15.75" hidden="1" outlineLevel="1">
      <c r="A56" s="26"/>
      <c r="B56" s="41" t="s">
        <v>43</v>
      </c>
      <c r="C56" s="498" t="e">
        <f t="shared" si="169"/>
        <v>#REF!</v>
      </c>
      <c r="D56" s="498" t="e">
        <f t="shared" si="168"/>
        <v>#REF!</v>
      </c>
      <c r="E56" s="500">
        <v>203731</v>
      </c>
      <c r="F56" s="500">
        <v>102322</v>
      </c>
      <c r="G56" s="500">
        <v>89942</v>
      </c>
      <c r="H56" s="500">
        <v>82073</v>
      </c>
      <c r="I56" s="500">
        <v>57685</v>
      </c>
      <c r="J56" s="500">
        <v>51713</v>
      </c>
      <c r="K56" s="500">
        <v>45567</v>
      </c>
      <c r="L56" s="500">
        <v>37963</v>
      </c>
      <c r="M56" s="500">
        <v>46700</v>
      </c>
      <c r="N56" s="500">
        <v>59610</v>
      </c>
      <c r="O56" s="500">
        <v>85100</v>
      </c>
      <c r="P56" s="500">
        <v>111788</v>
      </c>
      <c r="Q56" s="500">
        <v>160387</v>
      </c>
      <c r="R56" s="500">
        <f>Feb!$G30</f>
        <v>142096</v>
      </c>
      <c r="S56" s="500">
        <f>Mar!$G30</f>
        <v>133435</v>
      </c>
      <c r="T56" s="500">
        <f>Apr!$G30</f>
        <v>97799</v>
      </c>
      <c r="U56" s="500">
        <f>May!$G30</f>
        <v>74295</v>
      </c>
      <c r="V56" s="500">
        <f>Jun!$G30</f>
        <v>52474</v>
      </c>
      <c r="W56" s="500">
        <f>Jul!$G30</f>
        <v>38600</v>
      </c>
      <c r="X56" s="500">
        <f>Aug!$G30</f>
        <v>36912</v>
      </c>
      <c r="Y56" s="500" t="e">
        <f>#REF!</f>
        <v>#REF!</v>
      </c>
      <c r="Z56" s="500" t="e">
        <f>#REF!</f>
        <v>#REF!</v>
      </c>
      <c r="AA56" s="500" t="e">
        <f>#REF!</f>
        <v>#REF!</v>
      </c>
      <c r="AB56" s="500" t="e">
        <f>#REF!</f>
        <v>#REF!</v>
      </c>
      <c r="AC56" s="500">
        <f>Jan!G30</f>
        <v>141224</v>
      </c>
      <c r="AD56" s="500">
        <f>Feb!G30</f>
        <v>142096</v>
      </c>
      <c r="AE56" s="500">
        <f>Feb!H30</f>
        <v>5.9499999999999997E-2</v>
      </c>
      <c r="AF56" s="500">
        <f>Feb!I30</f>
        <v>8454.7119999999995</v>
      </c>
      <c r="AG56" s="500">
        <f>Feb!G30</f>
        <v>142096</v>
      </c>
      <c r="AH56" s="500">
        <f>Feb!G30</f>
        <v>142096</v>
      </c>
      <c r="AI56" s="500">
        <f>Feb!D30</f>
        <v>0</v>
      </c>
      <c r="AJ56" s="500">
        <f>Feb!E30</f>
        <v>0</v>
      </c>
      <c r="AK56" s="500" t="str">
        <f>Feb!F30</f>
        <v>Schedule 132</v>
      </c>
      <c r="AL56" s="500">
        <f>Feb!G30</f>
        <v>142096</v>
      </c>
      <c r="AM56" s="500">
        <f>Feb!H30</f>
        <v>5.9499999999999997E-2</v>
      </c>
      <c r="AN56" s="500">
        <f>Feb!H30</f>
        <v>5.9499999999999997E-2</v>
      </c>
      <c r="AO56" s="500">
        <f>Feb!I30</f>
        <v>8454.7119999999995</v>
      </c>
      <c r="AP56" s="500">
        <f>Feb!I30</f>
        <v>8454.7119999999995</v>
      </c>
      <c r="AQ56" s="500">
        <f>Feb!J30</f>
        <v>0</v>
      </c>
      <c r="AR56" s="500">
        <f>Feb!K30</f>
        <v>0</v>
      </c>
      <c r="AS56" s="500">
        <f>Feb!L30</f>
        <v>0</v>
      </c>
      <c r="AT56" s="500">
        <f>Feb!M30</f>
        <v>0</v>
      </c>
      <c r="AU56" s="500">
        <f>Feb!N30</f>
        <v>0</v>
      </c>
      <c r="AV56" s="500">
        <f>Feb!O30</f>
        <v>0</v>
      </c>
      <c r="AW56" s="500">
        <f>Feb!P30</f>
        <v>0</v>
      </c>
    </row>
    <row r="57" spans="1:51" ht="15.75" hidden="1" outlineLevel="1">
      <c r="A57" s="26"/>
      <c r="B57" s="41" t="s">
        <v>74</v>
      </c>
      <c r="C57" s="498" t="e">
        <f t="shared" si="169"/>
        <v>#REF!</v>
      </c>
      <c r="D57" s="498" t="e">
        <f t="shared" si="168"/>
        <v>#REF!</v>
      </c>
      <c r="E57" s="500">
        <v>3346687</v>
      </c>
      <c r="F57" s="500">
        <v>2956295</v>
      </c>
      <c r="G57" s="500">
        <v>2822744</v>
      </c>
      <c r="H57" s="500">
        <v>2379815</v>
      </c>
      <c r="I57" s="500">
        <v>2359261</v>
      </c>
      <c r="J57" s="500">
        <v>2149880</v>
      </c>
      <c r="K57" s="500">
        <v>1956378</v>
      </c>
      <c r="L57" s="500">
        <v>1966117</v>
      </c>
      <c r="M57" s="500">
        <v>1915306</v>
      </c>
      <c r="N57" s="500">
        <v>2505633</v>
      </c>
      <c r="O57" s="500">
        <v>2750386</v>
      </c>
      <c r="P57" s="500">
        <v>3806098</v>
      </c>
      <c r="Q57" s="500">
        <v>4261630</v>
      </c>
      <c r="R57" s="500">
        <f>Feb!$G31</f>
        <v>3900873</v>
      </c>
      <c r="S57" s="500">
        <f>Mar!$G31</f>
        <v>3846520</v>
      </c>
      <c r="T57" s="500">
        <f>Apr!$G31</f>
        <v>3113093</v>
      </c>
      <c r="U57" s="500">
        <f>May!$G31</f>
        <v>2599421</v>
      </c>
      <c r="V57" s="500">
        <f>Jun!$G31</f>
        <v>2420689</v>
      </c>
      <c r="W57" s="500">
        <f>Jul!$G31</f>
        <v>2422953</v>
      </c>
      <c r="X57" s="500">
        <f>Aug!$G31</f>
        <v>2327120</v>
      </c>
      <c r="Y57" s="500" t="e">
        <f>#REF!</f>
        <v>#REF!</v>
      </c>
      <c r="Z57" s="500" t="e">
        <f>#REF!</f>
        <v>#REF!</v>
      </c>
      <c r="AA57" s="500" t="e">
        <f>#REF!</f>
        <v>#REF!</v>
      </c>
      <c r="AB57" s="500" t="e">
        <f>#REF!</f>
        <v>#REF!</v>
      </c>
      <c r="AC57" s="500">
        <f>Jan!G31</f>
        <v>3921073</v>
      </c>
      <c r="AD57" s="500">
        <f>Feb!G31</f>
        <v>3900873</v>
      </c>
      <c r="AE57" s="500">
        <f>Feb!H31</f>
        <v>5.4000000000000001E-4</v>
      </c>
      <c r="AF57" s="500">
        <f>Feb!I31</f>
        <v>2106.4714199999999</v>
      </c>
      <c r="AG57" s="500">
        <f>Feb!G31</f>
        <v>3900873</v>
      </c>
      <c r="AH57" s="500">
        <f>Feb!G31</f>
        <v>3900873</v>
      </c>
      <c r="AI57" s="500">
        <f>Feb!D31</f>
        <v>0</v>
      </c>
      <c r="AJ57" s="500">
        <f>Feb!E31</f>
        <v>0</v>
      </c>
      <c r="AK57" s="500" t="str">
        <f>Feb!F31</f>
        <v>Schedule 146</v>
      </c>
      <c r="AL57" s="500">
        <f>Feb!G31</f>
        <v>3900873</v>
      </c>
      <c r="AM57" s="500">
        <f>Feb!H31</f>
        <v>5.4000000000000001E-4</v>
      </c>
      <c r="AN57" s="500">
        <f>Feb!H31</f>
        <v>5.4000000000000001E-4</v>
      </c>
      <c r="AO57" s="500">
        <f>Feb!I31</f>
        <v>2106.4714199999999</v>
      </c>
      <c r="AP57" s="500">
        <f>Feb!I31</f>
        <v>2106.4714199999999</v>
      </c>
      <c r="AQ57" s="500">
        <f>Feb!J31</f>
        <v>0</v>
      </c>
      <c r="AR57" s="500">
        <f>Feb!K31</f>
        <v>0</v>
      </c>
      <c r="AS57" s="500">
        <f>Feb!L31</f>
        <v>0</v>
      </c>
      <c r="AT57" s="500">
        <f>Feb!M31</f>
        <v>0</v>
      </c>
      <c r="AU57" s="500">
        <f>Feb!N31</f>
        <v>0</v>
      </c>
      <c r="AV57" s="500">
        <f>Feb!O31</f>
        <v>0</v>
      </c>
      <c r="AW57" s="500">
        <f>Feb!P31</f>
        <v>0</v>
      </c>
    </row>
    <row r="58" spans="1:51" ht="16.5" hidden="1" outlineLevel="1" thickBot="1">
      <c r="A58" s="26"/>
      <c r="B58" s="41" t="s">
        <v>21</v>
      </c>
      <c r="C58" s="497" t="e">
        <f>SUM(C49:C57)</f>
        <v>#REF!</v>
      </c>
      <c r="D58" s="497" t="e">
        <f>SUM(D49:D57)</f>
        <v>#REF!</v>
      </c>
      <c r="E58" s="497">
        <v>30707107</v>
      </c>
      <c r="F58" s="497">
        <f t="shared" ref="F58:P58" si="170">SUM(F49:F57)</f>
        <v>23046735</v>
      </c>
      <c r="G58" s="497">
        <f t="shared" si="170"/>
        <v>20385890</v>
      </c>
      <c r="H58" s="497">
        <f t="shared" si="170"/>
        <v>10774244</v>
      </c>
      <c r="I58" s="497">
        <f t="shared" si="170"/>
        <v>8382838</v>
      </c>
      <c r="J58" s="497">
        <f t="shared" si="170"/>
        <v>6906569</v>
      </c>
      <c r="K58" s="497">
        <f>SUM(K49:K57)</f>
        <v>6102573</v>
      </c>
      <c r="L58" s="497">
        <f t="shared" si="170"/>
        <v>6230012</v>
      </c>
      <c r="M58" s="497">
        <f t="shared" si="170"/>
        <v>7464964</v>
      </c>
      <c r="N58" s="497">
        <f>SUM(N49:N57)</f>
        <v>13741468</v>
      </c>
      <c r="O58" s="497">
        <f t="shared" si="170"/>
        <v>18689959</v>
      </c>
      <c r="P58" s="497">
        <f t="shared" si="170"/>
        <v>37042905</v>
      </c>
      <c r="Q58" s="497">
        <f t="shared" ref="Q58:V58" si="171">SUM(Q49:Q57)</f>
        <v>40809304</v>
      </c>
      <c r="R58" s="497">
        <f t="shared" si="171"/>
        <v>36699881</v>
      </c>
      <c r="S58" s="497">
        <f t="shared" si="171"/>
        <v>29486134</v>
      </c>
      <c r="T58" s="497">
        <f t="shared" si="171"/>
        <v>16590491</v>
      </c>
      <c r="U58" s="497">
        <f t="shared" si="171"/>
        <v>9526767</v>
      </c>
      <c r="V58" s="497">
        <f t="shared" si="171"/>
        <v>7324134</v>
      </c>
      <c r="W58" s="497">
        <f>SUM(W49:W57)</f>
        <v>6843156</v>
      </c>
      <c r="X58" s="497">
        <f t="shared" ref="X58:Y58" si="172">SUM(X49:X57)</f>
        <v>6580055</v>
      </c>
      <c r="Y58" s="497" t="e">
        <f t="shared" si="172"/>
        <v>#REF!</v>
      </c>
      <c r="Z58" s="497" t="e">
        <f>SUM(Z49:Z57)</f>
        <v>#REF!</v>
      </c>
      <c r="AA58" s="497" t="e">
        <f t="shared" ref="AA58:AB58" si="173">SUM(AA49:AA57)</f>
        <v>#REF!</v>
      </c>
      <c r="AB58" s="497" t="e">
        <f t="shared" si="173"/>
        <v>#REF!</v>
      </c>
      <c r="AC58" s="497">
        <f t="shared" ref="AC58" si="174">SUM(AC49:AC57)</f>
        <v>33370468</v>
      </c>
      <c r="AD58" s="497">
        <f t="shared" ref="AD58:AH58" si="175">SUM(AD49:AD57)</f>
        <v>36699881</v>
      </c>
      <c r="AE58" s="497">
        <f t="shared" si="175"/>
        <v>0.69359999999999999</v>
      </c>
      <c r="AF58" s="497">
        <f t="shared" si="175"/>
        <v>3261886.6657199999</v>
      </c>
      <c r="AG58" s="497">
        <f t="shared" si="175"/>
        <v>36699881</v>
      </c>
      <c r="AH58" s="497">
        <f t="shared" si="175"/>
        <v>36699881</v>
      </c>
      <c r="AI58" s="497">
        <f t="shared" ref="AI58" si="176">SUM(AI49:AI57)</f>
        <v>0</v>
      </c>
      <c r="AJ58" s="497">
        <f t="shared" ref="AJ58:AL58" si="177">SUM(AJ49:AJ57)</f>
        <v>0</v>
      </c>
      <c r="AK58" s="497">
        <f t="shared" si="177"/>
        <v>0</v>
      </c>
      <c r="AL58" s="497">
        <f t="shared" si="177"/>
        <v>36699881</v>
      </c>
      <c r="AM58" s="497">
        <f>SUM(AM49:AM57)</f>
        <v>0.69359999999999999</v>
      </c>
      <c r="AN58" s="497">
        <f t="shared" ref="AN58:AO58" si="178">SUM(AN49:AN57)</f>
        <v>0.69359999999999999</v>
      </c>
      <c r="AO58" s="497">
        <f t="shared" si="178"/>
        <v>3261886.6657199999</v>
      </c>
      <c r="AP58" s="497">
        <f t="shared" ref="AP58:AQ58" si="179">SUM(AP49:AP57)</f>
        <v>3261886.6657199999</v>
      </c>
      <c r="AQ58" s="497">
        <f t="shared" si="179"/>
        <v>0</v>
      </c>
      <c r="AR58" s="497">
        <f t="shared" ref="AR58:AS58" si="180">SUM(AR49:AR57)</f>
        <v>46611771</v>
      </c>
      <c r="AS58" s="497">
        <f t="shared" si="180"/>
        <v>0.47919999999999996</v>
      </c>
      <c r="AT58" s="497">
        <f t="shared" ref="AT58:AU58" si="181">SUM(AT49:AT57)</f>
        <v>2978181.5176000004</v>
      </c>
      <c r="AU58" s="497">
        <f t="shared" si="181"/>
        <v>0</v>
      </c>
      <c r="AV58" s="497">
        <f t="shared" ref="AV58:AW58" si="182">SUM(AV49:AV57)</f>
        <v>0</v>
      </c>
      <c r="AW58" s="497">
        <f t="shared" si="182"/>
        <v>0</v>
      </c>
    </row>
    <row r="59" spans="1:51" ht="16.5" hidden="1" outlineLevel="1" thickTop="1">
      <c r="A59" s="26"/>
      <c r="B59" s="41" t="s">
        <v>263</v>
      </c>
      <c r="C59" s="498">
        <f>SUM(Q59:AB59)</f>
        <v>225197372</v>
      </c>
      <c r="D59" s="498">
        <f>SUM(E59:AB59)</f>
        <v>414672636</v>
      </c>
      <c r="E59" s="498">
        <v>30707107</v>
      </c>
      <c r="F59" s="498">
        <v>23046735</v>
      </c>
      <c r="G59" s="498">
        <v>20385890</v>
      </c>
      <c r="H59" s="498">
        <v>10774244</v>
      </c>
      <c r="I59" s="498">
        <v>8382838</v>
      </c>
      <c r="J59" s="498">
        <v>6906569</v>
      </c>
      <c r="K59" s="498">
        <v>6102573</v>
      </c>
      <c r="L59" s="498">
        <v>6230012</v>
      </c>
      <c r="M59" s="498">
        <v>7464964</v>
      </c>
      <c r="N59" s="498">
        <v>13741468</v>
      </c>
      <c r="O59" s="498">
        <v>18689959</v>
      </c>
      <c r="P59" s="498">
        <v>37042905</v>
      </c>
      <c r="Q59" s="498">
        <v>40809304</v>
      </c>
      <c r="R59" s="498">
        <v>30544975</v>
      </c>
      <c r="S59" s="498">
        <v>23815117</v>
      </c>
      <c r="T59" s="498">
        <v>16958956</v>
      </c>
      <c r="U59" s="498">
        <v>10280221</v>
      </c>
      <c r="V59" s="498">
        <v>7316509</v>
      </c>
      <c r="W59" s="498">
        <v>6050612</v>
      </c>
      <c r="X59" s="498">
        <v>6226148</v>
      </c>
      <c r="Y59" s="498">
        <v>7933229</v>
      </c>
      <c r="Z59" s="498">
        <v>15888438</v>
      </c>
      <c r="AA59" s="498">
        <v>24226314</v>
      </c>
      <c r="AB59" s="498">
        <v>35147549</v>
      </c>
      <c r="AC59" s="498">
        <v>31096459</v>
      </c>
      <c r="AD59" s="498">
        <v>31096459</v>
      </c>
      <c r="AE59" s="498">
        <v>31096459</v>
      </c>
      <c r="AF59" s="498">
        <v>31096459</v>
      </c>
      <c r="AG59" s="498">
        <v>31096459</v>
      </c>
      <c r="AH59" s="498">
        <v>31096459</v>
      </c>
      <c r="AI59" s="498">
        <v>31096459</v>
      </c>
      <c r="AJ59" s="498">
        <v>31096459</v>
      </c>
      <c r="AK59" s="498">
        <v>31096459</v>
      </c>
      <c r="AL59" s="498">
        <v>31096459</v>
      </c>
      <c r="AM59" s="498">
        <v>31096459</v>
      </c>
      <c r="AN59" s="498">
        <v>31096459</v>
      </c>
      <c r="AO59" s="498">
        <v>31096459</v>
      </c>
      <c r="AP59" s="498">
        <v>31096459</v>
      </c>
      <c r="AQ59" s="498">
        <v>31096459</v>
      </c>
      <c r="AR59" s="498">
        <v>31096459</v>
      </c>
      <c r="AS59" s="498">
        <v>31096459</v>
      </c>
      <c r="AT59" s="498">
        <v>31096459</v>
      </c>
      <c r="AU59" s="498">
        <v>31096459</v>
      </c>
      <c r="AV59" s="498">
        <v>31096459</v>
      </c>
      <c r="AW59" s="498">
        <v>31096459</v>
      </c>
    </row>
    <row r="60" spans="1:51" ht="15.75" hidden="1" outlineLevel="1">
      <c r="A60" s="26" t="s">
        <v>22</v>
      </c>
      <c r="E60" s="495"/>
      <c r="F60" s="495"/>
      <c r="G60" s="495"/>
      <c r="H60" s="495"/>
      <c r="I60" s="495"/>
      <c r="J60" s="495"/>
      <c r="K60" s="495"/>
      <c r="L60" s="495"/>
      <c r="M60" s="495"/>
      <c r="N60" s="495"/>
      <c r="O60" s="495"/>
      <c r="P60" s="495"/>
      <c r="Q60" s="495"/>
      <c r="R60" s="495"/>
      <c r="S60" s="495"/>
      <c r="T60" s="495"/>
      <c r="U60" s="495"/>
      <c r="V60" s="495"/>
      <c r="W60" s="495"/>
      <c r="X60" s="495"/>
      <c r="Y60" s="495"/>
      <c r="Z60" s="495"/>
      <c r="AA60" s="495"/>
      <c r="AB60" s="495"/>
      <c r="AC60" s="495"/>
      <c r="AD60" s="495"/>
      <c r="AE60" s="495"/>
      <c r="AF60" s="495"/>
      <c r="AG60" s="495"/>
      <c r="AH60" s="495"/>
      <c r="AI60" s="495"/>
      <c r="AJ60" s="495"/>
      <c r="AK60" s="495"/>
      <c r="AL60" s="495"/>
      <c r="AM60" s="495"/>
      <c r="AN60" s="495"/>
      <c r="AO60" s="495"/>
      <c r="AP60" s="495"/>
      <c r="AQ60" s="495"/>
      <c r="AR60" s="495"/>
      <c r="AS60" s="495"/>
      <c r="AT60" s="495"/>
      <c r="AU60" s="495"/>
      <c r="AV60" s="495"/>
      <c r="AW60" s="495"/>
      <c r="AY60" s="556"/>
    </row>
    <row r="61" spans="1:51" ht="15.75" hidden="1" outlineLevel="1">
      <c r="A61" s="496">
        <v>191025</v>
      </c>
      <c r="B61" s="107" t="s">
        <v>251</v>
      </c>
      <c r="E61" s="496">
        <v>201601</v>
      </c>
      <c r="F61" s="496">
        <f>E61+1</f>
        <v>201602</v>
      </c>
      <c r="G61" s="496">
        <f t="shared" ref="G61:P61" si="183">F61+1</f>
        <v>201603</v>
      </c>
      <c r="H61" s="496">
        <f t="shared" si="183"/>
        <v>201604</v>
      </c>
      <c r="I61" s="496">
        <f t="shared" si="183"/>
        <v>201605</v>
      </c>
      <c r="J61" s="496">
        <f t="shared" si="183"/>
        <v>201606</v>
      </c>
      <c r="K61" s="496">
        <f t="shared" si="183"/>
        <v>201607</v>
      </c>
      <c r="L61" s="496">
        <f t="shared" si="183"/>
        <v>201608</v>
      </c>
      <c r="M61" s="496">
        <f t="shared" si="183"/>
        <v>201609</v>
      </c>
      <c r="N61" s="496">
        <f t="shared" si="183"/>
        <v>201610</v>
      </c>
      <c r="O61" s="496">
        <f t="shared" si="183"/>
        <v>201611</v>
      </c>
      <c r="P61" s="496">
        <f t="shared" si="183"/>
        <v>201612</v>
      </c>
      <c r="Q61" s="496">
        <f>Q3</f>
        <v>201701</v>
      </c>
      <c r="R61" s="496">
        <f>Q61+1</f>
        <v>201702</v>
      </c>
      <c r="S61" s="496">
        <f t="shared" ref="S61" si="184">R61+1</f>
        <v>201703</v>
      </c>
      <c r="T61" s="496">
        <f t="shared" ref="T61" si="185">S61+1</f>
        <v>201704</v>
      </c>
      <c r="U61" s="496">
        <f t="shared" ref="U61" si="186">T61+1</f>
        <v>201705</v>
      </c>
      <c r="V61" s="496">
        <f t="shared" ref="V61" si="187">U61+1</f>
        <v>201706</v>
      </c>
      <c r="W61" s="496">
        <f t="shared" ref="W61" si="188">V61+1</f>
        <v>201707</v>
      </c>
      <c r="X61" s="496">
        <f t="shared" ref="X61" si="189">W61+1</f>
        <v>201708</v>
      </c>
      <c r="Y61" s="496">
        <f t="shared" ref="Y61" si="190">X61+1</f>
        <v>201709</v>
      </c>
      <c r="Z61" s="496">
        <f t="shared" ref="Z61" si="191">Y61+1</f>
        <v>201710</v>
      </c>
      <c r="AA61" s="496">
        <f t="shared" ref="AA61" si="192">Z61+1</f>
        <v>201711</v>
      </c>
      <c r="AB61" s="496">
        <f t="shared" ref="AB61" si="193">AA61+1</f>
        <v>201712</v>
      </c>
      <c r="AC61" s="496">
        <f t="shared" ref="AC61:AG61" si="194">AC3</f>
        <v>201801</v>
      </c>
      <c r="AD61" s="496">
        <f t="shared" si="194"/>
        <v>201802</v>
      </c>
      <c r="AE61" s="496">
        <f t="shared" si="194"/>
        <v>201803</v>
      </c>
      <c r="AF61" s="496">
        <f t="shared" si="194"/>
        <v>201804</v>
      </c>
      <c r="AG61" s="496">
        <f t="shared" si="194"/>
        <v>201805</v>
      </c>
      <c r="AH61" s="496">
        <f t="shared" ref="AH61:AL61" si="195">AH3</f>
        <v>201806</v>
      </c>
      <c r="AI61" s="496">
        <f t="shared" si="195"/>
        <v>201807</v>
      </c>
      <c r="AJ61" s="496">
        <f t="shared" si="195"/>
        <v>201808</v>
      </c>
      <c r="AK61" s="496">
        <f t="shared" si="195"/>
        <v>201809</v>
      </c>
      <c r="AL61" s="496">
        <f t="shared" si="195"/>
        <v>201810</v>
      </c>
      <c r="AM61" s="496">
        <f>AM3</f>
        <v>201811</v>
      </c>
      <c r="AN61" s="496">
        <f t="shared" ref="AN61:AO61" si="196">AN3</f>
        <v>201812</v>
      </c>
      <c r="AO61" s="496">
        <f t="shared" si="196"/>
        <v>201901</v>
      </c>
      <c r="AP61" s="496">
        <f t="shared" ref="AP61:AQ61" si="197">AP3</f>
        <v>201902</v>
      </c>
      <c r="AQ61" s="496">
        <f t="shared" si="197"/>
        <v>201903</v>
      </c>
      <c r="AR61" s="496">
        <f t="shared" ref="AR61:AS61" si="198">AR3</f>
        <v>201904</v>
      </c>
      <c r="AS61" s="496">
        <f t="shared" si="198"/>
        <v>201905</v>
      </c>
      <c r="AT61" s="496" t="str">
        <f t="shared" ref="AT61:AU61" si="199">AT3</f>
        <v>201905 Revised</v>
      </c>
      <c r="AU61" s="496">
        <f t="shared" si="199"/>
        <v>201906</v>
      </c>
      <c r="AV61" s="496">
        <f t="shared" ref="AV61:AW61" si="200">AV3</f>
        <v>201907</v>
      </c>
      <c r="AW61" s="496">
        <f t="shared" si="200"/>
        <v>201908</v>
      </c>
    </row>
    <row r="62" spans="1:51" ht="15.75" hidden="1" outlineLevel="1">
      <c r="A62" s="26"/>
      <c r="B62" s="41" t="s">
        <v>37</v>
      </c>
      <c r="E62" s="552">
        <v>1.2999999999999999E-4</v>
      </c>
      <c r="F62" s="552">
        <v>1.2999999999999999E-4</v>
      </c>
      <c r="G62" s="552">
        <v>1.2999999999999999E-4</v>
      </c>
      <c r="H62" s="552">
        <v>1.2999999999999999E-4</v>
      </c>
      <c r="I62" s="552">
        <v>1.2999999999999999E-4</v>
      </c>
      <c r="J62" s="552">
        <v>1.2999999999999999E-4</v>
      </c>
      <c r="K62" s="552">
        <v>1.2999999999999999E-4</v>
      </c>
      <c r="L62" s="552">
        <v>1.2999999999999999E-4</v>
      </c>
      <c r="M62" s="552">
        <v>1.2999999999999999E-4</v>
      </c>
      <c r="N62" s="552">
        <v>1.2999999999999999E-4</v>
      </c>
      <c r="O62" s="552" t="s">
        <v>305</v>
      </c>
      <c r="P62" s="552" t="s">
        <v>305</v>
      </c>
      <c r="Q62" s="552">
        <v>1.0000000000000001E-5</v>
      </c>
      <c r="R62" s="552">
        <v>1.0000000000000001E-5</v>
      </c>
      <c r="S62" s="552">
        <v>1.0000000000000001E-5</v>
      </c>
      <c r="T62" s="552">
        <v>1.0000000000000001E-5</v>
      </c>
      <c r="U62" s="552">
        <v>1.0000000000000001E-5</v>
      </c>
      <c r="V62" s="552">
        <v>1.0000000000000001E-5</v>
      </c>
      <c r="W62" s="552">
        <v>1.0000000000000001E-5</v>
      </c>
      <c r="X62" s="552">
        <v>1.0000000000000001E-5</v>
      </c>
      <c r="Y62" s="552">
        <v>1.0000000000000001E-5</v>
      </c>
      <c r="Z62" s="552">
        <v>1.0000000000000001E-5</v>
      </c>
      <c r="AA62" s="501" t="s">
        <v>305</v>
      </c>
      <c r="AB62" s="501" t="s">
        <v>305</v>
      </c>
      <c r="AC62" s="501" t="s">
        <v>318</v>
      </c>
      <c r="AD62" s="501" t="s">
        <v>318</v>
      </c>
      <c r="AE62" s="501" t="s">
        <v>318</v>
      </c>
      <c r="AF62" s="501" t="s">
        <v>318</v>
      </c>
      <c r="AG62" s="501" t="s">
        <v>318</v>
      </c>
      <c r="AH62" s="501" t="s">
        <v>318</v>
      </c>
      <c r="AI62" s="501" t="s">
        <v>318</v>
      </c>
      <c r="AJ62" s="501" t="s">
        <v>318</v>
      </c>
      <c r="AK62" s="501" t="s">
        <v>318</v>
      </c>
      <c r="AL62" s="501" t="s">
        <v>318</v>
      </c>
      <c r="AM62" s="501" t="s">
        <v>318</v>
      </c>
      <c r="AN62" s="501" t="s">
        <v>318</v>
      </c>
      <c r="AO62" s="501" t="s">
        <v>318</v>
      </c>
      <c r="AP62" s="501" t="s">
        <v>318</v>
      </c>
      <c r="AQ62" s="501" t="s">
        <v>318</v>
      </c>
      <c r="AR62" s="501" t="s">
        <v>318</v>
      </c>
      <c r="AS62" s="501" t="s">
        <v>318</v>
      </c>
      <c r="AT62" s="501" t="s">
        <v>318</v>
      </c>
      <c r="AU62" s="501" t="s">
        <v>318</v>
      </c>
      <c r="AV62" s="501" t="s">
        <v>318</v>
      </c>
      <c r="AW62" s="501" t="s">
        <v>318</v>
      </c>
    </row>
    <row r="63" spans="1:51" ht="15.75" hidden="1" outlineLevel="1">
      <c r="A63" s="26"/>
      <c r="B63" s="41" t="s">
        <v>304</v>
      </c>
      <c r="E63" s="552">
        <v>1.2999999999999999E-4</v>
      </c>
      <c r="F63" s="552">
        <v>1.2999999999999999E-4</v>
      </c>
      <c r="G63" s="552">
        <v>1.2999999999999999E-4</v>
      </c>
      <c r="H63" s="552">
        <v>1.2999999999999999E-4</v>
      </c>
      <c r="I63" s="552">
        <v>1.2999999999999999E-4</v>
      </c>
      <c r="J63" s="552">
        <v>1.2999999999999999E-4</v>
      </c>
      <c r="K63" s="552">
        <v>1.2999999999999999E-4</v>
      </c>
      <c r="L63" s="552">
        <v>1.2999999999999999E-4</v>
      </c>
      <c r="M63" s="552">
        <v>1.2999999999999999E-4</v>
      </c>
      <c r="N63" s="552">
        <v>1.2999999999999999E-4</v>
      </c>
      <c r="O63" s="552" t="s">
        <v>305</v>
      </c>
      <c r="P63" s="552" t="s">
        <v>305</v>
      </c>
      <c r="Q63" s="552">
        <v>1.0000000000000001E-5</v>
      </c>
      <c r="R63" s="552">
        <v>1.0000000000000001E-5</v>
      </c>
      <c r="S63" s="552">
        <v>1.0000000000000001E-5</v>
      </c>
      <c r="T63" s="552">
        <v>1.0000000000000001E-5</v>
      </c>
      <c r="U63" s="552">
        <v>1.0000000000000001E-5</v>
      </c>
      <c r="V63" s="552">
        <v>1.0000000000000001E-5</v>
      </c>
      <c r="W63" s="552">
        <v>1.0000000000000001E-5</v>
      </c>
      <c r="X63" s="552">
        <v>1.0000000000000001E-5</v>
      </c>
      <c r="Y63" s="552">
        <v>1.0000000000000001E-5</v>
      </c>
      <c r="Z63" s="552">
        <v>1.0000000000000001E-5</v>
      </c>
      <c r="AA63" s="501" t="s">
        <v>305</v>
      </c>
      <c r="AB63" s="501" t="s">
        <v>305</v>
      </c>
      <c r="AC63" s="501" t="s">
        <v>318</v>
      </c>
      <c r="AD63" s="501" t="s">
        <v>318</v>
      </c>
      <c r="AE63" s="501" t="s">
        <v>318</v>
      </c>
      <c r="AF63" s="501" t="s">
        <v>318</v>
      </c>
      <c r="AG63" s="501" t="s">
        <v>318</v>
      </c>
      <c r="AH63" s="501" t="s">
        <v>318</v>
      </c>
      <c r="AI63" s="501" t="s">
        <v>318</v>
      </c>
      <c r="AJ63" s="501" t="s">
        <v>318</v>
      </c>
      <c r="AK63" s="501" t="s">
        <v>318</v>
      </c>
      <c r="AL63" s="501" t="s">
        <v>318</v>
      </c>
      <c r="AM63" s="501" t="s">
        <v>318</v>
      </c>
      <c r="AN63" s="501" t="s">
        <v>318</v>
      </c>
      <c r="AO63" s="501" t="s">
        <v>318</v>
      </c>
      <c r="AP63" s="501" t="s">
        <v>318</v>
      </c>
      <c r="AQ63" s="501" t="s">
        <v>318</v>
      </c>
      <c r="AR63" s="501" t="s">
        <v>318</v>
      </c>
      <c r="AS63" s="501" t="s">
        <v>318</v>
      </c>
      <c r="AT63" s="501" t="s">
        <v>318</v>
      </c>
      <c r="AU63" s="501" t="s">
        <v>318</v>
      </c>
      <c r="AV63" s="501" t="s">
        <v>318</v>
      </c>
      <c r="AW63" s="501" t="s">
        <v>318</v>
      </c>
    </row>
    <row r="64" spans="1:51" ht="15.75" hidden="1" outlineLevel="1">
      <c r="A64" s="26"/>
      <c r="B64" s="41" t="s">
        <v>38</v>
      </c>
      <c r="E64" s="552">
        <v>1.2999999999999999E-4</v>
      </c>
      <c r="F64" s="552">
        <v>1.2999999999999999E-4</v>
      </c>
      <c r="G64" s="552">
        <v>1.2999999999999999E-4</v>
      </c>
      <c r="H64" s="552">
        <v>1.2999999999999999E-4</v>
      </c>
      <c r="I64" s="552">
        <v>1.2999999999999999E-4</v>
      </c>
      <c r="J64" s="552">
        <v>1.2999999999999999E-4</v>
      </c>
      <c r="K64" s="552">
        <v>1.2999999999999999E-4</v>
      </c>
      <c r="L64" s="552">
        <v>1.2999999999999999E-4</v>
      </c>
      <c r="M64" s="552">
        <v>1.2999999999999999E-4</v>
      </c>
      <c r="N64" s="552">
        <v>1.2999999999999999E-4</v>
      </c>
      <c r="O64" s="552" t="s">
        <v>305</v>
      </c>
      <c r="P64" s="552" t="s">
        <v>305</v>
      </c>
      <c r="Q64" s="552">
        <v>1.0000000000000001E-5</v>
      </c>
      <c r="R64" s="552">
        <v>1.0000000000000001E-5</v>
      </c>
      <c r="S64" s="552">
        <v>1.0000000000000001E-5</v>
      </c>
      <c r="T64" s="552">
        <v>1.0000000000000001E-5</v>
      </c>
      <c r="U64" s="552">
        <v>1.0000000000000001E-5</v>
      </c>
      <c r="V64" s="552">
        <v>1.0000000000000001E-5</v>
      </c>
      <c r="W64" s="552">
        <v>1.0000000000000001E-5</v>
      </c>
      <c r="X64" s="552">
        <v>1.0000000000000001E-5</v>
      </c>
      <c r="Y64" s="552">
        <v>1.0000000000000001E-5</v>
      </c>
      <c r="Z64" s="552">
        <v>1.0000000000000001E-5</v>
      </c>
      <c r="AA64" s="501" t="s">
        <v>305</v>
      </c>
      <c r="AB64" s="501" t="s">
        <v>305</v>
      </c>
      <c r="AC64" s="501" t="s">
        <v>318</v>
      </c>
      <c r="AD64" s="501" t="s">
        <v>318</v>
      </c>
      <c r="AE64" s="501" t="s">
        <v>318</v>
      </c>
      <c r="AF64" s="501" t="s">
        <v>318</v>
      </c>
      <c r="AG64" s="501" t="s">
        <v>318</v>
      </c>
      <c r="AH64" s="501" t="s">
        <v>318</v>
      </c>
      <c r="AI64" s="501" t="s">
        <v>318</v>
      </c>
      <c r="AJ64" s="501" t="s">
        <v>318</v>
      </c>
      <c r="AK64" s="501" t="s">
        <v>318</v>
      </c>
      <c r="AL64" s="501" t="s">
        <v>318</v>
      </c>
      <c r="AM64" s="501" t="s">
        <v>318</v>
      </c>
      <c r="AN64" s="501" t="s">
        <v>318</v>
      </c>
      <c r="AO64" s="501" t="s">
        <v>318</v>
      </c>
      <c r="AP64" s="501" t="s">
        <v>318</v>
      </c>
      <c r="AQ64" s="501" t="s">
        <v>318</v>
      </c>
      <c r="AR64" s="501" t="s">
        <v>318</v>
      </c>
      <c r="AS64" s="501" t="s">
        <v>318</v>
      </c>
      <c r="AT64" s="501" t="s">
        <v>318</v>
      </c>
      <c r="AU64" s="501" t="s">
        <v>318</v>
      </c>
      <c r="AV64" s="501" t="s">
        <v>318</v>
      </c>
      <c r="AW64" s="501" t="s">
        <v>318</v>
      </c>
    </row>
    <row r="65" spans="1:57" ht="15.75" hidden="1" outlineLevel="1">
      <c r="A65" s="26"/>
      <c r="B65" s="41" t="s">
        <v>39</v>
      </c>
      <c r="E65" s="552">
        <v>1.2999999999999999E-4</v>
      </c>
      <c r="F65" s="552">
        <v>1.2999999999999999E-4</v>
      </c>
      <c r="G65" s="552">
        <v>1.2999999999999999E-4</v>
      </c>
      <c r="H65" s="552">
        <v>1.2999999999999999E-4</v>
      </c>
      <c r="I65" s="552">
        <v>1.2999999999999999E-4</v>
      </c>
      <c r="J65" s="552">
        <v>1.2999999999999999E-4</v>
      </c>
      <c r="K65" s="552">
        <v>1.2999999999999999E-4</v>
      </c>
      <c r="L65" s="552">
        <v>1.2999999999999999E-4</v>
      </c>
      <c r="M65" s="552">
        <v>1.2999999999999999E-4</v>
      </c>
      <c r="N65" s="552">
        <v>1.2999999999999999E-4</v>
      </c>
      <c r="O65" s="552" t="s">
        <v>305</v>
      </c>
      <c r="P65" s="552" t="s">
        <v>305</v>
      </c>
      <c r="Q65" s="552">
        <v>1.0000000000000001E-5</v>
      </c>
      <c r="R65" s="552">
        <v>1.0000000000000001E-5</v>
      </c>
      <c r="S65" s="552">
        <v>1.0000000000000001E-5</v>
      </c>
      <c r="T65" s="552">
        <v>1.0000000000000001E-5</v>
      </c>
      <c r="U65" s="552">
        <v>1.0000000000000001E-5</v>
      </c>
      <c r="V65" s="552">
        <v>1.0000000000000001E-5</v>
      </c>
      <c r="W65" s="552">
        <v>1.0000000000000001E-5</v>
      </c>
      <c r="X65" s="552">
        <v>1.0000000000000001E-5</v>
      </c>
      <c r="Y65" s="552">
        <v>1.0000000000000001E-5</v>
      </c>
      <c r="Z65" s="552">
        <v>1.0000000000000001E-5</v>
      </c>
      <c r="AA65" s="501" t="s">
        <v>305</v>
      </c>
      <c r="AB65" s="501" t="s">
        <v>305</v>
      </c>
      <c r="AC65" s="501" t="s">
        <v>318</v>
      </c>
      <c r="AD65" s="501" t="s">
        <v>318</v>
      </c>
      <c r="AE65" s="501" t="s">
        <v>318</v>
      </c>
      <c r="AF65" s="501" t="s">
        <v>318</v>
      </c>
      <c r="AG65" s="501" t="s">
        <v>318</v>
      </c>
      <c r="AH65" s="501" t="s">
        <v>318</v>
      </c>
      <c r="AI65" s="501" t="s">
        <v>318</v>
      </c>
      <c r="AJ65" s="501" t="s">
        <v>318</v>
      </c>
      <c r="AK65" s="501" t="s">
        <v>318</v>
      </c>
      <c r="AL65" s="501" t="s">
        <v>318</v>
      </c>
      <c r="AM65" s="501" t="s">
        <v>318</v>
      </c>
      <c r="AN65" s="501" t="s">
        <v>318</v>
      </c>
      <c r="AO65" s="501" t="s">
        <v>318</v>
      </c>
      <c r="AP65" s="501" t="s">
        <v>318</v>
      </c>
      <c r="AQ65" s="501" t="s">
        <v>318</v>
      </c>
      <c r="AR65" s="501" t="s">
        <v>318</v>
      </c>
      <c r="AS65" s="501" t="s">
        <v>318</v>
      </c>
      <c r="AT65" s="501" t="s">
        <v>318</v>
      </c>
      <c r="AU65" s="501" t="s">
        <v>318</v>
      </c>
      <c r="AV65" s="501" t="s">
        <v>318</v>
      </c>
      <c r="AW65" s="501" t="s">
        <v>318</v>
      </c>
    </row>
    <row r="66" spans="1:57" ht="15.75" hidden="1" outlineLevel="1">
      <c r="A66" s="26"/>
      <c r="B66" s="41" t="s">
        <v>40</v>
      </c>
      <c r="E66" s="552">
        <v>1.2999999999999999E-4</v>
      </c>
      <c r="F66" s="552">
        <v>1.2999999999999999E-4</v>
      </c>
      <c r="G66" s="552">
        <v>1.2999999999999999E-4</v>
      </c>
      <c r="H66" s="552">
        <v>1.2999999999999999E-4</v>
      </c>
      <c r="I66" s="552">
        <v>1.2999999999999999E-4</v>
      </c>
      <c r="J66" s="552">
        <v>1.2999999999999999E-4</v>
      </c>
      <c r="K66" s="552">
        <v>1.2999999999999999E-4</v>
      </c>
      <c r="L66" s="552">
        <v>1.2999999999999999E-4</v>
      </c>
      <c r="M66" s="552">
        <v>1.2999999999999999E-4</v>
      </c>
      <c r="N66" s="552">
        <v>1.2999999999999999E-4</v>
      </c>
      <c r="O66" s="552" t="s">
        <v>305</v>
      </c>
      <c r="P66" s="552" t="s">
        <v>305</v>
      </c>
      <c r="Q66" s="552">
        <v>1.0000000000000001E-5</v>
      </c>
      <c r="R66" s="552">
        <v>1.0000000000000001E-5</v>
      </c>
      <c r="S66" s="552">
        <v>1.0000000000000001E-5</v>
      </c>
      <c r="T66" s="552">
        <v>1.0000000000000001E-5</v>
      </c>
      <c r="U66" s="552">
        <v>1.0000000000000001E-5</v>
      </c>
      <c r="V66" s="552">
        <v>1.0000000000000001E-5</v>
      </c>
      <c r="W66" s="552">
        <v>1.0000000000000001E-5</v>
      </c>
      <c r="X66" s="552">
        <v>1.0000000000000001E-5</v>
      </c>
      <c r="Y66" s="552">
        <v>1.0000000000000001E-5</v>
      </c>
      <c r="Z66" s="552">
        <v>1.0000000000000001E-5</v>
      </c>
      <c r="AA66" s="501" t="s">
        <v>305</v>
      </c>
      <c r="AB66" s="501" t="s">
        <v>305</v>
      </c>
      <c r="AC66" s="501" t="s">
        <v>318</v>
      </c>
      <c r="AD66" s="501" t="s">
        <v>318</v>
      </c>
      <c r="AE66" s="501" t="s">
        <v>318</v>
      </c>
      <c r="AF66" s="501" t="s">
        <v>318</v>
      </c>
      <c r="AG66" s="501" t="s">
        <v>318</v>
      </c>
      <c r="AH66" s="501" t="s">
        <v>318</v>
      </c>
      <c r="AI66" s="501" t="s">
        <v>318</v>
      </c>
      <c r="AJ66" s="501" t="s">
        <v>318</v>
      </c>
      <c r="AK66" s="501" t="s">
        <v>318</v>
      </c>
      <c r="AL66" s="501" t="s">
        <v>318</v>
      </c>
      <c r="AM66" s="501" t="s">
        <v>318</v>
      </c>
      <c r="AN66" s="501" t="s">
        <v>318</v>
      </c>
      <c r="AO66" s="501" t="s">
        <v>318</v>
      </c>
      <c r="AP66" s="501" t="s">
        <v>318</v>
      </c>
      <c r="AQ66" s="501" t="s">
        <v>318</v>
      </c>
      <c r="AR66" s="501" t="s">
        <v>318</v>
      </c>
      <c r="AS66" s="501" t="s">
        <v>318</v>
      </c>
      <c r="AT66" s="501" t="s">
        <v>318</v>
      </c>
      <c r="AU66" s="501" t="s">
        <v>318</v>
      </c>
      <c r="AV66" s="501" t="s">
        <v>318</v>
      </c>
      <c r="AW66" s="501" t="s">
        <v>318</v>
      </c>
    </row>
    <row r="67" spans="1:57" ht="15.75" hidden="1" outlineLevel="1">
      <c r="A67" s="26"/>
      <c r="B67" s="41" t="s">
        <v>41</v>
      </c>
      <c r="E67" s="552">
        <v>1.2999999999999999E-4</v>
      </c>
      <c r="F67" s="552">
        <v>1.2999999999999999E-4</v>
      </c>
      <c r="G67" s="552">
        <v>1.2999999999999999E-4</v>
      </c>
      <c r="H67" s="552">
        <v>1.2999999999999999E-4</v>
      </c>
      <c r="I67" s="552">
        <v>1.2999999999999999E-4</v>
      </c>
      <c r="J67" s="552">
        <v>1.2999999999999999E-4</v>
      </c>
      <c r="K67" s="552">
        <v>1.2999999999999999E-4</v>
      </c>
      <c r="L67" s="552">
        <v>1.2999999999999999E-4</v>
      </c>
      <c r="M67" s="552">
        <v>1.2999999999999999E-4</v>
      </c>
      <c r="N67" s="552">
        <v>1.2999999999999999E-4</v>
      </c>
      <c r="O67" s="552" t="s">
        <v>305</v>
      </c>
      <c r="P67" s="552" t="s">
        <v>305</v>
      </c>
      <c r="Q67" s="552">
        <v>1.0000000000000001E-5</v>
      </c>
      <c r="R67" s="552">
        <v>1.0000000000000001E-5</v>
      </c>
      <c r="S67" s="552">
        <v>1.0000000000000001E-5</v>
      </c>
      <c r="T67" s="552">
        <v>1.0000000000000001E-5</v>
      </c>
      <c r="U67" s="552">
        <v>1.0000000000000001E-5</v>
      </c>
      <c r="V67" s="552">
        <v>1.0000000000000001E-5</v>
      </c>
      <c r="W67" s="552">
        <v>1.0000000000000001E-5</v>
      </c>
      <c r="X67" s="552">
        <v>1.0000000000000001E-5</v>
      </c>
      <c r="Y67" s="552">
        <v>1.0000000000000001E-5</v>
      </c>
      <c r="Z67" s="552">
        <v>1.0000000000000001E-5</v>
      </c>
      <c r="AA67" s="501" t="s">
        <v>305</v>
      </c>
      <c r="AB67" s="501" t="s">
        <v>305</v>
      </c>
      <c r="AC67" s="501" t="s">
        <v>318</v>
      </c>
      <c r="AD67" s="501" t="s">
        <v>318</v>
      </c>
      <c r="AE67" s="501" t="s">
        <v>318</v>
      </c>
      <c r="AF67" s="501" t="s">
        <v>318</v>
      </c>
      <c r="AG67" s="501" t="s">
        <v>318</v>
      </c>
      <c r="AH67" s="501" t="s">
        <v>318</v>
      </c>
      <c r="AI67" s="501" t="s">
        <v>318</v>
      </c>
      <c r="AJ67" s="501" t="s">
        <v>318</v>
      </c>
      <c r="AK67" s="501" t="s">
        <v>318</v>
      </c>
      <c r="AL67" s="501" t="s">
        <v>318</v>
      </c>
      <c r="AM67" s="501" t="s">
        <v>318</v>
      </c>
      <c r="AN67" s="501" t="s">
        <v>318</v>
      </c>
      <c r="AO67" s="501" t="s">
        <v>318</v>
      </c>
      <c r="AP67" s="501" t="s">
        <v>318</v>
      </c>
      <c r="AQ67" s="501" t="s">
        <v>318</v>
      </c>
      <c r="AR67" s="501" t="s">
        <v>318</v>
      </c>
      <c r="AS67" s="501" t="s">
        <v>318</v>
      </c>
      <c r="AT67" s="501" t="s">
        <v>318</v>
      </c>
      <c r="AU67" s="501" t="s">
        <v>318</v>
      </c>
      <c r="AV67" s="501" t="s">
        <v>318</v>
      </c>
      <c r="AW67" s="501" t="s">
        <v>318</v>
      </c>
    </row>
    <row r="68" spans="1:57" ht="16.5" hidden="1" outlineLevel="1" thickBot="1">
      <c r="A68" s="26"/>
      <c r="B68" s="41" t="s">
        <v>42</v>
      </c>
      <c r="E68" s="552">
        <v>1.2999999999999999E-4</v>
      </c>
      <c r="F68" s="552">
        <v>1.2999999999999999E-4</v>
      </c>
      <c r="G68" s="552">
        <v>1.2999999999999999E-4</v>
      </c>
      <c r="H68" s="552">
        <v>1.2999999999999999E-4</v>
      </c>
      <c r="I68" s="552">
        <v>1.2999999999999999E-4</v>
      </c>
      <c r="J68" s="552">
        <v>1.2999999999999999E-4</v>
      </c>
      <c r="K68" s="552">
        <v>1.2999999999999999E-4</v>
      </c>
      <c r="L68" s="552">
        <v>1.2999999999999999E-4</v>
      </c>
      <c r="M68" s="552">
        <v>1.2999999999999999E-4</v>
      </c>
      <c r="N68" s="552">
        <v>1.2999999999999999E-4</v>
      </c>
      <c r="O68" s="552" t="s">
        <v>305</v>
      </c>
      <c r="P68" s="552" t="s">
        <v>305</v>
      </c>
      <c r="Q68" s="552">
        <v>1.0000000000000001E-5</v>
      </c>
      <c r="R68" s="552">
        <v>1.0000000000000001E-5</v>
      </c>
      <c r="S68" s="552">
        <v>1.0000000000000001E-5</v>
      </c>
      <c r="T68" s="552">
        <v>1.0000000000000001E-5</v>
      </c>
      <c r="U68" s="552">
        <v>1.0000000000000001E-5</v>
      </c>
      <c r="V68" s="552">
        <v>1.0000000000000001E-5</v>
      </c>
      <c r="W68" s="552">
        <v>1.0000000000000001E-5</v>
      </c>
      <c r="X68" s="552">
        <v>1.0000000000000001E-5</v>
      </c>
      <c r="Y68" s="552">
        <v>1.0000000000000001E-5</v>
      </c>
      <c r="Z68" s="552">
        <v>1.0000000000000001E-5</v>
      </c>
      <c r="AA68" s="501" t="s">
        <v>305</v>
      </c>
      <c r="AB68" s="501" t="s">
        <v>305</v>
      </c>
      <c r="AC68" s="501" t="s">
        <v>318</v>
      </c>
      <c r="AD68" s="501" t="s">
        <v>318</v>
      </c>
      <c r="AE68" s="501" t="s">
        <v>318</v>
      </c>
      <c r="AF68" s="501" t="s">
        <v>318</v>
      </c>
      <c r="AG68" s="501" t="s">
        <v>318</v>
      </c>
      <c r="AH68" s="501" t="s">
        <v>318</v>
      </c>
      <c r="AI68" s="501" t="s">
        <v>318</v>
      </c>
      <c r="AJ68" s="501" t="s">
        <v>318</v>
      </c>
      <c r="AK68" s="501" t="s">
        <v>318</v>
      </c>
      <c r="AL68" s="501" t="s">
        <v>318</v>
      </c>
      <c r="AM68" s="501" t="s">
        <v>318</v>
      </c>
      <c r="AN68" s="501" t="s">
        <v>318</v>
      </c>
      <c r="AO68" s="501" t="s">
        <v>318</v>
      </c>
      <c r="AP68" s="501" t="s">
        <v>318</v>
      </c>
      <c r="AQ68" s="501" t="s">
        <v>318</v>
      </c>
      <c r="AR68" s="501" t="s">
        <v>318</v>
      </c>
      <c r="AS68" s="501" t="s">
        <v>318</v>
      </c>
      <c r="AT68" s="501" t="s">
        <v>318</v>
      </c>
      <c r="AU68" s="501" t="s">
        <v>318</v>
      </c>
      <c r="AV68" s="501" t="s">
        <v>318</v>
      </c>
      <c r="AW68" s="501" t="s">
        <v>318</v>
      </c>
    </row>
    <row r="69" spans="1:57" ht="16.5" hidden="1" outlineLevel="1" thickBot="1">
      <c r="A69" s="26"/>
      <c r="B69" s="41" t="s">
        <v>43</v>
      </c>
      <c r="E69" s="552">
        <v>1.2999999999999999E-4</v>
      </c>
      <c r="F69" s="552">
        <v>1.2999999999999999E-4</v>
      </c>
      <c r="G69" s="552">
        <v>1.2999999999999999E-4</v>
      </c>
      <c r="H69" s="552">
        <v>1.2999999999999999E-4</v>
      </c>
      <c r="I69" s="552">
        <v>1.2999999999999999E-4</v>
      </c>
      <c r="J69" s="552">
        <v>1.2999999999999999E-4</v>
      </c>
      <c r="K69" s="552">
        <v>1.2999999999999999E-4</v>
      </c>
      <c r="L69" s="552">
        <v>1.2999999999999999E-4</v>
      </c>
      <c r="M69" s="552">
        <v>1.2999999999999999E-4</v>
      </c>
      <c r="N69" s="552">
        <v>1.2999999999999999E-4</v>
      </c>
      <c r="O69" s="552" t="s">
        <v>305</v>
      </c>
      <c r="P69" s="552" t="s">
        <v>305</v>
      </c>
      <c r="Q69" s="552">
        <v>1.0000000000000001E-5</v>
      </c>
      <c r="R69" s="552">
        <v>1.0000000000000001E-5</v>
      </c>
      <c r="S69" s="552">
        <v>1.0000000000000001E-5</v>
      </c>
      <c r="T69" s="552">
        <v>1.0000000000000001E-5</v>
      </c>
      <c r="U69" s="552">
        <v>1.0000000000000001E-5</v>
      </c>
      <c r="V69" s="552">
        <v>1.0000000000000001E-5</v>
      </c>
      <c r="W69" s="552">
        <v>1.0000000000000001E-5</v>
      </c>
      <c r="X69" s="552">
        <v>1.0000000000000001E-5</v>
      </c>
      <c r="Y69" s="552">
        <v>1.0000000000000001E-5</v>
      </c>
      <c r="Z69" s="552">
        <v>1.0000000000000001E-5</v>
      </c>
      <c r="AA69" s="501" t="s">
        <v>305</v>
      </c>
      <c r="AB69" s="501" t="s">
        <v>305</v>
      </c>
      <c r="AC69" s="501" t="s">
        <v>318</v>
      </c>
      <c r="AD69" s="501" t="s">
        <v>318</v>
      </c>
      <c r="AE69" s="501" t="s">
        <v>318</v>
      </c>
      <c r="AF69" s="501" t="s">
        <v>318</v>
      </c>
      <c r="AG69" s="501" t="s">
        <v>318</v>
      </c>
      <c r="AH69" s="501" t="s">
        <v>318</v>
      </c>
      <c r="AI69" s="501" t="s">
        <v>318</v>
      </c>
      <c r="AJ69" s="501" t="s">
        <v>318</v>
      </c>
      <c r="AK69" s="501" t="s">
        <v>318</v>
      </c>
      <c r="AL69" s="501" t="s">
        <v>318</v>
      </c>
      <c r="AM69" s="501" t="s">
        <v>318</v>
      </c>
      <c r="AN69" s="501" t="s">
        <v>318</v>
      </c>
      <c r="AO69" s="501" t="s">
        <v>318</v>
      </c>
      <c r="AP69" s="501" t="s">
        <v>318</v>
      </c>
      <c r="AQ69" s="501" t="s">
        <v>318</v>
      </c>
      <c r="AR69" s="501" t="s">
        <v>318</v>
      </c>
      <c r="AS69" s="501" t="s">
        <v>318</v>
      </c>
      <c r="AT69" s="501" t="s">
        <v>318</v>
      </c>
      <c r="AU69" s="501" t="s">
        <v>318</v>
      </c>
      <c r="AV69" s="501" t="s">
        <v>318</v>
      </c>
      <c r="AW69" s="501" t="s">
        <v>318</v>
      </c>
      <c r="AX69" s="515">
        <f>AX4</f>
        <v>201908</v>
      </c>
      <c r="AY69" s="557"/>
      <c r="AZ69" s="112"/>
      <c r="BA69" s="558" t="s">
        <v>317</v>
      </c>
      <c r="BB69" s="112"/>
      <c r="BC69" s="543"/>
    </row>
    <row r="70" spans="1:57" ht="15.75" hidden="1" outlineLevel="1">
      <c r="A70" s="26"/>
      <c r="B70" s="41" t="s">
        <v>74</v>
      </c>
      <c r="E70" s="552">
        <v>2.0000000000000002E-5</v>
      </c>
      <c r="F70" s="552">
        <v>2.0000000000000002E-5</v>
      </c>
      <c r="G70" s="552">
        <v>2.0000000000000002E-5</v>
      </c>
      <c r="H70" s="552">
        <v>2.0000000000000002E-5</v>
      </c>
      <c r="I70" s="552">
        <v>2.0000000000000002E-5</v>
      </c>
      <c r="J70" s="552">
        <v>2.0000000000000002E-5</v>
      </c>
      <c r="K70" s="552">
        <v>2.0000000000000002E-5</v>
      </c>
      <c r="L70" s="552">
        <v>2.0000000000000002E-5</v>
      </c>
      <c r="M70" s="552">
        <v>2.0000000000000002E-5</v>
      </c>
      <c r="N70" s="552">
        <v>2.0000000000000002E-5</v>
      </c>
      <c r="O70" s="552" t="s">
        <v>305</v>
      </c>
      <c r="P70" s="552" t="s">
        <v>305</v>
      </c>
      <c r="Q70" s="552">
        <v>0</v>
      </c>
      <c r="R70" s="552">
        <v>0</v>
      </c>
      <c r="S70" s="552">
        <v>0</v>
      </c>
      <c r="T70" s="552">
        <v>0</v>
      </c>
      <c r="U70" s="552">
        <v>0</v>
      </c>
      <c r="V70" s="552">
        <v>0</v>
      </c>
      <c r="W70" s="552">
        <v>0</v>
      </c>
      <c r="X70" s="552">
        <v>0</v>
      </c>
      <c r="Y70" s="552">
        <v>0</v>
      </c>
      <c r="Z70" s="552">
        <v>0</v>
      </c>
      <c r="AA70" s="501" t="s">
        <v>305</v>
      </c>
      <c r="AB70" s="501" t="s">
        <v>305</v>
      </c>
      <c r="AC70" s="501" t="s">
        <v>318</v>
      </c>
      <c r="AD70" s="501" t="s">
        <v>318</v>
      </c>
      <c r="AE70" s="501" t="s">
        <v>318</v>
      </c>
      <c r="AF70" s="501" t="s">
        <v>318</v>
      </c>
      <c r="AG70" s="501" t="s">
        <v>318</v>
      </c>
      <c r="AH70" s="501" t="s">
        <v>318</v>
      </c>
      <c r="AI70" s="501" t="s">
        <v>318</v>
      </c>
      <c r="AJ70" s="501" t="s">
        <v>318</v>
      </c>
      <c r="AK70" s="501" t="s">
        <v>318</v>
      </c>
      <c r="AL70" s="501" t="s">
        <v>318</v>
      </c>
      <c r="AM70" s="501" t="s">
        <v>318</v>
      </c>
      <c r="AN70" s="501" t="s">
        <v>318</v>
      </c>
      <c r="AO70" s="501" t="s">
        <v>318</v>
      </c>
      <c r="AP70" s="501" t="s">
        <v>318</v>
      </c>
      <c r="AQ70" s="501" t="s">
        <v>318</v>
      </c>
      <c r="AR70" s="501" t="s">
        <v>318</v>
      </c>
      <c r="AS70" s="501" t="s">
        <v>318</v>
      </c>
      <c r="AT70" s="501" t="s">
        <v>318</v>
      </c>
      <c r="AU70" s="501" t="s">
        <v>318</v>
      </c>
      <c r="AV70" s="501" t="s">
        <v>318</v>
      </c>
      <c r="AW70" s="501" t="s">
        <v>318</v>
      </c>
      <c r="AX70" s="117" t="s">
        <v>291</v>
      </c>
      <c r="AY70" s="170">
        <v>191025</v>
      </c>
      <c r="AZ70" s="7" t="s">
        <v>279</v>
      </c>
      <c r="BA70" s="7" t="s">
        <v>280</v>
      </c>
      <c r="BB70" s="412">
        <v>0</v>
      </c>
      <c r="BC70" s="402">
        <f>IF((SUMIF(E72:AB72,AX69,E74:AB74))&lt;0,-(SUMIF(E72:AB72,AX69,E74:AB74)),0)</f>
        <v>0</v>
      </c>
      <c r="BE70" s="331" t="str">
        <f>_xll.GLW_Segment_Description(AY70,2,2)</f>
        <v>WA GRC JACKSON PRAIRIE DEFERRAL</v>
      </c>
    </row>
    <row r="71" spans="1:57" ht="15.75" hidden="1" outlineLevel="1">
      <c r="A71" s="26" t="s">
        <v>282</v>
      </c>
      <c r="E71" s="499"/>
      <c r="F71" s="499"/>
      <c r="G71" s="499"/>
      <c r="H71" s="499"/>
      <c r="I71" s="499"/>
      <c r="J71" s="499"/>
      <c r="K71" s="499"/>
      <c r="L71" s="499"/>
      <c r="M71" s="499"/>
      <c r="N71" s="499"/>
      <c r="O71" s="499"/>
      <c r="P71" s="499"/>
      <c r="Q71" s="499"/>
      <c r="R71" s="499"/>
      <c r="S71" s="499"/>
      <c r="T71" s="499"/>
      <c r="U71" s="499"/>
      <c r="V71" s="499"/>
      <c r="W71" s="499"/>
      <c r="X71" s="499"/>
      <c r="Y71" s="499"/>
      <c r="Z71" s="499"/>
      <c r="AA71" s="499"/>
      <c r="AB71" s="499"/>
      <c r="AC71" s="499"/>
      <c r="AD71" s="499"/>
      <c r="AE71" s="499"/>
      <c r="AF71" s="499"/>
      <c r="AG71" s="499"/>
      <c r="AH71" s="499"/>
      <c r="AI71" s="499"/>
      <c r="AJ71" s="499"/>
      <c r="AK71" s="499"/>
      <c r="AL71" s="499"/>
      <c r="AM71" s="499"/>
      <c r="AN71" s="499"/>
      <c r="AO71" s="499"/>
      <c r="AP71" s="499"/>
      <c r="AQ71" s="499"/>
      <c r="AR71" s="499"/>
      <c r="AS71" s="499"/>
      <c r="AT71" s="499"/>
      <c r="AU71" s="499"/>
      <c r="AV71" s="499"/>
      <c r="AW71" s="499"/>
      <c r="AX71" s="117" t="s">
        <v>292</v>
      </c>
      <c r="AY71" s="170">
        <v>805110</v>
      </c>
      <c r="AZ71" s="7" t="s">
        <v>279</v>
      </c>
      <c r="BA71" s="7" t="s">
        <v>280</v>
      </c>
      <c r="BB71" s="412">
        <f>IF((SUMIF(E72:AB72,AX69,E74:AB74))&lt;0,-(SUMIF(E72:AB72,AX69,E74:AB74)),0)</f>
        <v>0</v>
      </c>
      <c r="BC71" s="402">
        <f>BB70</f>
        <v>0</v>
      </c>
      <c r="BE71" s="331" t="str">
        <f>_xll.GLW_Segment_Description(AY71,2,2)</f>
        <v>AMORTIZE RECOVERABLE GAS COSTS</v>
      </c>
    </row>
    <row r="72" spans="1:57" s="26" customFormat="1" ht="15.75" hidden="1" outlineLevel="1">
      <c r="A72" s="496">
        <v>191025</v>
      </c>
      <c r="B72" s="107" t="s">
        <v>251</v>
      </c>
      <c r="C72" s="539" t="s">
        <v>247</v>
      </c>
      <c r="D72" s="540" t="s">
        <v>248</v>
      </c>
      <c r="E72" s="496">
        <v>201601</v>
      </c>
      <c r="F72" s="496">
        <f>E72+1</f>
        <v>201602</v>
      </c>
      <c r="G72" s="496">
        <f t="shared" ref="G72:P72" si="201">F72+1</f>
        <v>201603</v>
      </c>
      <c r="H72" s="496">
        <f t="shared" si="201"/>
        <v>201604</v>
      </c>
      <c r="I72" s="496">
        <f t="shared" si="201"/>
        <v>201605</v>
      </c>
      <c r="J72" s="496">
        <f t="shared" si="201"/>
        <v>201606</v>
      </c>
      <c r="K72" s="496">
        <f t="shared" si="201"/>
        <v>201607</v>
      </c>
      <c r="L72" s="496">
        <f t="shared" si="201"/>
        <v>201608</v>
      </c>
      <c r="M72" s="496">
        <f t="shared" si="201"/>
        <v>201609</v>
      </c>
      <c r="N72" s="496">
        <f t="shared" si="201"/>
        <v>201610</v>
      </c>
      <c r="O72" s="496">
        <f t="shared" si="201"/>
        <v>201611</v>
      </c>
      <c r="P72" s="496">
        <f t="shared" si="201"/>
        <v>201612</v>
      </c>
      <c r="Q72" s="496">
        <f>Q3</f>
        <v>201701</v>
      </c>
      <c r="R72" s="496">
        <f>Q72+1</f>
        <v>201702</v>
      </c>
      <c r="S72" s="496">
        <f t="shared" ref="S72" si="202">R72+1</f>
        <v>201703</v>
      </c>
      <c r="T72" s="496">
        <f t="shared" ref="T72" si="203">S72+1</f>
        <v>201704</v>
      </c>
      <c r="U72" s="496">
        <f t="shared" ref="U72" si="204">T72+1</f>
        <v>201705</v>
      </c>
      <c r="V72" s="496">
        <f t="shared" ref="V72" si="205">U72+1</f>
        <v>201706</v>
      </c>
      <c r="W72" s="496">
        <f t="shared" ref="W72" si="206">V72+1</f>
        <v>201707</v>
      </c>
      <c r="X72" s="496">
        <f t="shared" ref="X72" si="207">W72+1</f>
        <v>201708</v>
      </c>
      <c r="Y72" s="496">
        <f t="shared" ref="Y72" si="208">X72+1</f>
        <v>201709</v>
      </c>
      <c r="Z72" s="496">
        <f t="shared" ref="Z72" si="209">Y72+1</f>
        <v>201710</v>
      </c>
      <c r="AA72" s="496">
        <f t="shared" ref="AA72" si="210">Z72+1</f>
        <v>201711</v>
      </c>
      <c r="AB72" s="496">
        <f t="shared" ref="AB72" si="211">AA72+1</f>
        <v>201712</v>
      </c>
      <c r="AC72" s="496">
        <f t="shared" ref="AC72:AG72" si="212">AC3</f>
        <v>201801</v>
      </c>
      <c r="AD72" s="496">
        <f t="shared" si="212"/>
        <v>201802</v>
      </c>
      <c r="AE72" s="496">
        <f t="shared" si="212"/>
        <v>201803</v>
      </c>
      <c r="AF72" s="496">
        <f t="shared" si="212"/>
        <v>201804</v>
      </c>
      <c r="AG72" s="496">
        <f t="shared" si="212"/>
        <v>201805</v>
      </c>
      <c r="AH72" s="496">
        <f t="shared" ref="AH72:AL72" si="213">AH3</f>
        <v>201806</v>
      </c>
      <c r="AI72" s="496">
        <f t="shared" si="213"/>
        <v>201807</v>
      </c>
      <c r="AJ72" s="496">
        <f t="shared" si="213"/>
        <v>201808</v>
      </c>
      <c r="AK72" s="496">
        <f t="shared" si="213"/>
        <v>201809</v>
      </c>
      <c r="AL72" s="496">
        <f t="shared" si="213"/>
        <v>201810</v>
      </c>
      <c r="AM72" s="496">
        <f>AM3</f>
        <v>201811</v>
      </c>
      <c r="AN72" s="496">
        <f t="shared" ref="AN72:AO72" si="214">AN3</f>
        <v>201812</v>
      </c>
      <c r="AO72" s="496">
        <f t="shared" si="214"/>
        <v>201901</v>
      </c>
      <c r="AP72" s="496">
        <f t="shared" ref="AP72:AQ72" si="215">AP3</f>
        <v>201902</v>
      </c>
      <c r="AQ72" s="496">
        <f t="shared" si="215"/>
        <v>201903</v>
      </c>
      <c r="AR72" s="496">
        <f t="shared" ref="AR72:AS72" si="216">AR3</f>
        <v>201904</v>
      </c>
      <c r="AS72" s="496">
        <f t="shared" si="216"/>
        <v>201905</v>
      </c>
      <c r="AT72" s="496" t="str">
        <f t="shared" ref="AT72:AU72" si="217">AT3</f>
        <v>201905 Revised</v>
      </c>
      <c r="AU72" s="496">
        <f t="shared" si="217"/>
        <v>201906</v>
      </c>
      <c r="AV72" s="496">
        <f t="shared" ref="AV72:AW72" si="218">AV3</f>
        <v>201907</v>
      </c>
      <c r="AW72" s="496">
        <f t="shared" si="218"/>
        <v>201908</v>
      </c>
      <c r="AX72" s="117" t="s">
        <v>264</v>
      </c>
      <c r="AY72" s="170">
        <v>191025</v>
      </c>
      <c r="AZ72" s="7" t="s">
        <v>279</v>
      </c>
      <c r="BA72" s="7" t="s">
        <v>280</v>
      </c>
      <c r="BB72" s="412">
        <f>IF((SUMIF(E72:AB72,AX69,E75:AB75))&gt;0,(SUMIF(E72:AB72,AX69,E75:AB75)),0)</f>
        <v>0</v>
      </c>
      <c r="BC72" s="402">
        <v>0</v>
      </c>
      <c r="BE72" s="331" t="str">
        <f>_xll.GLW_Segment_Description(AY72,2,2)</f>
        <v>WA GRC JACKSON PRAIRIE DEFERRAL</v>
      </c>
    </row>
    <row r="73" spans="1:57" ht="15.75" hidden="1" outlineLevel="1" thickBot="1">
      <c r="A73" s="445"/>
      <c r="B73" s="41" t="s">
        <v>249</v>
      </c>
      <c r="D73" s="331">
        <f>E73</f>
        <v>-18146.93566000001</v>
      </c>
      <c r="E73" s="331">
        <v>-18146.93566000001</v>
      </c>
      <c r="F73" s="331">
        <f t="shared" ref="F73:M73" si="219">E76</f>
        <v>-14523.147320000011</v>
      </c>
      <c r="G73" s="331">
        <f t="shared" si="219"/>
        <v>-11852.264220000012</v>
      </c>
      <c r="H73" s="331">
        <f t="shared" si="219"/>
        <v>-9512.6003600000113</v>
      </c>
      <c r="I73" s="331">
        <f t="shared" si="219"/>
        <v>-8373.7282900000118</v>
      </c>
      <c r="J73" s="331">
        <f t="shared" si="219"/>
        <v>-7543.4780600000122</v>
      </c>
      <c r="K73" s="331">
        <f t="shared" si="219"/>
        <v>-6882.1108900000127</v>
      </c>
      <c r="L73" s="331">
        <f t="shared" si="219"/>
        <v>-6303.9779800000124</v>
      </c>
      <c r="M73" s="331">
        <f t="shared" si="219"/>
        <v>-5710.3492900000119</v>
      </c>
      <c r="N73" s="331">
        <f>M76</f>
        <v>-4950.5876300000118</v>
      </c>
      <c r="O73" s="331">
        <f>N76</f>
        <v>-3439.8164200000119</v>
      </c>
      <c r="P73" s="331">
        <f>O76</f>
        <v>-4198.8164200000119</v>
      </c>
      <c r="Q73" s="331">
        <f>P76</f>
        <v>-4496.8164200000119</v>
      </c>
      <c r="R73" s="331">
        <f>Q76</f>
        <v>-3535.3396800000119</v>
      </c>
      <c r="S73" s="331">
        <f t="shared" ref="S73" si="220">R76</f>
        <v>-3207.3496000000118</v>
      </c>
      <c r="T73" s="331">
        <f t="shared" ref="T73" si="221">S76</f>
        <v>-2950.953460000012</v>
      </c>
      <c r="U73" s="331">
        <f t="shared" ref="U73" si="222">T76</f>
        <v>-2816.1794800000121</v>
      </c>
      <c r="V73" s="331">
        <f t="shared" ref="V73" si="223">U76</f>
        <v>-2746.9060200000122</v>
      </c>
      <c r="W73" s="331">
        <f t="shared" ref="W73" si="224">V76</f>
        <v>-2697.8715700000121</v>
      </c>
      <c r="X73" s="331">
        <f t="shared" ref="X73" si="225">W76</f>
        <v>-2653.6695400000121</v>
      </c>
      <c r="Y73" s="331">
        <f t="shared" ref="Y73" si="226">X76</f>
        <v>-2611.1401900000124</v>
      </c>
      <c r="Z73" s="331" t="e">
        <f>Y76</f>
        <v>#REF!</v>
      </c>
      <c r="AA73" s="331" t="e">
        <f>Z76</f>
        <v>#REF!</v>
      </c>
      <c r="AB73" s="331" t="e">
        <f>AA76</f>
        <v>#REF!</v>
      </c>
      <c r="AC73" s="331" t="e">
        <f>AA76</f>
        <v>#REF!</v>
      </c>
      <c r="AD73" s="331" t="e">
        <f>AB76</f>
        <v>#REF!</v>
      </c>
      <c r="AE73" s="331" t="e">
        <f>AC76</f>
        <v>#REF!</v>
      </c>
      <c r="AF73" s="331" t="e">
        <f>AD76</f>
        <v>#REF!</v>
      </c>
      <c r="AG73" s="331" t="e">
        <f>AB76</f>
        <v>#REF!</v>
      </c>
      <c r="AH73" s="331" t="e">
        <f>AB76</f>
        <v>#REF!</v>
      </c>
      <c r="AI73" s="331" t="e">
        <f>Y76</f>
        <v>#REF!</v>
      </c>
      <c r="AJ73" s="331" t="e">
        <f t="shared" ref="AJ73:AL73" si="227">Z76</f>
        <v>#REF!</v>
      </c>
      <c r="AK73" s="331" t="e">
        <f t="shared" si="227"/>
        <v>#REF!</v>
      </c>
      <c r="AL73" s="331" t="e">
        <f t="shared" si="227"/>
        <v>#REF!</v>
      </c>
      <c r="AM73" s="331" t="e">
        <f>AC76</f>
        <v>#REF!</v>
      </c>
      <c r="AN73" s="331" t="e">
        <f>AC76</f>
        <v>#REF!</v>
      </c>
      <c r="AO73" s="331" t="e">
        <f>AD76</f>
        <v>#REF!</v>
      </c>
      <c r="AP73" s="331" t="e">
        <f t="shared" ref="AP73:AW73" si="228">AD76</f>
        <v>#REF!</v>
      </c>
      <c r="AQ73" s="331" t="e">
        <f t="shared" si="228"/>
        <v>#REF!</v>
      </c>
      <c r="AR73" s="331" t="e">
        <f t="shared" si="228"/>
        <v>#REF!</v>
      </c>
      <c r="AS73" s="331" t="e">
        <f t="shared" si="228"/>
        <v>#REF!</v>
      </c>
      <c r="AT73" s="331" t="e">
        <f t="shared" si="228"/>
        <v>#REF!</v>
      </c>
      <c r="AU73" s="331" t="e">
        <f t="shared" si="228"/>
        <v>#REF!</v>
      </c>
      <c r="AV73" s="331" t="e">
        <f t="shared" si="228"/>
        <v>#REF!</v>
      </c>
      <c r="AW73" s="331" t="e">
        <f t="shared" si="228"/>
        <v>#REF!</v>
      </c>
      <c r="AX73" s="117" t="s">
        <v>264</v>
      </c>
      <c r="AY73" s="170">
        <v>426500</v>
      </c>
      <c r="AZ73" s="7" t="s">
        <v>316</v>
      </c>
      <c r="BA73" s="7" t="s">
        <v>316</v>
      </c>
      <c r="BB73" s="412">
        <v>0</v>
      </c>
      <c r="BC73" s="402">
        <f>BB72</f>
        <v>0</v>
      </c>
      <c r="BE73" s="331" t="str">
        <f>_xll.GLW_Segment_Description(AY73,2,2)</f>
        <v>MISC INCOME DEDUCTIONS-OTHER DEDUCT</v>
      </c>
    </row>
    <row r="74" spans="1:57" ht="15.75" hidden="1" outlineLevel="1" thickBot="1">
      <c r="B74" s="41" t="s">
        <v>23</v>
      </c>
      <c r="C74" s="331" t="e">
        <f>SUM(Q74:AB74)</f>
        <v>#REF!</v>
      </c>
      <c r="D74" s="331" t="e">
        <f>SUM(E74:AB74)</f>
        <v>#REF!</v>
      </c>
      <c r="E74" s="331">
        <v>3623.7883399999996</v>
      </c>
      <c r="F74" s="331">
        <v>2670.8831</v>
      </c>
      <c r="G74" s="331">
        <v>2339.6638599999997</v>
      </c>
      <c r="H74" s="331">
        <v>1138.8720699999999</v>
      </c>
      <c r="I74" s="331">
        <v>830.25022999999999</v>
      </c>
      <c r="J74" s="331">
        <v>661.36716999999987</v>
      </c>
      <c r="K74" s="331">
        <v>578.13290999999992</v>
      </c>
      <c r="L74" s="331">
        <v>593.62869000000012</v>
      </c>
      <c r="M74" s="331">
        <v>759.76165999999989</v>
      </c>
      <c r="N74" s="331">
        <v>1510.7712100000001</v>
      </c>
      <c r="O74" s="331">
        <v>-759</v>
      </c>
      <c r="P74" s="331">
        <v>-298</v>
      </c>
      <c r="Q74" s="331">
        <f>SUMPRODUCT(Q49:Q57,Q62:Q70)</f>
        <v>365.47674000000006</v>
      </c>
      <c r="R74" s="331">
        <f>SUMPRODUCT(R49:R57,R62:R70)</f>
        <v>327.99008000000003</v>
      </c>
      <c r="S74" s="331">
        <f>SUMPRODUCT(S49:S57,S62:S70)</f>
        <v>256.39614</v>
      </c>
      <c r="T74" s="331">
        <f>SUMPRODUCT(T49:T57,T62:T70)</f>
        <v>134.77397999999999</v>
      </c>
      <c r="U74" s="331">
        <f t="shared" ref="U74" si="229">SUMPRODUCT(U49:U57,U62:U70)</f>
        <v>69.273459999999986</v>
      </c>
      <c r="V74" s="331">
        <f>SUMPRODUCT(V49:V57,V62:V70)</f>
        <v>49.034450000000007</v>
      </c>
      <c r="W74" s="331">
        <f>SUMPRODUCT(W49:W57,W62:W70)</f>
        <v>44.202030000000001</v>
      </c>
      <c r="X74" s="331">
        <f>SUMPRODUCT(X49:X57,X62:X70)</f>
        <v>42.529350000000001</v>
      </c>
      <c r="Y74" s="331" t="e">
        <f>SUMPRODUCT(Y49:Y57,Y62:Y70)</f>
        <v>#REF!</v>
      </c>
      <c r="Z74" s="331" t="e">
        <f>SUMPRODUCT(Z49:Z57,Z62:Z70)</f>
        <v>#REF!</v>
      </c>
      <c r="AA74" s="41">
        <v>-83</v>
      </c>
      <c r="AB74" s="331">
        <v>0</v>
      </c>
      <c r="AC74" s="331">
        <v>0</v>
      </c>
      <c r="AD74" s="331">
        <v>0</v>
      </c>
      <c r="AE74" s="331">
        <v>0</v>
      </c>
      <c r="AF74" s="331">
        <v>0</v>
      </c>
      <c r="AG74" s="331">
        <v>0</v>
      </c>
      <c r="AH74" s="331">
        <v>0</v>
      </c>
      <c r="AI74" s="331">
        <v>0</v>
      </c>
      <c r="AJ74" s="331">
        <v>0</v>
      </c>
      <c r="AK74" s="331">
        <v>0</v>
      </c>
      <c r="AL74" s="331">
        <v>0</v>
      </c>
      <c r="AM74" s="331">
        <v>0</v>
      </c>
      <c r="AN74" s="331">
        <v>0</v>
      </c>
      <c r="AO74" s="331">
        <v>0</v>
      </c>
      <c r="AP74" s="331">
        <v>0</v>
      </c>
      <c r="AQ74" s="331">
        <v>0</v>
      </c>
      <c r="AR74" s="331">
        <v>0</v>
      </c>
      <c r="AS74" s="331">
        <v>0</v>
      </c>
      <c r="AT74" s="331">
        <v>0</v>
      </c>
      <c r="AU74" s="331">
        <v>0</v>
      </c>
      <c r="AV74" s="331">
        <v>0</v>
      </c>
      <c r="AW74" s="331">
        <v>0</v>
      </c>
      <c r="AX74" s="559"/>
      <c r="AY74" s="557"/>
      <c r="AZ74" s="112"/>
      <c r="BA74" s="112"/>
      <c r="BB74" s="112" t="s">
        <v>159</v>
      </c>
      <c r="BC74" s="543">
        <f>SUM(BB70:BB73)-SUM(BC70:BC73)</f>
        <v>0</v>
      </c>
    </row>
    <row r="75" spans="1:57" hidden="1" outlineLevel="1">
      <c r="B75" s="41" t="s">
        <v>148</v>
      </c>
      <c r="C75" s="331">
        <f>SUM(Q75:AB75)</f>
        <v>3209.97</v>
      </c>
      <c r="D75" s="554">
        <f>SUM(E75:AB75)</f>
        <v>3209.97</v>
      </c>
      <c r="E75" s="331">
        <v>0</v>
      </c>
      <c r="F75" s="331">
        <v>0</v>
      </c>
      <c r="G75" s="331">
        <v>0</v>
      </c>
      <c r="H75" s="331">
        <v>0</v>
      </c>
      <c r="I75" s="331">
        <v>0</v>
      </c>
      <c r="J75" s="331">
        <v>0</v>
      </c>
      <c r="K75" s="331">
        <v>0</v>
      </c>
      <c r="L75" s="331">
        <v>0</v>
      </c>
      <c r="M75" s="331">
        <v>0</v>
      </c>
      <c r="N75" s="331">
        <v>0</v>
      </c>
      <c r="O75" s="331">
        <v>0</v>
      </c>
      <c r="P75" s="331">
        <v>0</v>
      </c>
      <c r="Q75" s="331">
        <f>298+298</f>
        <v>596</v>
      </c>
      <c r="R75" s="331">
        <v>0</v>
      </c>
      <c r="S75" s="331">
        <v>0</v>
      </c>
      <c r="T75" s="331">
        <v>0</v>
      </c>
      <c r="U75" s="331">
        <v>0</v>
      </c>
      <c r="V75" s="331">
        <v>0</v>
      </c>
      <c r="W75" s="331">
        <v>0</v>
      </c>
      <c r="X75" s="331">
        <v>0</v>
      </c>
      <c r="Y75" s="331">
        <v>0</v>
      </c>
      <c r="Z75" s="331">
        <v>0</v>
      </c>
      <c r="AA75" s="331">
        <v>2613.9699999999998</v>
      </c>
      <c r="AB75" s="331">
        <v>0</v>
      </c>
      <c r="AC75" s="331">
        <v>0</v>
      </c>
      <c r="AD75" s="331">
        <v>0</v>
      </c>
      <c r="AE75" s="331">
        <v>0</v>
      </c>
      <c r="AF75" s="331">
        <v>0</v>
      </c>
      <c r="AG75" s="331">
        <v>0</v>
      </c>
      <c r="AH75" s="331">
        <v>0</v>
      </c>
      <c r="AI75" s="331">
        <v>0</v>
      </c>
      <c r="AJ75" s="331">
        <v>0</v>
      </c>
      <c r="AK75" s="331">
        <v>0</v>
      </c>
      <c r="AL75" s="331">
        <v>0</v>
      </c>
      <c r="AM75" s="331">
        <v>0</v>
      </c>
      <c r="AN75" s="331">
        <v>0</v>
      </c>
      <c r="AO75" s="331">
        <v>0</v>
      </c>
      <c r="AP75" s="331">
        <v>0</v>
      </c>
      <c r="AQ75" s="331">
        <v>0</v>
      </c>
      <c r="AR75" s="331">
        <v>0</v>
      </c>
      <c r="AS75" s="331">
        <v>0</v>
      </c>
      <c r="AT75" s="331">
        <v>0</v>
      </c>
      <c r="AU75" s="331">
        <v>0</v>
      </c>
      <c r="AV75" s="331">
        <v>0</v>
      </c>
      <c r="AW75" s="331">
        <v>0</v>
      </c>
    </row>
    <row r="76" spans="1:57" ht="16.5" hidden="1" outlineLevel="1" thickBot="1">
      <c r="B76" s="41" t="s">
        <v>56</v>
      </c>
      <c r="C76" s="494" t="e">
        <f>SUM(C74:C75)</f>
        <v>#REF!</v>
      </c>
      <c r="D76" s="494" t="e">
        <f>SUM(D73:D75)</f>
        <v>#REF!</v>
      </c>
      <c r="E76" s="494">
        <v>-14523.147320000011</v>
      </c>
      <c r="F76" s="494">
        <f t="shared" ref="F76:P76" si="230">SUM(F73:F75)</f>
        <v>-11852.264220000012</v>
      </c>
      <c r="G76" s="494">
        <f t="shared" si="230"/>
        <v>-9512.6003600000113</v>
      </c>
      <c r="H76" s="494">
        <f t="shared" si="230"/>
        <v>-8373.7282900000118</v>
      </c>
      <c r="I76" s="494">
        <f t="shared" si="230"/>
        <v>-7543.4780600000122</v>
      </c>
      <c r="J76" s="494">
        <f t="shared" si="230"/>
        <v>-6882.1108900000127</v>
      </c>
      <c r="K76" s="494">
        <f t="shared" si="230"/>
        <v>-6303.9779800000124</v>
      </c>
      <c r="L76" s="494">
        <f t="shared" si="230"/>
        <v>-5710.3492900000119</v>
      </c>
      <c r="M76" s="494">
        <f t="shared" si="230"/>
        <v>-4950.5876300000118</v>
      </c>
      <c r="N76" s="494">
        <f t="shared" si="230"/>
        <v>-3439.8164200000119</v>
      </c>
      <c r="O76" s="494">
        <f t="shared" si="230"/>
        <v>-4198.8164200000119</v>
      </c>
      <c r="P76" s="494">
        <f t="shared" si="230"/>
        <v>-4496.8164200000119</v>
      </c>
      <c r="Q76" s="494">
        <f>SUM(Q73:Q75)</f>
        <v>-3535.3396800000119</v>
      </c>
      <c r="R76" s="494">
        <f>SUM(R73:R75)</f>
        <v>-3207.3496000000118</v>
      </c>
      <c r="S76" s="494">
        <f t="shared" ref="S76:AB76" si="231">SUM(S73:S75)</f>
        <v>-2950.953460000012</v>
      </c>
      <c r="T76" s="494">
        <f t="shared" si="231"/>
        <v>-2816.1794800000121</v>
      </c>
      <c r="U76" s="494">
        <f t="shared" si="231"/>
        <v>-2746.9060200000122</v>
      </c>
      <c r="V76" s="494">
        <f t="shared" si="231"/>
        <v>-2697.8715700000121</v>
      </c>
      <c r="W76" s="494">
        <f t="shared" si="231"/>
        <v>-2653.6695400000121</v>
      </c>
      <c r="X76" s="494">
        <f t="shared" si="231"/>
        <v>-2611.1401900000124</v>
      </c>
      <c r="Y76" s="494" t="e">
        <f t="shared" si="231"/>
        <v>#REF!</v>
      </c>
      <c r="Z76" s="494" t="e">
        <f t="shared" si="231"/>
        <v>#REF!</v>
      </c>
      <c r="AA76" s="494" t="e">
        <f t="shared" si="231"/>
        <v>#REF!</v>
      </c>
      <c r="AB76" s="494" t="e">
        <f t="shared" si="231"/>
        <v>#REF!</v>
      </c>
      <c r="AC76" s="494" t="e">
        <f t="shared" ref="AC76:AD76" si="232">SUM(AC73:AC75)</f>
        <v>#REF!</v>
      </c>
      <c r="AD76" s="494" t="e">
        <f t="shared" si="232"/>
        <v>#REF!</v>
      </c>
      <c r="AE76" s="494" t="e">
        <f t="shared" ref="AE76" si="233">SUM(AE73:AE75)</f>
        <v>#REF!</v>
      </c>
      <c r="AF76" s="494" t="e">
        <f>SUM(AF73:AF75)</f>
        <v>#REF!</v>
      </c>
      <c r="AG76" s="494" t="e">
        <f t="shared" ref="AG76" si="234">SUM(AG73:AG75)</f>
        <v>#REF!</v>
      </c>
      <c r="AH76" s="494" t="e">
        <f t="shared" ref="AH76:AL76" si="235">SUM(AH73:AH75)</f>
        <v>#REF!</v>
      </c>
      <c r="AI76" s="494" t="e">
        <f t="shared" si="235"/>
        <v>#REF!</v>
      </c>
      <c r="AJ76" s="494" t="e">
        <f t="shared" si="235"/>
        <v>#REF!</v>
      </c>
      <c r="AK76" s="494" t="e">
        <f t="shared" si="235"/>
        <v>#REF!</v>
      </c>
      <c r="AL76" s="494" t="e">
        <f t="shared" si="235"/>
        <v>#REF!</v>
      </c>
      <c r="AM76" s="494" t="e">
        <f>SUM(AM73:AM75)</f>
        <v>#REF!</v>
      </c>
      <c r="AN76" s="494" t="e">
        <f t="shared" ref="AN76:AO76" si="236">SUM(AN73:AN75)</f>
        <v>#REF!</v>
      </c>
      <c r="AO76" s="494" t="e">
        <f t="shared" si="236"/>
        <v>#REF!</v>
      </c>
      <c r="AP76" s="494" t="e">
        <f t="shared" ref="AP76:AQ76" si="237">SUM(AP73:AP75)</f>
        <v>#REF!</v>
      </c>
      <c r="AQ76" s="494" t="e">
        <f t="shared" si="237"/>
        <v>#REF!</v>
      </c>
      <c r="AR76" s="494" t="e">
        <f t="shared" ref="AR76:AS76" si="238">SUM(AR73:AR75)</f>
        <v>#REF!</v>
      </c>
      <c r="AS76" s="494" t="e">
        <f t="shared" si="238"/>
        <v>#REF!</v>
      </c>
      <c r="AT76" s="494" t="e">
        <f t="shared" ref="AT76:AU76" si="239">SUM(AT73:AT75)</f>
        <v>#REF!</v>
      </c>
      <c r="AU76" s="494" t="e">
        <f t="shared" si="239"/>
        <v>#REF!</v>
      </c>
      <c r="AV76" s="494" t="e">
        <f t="shared" ref="AV76:AW76" si="240">SUM(AV73:AV75)</f>
        <v>#REF!</v>
      </c>
      <c r="AW76" s="494" t="e">
        <f t="shared" si="240"/>
        <v>#REF!</v>
      </c>
    </row>
    <row r="77" spans="1:57" ht="15.75" hidden="1" outlineLevel="1" thickTop="1">
      <c r="B77" s="41" t="s">
        <v>255</v>
      </c>
      <c r="D77" s="331">
        <f>_xll.Get_Balance(AB72,"YTD","USD","Total","A","","001",$A$72,"GD","WA","DL")</f>
        <v>0</v>
      </c>
      <c r="E77" s="331">
        <v>-14523.15</v>
      </c>
      <c r="F77" s="331">
        <f>_xll.Get_Balance(F72,"YTD","USD","Total","A","","001",$A$72,"GD","WA","DL")</f>
        <v>-11852.27</v>
      </c>
      <c r="G77" s="331">
        <f>_xll.Get_Balance(G72,"YTD","USD","Total","A","","001",$A$72,"GD","WA","DL")</f>
        <v>-9512.61</v>
      </c>
      <c r="H77" s="331">
        <f>_xll.Get_Balance(H72,"YTD","USD","Total","A","","001",$A$72,"GD","WA","DL")</f>
        <v>-8373.74</v>
      </c>
      <c r="I77" s="331">
        <f>_xll.Get_Balance(I72,"YTD","USD","Total","A","","001",$A$72,"GD","WA","DL")</f>
        <v>-7543.49</v>
      </c>
      <c r="J77" s="331">
        <f>_xll.Get_Balance(J72,"YTD","USD","Total","A","","001",$A$72,"GD","WA","DL")</f>
        <v>-6882.12</v>
      </c>
      <c r="K77" s="331">
        <f>_xll.Get_Balance(K72,"YTD","USD","Total","A","","001",$A$72,"GD","WA","DL")</f>
        <v>-6303.99</v>
      </c>
      <c r="L77" s="331">
        <f>_xll.Get_Balance(L72,"YTD","USD","Total","A","","001",$A$72,"GD","WA","DL")</f>
        <v>-5710.36</v>
      </c>
      <c r="M77" s="331">
        <f>_xll.Get_Balance(M72,"YTD","USD","Total","A","","001",$A$72,"GD","WA","DL")</f>
        <v>-4950.6000000000004</v>
      </c>
      <c r="N77" s="331">
        <f>_xll.Get_Balance(N72,"YTD","USD","Total","A","","001",$A$72,"GD","WA","DL")</f>
        <v>-3439.83</v>
      </c>
      <c r="O77" s="331">
        <f>_xll.Get_Balance(O72,"YTD","USD","Total","A","","001",$A$72,"GD","WA","DL")</f>
        <v>-4198.83</v>
      </c>
      <c r="P77" s="331">
        <f>_xll.Get_Balance(P72,"YTD","USD","Total","A","","001",$A$72,"GD","WA","DL")</f>
        <v>-4496.83</v>
      </c>
      <c r="Q77" s="331">
        <f>_xll.Get_Balance(Q72,"YTD","USD","Total","A","","001",$A$72,"GD","WA","DL")</f>
        <v>-3535.35</v>
      </c>
      <c r="R77" s="331">
        <f>_xll.Get_Balance(R72,"YTD","USD","Total","A","","001",$A$72,"GD","WA","DL")</f>
        <v>-3265.04</v>
      </c>
      <c r="S77" s="331">
        <f>_xll.Get_Balance(S72,"YTD","USD","Total","A","","001",$A$72,"GD","WA","DL")</f>
        <v>-3060.71</v>
      </c>
      <c r="T77" s="331">
        <f>_xll.Get_Balance(T72,"YTD","USD","Total","A","","001",$A$72,"GD","WA","DL")</f>
        <v>-2919.81</v>
      </c>
      <c r="U77" s="331">
        <f>_xll.Get_Balance(U72,"YTD","USD","Total","A","","001",$A$72,"GD","WA","DL")</f>
        <v>-2842.03</v>
      </c>
      <c r="V77" s="331">
        <f>_xll.Get_Balance(V72,"YTD","USD","Total","A","","001",$A$72,"GD","WA","DL")</f>
        <v>-2794.18</v>
      </c>
      <c r="W77" s="331">
        <f>_xll.Get_Balance(W72,"YTD","USD","Total","A","","001",$A$72,"GD","WA","DL")</f>
        <v>-2755.12</v>
      </c>
      <c r="X77" s="331">
        <f>_xll.Get_Balance(X72,"YTD","USD","Total","A","","001",$A$72,"GD","WA","DL")</f>
        <v>-2716.25</v>
      </c>
      <c r="Y77" s="331">
        <f>_xll.Get_Balance(Y72,"YTD","USD","Total","A","","001",$A$72,"GD","WA","DL")</f>
        <v>-2659.02</v>
      </c>
      <c r="Z77" s="331">
        <f>_xll.Get_Balance(Z72,"YTD","USD","Total","A","","001",$A$72,"GD","WA","DL")</f>
        <v>-2530.9899999999998</v>
      </c>
      <c r="AA77" s="331">
        <f>_xll.Get_Balance(AA72,"YTD","USD","Total","A","","001",$A$72,"GD","WA","DL")</f>
        <v>0</v>
      </c>
      <c r="AB77" s="331">
        <f>_xll.Get_Balance(AB72,"YTD","USD","Total","A","","001",$A$72,"GD","WA","DL")</f>
        <v>0</v>
      </c>
      <c r="AC77" s="331">
        <f>_xll.Get_Balance(AC72,"YTD","USD","Total","A","","001",$A$72,"GD","WA","DL")</f>
        <v>0</v>
      </c>
      <c r="AD77" s="331">
        <f>_xll.Get_Balance(AD72,"YTD","USD","Total","A","","001",$A$72,"GD","WA","DL")</f>
        <v>0</v>
      </c>
      <c r="AE77" s="331">
        <f>_xll.Get_Balance(AE72,"YTD","USD","Total","A","","001",$A$72,"GD","WA","DL")</f>
        <v>0</v>
      </c>
      <c r="AF77" s="331">
        <f>_xll.Get_Balance(AF72,"YTD","USD","Total","A","","001",$A$72,"GD","WA","DL")</f>
        <v>0</v>
      </c>
      <c r="AG77" s="331">
        <f>_xll.Get_Balance(AG72,"YTD","USD","Total","A","","001",$A$72,"GD","WA","DL")</f>
        <v>0</v>
      </c>
      <c r="AH77" s="331">
        <f>_xll.Get_Balance(AH72,"YTD","USD","Total","A","","001",$A$72,"GD","WA","DL")</f>
        <v>0</v>
      </c>
      <c r="AI77" s="331">
        <f>_xll.Get_Balance(AI72,"YTD","USD","Total","A","","001",$A$72,"GD","WA","DL")</f>
        <v>0</v>
      </c>
      <c r="AJ77" s="331">
        <f>_xll.Get_Balance(AJ72,"YTD","USD","Total","A","","001",$A$72,"GD","WA","DL")</f>
        <v>0</v>
      </c>
      <c r="AK77" s="331">
        <f>_xll.Get_Balance(AK72,"YTD","USD","Total","A","","001",$A$72,"GD","WA","DL")</f>
        <v>0</v>
      </c>
      <c r="AL77" s="331">
        <f>_xll.Get_Balance(AL72,"YTD","USD","Total","A","","001",$A$72,"GD","WA","DL")</f>
        <v>0</v>
      </c>
      <c r="AM77" s="331">
        <f>_xll.Get_Balance(AM72,"YTD","USD","Total","A","","001",$A$72,"GD","WA","DL")</f>
        <v>0</v>
      </c>
      <c r="AN77" s="331">
        <f>_xll.Get_Balance(AN72,"YTD","USD","Total","A","","001",$A$72,"GD","WA","DL")</f>
        <v>0</v>
      </c>
      <c r="AO77" s="331">
        <f>_xll.Get_Balance(AO72,"YTD","USD","Total","A","","001",$A$72,"GD","WA","DL")</f>
        <v>0</v>
      </c>
      <c r="AP77" s="331">
        <f>_xll.Get_Balance(AP72,"YTD","USD","Total","A","","001",$A$72,"GD","WA","DL")</f>
        <v>0</v>
      </c>
      <c r="AQ77" s="331">
        <f>_xll.Get_Balance(AQ72,"YTD","USD","Total","A","","001",$A$72,"GD","WA","DL")</f>
        <v>0</v>
      </c>
      <c r="AR77" s="331">
        <f>_xll.Get_Balance(AR72,"YTD","USD","Total","A","","001",$A$72,"GD","WA","DL")</f>
        <v>0</v>
      </c>
      <c r="AS77" s="331">
        <f>_xll.Get_Balance(AS72,"YTD","USD","Total","A","","001",$A$72,"GD","WA","DL")</f>
        <v>0</v>
      </c>
      <c r="AT77" s="331" t="str">
        <f>_xll.Get_Balance(AT72,"YTD","USD","Total","A","","001",$A$72,"GD","WA","DL")</f>
        <v>Error (Period)</v>
      </c>
      <c r="AU77" s="331">
        <f>_xll.Get_Balance(AU72,"YTD","USD","Total","A","","001",$A$72,"GD","WA","DL")</f>
        <v>0</v>
      </c>
      <c r="AV77" s="331">
        <f>_xll.Get_Balance(AV72,"YTD","USD","Total","A","","001",$A$72,"GD","WA","DL")</f>
        <v>0</v>
      </c>
      <c r="AW77" s="331">
        <f>_xll.Get_Balance(AW72,"YTD","USD","Total","A","","001",$A$72,"GD","WA","DL")</f>
        <v>0</v>
      </c>
    </row>
    <row r="78" spans="1:57" hidden="1" outlineLevel="1">
      <c r="B78" s="41" t="s">
        <v>242</v>
      </c>
      <c r="E78" s="331">
        <v>2.6799999886861769E-3</v>
      </c>
      <c r="F78" s="331">
        <f t="shared" ref="F78:P78" si="241">F76-F77</f>
        <v>5.7799999885901343E-3</v>
      </c>
      <c r="G78" s="331">
        <f t="shared" si="241"/>
        <v>9.6399999893037602E-3</v>
      </c>
      <c r="H78" s="331">
        <f t="shared" si="241"/>
        <v>1.1709999987942865E-2</v>
      </c>
      <c r="I78" s="331">
        <f t="shared" si="241"/>
        <v>1.1939999987589545E-2</v>
      </c>
      <c r="J78" s="331">
        <f t="shared" si="241"/>
        <v>9.1099999872312765E-3</v>
      </c>
      <c r="K78" s="331">
        <f t="shared" si="241"/>
        <v>1.2019999987387564E-2</v>
      </c>
      <c r="L78" s="331">
        <f t="shared" si="241"/>
        <v>1.0709999987739138E-2</v>
      </c>
      <c r="M78" s="331">
        <f t="shared" si="241"/>
        <v>1.2369999988550262E-2</v>
      </c>
      <c r="N78" s="331">
        <f t="shared" si="241"/>
        <v>1.3579999987996416E-2</v>
      </c>
      <c r="O78" s="331">
        <f t="shared" si="241"/>
        <v>1.3579999987996416E-2</v>
      </c>
      <c r="P78" s="331">
        <f t="shared" si="241"/>
        <v>1.3579999987996416E-2</v>
      </c>
      <c r="Q78" s="331">
        <f>Q76-Q77</f>
        <v>1.0319999988041673E-2</v>
      </c>
      <c r="R78" s="331">
        <f t="shared" ref="R78:AB78" si="242">R76-R77</f>
        <v>57.690399999988131</v>
      </c>
      <c r="S78" s="331">
        <f t="shared" si="242"/>
        <v>109.75653999998804</v>
      </c>
      <c r="T78" s="331">
        <f t="shared" si="242"/>
        <v>103.63051999998788</v>
      </c>
      <c r="U78" s="331">
        <f t="shared" si="242"/>
        <v>95.123979999988023</v>
      </c>
      <c r="V78" s="331">
        <f t="shared" si="242"/>
        <v>96.308429999987766</v>
      </c>
      <c r="W78" s="331">
        <f>W76-W77</f>
        <v>101.45045999998774</v>
      </c>
      <c r="X78" s="331">
        <f t="shared" si="242"/>
        <v>105.10980999998765</v>
      </c>
      <c r="Y78" s="331" t="e">
        <f t="shared" si="242"/>
        <v>#REF!</v>
      </c>
      <c r="Z78" s="331" t="e">
        <f t="shared" si="242"/>
        <v>#REF!</v>
      </c>
      <c r="AA78" s="331" t="e">
        <f t="shared" si="242"/>
        <v>#REF!</v>
      </c>
      <c r="AB78" s="331" t="e">
        <f t="shared" si="242"/>
        <v>#REF!</v>
      </c>
      <c r="AC78" s="331" t="e">
        <f t="shared" ref="AC78:AD78" si="243">AC76-AC77</f>
        <v>#REF!</v>
      </c>
      <c r="AD78" s="331" t="e">
        <f t="shared" si="243"/>
        <v>#REF!</v>
      </c>
      <c r="AE78" s="331" t="e">
        <f t="shared" ref="AE78" si="244">AE76-AE77</f>
        <v>#REF!</v>
      </c>
      <c r="AF78" s="331" t="e">
        <f>AF76-AF77</f>
        <v>#REF!</v>
      </c>
      <c r="AG78" s="331" t="e">
        <f t="shared" ref="AG78" si="245">AG76-AG77</f>
        <v>#REF!</v>
      </c>
      <c r="AH78" s="331" t="e">
        <f t="shared" ref="AH78:AL78" si="246">AH76-AH77</f>
        <v>#REF!</v>
      </c>
      <c r="AI78" s="331" t="e">
        <f t="shared" si="246"/>
        <v>#REF!</v>
      </c>
      <c r="AJ78" s="331" t="e">
        <f t="shared" si="246"/>
        <v>#REF!</v>
      </c>
      <c r="AK78" s="331" t="e">
        <f t="shared" si="246"/>
        <v>#REF!</v>
      </c>
      <c r="AL78" s="331" t="e">
        <f t="shared" si="246"/>
        <v>#REF!</v>
      </c>
      <c r="AM78" s="331" t="e">
        <f>AM76-AM77</f>
        <v>#REF!</v>
      </c>
      <c r="AN78" s="331" t="e">
        <f t="shared" ref="AN78:AO78" si="247">AN76-AN77</f>
        <v>#REF!</v>
      </c>
      <c r="AO78" s="331" t="e">
        <f t="shared" si="247"/>
        <v>#REF!</v>
      </c>
      <c r="AP78" s="331" t="e">
        <f t="shared" ref="AP78:AQ78" si="248">AP76-AP77</f>
        <v>#REF!</v>
      </c>
      <c r="AQ78" s="331" t="e">
        <f t="shared" si="248"/>
        <v>#REF!</v>
      </c>
      <c r="AR78" s="331" t="e">
        <f t="shared" ref="AR78:AS78" si="249">AR76-AR77</f>
        <v>#REF!</v>
      </c>
      <c r="AS78" s="331" t="e">
        <f t="shared" si="249"/>
        <v>#REF!</v>
      </c>
      <c r="AT78" s="331" t="e">
        <f t="shared" ref="AT78:AU78" si="250">AT76-AT77</f>
        <v>#REF!</v>
      </c>
      <c r="AU78" s="331" t="e">
        <f t="shared" si="250"/>
        <v>#REF!</v>
      </c>
      <c r="AV78" s="331" t="e">
        <f t="shared" ref="AV78:AW78" si="251">AV76-AV77</f>
        <v>#REF!</v>
      </c>
      <c r="AW78" s="331" t="e">
        <f t="shared" si="251"/>
        <v>#REF!</v>
      </c>
    </row>
    <row r="79" spans="1:57" collapsed="1"/>
    <row r="80" spans="1:57" ht="15.75">
      <c r="A80" s="26"/>
    </row>
    <row r="81" spans="1:49" ht="15.75">
      <c r="A81" s="26"/>
    </row>
    <row r="82" spans="1:49" ht="15.75">
      <c r="A82" s="496"/>
      <c r="B82" s="107"/>
      <c r="C82" s="539"/>
      <c r="D82" s="539"/>
      <c r="AM82" s="496"/>
      <c r="AN82" s="496"/>
      <c r="AO82" s="496"/>
      <c r="AP82" s="496"/>
      <c r="AQ82" s="496"/>
      <c r="AR82" s="496"/>
      <c r="AS82" s="496"/>
      <c r="AT82" s="496"/>
      <c r="AU82" s="496"/>
      <c r="AV82" s="496"/>
      <c r="AW82" s="496"/>
    </row>
    <row r="83" spans="1:49" ht="15.75">
      <c r="A83" s="26"/>
      <c r="D83" s="498"/>
      <c r="AM83" s="496"/>
      <c r="AN83" s="496"/>
      <c r="AO83" s="496"/>
      <c r="AP83" s="496"/>
      <c r="AQ83" s="496"/>
      <c r="AR83" s="496"/>
      <c r="AS83" s="496"/>
      <c r="AT83" s="496"/>
      <c r="AU83" s="496"/>
      <c r="AV83" s="496"/>
      <c r="AW83" s="496"/>
    </row>
    <row r="84" spans="1:49" ht="15.75">
      <c r="A84" s="26"/>
      <c r="D84" s="498"/>
      <c r="AM84" s="496"/>
      <c r="AN84" s="496"/>
      <c r="AO84" s="496"/>
      <c r="AP84" s="496"/>
      <c r="AQ84" s="496"/>
      <c r="AR84" s="496"/>
      <c r="AS84" s="496"/>
      <c r="AT84" s="496"/>
      <c r="AU84" s="496"/>
      <c r="AV84" s="496"/>
      <c r="AW84" s="496"/>
    </row>
    <row r="85" spans="1:49" ht="15.75">
      <c r="A85" s="26"/>
      <c r="D85" s="498"/>
      <c r="AM85" s="496"/>
      <c r="AN85" s="496"/>
      <c r="AO85" s="496"/>
      <c r="AP85" s="496"/>
      <c r="AQ85" s="496"/>
      <c r="AR85" s="496"/>
      <c r="AS85" s="496"/>
      <c r="AT85" s="496"/>
      <c r="AU85" s="496"/>
      <c r="AV85" s="496"/>
      <c r="AW85" s="496"/>
    </row>
    <row r="86" spans="1:49" ht="15.75">
      <c r="A86" s="26"/>
      <c r="D86" s="498"/>
      <c r="AM86" s="496"/>
      <c r="AN86" s="496"/>
      <c r="AO86" s="496"/>
      <c r="AP86" s="496"/>
      <c r="AQ86" s="496"/>
      <c r="AR86" s="496"/>
      <c r="AS86" s="496"/>
      <c r="AT86" s="496"/>
      <c r="AU86" s="496"/>
      <c r="AV86" s="496"/>
      <c r="AW86" s="496"/>
    </row>
    <row r="87" spans="1:49" ht="15.75">
      <c r="A87" s="26"/>
      <c r="D87" s="498"/>
      <c r="AM87" s="496"/>
      <c r="AN87" s="496"/>
      <c r="AO87" s="496"/>
      <c r="AP87" s="496"/>
      <c r="AQ87" s="496"/>
      <c r="AR87" s="496"/>
      <c r="AS87" s="496"/>
      <c r="AT87" s="496"/>
      <c r="AU87" s="496"/>
      <c r="AV87" s="496"/>
      <c r="AW87" s="496"/>
    </row>
    <row r="88" spans="1:49" ht="15.75">
      <c r="A88" s="26"/>
      <c r="D88" s="498"/>
      <c r="AM88" s="496"/>
      <c r="AN88" s="496"/>
      <c r="AO88" s="496"/>
      <c r="AP88" s="496"/>
      <c r="AQ88" s="496"/>
      <c r="AR88" s="496"/>
      <c r="AS88" s="496"/>
      <c r="AT88" s="496"/>
      <c r="AU88" s="496"/>
      <c r="AV88" s="496"/>
      <c r="AW88" s="496"/>
    </row>
    <row r="89" spans="1:49" ht="15.75">
      <c r="A89" s="26"/>
      <c r="C89" s="498"/>
      <c r="D89" s="498"/>
      <c r="AM89" s="496"/>
      <c r="AN89" s="496"/>
      <c r="AO89" s="496"/>
      <c r="AP89" s="496"/>
      <c r="AQ89" s="496"/>
      <c r="AR89" s="496"/>
      <c r="AS89" s="496"/>
      <c r="AT89" s="496"/>
      <c r="AU89" s="496"/>
      <c r="AV89" s="496"/>
      <c r="AW89" s="496"/>
    </row>
    <row r="90" spans="1:49" ht="15.75">
      <c r="A90" s="26"/>
      <c r="AM90" s="496"/>
      <c r="AN90" s="496"/>
      <c r="AO90" s="496"/>
      <c r="AP90" s="496"/>
      <c r="AQ90" s="496"/>
      <c r="AR90" s="496"/>
      <c r="AS90" s="496"/>
      <c r="AT90" s="496"/>
      <c r="AU90" s="496"/>
      <c r="AV90" s="496"/>
      <c r="AW90" s="496"/>
    </row>
    <row r="91" spans="1:49" ht="15.75">
      <c r="A91" s="496"/>
      <c r="B91" s="107"/>
      <c r="AM91" s="496"/>
      <c r="AN91" s="496"/>
      <c r="AO91" s="496"/>
      <c r="AP91" s="496"/>
      <c r="AQ91" s="496"/>
      <c r="AR91" s="496"/>
      <c r="AS91" s="496"/>
      <c r="AT91" s="496"/>
      <c r="AU91" s="496"/>
      <c r="AV91" s="496"/>
      <c r="AW91" s="496"/>
    </row>
    <row r="92" spans="1:49" ht="15.75">
      <c r="A92" s="26"/>
      <c r="AM92" s="496"/>
      <c r="AN92" s="496"/>
      <c r="AO92" s="496"/>
      <c r="AP92" s="496"/>
      <c r="AQ92" s="496"/>
      <c r="AR92" s="496"/>
      <c r="AS92" s="496"/>
      <c r="AT92" s="496"/>
      <c r="AU92" s="496"/>
      <c r="AV92" s="496"/>
      <c r="AW92" s="496"/>
    </row>
    <row r="93" spans="1:49" ht="15.75">
      <c r="A93" s="26"/>
      <c r="AM93" s="496"/>
      <c r="AN93" s="496"/>
      <c r="AO93" s="496"/>
      <c r="AP93" s="496"/>
      <c r="AQ93" s="496"/>
      <c r="AR93" s="496"/>
      <c r="AS93" s="496"/>
      <c r="AT93" s="496"/>
      <c r="AU93" s="496"/>
      <c r="AV93" s="496"/>
      <c r="AW93" s="496"/>
    </row>
    <row r="94" spans="1:49" ht="15.75">
      <c r="A94" s="26"/>
      <c r="AM94" s="496"/>
      <c r="AN94" s="496"/>
      <c r="AO94" s="496"/>
      <c r="AP94" s="496"/>
      <c r="AQ94" s="496"/>
      <c r="AR94" s="496"/>
      <c r="AS94" s="496"/>
      <c r="AT94" s="496"/>
      <c r="AU94" s="496"/>
      <c r="AV94" s="496"/>
      <c r="AW94" s="496"/>
    </row>
    <row r="95" spans="1:49" ht="15.75">
      <c r="A95" s="26"/>
      <c r="AM95" s="496"/>
      <c r="AN95" s="496"/>
      <c r="AO95" s="496"/>
      <c r="AP95" s="496"/>
      <c r="AQ95" s="496"/>
      <c r="AR95" s="496"/>
      <c r="AS95" s="496"/>
      <c r="AT95" s="496"/>
      <c r="AU95" s="496"/>
      <c r="AV95" s="496"/>
      <c r="AW95" s="496"/>
    </row>
    <row r="96" spans="1:49" ht="15.75">
      <c r="A96" s="26"/>
      <c r="AM96" s="496"/>
      <c r="AN96" s="496"/>
      <c r="AO96" s="496"/>
      <c r="AP96" s="496"/>
      <c r="AQ96" s="496"/>
      <c r="AR96" s="496"/>
      <c r="AS96" s="496"/>
      <c r="AT96" s="496"/>
      <c r="AU96" s="496"/>
      <c r="AV96" s="496"/>
      <c r="AW96" s="496"/>
    </row>
    <row r="97" spans="1:49" ht="15.75">
      <c r="A97" s="26"/>
      <c r="AM97" s="496"/>
      <c r="AN97" s="496"/>
      <c r="AO97" s="496"/>
      <c r="AP97" s="496"/>
      <c r="AQ97" s="496"/>
      <c r="AR97" s="496"/>
      <c r="AS97" s="496"/>
      <c r="AT97" s="496"/>
      <c r="AU97" s="496"/>
      <c r="AV97" s="496"/>
      <c r="AW97" s="496"/>
    </row>
    <row r="98" spans="1:49" ht="15.75">
      <c r="A98" s="26"/>
      <c r="AM98" s="496"/>
      <c r="AN98" s="496"/>
      <c r="AO98" s="496"/>
      <c r="AP98" s="496"/>
      <c r="AQ98" s="496"/>
      <c r="AR98" s="496"/>
      <c r="AS98" s="496"/>
      <c r="AT98" s="496"/>
      <c r="AU98" s="496"/>
      <c r="AV98" s="496"/>
      <c r="AW98" s="496"/>
    </row>
    <row r="99" spans="1:49" ht="15.75">
      <c r="A99" s="496"/>
      <c r="B99" s="107"/>
      <c r="C99" s="539"/>
      <c r="D99" s="540"/>
      <c r="AM99" s="496"/>
      <c r="AN99" s="496"/>
      <c r="AO99" s="496"/>
      <c r="AP99" s="496"/>
      <c r="AQ99" s="496"/>
      <c r="AR99" s="496"/>
      <c r="AS99" s="496"/>
      <c r="AT99" s="496"/>
      <c r="AU99" s="496"/>
      <c r="AV99" s="496"/>
      <c r="AW99" s="496"/>
    </row>
    <row r="100" spans="1:49" ht="15.75">
      <c r="A100" s="26"/>
      <c r="B100" s="107"/>
      <c r="D100" s="26"/>
      <c r="AM100" s="496"/>
      <c r="AN100" s="496"/>
      <c r="AO100" s="496"/>
      <c r="AP100" s="496"/>
      <c r="AQ100" s="496"/>
      <c r="AR100" s="496"/>
      <c r="AS100" s="496"/>
      <c r="AT100" s="496"/>
      <c r="AU100" s="496"/>
      <c r="AV100" s="496"/>
      <c r="AW100" s="496"/>
    </row>
    <row r="101" spans="1:49" ht="15.75">
      <c r="A101" s="445"/>
      <c r="AM101" s="496"/>
      <c r="AN101" s="496"/>
      <c r="AO101" s="496"/>
      <c r="AP101" s="496"/>
      <c r="AQ101" s="496"/>
      <c r="AR101" s="496"/>
      <c r="AS101" s="496"/>
      <c r="AT101" s="496"/>
      <c r="AU101" s="496"/>
      <c r="AV101" s="496"/>
      <c r="AW101" s="496"/>
    </row>
    <row r="102" spans="1:49" ht="15.75">
      <c r="D102" s="554"/>
      <c r="AM102" s="496"/>
      <c r="AN102" s="496"/>
      <c r="AO102" s="496"/>
      <c r="AP102" s="496"/>
      <c r="AQ102" s="496"/>
      <c r="AR102" s="496"/>
      <c r="AS102" s="496"/>
      <c r="AT102" s="496"/>
      <c r="AU102" s="496"/>
      <c r="AV102" s="496"/>
      <c r="AW102" s="496"/>
    </row>
    <row r="103" spans="1:49" ht="15.75">
      <c r="AM103" s="496"/>
      <c r="AN103" s="496"/>
      <c r="AO103" s="496"/>
      <c r="AP103" s="496"/>
      <c r="AQ103" s="496"/>
      <c r="AR103" s="496"/>
      <c r="AS103" s="496"/>
      <c r="AT103" s="496"/>
      <c r="AU103" s="496"/>
      <c r="AV103" s="496"/>
      <c r="AW103" s="496"/>
    </row>
    <row r="104" spans="1:49" ht="15.75">
      <c r="AM104" s="496"/>
      <c r="AN104" s="496"/>
      <c r="AO104" s="496"/>
      <c r="AP104" s="496"/>
      <c r="AQ104" s="496"/>
      <c r="AR104" s="496"/>
      <c r="AS104" s="496"/>
      <c r="AT104" s="496"/>
      <c r="AU104" s="496"/>
      <c r="AV104" s="496"/>
      <c r="AW104" s="496"/>
    </row>
    <row r="105" spans="1:49" ht="15.75">
      <c r="D105" s="554"/>
      <c r="AM105" s="496"/>
      <c r="AN105" s="496"/>
      <c r="AO105" s="496"/>
      <c r="AP105" s="496"/>
      <c r="AQ105" s="496"/>
      <c r="AR105" s="496"/>
      <c r="AS105" s="496"/>
      <c r="AT105" s="496"/>
      <c r="AU105" s="496"/>
      <c r="AV105" s="496"/>
      <c r="AW105" s="496"/>
    </row>
    <row r="106" spans="1:49" ht="16.5" thickBot="1">
      <c r="C106" s="494"/>
      <c r="D106" s="494"/>
      <c r="AM106" s="496"/>
      <c r="AN106" s="496"/>
      <c r="AO106" s="496"/>
      <c r="AP106" s="496"/>
      <c r="AQ106" s="496"/>
      <c r="AR106" s="496"/>
      <c r="AS106" s="496"/>
      <c r="AT106" s="496"/>
      <c r="AU106" s="496"/>
      <c r="AV106" s="496"/>
      <c r="AW106" s="496"/>
    </row>
    <row r="107" spans="1:49" ht="16.5" thickTop="1">
      <c r="AM107" s="496"/>
      <c r="AN107" s="496"/>
      <c r="AO107" s="496"/>
      <c r="AP107" s="496"/>
      <c r="AQ107" s="496"/>
      <c r="AR107" s="496"/>
      <c r="AS107" s="496"/>
      <c r="AT107" s="496"/>
      <c r="AU107" s="496"/>
      <c r="AV107" s="496"/>
      <c r="AW107" s="496"/>
    </row>
    <row r="108" spans="1:49" ht="15.75">
      <c r="AM108" s="496"/>
      <c r="AN108" s="496"/>
      <c r="AO108" s="496"/>
      <c r="AP108" s="496"/>
      <c r="AQ108" s="496"/>
      <c r="AR108" s="496"/>
      <c r="AS108" s="496"/>
      <c r="AT108" s="496"/>
      <c r="AU108" s="496"/>
      <c r="AV108" s="496"/>
      <c r="AW108" s="496"/>
    </row>
    <row r="109" spans="1:49" ht="15.75">
      <c r="AM109" s="496"/>
      <c r="AN109" s="496"/>
      <c r="AO109" s="496"/>
      <c r="AP109" s="496"/>
      <c r="AQ109" s="496"/>
      <c r="AR109" s="496"/>
      <c r="AS109" s="496"/>
      <c r="AT109" s="496"/>
      <c r="AU109" s="496"/>
      <c r="AV109" s="496"/>
      <c r="AW109" s="496"/>
    </row>
    <row r="110" spans="1:49" ht="15.75">
      <c r="AM110" s="496"/>
      <c r="AN110" s="496"/>
      <c r="AO110" s="496"/>
      <c r="AP110" s="496"/>
      <c r="AQ110" s="496"/>
      <c r="AR110" s="496"/>
      <c r="AS110" s="496"/>
      <c r="AT110" s="496"/>
      <c r="AU110" s="496"/>
      <c r="AV110" s="496"/>
      <c r="AW110" s="496"/>
    </row>
    <row r="111" spans="1:49" ht="15.75">
      <c r="AM111" s="496"/>
      <c r="AN111" s="496"/>
      <c r="AO111" s="496"/>
      <c r="AP111" s="496"/>
      <c r="AQ111" s="496"/>
      <c r="AR111" s="496"/>
      <c r="AS111" s="496"/>
      <c r="AT111" s="496"/>
      <c r="AU111" s="496"/>
      <c r="AV111" s="496"/>
      <c r="AW111" s="496"/>
    </row>
  </sheetData>
  <conditionalFormatting sqref="L26:P26 E59:P59 E26:I26">
    <cfRule type="cellIs" dxfId="210" priority="79" operator="notEqual">
      <formula>E25</formula>
    </cfRule>
  </conditionalFormatting>
  <conditionalFormatting sqref="BC74 BC41 BC11">
    <cfRule type="cellIs" dxfId="209" priority="67" operator="notEqual">
      <formula>0</formula>
    </cfRule>
  </conditionalFormatting>
  <conditionalFormatting sqref="D59">
    <cfRule type="cellIs" dxfId="208" priority="63" operator="notEqual">
      <formula>D58</formula>
    </cfRule>
  </conditionalFormatting>
  <conditionalFormatting sqref="C59">
    <cfRule type="cellIs" dxfId="207" priority="62" operator="notEqual">
      <formula>C58</formula>
    </cfRule>
  </conditionalFormatting>
  <conditionalFormatting sqref="D26">
    <cfRule type="cellIs" dxfId="206" priority="61" operator="notEqual">
      <formula>D25</formula>
    </cfRule>
  </conditionalFormatting>
  <conditionalFormatting sqref="C26">
    <cfRule type="cellIs" dxfId="205" priority="60" operator="notEqual">
      <formula>C25</formula>
    </cfRule>
  </conditionalFormatting>
  <conditionalFormatting sqref="J26">
    <cfRule type="cellIs" dxfId="204" priority="45" operator="notEqual">
      <formula>J25</formula>
    </cfRule>
  </conditionalFormatting>
  <conditionalFormatting sqref="K26">
    <cfRule type="cellIs" dxfId="203" priority="44" operator="notEqual">
      <formula>K25</formula>
    </cfRule>
  </conditionalFormatting>
  <conditionalFormatting sqref="Q59:U59 Q26:U26 X26:AB26 X59:Y59 AA59:AB59">
    <cfRule type="cellIs" dxfId="202" priority="43" operator="notEqual">
      <formula>Q25</formula>
    </cfRule>
  </conditionalFormatting>
  <conditionalFormatting sqref="V26">
    <cfRule type="cellIs" dxfId="201" priority="42" operator="notEqual">
      <formula>V25</formula>
    </cfRule>
  </conditionalFormatting>
  <conditionalFormatting sqref="V59">
    <cfRule type="cellIs" dxfId="200" priority="40" operator="notEqual">
      <formula>V58</formula>
    </cfRule>
  </conditionalFormatting>
  <conditionalFormatting sqref="W26">
    <cfRule type="cellIs" dxfId="199" priority="39" operator="notEqual">
      <formula>W25</formula>
    </cfRule>
  </conditionalFormatting>
  <conditionalFormatting sqref="W59">
    <cfRule type="cellIs" dxfId="198" priority="38" operator="notEqual">
      <formula>W58</formula>
    </cfRule>
  </conditionalFormatting>
  <conditionalFormatting sqref="Z59">
    <cfRule type="cellIs" dxfId="197" priority="37" operator="notEqual">
      <formula>Z58</formula>
    </cfRule>
  </conditionalFormatting>
  <conditionalFormatting sqref="AD26 AD59">
    <cfRule type="cellIs" dxfId="196" priority="36" operator="notEqual">
      <formula>AD25</formula>
    </cfRule>
  </conditionalFormatting>
  <conditionalFormatting sqref="AC26">
    <cfRule type="cellIs" dxfId="195" priority="34" operator="notEqual">
      <formula>AC25</formula>
    </cfRule>
  </conditionalFormatting>
  <conditionalFormatting sqref="AC59">
    <cfRule type="cellIs" dxfId="194" priority="33" operator="notEqual">
      <formula>AC58</formula>
    </cfRule>
  </conditionalFormatting>
  <conditionalFormatting sqref="AE26 AE59">
    <cfRule type="cellIs" dxfId="193" priority="32" operator="notEqual">
      <formula>AE25</formula>
    </cfRule>
  </conditionalFormatting>
  <conditionalFormatting sqref="BC30">
    <cfRule type="cellIs" dxfId="192" priority="30" operator="notEqual">
      <formula>0</formula>
    </cfRule>
  </conditionalFormatting>
  <conditionalFormatting sqref="AF26 AF59">
    <cfRule type="cellIs" dxfId="191" priority="25" operator="notEqual">
      <formula>AF25</formula>
    </cfRule>
  </conditionalFormatting>
  <conditionalFormatting sqref="AM26 AM59">
    <cfRule type="cellIs" dxfId="190" priority="24" operator="notEqual">
      <formula>AM25</formula>
    </cfRule>
  </conditionalFormatting>
  <conditionalFormatting sqref="AG26 AG59">
    <cfRule type="cellIs" dxfId="189" priority="23" operator="notEqual">
      <formula>AG25</formula>
    </cfRule>
  </conditionalFormatting>
  <conditionalFormatting sqref="AH26 AH59">
    <cfRule type="cellIs" dxfId="188" priority="22" operator="notEqual">
      <formula>AH25</formula>
    </cfRule>
  </conditionalFormatting>
  <conditionalFormatting sqref="AJ26 AJ59:AL59 AL26">
    <cfRule type="cellIs" dxfId="187" priority="21" operator="notEqual">
      <formula>AJ25</formula>
    </cfRule>
  </conditionalFormatting>
  <conditionalFormatting sqref="AI26 AI59">
    <cfRule type="cellIs" dxfId="186" priority="20" operator="notEqual">
      <formula>AI25</formula>
    </cfRule>
  </conditionalFormatting>
  <conditionalFormatting sqref="AK26">
    <cfRule type="cellIs" dxfId="185" priority="19" operator="notEqual">
      <formula>AK25</formula>
    </cfRule>
  </conditionalFormatting>
  <conditionalFormatting sqref="D89">
    <cfRule type="cellIs" dxfId="184" priority="16" operator="notEqual">
      <formula>#REF!</formula>
    </cfRule>
  </conditionalFormatting>
  <conditionalFormatting sqref="C89">
    <cfRule type="cellIs" dxfId="183" priority="15" operator="notEqual">
      <formula>#REF!</formula>
    </cfRule>
  </conditionalFormatting>
  <conditionalFormatting sqref="AN26 AN59">
    <cfRule type="cellIs" dxfId="182" priority="10" operator="notEqual">
      <formula>AN25</formula>
    </cfRule>
  </conditionalFormatting>
  <conditionalFormatting sqref="AO26 AO59">
    <cfRule type="cellIs" dxfId="181" priority="9" operator="notEqual">
      <formula>AO25</formula>
    </cfRule>
  </conditionalFormatting>
  <conditionalFormatting sqref="AQ26 AQ59">
    <cfRule type="cellIs" dxfId="180" priority="8" operator="notEqual">
      <formula>AQ25</formula>
    </cfRule>
  </conditionalFormatting>
  <conditionalFormatting sqref="AP26 AP59">
    <cfRule type="cellIs" dxfId="179" priority="7" operator="notEqual">
      <formula>AP25</formula>
    </cfRule>
  </conditionalFormatting>
  <conditionalFormatting sqref="AR26 AR59">
    <cfRule type="cellIs" dxfId="178" priority="6" operator="notEqual">
      <formula>AR25</formula>
    </cfRule>
  </conditionalFormatting>
  <conditionalFormatting sqref="AS26 AS59">
    <cfRule type="cellIs" dxfId="177" priority="5" operator="notEqual">
      <formula>AS25</formula>
    </cfRule>
  </conditionalFormatting>
  <conditionalFormatting sqref="AT26 AT59">
    <cfRule type="cellIs" dxfId="176" priority="4" operator="notEqual">
      <formula>AT25</formula>
    </cfRule>
  </conditionalFormatting>
  <conditionalFormatting sqref="AU26 AU59">
    <cfRule type="cellIs" dxfId="175" priority="3" operator="notEqual">
      <formula>AU25</formula>
    </cfRule>
  </conditionalFormatting>
  <conditionalFormatting sqref="AV26 AV59">
    <cfRule type="cellIs" dxfId="174" priority="2" operator="notEqual">
      <formula>AV25</formula>
    </cfRule>
  </conditionalFormatting>
  <conditionalFormatting sqref="AW26 AW59">
    <cfRule type="cellIs" dxfId="173" priority="1" operator="notEqual">
      <formula>AW25</formula>
    </cfRule>
  </conditionalFormatting>
  <pageMargins left="0" right="0" top="0.75" bottom="0.75" header="0.3" footer="0.3"/>
  <pageSetup scale="47" orientation="landscape" cellComments="asDisplayed"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8"/>
  <sheetViews>
    <sheetView zoomScaleNormal="100" workbookViewId="0">
      <selection activeCell="K6" sqref="K6"/>
    </sheetView>
  </sheetViews>
  <sheetFormatPr defaultColWidth="8.85546875" defaultRowHeight="15"/>
  <cols>
    <col min="1" max="1" width="17.85546875" style="503" bestFit="1" customWidth="1"/>
    <col min="2" max="3" width="8.85546875" style="509"/>
    <col min="4" max="4" width="12.85546875" style="511" bestFit="1" customWidth="1"/>
    <col min="5" max="5" width="13.28515625" style="511" bestFit="1" customWidth="1"/>
    <col min="6" max="6" width="18.42578125" style="509" bestFit="1" customWidth="1"/>
    <col min="7" max="7" width="8.85546875" style="509"/>
    <col min="8" max="8" width="13.28515625" style="509" bestFit="1" customWidth="1"/>
    <col min="9" max="9" width="11.28515625" style="509" bestFit="1" customWidth="1"/>
    <col min="10" max="10" width="11.28515625" style="509" customWidth="1"/>
    <col min="11" max="11" width="12.85546875" style="511" bestFit="1" customWidth="1"/>
    <col min="12" max="12" width="12.5703125" style="511" bestFit="1" customWidth="1"/>
    <col min="13" max="13" width="18.42578125" style="509" bestFit="1" customWidth="1"/>
    <col min="14" max="14" width="8.85546875" style="509"/>
    <col min="15" max="15" width="16.28515625" style="508" bestFit="1" customWidth="1"/>
    <col min="16" max="16384" width="8.85546875" style="509"/>
  </cols>
  <sheetData>
    <row r="1" spans="1:15" ht="15.75" thickBot="1"/>
    <row r="2" spans="1:15" ht="15.75" thickBot="1">
      <c r="A2" s="529" t="s">
        <v>135</v>
      </c>
      <c r="B2" s="530"/>
      <c r="C2" s="530"/>
      <c r="D2" s="530"/>
      <c r="E2" s="530"/>
      <c r="F2" s="531"/>
      <c r="H2" s="529" t="s">
        <v>134</v>
      </c>
      <c r="I2" s="530"/>
      <c r="J2" s="530"/>
      <c r="K2" s="530"/>
      <c r="L2" s="530"/>
      <c r="M2" s="531"/>
    </row>
    <row r="3" spans="1:15" s="503" customFormat="1">
      <c r="D3" s="513" t="s">
        <v>358</v>
      </c>
      <c r="E3" s="514" t="s">
        <v>359</v>
      </c>
      <c r="F3" s="512" t="s">
        <v>360</v>
      </c>
      <c r="K3" s="513" t="s">
        <v>358</v>
      </c>
      <c r="L3" s="514" t="s">
        <v>359</v>
      </c>
      <c r="M3" s="512" t="s">
        <v>360</v>
      </c>
      <c r="O3" s="505" t="s">
        <v>361</v>
      </c>
    </row>
    <row r="4" spans="1:15" s="503" customFormat="1">
      <c r="D4" s="504"/>
      <c r="E4" s="504"/>
      <c r="K4" s="504"/>
      <c r="L4" s="504"/>
      <c r="O4" s="505"/>
    </row>
    <row r="5" spans="1:15">
      <c r="A5" s="503" t="s">
        <v>362</v>
      </c>
      <c r="B5" s="503">
        <v>419600</v>
      </c>
      <c r="C5" s="503" t="s">
        <v>368</v>
      </c>
      <c r="D5" s="511">
        <v>-1079.47</v>
      </c>
      <c r="E5" s="511">
        <v>-570.65</v>
      </c>
      <c r="F5" s="510">
        <f>E5-D5</f>
        <v>508.82000000000005</v>
      </c>
      <c r="H5" s="503" t="s">
        <v>362</v>
      </c>
      <c r="I5" s="503">
        <v>419600</v>
      </c>
      <c r="J5" s="503" t="s">
        <v>369</v>
      </c>
      <c r="K5" s="511">
        <v>-19065.48</v>
      </c>
      <c r="L5" s="511">
        <v>-20452.009999999998</v>
      </c>
      <c r="M5" s="510">
        <f>L5-K5</f>
        <v>-1386.5299999999988</v>
      </c>
      <c r="O5" s="506">
        <f>M5+F5</f>
        <v>-877.70999999999879</v>
      </c>
    </row>
    <row r="6" spans="1:15">
      <c r="A6" s="503" t="s">
        <v>7</v>
      </c>
      <c r="B6" s="503">
        <v>191010</v>
      </c>
      <c r="C6" s="503" t="s">
        <v>368</v>
      </c>
      <c r="D6" s="511">
        <v>-405656.11</v>
      </c>
      <c r="E6" s="511">
        <v>-1016747.11</v>
      </c>
      <c r="F6" s="510">
        <f>E6-D6</f>
        <v>-611091</v>
      </c>
      <c r="H6" s="503" t="s">
        <v>7</v>
      </c>
      <c r="I6" s="503">
        <v>191010</v>
      </c>
      <c r="J6" s="503" t="s">
        <v>369</v>
      </c>
      <c r="K6" s="511">
        <v>-725960.52</v>
      </c>
      <c r="L6" s="511">
        <v>-113991.81</v>
      </c>
      <c r="M6" s="510">
        <f>L6-K6</f>
        <v>611968.71</v>
      </c>
      <c r="O6" s="506">
        <f>M6+F6</f>
        <v>877.70999999996275</v>
      </c>
    </row>
    <row r="7" spans="1:15">
      <c r="A7" s="503" t="s">
        <v>363</v>
      </c>
      <c r="B7" s="503">
        <v>805120</v>
      </c>
      <c r="C7" s="503" t="s">
        <v>368</v>
      </c>
      <c r="D7" s="511">
        <v>406735.58</v>
      </c>
      <c r="E7" s="511">
        <v>1017317.76</v>
      </c>
      <c r="F7" s="510">
        <f>E7-D7</f>
        <v>610582.17999999993</v>
      </c>
      <c r="H7" s="503" t="s">
        <v>363</v>
      </c>
      <c r="I7" s="503">
        <v>805120</v>
      </c>
      <c r="J7" s="503" t="s">
        <v>369</v>
      </c>
      <c r="K7" s="511">
        <v>745026</v>
      </c>
      <c r="L7" s="511">
        <v>134443.82</v>
      </c>
      <c r="M7" s="510">
        <f>L7-K7</f>
        <v>-610582.17999999993</v>
      </c>
      <c r="O7" s="507">
        <f>M7+F7</f>
        <v>0</v>
      </c>
    </row>
    <row r="8" spans="1:15">
      <c r="B8" s="503"/>
      <c r="C8" s="503"/>
      <c r="H8" s="503"/>
      <c r="I8" s="503"/>
      <c r="J8" s="503"/>
    </row>
    <row r="9" spans="1:15">
      <c r="A9" s="503" t="s">
        <v>362</v>
      </c>
      <c r="B9" s="503">
        <v>431600</v>
      </c>
      <c r="C9" s="503" t="s">
        <v>368</v>
      </c>
      <c r="D9" s="511">
        <v>1481.32</v>
      </c>
      <c r="E9" s="511">
        <v>1481.32</v>
      </c>
      <c r="F9" s="510">
        <f>E9-D9</f>
        <v>0</v>
      </c>
      <c r="H9" s="503" t="s">
        <v>362</v>
      </c>
      <c r="I9" s="503">
        <v>431600</v>
      </c>
      <c r="J9" s="503" t="s">
        <v>369</v>
      </c>
      <c r="K9" s="511">
        <v>972.72</v>
      </c>
      <c r="L9" s="511">
        <v>972.72</v>
      </c>
      <c r="M9" s="510">
        <f>L9-K9</f>
        <v>0</v>
      </c>
    </row>
    <row r="10" spans="1:15">
      <c r="A10" s="503" t="s">
        <v>364</v>
      </c>
      <c r="B10" s="503">
        <v>191000</v>
      </c>
      <c r="C10" s="503" t="s">
        <v>368</v>
      </c>
      <c r="D10" s="511">
        <v>297863.43</v>
      </c>
      <c r="E10" s="511">
        <v>297863.43</v>
      </c>
      <c r="F10" s="510">
        <f>E10-D10</f>
        <v>0</v>
      </c>
      <c r="H10" s="503" t="s">
        <v>364</v>
      </c>
      <c r="I10" s="503">
        <v>191000</v>
      </c>
      <c r="J10" s="503" t="s">
        <v>369</v>
      </c>
      <c r="K10" s="511">
        <v>582046.26</v>
      </c>
      <c r="L10" s="511">
        <v>582046.26</v>
      </c>
      <c r="M10" s="510">
        <f>L10-K10</f>
        <v>0</v>
      </c>
    </row>
    <row r="11" spans="1:15">
      <c r="A11" s="503" t="s">
        <v>365</v>
      </c>
      <c r="B11" s="503">
        <v>805110</v>
      </c>
      <c r="C11" s="503" t="s">
        <v>368</v>
      </c>
      <c r="D11" s="511">
        <v>-299344.75</v>
      </c>
      <c r="E11" s="511">
        <v>-299344.75</v>
      </c>
      <c r="F11" s="510">
        <f>E11-D11</f>
        <v>0</v>
      </c>
      <c r="H11" s="503" t="s">
        <v>365</v>
      </c>
      <c r="I11" s="503">
        <v>805110</v>
      </c>
      <c r="J11" s="503" t="s">
        <v>369</v>
      </c>
      <c r="K11" s="511">
        <v>-583018.97</v>
      </c>
      <c r="L11" s="511">
        <v>-583018.97</v>
      </c>
      <c r="M11" s="510">
        <f>L11-K11</f>
        <v>0</v>
      </c>
    </row>
    <row r="12" spans="1:15">
      <c r="B12" s="503"/>
      <c r="C12" s="503"/>
      <c r="H12" s="503"/>
    </row>
    <row r="13" spans="1:15">
      <c r="A13" s="503" t="s">
        <v>366</v>
      </c>
      <c r="B13" s="503">
        <v>410100</v>
      </c>
      <c r="C13" s="503" t="s">
        <v>368</v>
      </c>
      <c r="D13" s="511">
        <v>18285.810000000001</v>
      </c>
      <c r="E13" s="511">
        <v>18285.810000000001</v>
      </c>
      <c r="F13" s="510">
        <f>E13-D13</f>
        <v>0</v>
      </c>
      <c r="H13" s="503"/>
      <c r="M13" s="510"/>
    </row>
    <row r="14" spans="1:15">
      <c r="A14" s="503" t="s">
        <v>366</v>
      </c>
      <c r="B14" s="503">
        <v>805110</v>
      </c>
      <c r="C14" s="503" t="s">
        <v>368</v>
      </c>
      <c r="D14" s="511">
        <v>-18285.810000000001</v>
      </c>
      <c r="E14" s="511">
        <v>-18285.810000000001</v>
      </c>
      <c r="F14" s="510">
        <f>E14-D14</f>
        <v>0</v>
      </c>
      <c r="H14" s="503"/>
      <c r="M14" s="510"/>
    </row>
    <row r="15" spans="1:15">
      <c r="B15" s="503"/>
      <c r="C15" s="503"/>
      <c r="H15" s="503"/>
    </row>
    <row r="16" spans="1:15">
      <c r="A16" s="503" t="s">
        <v>367</v>
      </c>
      <c r="B16" s="503">
        <v>190930</v>
      </c>
      <c r="C16" s="503" t="s">
        <v>368</v>
      </c>
      <c r="D16" s="511">
        <v>4214.88</v>
      </c>
      <c r="E16" s="511">
        <v>4214.88</v>
      </c>
      <c r="F16" s="510">
        <f>E16-D16</f>
        <v>0</v>
      </c>
      <c r="H16" s="503"/>
      <c r="M16" s="510"/>
    </row>
    <row r="17" spans="1:15">
      <c r="A17" s="503" t="s">
        <v>367</v>
      </c>
      <c r="B17" s="503">
        <v>410100</v>
      </c>
      <c r="C17" s="503" t="s">
        <v>368</v>
      </c>
      <c r="D17" s="511">
        <v>-4214.88</v>
      </c>
      <c r="E17" s="511">
        <v>-4214.88</v>
      </c>
      <c r="F17" s="510">
        <f>E17-D17</f>
        <v>0</v>
      </c>
      <c r="H17" s="503"/>
      <c r="M17" s="510"/>
    </row>
    <row r="18" spans="1:15" s="511" customFormat="1">
      <c r="A18" s="504"/>
      <c r="D18" s="511">
        <f>SUM(D5:D17)</f>
        <v>5.8207660913467407E-11</v>
      </c>
      <c r="E18" s="511">
        <f>SUM(E5:E17)</f>
        <v>0</v>
      </c>
      <c r="F18" s="511">
        <f>SUM(F5:F17)</f>
        <v>-1.1641532182693481E-10</v>
      </c>
      <c r="K18" s="511">
        <f>SUM(K5:K17)</f>
        <v>1.0000000009313226E-2</v>
      </c>
      <c r="L18" s="511">
        <f>SUM(L5:L17)</f>
        <v>1.0000000009313226E-2</v>
      </c>
      <c r="M18" s="511">
        <f>SUM(M5:M17)</f>
        <v>0</v>
      </c>
      <c r="O18" s="511">
        <f>SUM(O5:O17)</f>
        <v>-3.6038727557752281E-11</v>
      </c>
    </row>
  </sheetData>
  <mergeCells count="2">
    <mergeCell ref="A2:F2"/>
    <mergeCell ref="H2:M2"/>
  </mergeCells>
  <pageMargins left="0.7" right="0.7" top="0.75" bottom="0.75" header="0.3" footer="0.3"/>
  <pageSetup scale="64" orientation="landscape" r:id="rId1"/>
  <headerFooter>
    <oddFooter>&amp;C&amp;Z&amp;F</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AH56"/>
  <sheetViews>
    <sheetView zoomScale="85" zoomScaleNormal="85" workbookViewId="0">
      <selection activeCell="U36" sqref="U36"/>
    </sheetView>
  </sheetViews>
  <sheetFormatPr defaultRowHeight="12.75"/>
  <cols>
    <col min="1" max="1" width="18.7109375" bestFit="1" customWidth="1"/>
    <col min="2" max="14" width="9.85546875" customWidth="1"/>
    <col min="16" max="16" width="2.42578125" customWidth="1"/>
    <col min="17" max="23" width="10.7109375" customWidth="1"/>
    <col min="24" max="24" width="5.7109375" customWidth="1"/>
  </cols>
  <sheetData>
    <row r="1" spans="1:34">
      <c r="C1" s="517" t="s">
        <v>191</v>
      </c>
      <c r="D1" s="517"/>
      <c r="E1" s="517"/>
      <c r="F1" s="517"/>
      <c r="G1" s="517"/>
      <c r="H1" s="517"/>
      <c r="I1" s="517"/>
      <c r="J1" s="517"/>
      <c r="K1" s="517"/>
      <c r="P1" s="519"/>
      <c r="Q1" s="519"/>
      <c r="R1" s="519"/>
      <c r="S1" s="519"/>
      <c r="T1" s="519"/>
      <c r="U1" s="519"/>
      <c r="V1" s="519"/>
      <c r="W1" s="519"/>
      <c r="X1" s="519"/>
    </row>
    <row r="2" spans="1:34" ht="23.25">
      <c r="C2" s="518" t="s">
        <v>298</v>
      </c>
      <c r="D2" s="518"/>
      <c r="E2" s="518"/>
      <c r="F2" s="518"/>
      <c r="G2" s="518"/>
      <c r="H2" s="518"/>
      <c r="I2" s="518"/>
      <c r="J2" s="518"/>
      <c r="K2" s="518"/>
      <c r="P2" s="517"/>
      <c r="Q2" s="517"/>
      <c r="R2" s="517"/>
      <c r="S2" s="517"/>
      <c r="T2" s="517"/>
      <c r="U2" s="517"/>
      <c r="V2" s="517"/>
      <c r="W2" s="517"/>
      <c r="X2" s="517"/>
      <c r="Z2" s="517"/>
      <c r="AA2" s="517"/>
      <c r="AB2" s="517"/>
      <c r="AC2" s="517"/>
      <c r="AD2" s="517"/>
      <c r="AE2" s="517"/>
      <c r="AF2" s="517"/>
      <c r="AG2" s="517"/>
      <c r="AH2" s="517"/>
    </row>
    <row r="3" spans="1:34" ht="23.25">
      <c r="C3" s="517" t="s">
        <v>193</v>
      </c>
      <c r="D3" s="517"/>
      <c r="E3" s="517"/>
      <c r="F3" s="517"/>
      <c r="G3" s="517"/>
      <c r="H3" s="517"/>
      <c r="I3" s="517"/>
      <c r="J3" s="517"/>
      <c r="K3" s="517"/>
      <c r="P3" s="518"/>
      <c r="Q3" s="518"/>
      <c r="R3" s="518"/>
      <c r="S3" s="518"/>
      <c r="T3" s="518"/>
      <c r="U3" s="518"/>
      <c r="V3" s="518"/>
      <c r="W3" s="518"/>
      <c r="X3" s="518"/>
      <c r="Z3" s="520"/>
      <c r="AA3" s="520"/>
      <c r="AB3" s="520"/>
      <c r="AC3" s="520"/>
      <c r="AD3" s="520"/>
      <c r="AE3" s="520"/>
      <c r="AF3" s="520"/>
      <c r="AG3" s="520"/>
      <c r="AH3" s="520"/>
    </row>
    <row r="4" spans="1:34">
      <c r="A4" t="s">
        <v>192</v>
      </c>
      <c r="B4" s="222">
        <v>41548</v>
      </c>
      <c r="C4" s="222">
        <f>EOMONTH(B4,1)</f>
        <v>41608</v>
      </c>
      <c r="D4" s="222">
        <f t="shared" ref="D4:N4" si="0">EOMONTH(C4,1)</f>
        <v>41639</v>
      </c>
      <c r="E4" s="222">
        <f t="shared" si="0"/>
        <v>41670</v>
      </c>
      <c r="F4" s="222">
        <f t="shared" si="0"/>
        <v>41698</v>
      </c>
      <c r="G4" s="222">
        <f t="shared" si="0"/>
        <v>41729</v>
      </c>
      <c r="H4" s="222">
        <f t="shared" si="0"/>
        <v>41759</v>
      </c>
      <c r="I4" s="222">
        <f t="shared" si="0"/>
        <v>41790</v>
      </c>
      <c r="J4" s="222">
        <f t="shared" si="0"/>
        <v>41820</v>
      </c>
      <c r="K4" s="222">
        <f t="shared" si="0"/>
        <v>41851</v>
      </c>
      <c r="L4" s="222">
        <f t="shared" si="0"/>
        <v>41882</v>
      </c>
      <c r="M4" s="222">
        <f t="shared" si="0"/>
        <v>41912</v>
      </c>
      <c r="N4" s="222">
        <f t="shared" si="0"/>
        <v>41943</v>
      </c>
      <c r="P4" s="517"/>
      <c r="Q4" s="517"/>
      <c r="R4" s="517"/>
      <c r="S4" s="517"/>
      <c r="T4" s="517"/>
      <c r="U4" s="517"/>
      <c r="V4" s="517"/>
      <c r="W4" s="517"/>
      <c r="X4" s="517"/>
      <c r="Z4" s="517"/>
      <c r="AA4" s="517"/>
      <c r="AB4" s="517"/>
      <c r="AC4" s="517"/>
      <c r="AD4" s="517"/>
      <c r="AE4" s="517"/>
      <c r="AF4" s="517"/>
      <c r="AG4" s="517"/>
    </row>
    <row r="6" spans="1:34">
      <c r="A6" s="223" t="s">
        <v>297</v>
      </c>
    </row>
    <row r="7" spans="1:34">
      <c r="A7" s="224"/>
      <c r="B7" s="225" t="str">
        <f t="shared" ref="B7:N7" si="1">TEXT(B4,"mmmmm-YY")</f>
        <v>O-13</v>
      </c>
      <c r="C7" s="225" t="str">
        <f t="shared" si="1"/>
        <v>N-13</v>
      </c>
      <c r="D7" s="436" t="str">
        <f t="shared" si="1"/>
        <v>D-13</v>
      </c>
      <c r="E7" s="225" t="str">
        <f t="shared" si="1"/>
        <v>J-14</v>
      </c>
      <c r="F7" s="225" t="str">
        <f t="shared" si="1"/>
        <v>F-14</v>
      </c>
      <c r="G7" s="436" t="str">
        <f t="shared" si="1"/>
        <v>M-14</v>
      </c>
      <c r="H7" s="436" t="str">
        <f t="shared" si="1"/>
        <v>A-14</v>
      </c>
      <c r="I7" s="436" t="str">
        <f t="shared" si="1"/>
        <v>M-14</v>
      </c>
      <c r="J7" s="436" t="str">
        <f t="shared" si="1"/>
        <v>J-14</v>
      </c>
      <c r="K7" s="436" t="str">
        <f t="shared" si="1"/>
        <v>J-14</v>
      </c>
      <c r="L7" s="436" t="str">
        <f t="shared" si="1"/>
        <v>A-14</v>
      </c>
      <c r="M7" s="436" t="str">
        <f t="shared" si="1"/>
        <v>S-14</v>
      </c>
      <c r="N7" s="436" t="str">
        <f t="shared" si="1"/>
        <v>O-14</v>
      </c>
    </row>
    <row r="8" spans="1:34">
      <c r="A8" s="435" t="s">
        <v>300</v>
      </c>
      <c r="B8" s="431">
        <f>0.33052*10</f>
        <v>3.3051999999999997</v>
      </c>
      <c r="C8" s="431">
        <v>3.6246661221178802</v>
      </c>
      <c r="D8" s="431">
        <v>3.6234780920677898</v>
      </c>
      <c r="E8" s="431">
        <f>-Jan!$H$53/Jan!$G$46*10</f>
        <v>1.7066999999999999</v>
      </c>
      <c r="F8" s="431">
        <f>-Feb!$H$53/Feb!$G$46*10</f>
        <v>1.7066999999999999</v>
      </c>
      <c r="G8" s="431">
        <f>-Mar!$H$53/Mar!$G$46*10</f>
        <v>1.4024836723360967</v>
      </c>
      <c r="H8" s="431">
        <f>-Mar!$H$53/Mar!$G$46*10</f>
        <v>1.4024836723360967</v>
      </c>
      <c r="I8" s="431">
        <f>-Mar!$H$53/Mar!$G$46*10</f>
        <v>1.4024836723360967</v>
      </c>
      <c r="J8" s="431">
        <f>-Mar!$H$53/Mar!$G$46*10</f>
        <v>1.4024836723360967</v>
      </c>
      <c r="K8" s="431">
        <f>-Mar!$H$53/Mar!$G$46*10</f>
        <v>1.4024836723360967</v>
      </c>
      <c r="L8" s="431">
        <f>-Mar!$H$53/Mar!$G$46*10</f>
        <v>1.4024836723360967</v>
      </c>
      <c r="M8" s="431">
        <f>-Mar!$H$53/Mar!$G$46*10</f>
        <v>1.4024836723360967</v>
      </c>
      <c r="N8" s="431">
        <f>-Mar!$H$53/Mar!$G$46*10</f>
        <v>1.4024836723360967</v>
      </c>
    </row>
    <row r="9" spans="1:34" s="435" customFormat="1">
      <c r="A9" t="s">
        <v>301</v>
      </c>
      <c r="B9" s="431">
        <f>N9</f>
        <v>3.5167999999999999</v>
      </c>
      <c r="C9" s="431">
        <v>3.8812999999999995</v>
      </c>
      <c r="D9" s="431">
        <v>3.6348000000000003</v>
      </c>
      <c r="E9" s="431">
        <v>3.6143999999999998</v>
      </c>
      <c r="F9" s="431">
        <v>3.6770000000000005</v>
      </c>
      <c r="G9" s="431">
        <v>3.9145000000000003</v>
      </c>
      <c r="H9" s="431">
        <v>3.3395999999999999</v>
      </c>
      <c r="I9" s="431">
        <v>3.3895</v>
      </c>
      <c r="J9" s="431">
        <v>3.3272000000000004</v>
      </c>
      <c r="K9" s="431">
        <v>3.3701999999999996</v>
      </c>
      <c r="L9" s="431">
        <v>3.3369</v>
      </c>
      <c r="M9" s="431">
        <v>3.3742000000000001</v>
      </c>
      <c r="N9" s="431">
        <v>3.5167999999999999</v>
      </c>
    </row>
    <row r="10" spans="1:34">
      <c r="A10" t="s">
        <v>299</v>
      </c>
      <c r="B10" s="431">
        <f>0.278008560641104*10</f>
        <v>2.7800856064110402</v>
      </c>
      <c r="C10" s="431">
        <v>3.4540440792083</v>
      </c>
      <c r="D10" s="431">
        <v>3.1876161555634601</v>
      </c>
      <c r="E10" s="431">
        <f>Jan!$K$14/Jan!$G$46*10</f>
        <v>2.0034461902419394</v>
      </c>
      <c r="F10" s="431">
        <f>Feb!$K$14/Feb!$G$46*10</f>
        <v>3.9828052868257489</v>
      </c>
      <c r="G10" s="431">
        <f>Mar!$K$14/Mar!$G$46*10</f>
        <v>6.3147693348967726</v>
      </c>
      <c r="H10" s="431"/>
      <c r="I10" s="431"/>
      <c r="J10" s="431"/>
      <c r="K10" s="431"/>
      <c r="L10" s="431"/>
      <c r="M10" s="431"/>
      <c r="N10" s="431"/>
    </row>
    <row r="11" spans="1:34">
      <c r="A11" s="435" t="s">
        <v>300</v>
      </c>
      <c r="B11" s="431">
        <f>0.0865086772229614*10</f>
        <v>0.86508677222961405</v>
      </c>
      <c r="C11" s="431">
        <v>0.98017103319810395</v>
      </c>
      <c r="D11" s="431">
        <v>0.99766447491792298</v>
      </c>
      <c r="E11" s="431">
        <f>(-Jan!$I$53/Jan!$G$33)*10</f>
        <v>0.87764381401243774</v>
      </c>
      <c r="F11" s="431">
        <f>-Feb!$I$53/Feb!$G$33*10</f>
        <v>0.88880033854060725</v>
      </c>
      <c r="G11" s="431">
        <f>-Mar!$I$53/Mar!$G$33*10</f>
        <v>0.77882064837662346</v>
      </c>
      <c r="H11" s="431"/>
      <c r="I11" s="431"/>
      <c r="J11" s="431"/>
      <c r="K11" s="431"/>
      <c r="L11" s="431"/>
      <c r="M11" s="431"/>
      <c r="N11" s="431"/>
    </row>
    <row r="12" spans="1:34" s="435" customFormat="1">
      <c r="A12" s="435" t="s">
        <v>301</v>
      </c>
      <c r="B12" s="431">
        <f>N12</f>
        <v>1.4529330378220591</v>
      </c>
      <c r="C12" s="431">
        <v>0.79431349782690841</v>
      </c>
      <c r="D12" s="431">
        <v>0.60296290558547094</v>
      </c>
      <c r="E12" s="431">
        <v>0.60895264158951812</v>
      </c>
      <c r="F12" s="431">
        <v>0.60656225946654285</v>
      </c>
      <c r="G12" s="431">
        <v>0.87532504655494603</v>
      </c>
      <c r="H12" s="431">
        <v>1.1232232940560019</v>
      </c>
      <c r="I12" s="431">
        <v>2.0020366178222502</v>
      </c>
      <c r="J12" s="431">
        <v>2.9050208439006555</v>
      </c>
      <c r="K12" s="431">
        <v>3.9176133126746118</v>
      </c>
      <c r="L12" s="431">
        <v>3.8752231593583324</v>
      </c>
      <c r="M12" s="431">
        <v>3.4387986026867114</v>
      </c>
      <c r="N12" s="431">
        <v>1.4529330378220591</v>
      </c>
    </row>
    <row r="13" spans="1:34">
      <c r="A13" s="435" t="s">
        <v>299</v>
      </c>
      <c r="B13" s="431">
        <f>0.102504522593617*10</f>
        <v>1.02504522593617</v>
      </c>
      <c r="C13" s="431">
        <v>0.65827334268652904</v>
      </c>
      <c r="D13" s="431">
        <v>0.51365176254981604</v>
      </c>
      <c r="E13" s="431">
        <f>(Jan!$I$14/Jan!$G$33)*10</f>
        <v>0.47774333843624833</v>
      </c>
      <c r="F13" s="431">
        <f>(Feb!$I$14/Feb!$G$33)*10</f>
        <v>0.40227702942960486</v>
      </c>
      <c r="G13" s="431">
        <f>(Mar!$I$14/Mar!$G$33)*10</f>
        <v>0.5309920186518855</v>
      </c>
      <c r="H13" s="431"/>
      <c r="I13" s="431"/>
      <c r="J13" s="431"/>
      <c r="K13" s="431"/>
      <c r="L13" s="431"/>
      <c r="M13" s="431"/>
      <c r="N13" s="431"/>
    </row>
    <row r="15" spans="1:34">
      <c r="A15" s="223" t="s">
        <v>296</v>
      </c>
    </row>
    <row r="16" spans="1:34">
      <c r="A16" s="224"/>
      <c r="B16" s="433" t="str">
        <f>TEXT(B4,"mmmmm-YY")</f>
        <v>O-13</v>
      </c>
      <c r="C16" s="434" t="str">
        <f t="shared" ref="C16:N16" si="2">TEXT(C4,"mmmmm-YY")</f>
        <v>N-13</v>
      </c>
      <c r="D16" s="225" t="str">
        <f t="shared" si="2"/>
        <v>D-13</v>
      </c>
      <c r="E16" s="225" t="str">
        <f t="shared" si="2"/>
        <v>J-14</v>
      </c>
      <c r="F16" s="225" t="str">
        <f t="shared" si="2"/>
        <v>F-14</v>
      </c>
      <c r="G16" s="225" t="str">
        <f t="shared" si="2"/>
        <v>M-14</v>
      </c>
      <c r="H16" s="225" t="str">
        <f t="shared" si="2"/>
        <v>A-14</v>
      </c>
      <c r="I16" s="225" t="str">
        <f t="shared" si="2"/>
        <v>M-14</v>
      </c>
      <c r="J16" s="225" t="str">
        <f t="shared" si="2"/>
        <v>J-14</v>
      </c>
      <c r="K16" s="225" t="str">
        <f t="shared" si="2"/>
        <v>J-14</v>
      </c>
      <c r="L16" s="225" t="str">
        <f t="shared" si="2"/>
        <v>A-14</v>
      </c>
      <c r="M16" s="225" t="str">
        <f t="shared" si="2"/>
        <v>S-14</v>
      </c>
      <c r="N16" s="225" t="str">
        <f t="shared" si="2"/>
        <v>O-14</v>
      </c>
    </row>
    <row r="17" spans="1:20">
      <c r="A17" s="435" t="s">
        <v>300</v>
      </c>
      <c r="B17" s="431">
        <v>3.7138086914005299</v>
      </c>
      <c r="C17" s="431">
        <v>3.71000032320786</v>
      </c>
      <c r="D17" s="431">
        <v>3.7124000000000001</v>
      </c>
      <c r="E17" s="431">
        <f>-Jan!$J$53/Jan!$K$44*10</f>
        <v>1.6885999999999999</v>
      </c>
      <c r="F17" s="431">
        <f>-Feb!$J$53/Feb!$K$44*10</f>
        <v>1.6885999999999999</v>
      </c>
      <c r="G17" s="431">
        <f>-Mar!$J$53/Mar!$K$44*10</f>
        <v>1.5021009403511651</v>
      </c>
      <c r="H17" s="431">
        <f>-Apr!$J$53/Apr!$K$44*10</f>
        <v>1.6886000000000001</v>
      </c>
      <c r="I17" s="431">
        <f>-May!$J$53/May!$K$44*10</f>
        <v>1.6886000000000001</v>
      </c>
      <c r="J17" s="431">
        <f>-Jun!$J$53/Jun!$K$44*10</f>
        <v>1.6885999999999999</v>
      </c>
      <c r="K17" s="431">
        <f>-Jul!$J$53/Jul!$K$44*10</f>
        <v>1.6886000000000003</v>
      </c>
      <c r="L17" s="431">
        <f>-Aug!$J$53/Aug!$K$44*10</f>
        <v>1.6886000000000003</v>
      </c>
      <c r="M17" s="431" t="e">
        <f>-#REF!/#REF!*10</f>
        <v>#REF!</v>
      </c>
      <c r="N17" s="431" t="e">
        <f>-#REF!/#REF!*10</f>
        <v>#REF!</v>
      </c>
    </row>
    <row r="18" spans="1:20" s="435" customFormat="1">
      <c r="A18" s="435" t="s">
        <v>301</v>
      </c>
      <c r="B18" s="431">
        <v>2.9957000000000003</v>
      </c>
      <c r="C18" s="431">
        <v>3.9822000000000002</v>
      </c>
      <c r="D18" s="431">
        <v>3.8203999999999998</v>
      </c>
      <c r="E18" s="431">
        <v>3.7982</v>
      </c>
      <c r="F18" s="431">
        <v>3.8423000000000003</v>
      </c>
      <c r="G18" s="431">
        <v>4.0292000000000003</v>
      </c>
      <c r="H18" s="431">
        <v>3.4569000000000001</v>
      </c>
      <c r="I18" s="431">
        <v>3.5224000000000002</v>
      </c>
      <c r="J18" s="431">
        <v>3.4592000000000001</v>
      </c>
      <c r="K18" s="431">
        <v>3.4888000000000003</v>
      </c>
      <c r="L18" s="431">
        <v>3.4600999999999997</v>
      </c>
      <c r="M18" s="431">
        <v>3.4959000000000002</v>
      </c>
      <c r="N18" s="431">
        <v>3.6281000000000003</v>
      </c>
    </row>
    <row r="19" spans="1:20">
      <c r="A19" s="435" t="s">
        <v>299</v>
      </c>
      <c r="B19" s="431">
        <v>2.76346512007138</v>
      </c>
      <c r="C19" s="431">
        <v>3.4542924833702302</v>
      </c>
      <c r="D19" s="431">
        <v>3.1868860970503601</v>
      </c>
      <c r="E19" s="431">
        <f>Jan!$L$14/Jan!$K$43*10</f>
        <v>2.0011184090684204</v>
      </c>
      <c r="F19" s="431">
        <f>Feb!$L$14/Feb!$K$43*10</f>
        <v>3.982185171742993</v>
      </c>
      <c r="G19" s="431">
        <f>Mar!$L$14/Mar!$K$43*10</f>
        <v>6.3101008698751793</v>
      </c>
      <c r="H19" s="431">
        <f>Apr!$L$14/Apr!$K$43*10</f>
        <v>1.6752330986146986</v>
      </c>
      <c r="I19" s="431">
        <f>May!$L$14/May!$K$43*10</f>
        <v>-0.54536187788809687</v>
      </c>
      <c r="J19" s="431">
        <f>Jun!$L$14/Jun!$K$43*10</f>
        <v>-1.7127780368858496</v>
      </c>
      <c r="K19" s="431">
        <f>Jul!$L$14/Jul!$K$43*10</f>
        <v>-3.0102585697176112</v>
      </c>
      <c r="L19" s="431">
        <f>Aug!$L$14/Aug!$K$43*10</f>
        <v>-3.1942689865811613</v>
      </c>
      <c r="M19" s="431" t="e">
        <f>#REF!/#REF!*10</f>
        <v>#REF!</v>
      </c>
      <c r="N19" s="431" t="e">
        <f>#REF!/#REF!*10</f>
        <v>#REF!</v>
      </c>
    </row>
    <row r="20" spans="1:20">
      <c r="A20" s="435" t="s">
        <v>300</v>
      </c>
      <c r="B20" s="431">
        <v>1.0742522128918399</v>
      </c>
      <c r="C20" s="431">
        <v>1.0741263842636799</v>
      </c>
      <c r="D20" s="431">
        <v>1.0744</v>
      </c>
      <c r="E20" s="431">
        <f>-Jan!$K$53/Jan!$K$29*10</f>
        <v>0.95839999999999992</v>
      </c>
      <c r="F20" s="431">
        <f>-Feb!$K$53/Feb!$K$29*10</f>
        <v>0.95840000000000014</v>
      </c>
      <c r="G20" s="431">
        <f>-Mar!$K$53/Mar!$K$29*10</f>
        <v>0.97133976054333671</v>
      </c>
      <c r="H20" s="431">
        <f>-Apr!$K$53/Apr!$K$29*10</f>
        <v>0.95839999999999981</v>
      </c>
      <c r="I20" s="431">
        <f>-May!$K$53/May!$K$29*10</f>
        <v>0.95839999999999992</v>
      </c>
      <c r="J20" s="431">
        <f>-Jun!$K$53/Jun!$K$29*10</f>
        <v>0.95839999999999981</v>
      </c>
      <c r="K20" s="431">
        <f>-Jul!$K$53/Jul!$K$29*10</f>
        <v>0.95839999999999992</v>
      </c>
      <c r="L20" s="431">
        <f>-Aug!$K$53/Aug!$K$29*10</f>
        <v>0.95839999999999992</v>
      </c>
      <c r="M20" s="431" t="e">
        <f>-#REF!/#REF!*10</f>
        <v>#REF!</v>
      </c>
      <c r="N20" s="431" t="e">
        <f>-#REF!/#REF!*10</f>
        <v>#REF!</v>
      </c>
    </row>
    <row r="21" spans="1:20" s="435" customFormat="1">
      <c r="A21" s="435" t="s">
        <v>301</v>
      </c>
      <c r="B21" s="431">
        <v>1.2942886206113142</v>
      </c>
      <c r="C21" s="431">
        <v>0.74518730633512642</v>
      </c>
      <c r="D21" s="431">
        <v>0.58083452630008092</v>
      </c>
      <c r="E21" s="431">
        <v>0.60843027300764696</v>
      </c>
      <c r="F21" s="431">
        <v>0.68505702536755764</v>
      </c>
      <c r="G21" s="431">
        <v>0.81792088296424315</v>
      </c>
      <c r="H21" s="431">
        <v>1.0438035301560928</v>
      </c>
      <c r="I21" s="431">
        <v>1.8765356717896455</v>
      </c>
      <c r="J21" s="431">
        <v>2.5204558648798452</v>
      </c>
      <c r="K21" s="431">
        <v>3.0722913458699082</v>
      </c>
      <c r="L21" s="431">
        <v>3.0936566161461703</v>
      </c>
      <c r="M21" s="431">
        <v>2.484887676291045</v>
      </c>
      <c r="N21" s="431">
        <v>1.1747692347018237</v>
      </c>
    </row>
    <row r="22" spans="1:20">
      <c r="A22" s="435" t="s">
        <v>299</v>
      </c>
      <c r="B22" s="431">
        <v>1.2115295970631399</v>
      </c>
      <c r="C22" s="431">
        <v>0.708429666562987</v>
      </c>
      <c r="D22" s="431">
        <v>0.54697005486642902</v>
      </c>
      <c r="E22" s="431">
        <f>Jan!$J$14/Jan!$K$29*10</f>
        <v>0.54685866082697709</v>
      </c>
      <c r="F22" s="431">
        <f>Feb!$J$14/Feb!$K$29*10</f>
        <v>0.42490904223956638</v>
      </c>
      <c r="G22" s="431">
        <f>Mar!$J$14/Mar!$K$29*10</f>
        <v>0.64099573706312185</v>
      </c>
      <c r="H22" s="431">
        <f>Apr!$J$14/Apr!$K$29*10</f>
        <v>1.0670667900181983</v>
      </c>
      <c r="I22" s="431">
        <f>May!$J$14/May!$K$29*10</f>
        <v>1.9888615279714641</v>
      </c>
      <c r="J22" s="431">
        <f>Jun!$J$14/Jun!$K$29*10</f>
        <v>2.5949233777823704</v>
      </c>
      <c r="K22" s="431">
        <f>Jul!$J$14/Jul!$K$29*10</f>
        <v>2.9448608844649655</v>
      </c>
      <c r="L22" s="431">
        <f>Aug!$J$14/Aug!$K$29*10</f>
        <v>2.9238742515850111</v>
      </c>
      <c r="M22" s="431" t="e">
        <f>#REF!/#REF!*10</f>
        <v>#REF!</v>
      </c>
      <c r="N22" s="431" t="e">
        <f>#REF!/#REF!*10</f>
        <v>#REF!</v>
      </c>
    </row>
    <row r="23" spans="1:20">
      <c r="C23" s="435"/>
      <c r="D23" s="435"/>
      <c r="E23" s="435"/>
      <c r="F23" s="435"/>
      <c r="G23" s="435"/>
      <c r="H23" s="435"/>
      <c r="I23" s="435"/>
      <c r="J23" s="435"/>
      <c r="K23" s="435"/>
      <c r="L23" s="435"/>
      <c r="M23" s="435"/>
      <c r="N23" s="435"/>
      <c r="S23" s="435"/>
      <c r="T23" s="435"/>
    </row>
    <row r="24" spans="1:20">
      <c r="S24" s="435"/>
      <c r="T24" s="435"/>
    </row>
    <row r="25" spans="1:20">
      <c r="S25" s="435"/>
      <c r="T25" s="435"/>
    </row>
    <row r="26" spans="1:20">
      <c r="R26" s="435"/>
      <c r="S26" s="435"/>
      <c r="T26" s="435"/>
    </row>
    <row r="27" spans="1:20">
      <c r="R27" s="435"/>
      <c r="S27" s="435"/>
      <c r="T27" s="435"/>
    </row>
    <row r="28" spans="1:20">
      <c r="R28" s="435"/>
      <c r="S28" s="435"/>
      <c r="T28" s="435"/>
    </row>
    <row r="29" spans="1:20">
      <c r="R29" s="435"/>
      <c r="S29" s="435"/>
      <c r="T29" s="435"/>
    </row>
    <row r="30" spans="1:20">
      <c r="R30" s="435"/>
      <c r="S30" s="435"/>
      <c r="T30" s="435"/>
    </row>
    <row r="31" spans="1:20">
      <c r="R31" s="435"/>
      <c r="S31" s="435"/>
      <c r="T31" s="435"/>
    </row>
    <row r="32" spans="1:20">
      <c r="R32" s="435"/>
      <c r="S32" s="435"/>
      <c r="T32" s="435"/>
    </row>
    <row r="33" spans="18:30">
      <c r="R33" s="435"/>
      <c r="S33" s="435"/>
      <c r="T33" s="435"/>
    </row>
    <row r="34" spans="18:30">
      <c r="R34" s="435"/>
      <c r="S34" s="435"/>
      <c r="T34" s="435"/>
    </row>
    <row r="35" spans="18:30">
      <c r="R35" s="435"/>
      <c r="S35" s="435"/>
      <c r="T35" s="435"/>
      <c r="U35" s="435"/>
      <c r="V35" s="435"/>
      <c r="W35" s="435"/>
      <c r="X35" s="435"/>
      <c r="Y35" s="435"/>
      <c r="Z35" s="435"/>
      <c r="AA35" s="435"/>
      <c r="AB35" s="435"/>
      <c r="AC35" s="435"/>
      <c r="AD35" s="435"/>
    </row>
    <row r="36" spans="18:30">
      <c r="R36" s="435"/>
      <c r="S36" s="435"/>
      <c r="T36" s="435"/>
      <c r="U36" s="435"/>
      <c r="V36" s="435"/>
      <c r="W36" s="435"/>
      <c r="X36" s="435"/>
      <c r="Y36" s="435"/>
      <c r="Z36" s="435"/>
      <c r="AA36" s="435"/>
      <c r="AB36" s="435"/>
      <c r="AC36" s="435"/>
      <c r="AD36" s="435"/>
    </row>
    <row r="37" spans="18:30">
      <c r="R37" s="435"/>
      <c r="S37" s="435"/>
      <c r="T37" s="435"/>
      <c r="U37" s="435"/>
      <c r="V37" s="435"/>
      <c r="W37" s="435"/>
      <c r="X37" s="435"/>
      <c r="Y37" s="435"/>
      <c r="Z37" s="435"/>
      <c r="AA37" s="435"/>
      <c r="AB37" s="435"/>
      <c r="AC37" s="435"/>
      <c r="AD37" s="435"/>
    </row>
    <row r="38" spans="18:30">
      <c r="R38" s="435"/>
      <c r="S38" s="435"/>
      <c r="T38" s="435"/>
      <c r="U38" s="435"/>
      <c r="V38" s="435"/>
      <c r="W38" s="435"/>
      <c r="X38" s="435"/>
      <c r="Y38" s="435"/>
      <c r="Z38" s="435"/>
      <c r="AA38" s="435"/>
      <c r="AB38" s="435"/>
      <c r="AC38" s="435"/>
      <c r="AD38" s="435"/>
    </row>
    <row r="39" spans="18:30">
      <c r="R39" s="435"/>
      <c r="S39" s="435"/>
      <c r="T39" s="435"/>
      <c r="U39" s="435"/>
      <c r="V39" s="435"/>
      <c r="W39" s="435"/>
      <c r="X39" s="435"/>
      <c r="Y39" s="435"/>
      <c r="Z39" s="435"/>
      <c r="AA39" s="435"/>
      <c r="AB39" s="435"/>
      <c r="AC39" s="435"/>
      <c r="AD39" s="435"/>
    </row>
    <row r="40" spans="18:30">
      <c r="R40" s="435"/>
      <c r="S40" s="435"/>
      <c r="T40" s="435"/>
      <c r="U40" s="435"/>
      <c r="V40" s="435"/>
      <c r="W40" s="435"/>
      <c r="X40" s="435"/>
      <c r="Y40" s="435"/>
      <c r="Z40" s="435"/>
      <c r="AA40" s="435"/>
      <c r="AB40" s="435"/>
      <c r="AC40" s="435"/>
      <c r="AD40" s="435"/>
    </row>
    <row r="41" spans="18:30">
      <c r="R41" s="435"/>
      <c r="S41" s="435"/>
      <c r="T41" s="435"/>
      <c r="U41" s="435"/>
      <c r="V41" s="435"/>
      <c r="W41" s="435"/>
      <c r="X41" s="435"/>
      <c r="Y41" s="435"/>
      <c r="Z41" s="435"/>
      <c r="AA41" s="435"/>
      <c r="AB41" s="435"/>
      <c r="AC41" s="435"/>
      <c r="AD41" s="435"/>
    </row>
    <row r="42" spans="18:30">
      <c r="R42" s="435"/>
      <c r="S42" s="435"/>
      <c r="T42" s="435"/>
      <c r="U42" s="435"/>
      <c r="V42" s="435"/>
      <c r="W42" s="435"/>
      <c r="X42" s="435"/>
      <c r="Y42" s="435"/>
      <c r="Z42" s="435"/>
      <c r="AA42" s="435"/>
      <c r="AB42" s="435"/>
      <c r="AC42" s="435"/>
      <c r="AD42" s="435"/>
    </row>
    <row r="43" spans="18:30" ht="15">
      <c r="S43" s="432"/>
    </row>
    <row r="44" spans="18:30" ht="15">
      <c r="S44" s="432"/>
    </row>
    <row r="45" spans="18:30" ht="15">
      <c r="S45" s="432"/>
    </row>
    <row r="46" spans="18:30" ht="15">
      <c r="S46" s="432"/>
    </row>
    <row r="47" spans="18:30" ht="15">
      <c r="S47" s="432"/>
    </row>
    <row r="48" spans="18:30" ht="15">
      <c r="S48" s="432"/>
    </row>
    <row r="56" ht="9.75" customHeight="1"/>
  </sheetData>
  <mergeCells count="10">
    <mergeCell ref="P4:X4"/>
    <mergeCell ref="Z4:AG4"/>
    <mergeCell ref="C1:K1"/>
    <mergeCell ref="P1:X1"/>
    <mergeCell ref="C2:K2"/>
    <mergeCell ref="P2:X2"/>
    <mergeCell ref="Z2:AH2"/>
    <mergeCell ref="C3:K3"/>
    <mergeCell ref="P3:X3"/>
    <mergeCell ref="Z3:AH3"/>
  </mergeCells>
  <printOptions horizontalCentered="1"/>
  <pageMargins left="0.7" right="0.7" top="0.75" bottom="0.5" header="0.3" footer="0.3"/>
  <pageSetup scale="61" orientation="landscape" r:id="rId1"/>
  <headerFooter>
    <oddFooter>&amp;L&amp;F - &amp;A</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40">
    <tabColor rgb="FF92D050"/>
    <pageSetUpPr fitToPage="1"/>
  </sheetPr>
  <dimension ref="A1:P118"/>
  <sheetViews>
    <sheetView showGridLines="0" view="pageBreakPreview" topLeftCell="A34" zoomScale="80" zoomScaleNormal="100" zoomScaleSheetLayoutView="80" workbookViewId="0">
      <selection activeCell="G51" sqref="G51:J55"/>
    </sheetView>
  </sheetViews>
  <sheetFormatPr defaultColWidth="9.140625" defaultRowHeight="15"/>
  <cols>
    <col min="1" max="1" width="13.140625" style="330" customWidth="1"/>
    <col min="2" max="2" width="9.28515625" style="330" customWidth="1"/>
    <col min="3" max="3" width="17.85546875" style="330" customWidth="1"/>
    <col min="4" max="4" width="18.42578125" style="330" customWidth="1"/>
    <col min="5" max="5" width="20.140625" style="268" bestFit="1" customWidth="1"/>
    <col min="6" max="6" width="16.140625" style="330" customWidth="1"/>
    <col min="7" max="7" width="34.5703125" style="330" bestFit="1" customWidth="1"/>
    <col min="8" max="8" width="16.85546875" style="330" customWidth="1"/>
    <col min="9" max="9" width="18.28515625" style="330" bestFit="1" customWidth="1"/>
    <col min="10" max="10" width="18.28515625" style="330" customWidth="1"/>
    <col min="11" max="11" width="3.42578125" style="330" customWidth="1"/>
    <col min="12" max="16384" width="9.140625" style="330"/>
  </cols>
  <sheetData>
    <row r="1" spans="1:10" ht="15.75">
      <c r="A1" s="27" t="s">
        <v>13</v>
      </c>
    </row>
    <row r="2" spans="1:10" ht="15.75">
      <c r="A2" s="27" t="s">
        <v>46</v>
      </c>
    </row>
    <row r="3" spans="1:10" ht="15.75">
      <c r="A3" s="27" t="s">
        <v>170</v>
      </c>
    </row>
    <row r="4" spans="1:10" ht="15.75">
      <c r="A4" s="27" t="s">
        <v>171</v>
      </c>
    </row>
    <row r="7" spans="1:10" s="331" customFormat="1" ht="16.5" thickBot="1">
      <c r="D7" s="107" t="s">
        <v>222</v>
      </c>
      <c r="E7" s="277">
        <f>'ID Holdback 191015'!C101</f>
        <v>-1565571.2499999998</v>
      </c>
    </row>
    <row r="8" spans="1:10" ht="16.5" thickTop="1" thickBot="1"/>
    <row r="9" spans="1:10" ht="15.75">
      <c r="A9" s="47" t="s">
        <v>142</v>
      </c>
      <c r="B9" s="48"/>
      <c r="C9" s="49"/>
      <c r="D9" s="50"/>
      <c r="E9" s="269"/>
      <c r="G9" s="15"/>
      <c r="H9" s="5"/>
      <c r="I9" s="32"/>
      <c r="J9" s="32"/>
    </row>
    <row r="10" spans="1:10" ht="15.75">
      <c r="A10" s="178">
        <v>41578</v>
      </c>
      <c r="B10" s="45"/>
      <c r="C10" s="15"/>
      <c r="D10" s="46" t="s">
        <v>23</v>
      </c>
      <c r="E10" s="270" t="s">
        <v>21</v>
      </c>
      <c r="G10" s="5"/>
      <c r="H10" s="5"/>
      <c r="I10" s="8"/>
      <c r="J10" s="10"/>
    </row>
    <row r="11" spans="1:10" ht="16.5" thickBot="1">
      <c r="A11" s="14"/>
      <c r="B11" s="17"/>
      <c r="C11" s="97" t="s">
        <v>21</v>
      </c>
      <c r="D11" s="97" t="s">
        <v>22</v>
      </c>
      <c r="E11" s="271" t="s">
        <v>23</v>
      </c>
      <c r="F11" s="331"/>
      <c r="G11" s="7"/>
      <c r="H11" s="7"/>
      <c r="I11" s="10"/>
      <c r="J11" s="10"/>
    </row>
    <row r="12" spans="1:10" ht="15.75">
      <c r="A12" s="2" t="s">
        <v>24</v>
      </c>
      <c r="B12" s="16">
        <v>101</v>
      </c>
      <c r="C12" s="208">
        <v>0</v>
      </c>
      <c r="D12" s="333" t="s">
        <v>187</v>
      </c>
      <c r="E12" s="272">
        <v>61399.94</v>
      </c>
      <c r="F12" s="331"/>
      <c r="G12" s="7"/>
      <c r="H12" s="7"/>
      <c r="I12" s="8"/>
      <c r="J12" s="7"/>
    </row>
    <row r="13" spans="1:10" ht="16.5" thickBot="1">
      <c r="A13" s="2" t="s">
        <v>24</v>
      </c>
      <c r="B13" s="16">
        <v>111</v>
      </c>
      <c r="C13" s="208">
        <v>0</v>
      </c>
      <c r="D13" s="333" t="s">
        <v>187</v>
      </c>
      <c r="E13" s="272">
        <v>26738.47</v>
      </c>
      <c r="F13" s="331"/>
      <c r="G13" s="110">
        <f>A10</f>
        <v>41578</v>
      </c>
      <c r="H13" s="111"/>
      <c r="I13" s="111"/>
      <c r="J13" s="111"/>
    </row>
    <row r="14" spans="1:10" ht="16.5" thickBot="1">
      <c r="A14" s="2" t="s">
        <v>24</v>
      </c>
      <c r="B14" s="16">
        <v>112</v>
      </c>
      <c r="C14" s="208"/>
      <c r="D14" s="333" t="s">
        <v>187</v>
      </c>
      <c r="E14" s="272">
        <v>367.45</v>
      </c>
      <c r="F14" s="331"/>
      <c r="G14" s="70" t="s">
        <v>25</v>
      </c>
      <c r="H14" s="112"/>
      <c r="I14" s="113" t="s">
        <v>18</v>
      </c>
      <c r="J14" s="114" t="s">
        <v>19</v>
      </c>
    </row>
    <row r="15" spans="1:10" ht="15.75">
      <c r="A15" s="2" t="s">
        <v>24</v>
      </c>
      <c r="B15" s="16">
        <v>121</v>
      </c>
      <c r="C15" s="208"/>
      <c r="D15" s="179"/>
      <c r="E15" s="272">
        <v>0</v>
      </c>
      <c r="F15" s="331"/>
      <c r="G15" s="115" t="s">
        <v>28</v>
      </c>
      <c r="H15" s="116" t="s">
        <v>77</v>
      </c>
      <c r="I15" s="76"/>
      <c r="J15" s="338">
        <f>IF(E24&gt;0,-E24,0)</f>
        <v>0</v>
      </c>
    </row>
    <row r="16" spans="1:10" ht="15.75">
      <c r="A16" s="2" t="s">
        <v>24</v>
      </c>
      <c r="B16" s="16">
        <v>122</v>
      </c>
      <c r="C16" s="209"/>
      <c r="D16" s="179"/>
      <c r="E16" s="272">
        <v>0</v>
      </c>
      <c r="F16" s="331"/>
      <c r="G16" s="117" t="s">
        <v>29</v>
      </c>
      <c r="H16" s="7" t="s">
        <v>78</v>
      </c>
      <c r="I16" s="339">
        <f>IF(E24&lt;0,-E24,0)</f>
        <v>1267.76</v>
      </c>
      <c r="J16" s="181"/>
    </row>
    <row r="17" spans="1:10" ht="15.75">
      <c r="A17" s="2" t="s">
        <v>24</v>
      </c>
      <c r="B17" s="16">
        <v>131</v>
      </c>
      <c r="C17" s="208">
        <v>0</v>
      </c>
      <c r="D17" s="333" t="s">
        <v>187</v>
      </c>
      <c r="E17" s="272">
        <v>0</v>
      </c>
      <c r="F17" s="331"/>
      <c r="G17" s="117" t="s">
        <v>99</v>
      </c>
      <c r="H17" s="7" t="s">
        <v>227</v>
      </c>
      <c r="I17" s="339">
        <f>IF((E7-E23)&gt;0,E7-E23,0)</f>
        <v>0</v>
      </c>
      <c r="J17" s="339">
        <f>IF((E7-E23)&lt;0,E7-E23,0)</f>
        <v>-88526.800000000047</v>
      </c>
    </row>
    <row r="18" spans="1:10" ht="15.75">
      <c r="A18" s="2" t="s">
        <v>24</v>
      </c>
      <c r="B18" s="16">
        <v>132</v>
      </c>
      <c r="C18" s="209"/>
      <c r="D18" s="333" t="s">
        <v>187</v>
      </c>
      <c r="E18" s="272">
        <v>20.94</v>
      </c>
      <c r="F18" s="331"/>
      <c r="G18" s="117" t="s">
        <v>10</v>
      </c>
      <c r="H18" s="7" t="s">
        <v>58</v>
      </c>
      <c r="I18" s="7"/>
      <c r="J18" s="402"/>
    </row>
    <row r="19" spans="1:10" ht="16.5" thickBot="1">
      <c r="A19" s="2" t="s">
        <v>24</v>
      </c>
      <c r="B19" s="16" t="s">
        <v>61</v>
      </c>
      <c r="C19" s="209"/>
      <c r="D19" s="88"/>
      <c r="E19" s="272">
        <v>0</v>
      </c>
      <c r="F19" s="331"/>
      <c r="G19" s="118" t="s">
        <v>100</v>
      </c>
      <c r="H19" s="111" t="s">
        <v>207</v>
      </c>
      <c r="I19" s="404">
        <f>IF((E25-E7)&gt;0,E25-E7,0)</f>
        <v>87259.040000000037</v>
      </c>
      <c r="J19" s="75">
        <f>IF((E25-E7)&lt;0,E25-E7,0)</f>
        <v>0</v>
      </c>
    </row>
    <row r="20" spans="1:10" ht="15.75">
      <c r="A20" s="2" t="s">
        <v>156</v>
      </c>
      <c r="B20" s="44"/>
      <c r="C20" s="207"/>
      <c r="D20" s="101"/>
      <c r="E20" s="275">
        <v>0</v>
      </c>
      <c r="F20" s="331"/>
      <c r="G20" s="7"/>
      <c r="H20" s="7"/>
      <c r="I20" s="8"/>
      <c r="J20" s="216">
        <f>ROUND(SUM(I15:J19),2)</f>
        <v>0</v>
      </c>
    </row>
    <row r="21" spans="1:10" ht="16.5" thickBot="1">
      <c r="B21" s="6"/>
      <c r="C21" s="210">
        <f>SUM(C12:C20)</f>
        <v>0</v>
      </c>
      <c r="D21" s="119"/>
      <c r="E21" s="274">
        <f>SUM(E12:E20)</f>
        <v>88526.8</v>
      </c>
      <c r="F21" s="331"/>
      <c r="G21" s="7"/>
      <c r="H21" s="7"/>
      <c r="I21" s="7"/>
      <c r="J21" s="7"/>
    </row>
    <row r="22" spans="1:10" ht="16.5" thickTop="1">
      <c r="B22" s="6"/>
      <c r="C22" s="211">
        <v>0</v>
      </c>
      <c r="D22" s="41" t="s">
        <v>161</v>
      </c>
      <c r="E22" s="275">
        <v>0</v>
      </c>
      <c r="F22" s="331"/>
      <c r="G22" s="40" t="s">
        <v>158</v>
      </c>
      <c r="H22" s="7"/>
      <c r="I22" s="12"/>
      <c r="J22" s="12"/>
    </row>
    <row r="23" spans="1:10" ht="15.75">
      <c r="C23" s="267">
        <f>C21-C22</f>
        <v>0</v>
      </c>
      <c r="D23" s="41" t="s">
        <v>87</v>
      </c>
      <c r="E23" s="274">
        <f>E21+E22+E7</f>
        <v>-1477044.4499999997</v>
      </c>
      <c r="F23" s="331"/>
      <c r="G23" s="8">
        <f>(E7*(D24/12))+((E21-E20)*(D24/24))</f>
        <v>-1267.7565416666666</v>
      </c>
      <c r="H23" s="7"/>
      <c r="I23" s="8"/>
      <c r="J23" s="10"/>
    </row>
    <row r="24" spans="1:10" ht="15.75">
      <c r="C24" s="26"/>
      <c r="D24" s="184">
        <v>0.01</v>
      </c>
      <c r="E24" s="276">
        <f>ROUND(((E7)+(E21-E20)/2)*(D24/12),2)</f>
        <v>-1267.76</v>
      </c>
      <c r="F24" s="331"/>
      <c r="G24" s="40"/>
      <c r="H24" s="7"/>
      <c r="I24" s="10"/>
      <c r="J24" s="10"/>
    </row>
    <row r="25" spans="1:10" ht="16.5" thickBot="1">
      <c r="A25" s="5"/>
      <c r="B25" s="5"/>
      <c r="C25" s="26" t="s">
        <v>1</v>
      </c>
      <c r="D25" s="108">
        <f>A10</f>
        <v>41578</v>
      </c>
      <c r="E25" s="277">
        <f>SUM(E23:E24)</f>
        <v>-1478312.2099999997</v>
      </c>
      <c r="F25" s="331"/>
      <c r="G25" s="7"/>
      <c r="H25" s="7"/>
      <c r="I25" s="8"/>
      <c r="J25" s="7"/>
    </row>
    <row r="26" spans="1:10" ht="16.5" thickTop="1" thickBot="1"/>
    <row r="27" spans="1:10" ht="15.75">
      <c r="A27" s="47" t="s">
        <v>142</v>
      </c>
      <c r="B27" s="48"/>
      <c r="C27" s="49"/>
      <c r="D27" s="50"/>
      <c r="E27" s="269"/>
      <c r="G27" s="15"/>
      <c r="H27" s="5"/>
      <c r="I27" s="32"/>
      <c r="J27" s="32"/>
    </row>
    <row r="28" spans="1:10" ht="15.75">
      <c r="A28" s="178">
        <v>41608</v>
      </c>
      <c r="B28" s="45"/>
      <c r="C28" s="15"/>
      <c r="D28" s="46" t="s">
        <v>23</v>
      </c>
      <c r="E28" s="270" t="s">
        <v>21</v>
      </c>
      <c r="G28" s="5"/>
      <c r="H28" s="5"/>
      <c r="I28" s="8"/>
      <c r="J28" s="10"/>
    </row>
    <row r="29" spans="1:10" ht="16.5" thickBot="1">
      <c r="A29" s="14"/>
      <c r="B29" s="17"/>
      <c r="C29" s="97" t="s">
        <v>21</v>
      </c>
      <c r="D29" s="97" t="s">
        <v>22</v>
      </c>
      <c r="E29" s="271" t="s">
        <v>23</v>
      </c>
      <c r="F29" s="331"/>
      <c r="G29" s="7"/>
      <c r="H29" s="7"/>
      <c r="I29" s="10"/>
      <c r="J29" s="10"/>
    </row>
    <row r="30" spans="1:10" ht="15.75">
      <c r="A30" s="2" t="s">
        <v>24</v>
      </c>
      <c r="B30" s="16">
        <v>101</v>
      </c>
      <c r="C30" s="208">
        <v>7085932</v>
      </c>
      <c r="D30" s="333" t="s">
        <v>187</v>
      </c>
      <c r="E30" s="272">
        <v>104530.84</v>
      </c>
      <c r="F30" s="331"/>
      <c r="G30" s="7"/>
      <c r="H30" s="7"/>
      <c r="I30" s="8"/>
      <c r="J30" s="7"/>
    </row>
    <row r="31" spans="1:10" ht="16.5" thickBot="1">
      <c r="A31" s="2" t="s">
        <v>24</v>
      </c>
      <c r="B31" s="16">
        <v>111</v>
      </c>
      <c r="C31" s="208">
        <v>2422167</v>
      </c>
      <c r="D31" s="333" t="s">
        <v>187</v>
      </c>
      <c r="E31" s="272">
        <v>35529.620000000003</v>
      </c>
      <c r="F31" s="331"/>
      <c r="G31" s="110">
        <f>A28</f>
        <v>41608</v>
      </c>
      <c r="H31" s="111"/>
      <c r="I31" s="111"/>
      <c r="J31" s="111"/>
    </row>
    <row r="32" spans="1:10" ht="16.5" thickBot="1">
      <c r="A32" s="2" t="s">
        <v>24</v>
      </c>
      <c r="B32" s="16">
        <v>112</v>
      </c>
      <c r="C32" s="208">
        <v>24496</v>
      </c>
      <c r="D32" s="333" t="s">
        <v>187</v>
      </c>
      <c r="E32" s="272">
        <v>363.03</v>
      </c>
      <c r="F32" s="331"/>
      <c r="G32" s="70" t="s">
        <v>25</v>
      </c>
      <c r="H32" s="112"/>
      <c r="I32" s="113" t="s">
        <v>18</v>
      </c>
      <c r="J32" s="114" t="s">
        <v>19</v>
      </c>
    </row>
    <row r="33" spans="1:10" ht="15.75">
      <c r="A33" s="2" t="s">
        <v>24</v>
      </c>
      <c r="B33" s="16">
        <v>121</v>
      </c>
      <c r="C33" s="208"/>
      <c r="D33" s="179"/>
      <c r="E33" s="272">
        <v>0</v>
      </c>
      <c r="F33" s="331"/>
      <c r="G33" s="115" t="s">
        <v>28</v>
      </c>
      <c r="H33" s="116" t="s">
        <v>77</v>
      </c>
      <c r="I33" s="76"/>
      <c r="J33" s="338">
        <f>IF(E42&gt;0,-E42,0)</f>
        <v>0</v>
      </c>
    </row>
    <row r="34" spans="1:10" ht="15.75">
      <c r="A34" s="2" t="s">
        <v>24</v>
      </c>
      <c r="B34" s="16">
        <v>122</v>
      </c>
      <c r="C34" s="208"/>
      <c r="D34" s="179"/>
      <c r="E34" s="272">
        <v>0</v>
      </c>
      <c r="F34" s="331"/>
      <c r="G34" s="117" t="s">
        <v>29</v>
      </c>
      <c r="H34" s="7" t="s">
        <v>78</v>
      </c>
      <c r="I34" s="339">
        <f>IF(E42&lt;0,-E42,0)</f>
        <v>1173.9403833333333</v>
      </c>
      <c r="J34" s="181"/>
    </row>
    <row r="35" spans="1:10" ht="15.75">
      <c r="A35" s="2" t="s">
        <v>24</v>
      </c>
      <c r="B35" s="16">
        <v>131</v>
      </c>
      <c r="C35" s="208">
        <v>0</v>
      </c>
      <c r="D35" s="333" t="s">
        <v>187</v>
      </c>
      <c r="E35" s="272">
        <v>0</v>
      </c>
      <c r="F35" s="331"/>
      <c r="G35" s="117" t="s">
        <v>99</v>
      </c>
      <c r="H35" s="7" t="s">
        <v>227</v>
      </c>
      <c r="I35" s="339">
        <f>IF((E25-E41)&gt;0,E25-E41,0)</f>
        <v>0</v>
      </c>
      <c r="J35" s="339">
        <f>IF((E25-E41)&lt;0,E25-E41,0)</f>
        <v>-140007.26</v>
      </c>
    </row>
    <row r="36" spans="1:10" ht="15.75">
      <c r="A36" s="2" t="s">
        <v>24</v>
      </c>
      <c r="B36" s="16">
        <v>132</v>
      </c>
      <c r="C36" s="208">
        <v>27816</v>
      </c>
      <c r="D36" s="333" t="s">
        <v>187</v>
      </c>
      <c r="E36" s="272">
        <v>412.23</v>
      </c>
      <c r="F36" s="331"/>
      <c r="G36" s="117" t="s">
        <v>10</v>
      </c>
      <c r="H36" s="7" t="s">
        <v>58</v>
      </c>
      <c r="I36" s="7"/>
      <c r="J36" s="402"/>
    </row>
    <row r="37" spans="1:10" ht="16.5" thickBot="1">
      <c r="A37" s="2" t="s">
        <v>24</v>
      </c>
      <c r="B37" s="16" t="s">
        <v>61</v>
      </c>
      <c r="C37" s="208"/>
      <c r="D37" s="88"/>
      <c r="E37" s="272">
        <v>0</v>
      </c>
      <c r="F37" s="331"/>
      <c r="G37" s="118" t="s">
        <v>100</v>
      </c>
      <c r="H37" s="111" t="s">
        <v>207</v>
      </c>
      <c r="I37" s="404">
        <f>IF((E43-E25)&gt;0,E43-E25,0)</f>
        <v>138833.31961666676</v>
      </c>
      <c r="J37" s="75">
        <f>IF((E43-E25)&lt;0,E43-E25,0)</f>
        <v>0</v>
      </c>
    </row>
    <row r="38" spans="1:10" ht="15.75">
      <c r="A38" s="2" t="s">
        <v>156</v>
      </c>
      <c r="B38" s="44"/>
      <c r="C38" s="207"/>
      <c r="D38" s="101"/>
      <c r="E38" s="275">
        <v>0</v>
      </c>
      <c r="F38" s="331"/>
      <c r="G38" s="7"/>
      <c r="H38" s="7"/>
      <c r="I38" s="8"/>
      <c r="J38" s="216">
        <f>ROUND(SUM(I33:J37),2)</f>
        <v>0</v>
      </c>
    </row>
    <row r="39" spans="1:10" ht="16.5" thickBot="1">
      <c r="B39" s="6"/>
      <c r="C39" s="210">
        <f>SUM(C30:C38)</f>
        <v>9560411</v>
      </c>
      <c r="D39" s="119"/>
      <c r="E39" s="274">
        <f>SUM(E30:E38)</f>
        <v>140835.72</v>
      </c>
      <c r="F39" s="331"/>
      <c r="G39" s="7"/>
      <c r="H39" s="7"/>
      <c r="I39" s="7"/>
      <c r="J39" s="7"/>
    </row>
    <row r="40" spans="1:10" ht="16.5" thickTop="1">
      <c r="B40" s="6"/>
      <c r="C40" s="211">
        <v>9560411</v>
      </c>
      <c r="D40" s="41" t="s">
        <v>161</v>
      </c>
      <c r="E40" s="275">
        <f>-828.46</f>
        <v>-828.46</v>
      </c>
      <c r="F40" s="331"/>
      <c r="G40" s="40" t="s">
        <v>158</v>
      </c>
      <c r="H40" s="7"/>
      <c r="I40" s="12"/>
      <c r="J40" s="12"/>
    </row>
    <row r="41" spans="1:10" ht="15.75">
      <c r="C41" s="267">
        <f>C39-C40</f>
        <v>0</v>
      </c>
      <c r="D41" s="41" t="s">
        <v>87</v>
      </c>
      <c r="E41" s="274">
        <f>E39+E40+E25</f>
        <v>-1338304.9499999997</v>
      </c>
      <c r="F41" s="331"/>
      <c r="G41" s="8">
        <f>(E25*(D42/12))+((E39-E38)*(D42/24))</f>
        <v>-1173.2452916666666</v>
      </c>
      <c r="H41" s="7"/>
      <c r="I41" s="8"/>
      <c r="J41" s="10"/>
    </row>
    <row r="42" spans="1:10" ht="15.75">
      <c r="C42" s="26"/>
      <c r="D42" s="184">
        <v>0.01</v>
      </c>
      <c r="E42" s="276">
        <f>ROUND(((E25)+(E39-E38)/2)*(D42/12),2)+(E40*0.01/12)</f>
        <v>-1173.9403833333333</v>
      </c>
      <c r="F42" s="331"/>
      <c r="G42" s="40">
        <f>E42-G41</f>
        <v>-0.69509166666671263</v>
      </c>
      <c r="H42" s="409" t="s">
        <v>228</v>
      </c>
      <c r="I42" s="10"/>
      <c r="J42" s="10"/>
    </row>
    <row r="43" spans="1:10" ht="16.5" thickBot="1">
      <c r="A43" s="5"/>
      <c r="B43" s="5"/>
      <c r="C43" s="26" t="s">
        <v>1</v>
      </c>
      <c r="D43" s="108">
        <f>A28</f>
        <v>41608</v>
      </c>
      <c r="E43" s="277">
        <f>SUM(E41:E42)</f>
        <v>-1339478.890383333</v>
      </c>
      <c r="F43" s="331"/>
      <c r="G43" s="7"/>
      <c r="H43" s="7"/>
      <c r="I43" s="8"/>
      <c r="J43" s="7"/>
    </row>
    <row r="44" spans="1:10" ht="16.5" thickTop="1" thickBot="1"/>
    <row r="45" spans="1:10" ht="15.75">
      <c r="A45" s="47" t="s">
        <v>142</v>
      </c>
      <c r="B45" s="48"/>
      <c r="C45" s="49"/>
      <c r="D45" s="50"/>
      <c r="E45" s="269"/>
      <c r="G45" s="15"/>
      <c r="H45" s="5"/>
      <c r="I45" s="32"/>
      <c r="J45" s="32"/>
    </row>
    <row r="46" spans="1:10" ht="15.75">
      <c r="A46" s="178">
        <f>EOMONTH(A28,1)</f>
        <v>41639</v>
      </c>
      <c r="B46" s="45"/>
      <c r="C46" s="15"/>
      <c r="D46" s="46" t="s">
        <v>23</v>
      </c>
      <c r="E46" s="270" t="s">
        <v>21</v>
      </c>
      <c r="G46" s="5"/>
      <c r="H46" s="5"/>
      <c r="I46" s="8"/>
      <c r="J46" s="10"/>
    </row>
    <row r="47" spans="1:10" ht="16.5" thickBot="1">
      <c r="A47" s="14"/>
      <c r="B47" s="17"/>
      <c r="C47" s="97" t="s">
        <v>21</v>
      </c>
      <c r="D47" s="97" t="s">
        <v>22</v>
      </c>
      <c r="E47" s="271" t="s">
        <v>23</v>
      </c>
      <c r="F47" s="331"/>
      <c r="G47" s="7"/>
      <c r="H47" s="7"/>
      <c r="I47" s="10"/>
      <c r="J47" s="10"/>
    </row>
    <row r="48" spans="1:10" ht="15.75">
      <c r="A48" s="2" t="s">
        <v>24</v>
      </c>
      <c r="B48" s="16">
        <v>101</v>
      </c>
      <c r="C48" s="208">
        <f>Jan!$K$36</f>
        <v>9766779</v>
      </c>
      <c r="D48" s="333">
        <v>1.482E-2</v>
      </c>
      <c r="E48" s="272">
        <f>C48*D48</f>
        <v>144743.66477999999</v>
      </c>
      <c r="F48" s="331"/>
      <c r="G48" s="7"/>
      <c r="H48" s="7"/>
      <c r="I48" s="8"/>
      <c r="J48" s="7"/>
    </row>
    <row r="49" spans="1:10" ht="16.5" thickBot="1">
      <c r="A49" s="2" t="s">
        <v>24</v>
      </c>
      <c r="B49" s="16">
        <v>111</v>
      </c>
      <c r="C49" s="208">
        <f>Jan!$K$37</f>
        <v>3268684</v>
      </c>
      <c r="D49" s="333">
        <v>1.482E-2</v>
      </c>
      <c r="E49" s="272">
        <f t="shared" ref="E49:E55" si="0">C49*D49</f>
        <v>48441.89688</v>
      </c>
      <c r="F49" s="331"/>
      <c r="G49" s="110">
        <f>A46</f>
        <v>41639</v>
      </c>
      <c r="H49" s="111"/>
      <c r="I49" s="111"/>
      <c r="J49" s="111"/>
    </row>
    <row r="50" spans="1:10" ht="16.5" thickBot="1">
      <c r="A50" s="2" t="s">
        <v>24</v>
      </c>
      <c r="B50" s="16">
        <v>112</v>
      </c>
      <c r="C50" s="208">
        <f>Jan!$K$38</f>
        <v>1075</v>
      </c>
      <c r="D50" s="333">
        <v>1.482E-2</v>
      </c>
      <c r="E50" s="272">
        <f t="shared" si="0"/>
        <v>15.9315</v>
      </c>
      <c r="F50" s="331"/>
      <c r="G50" s="70" t="s">
        <v>25</v>
      </c>
      <c r="H50" s="112"/>
      <c r="I50" s="113" t="s">
        <v>18</v>
      </c>
      <c r="J50" s="114" t="s">
        <v>19</v>
      </c>
    </row>
    <row r="51" spans="1:10" ht="15.75">
      <c r="A51" s="2" t="s">
        <v>24</v>
      </c>
      <c r="B51" s="16">
        <v>121</v>
      </c>
      <c r="C51" s="208">
        <f>Jan!$K$39</f>
        <v>0</v>
      </c>
      <c r="D51" s="333">
        <v>1.482E-2</v>
      </c>
      <c r="E51" s="272">
        <f t="shared" si="0"/>
        <v>0</v>
      </c>
      <c r="F51" s="331"/>
      <c r="G51" s="115" t="s">
        <v>28</v>
      </c>
      <c r="H51" s="116" t="s">
        <v>77</v>
      </c>
      <c r="I51" s="76"/>
      <c r="J51" s="338">
        <f>IF(E60&gt;0,-E60,0)</f>
        <v>0</v>
      </c>
    </row>
    <row r="52" spans="1:10" ht="15.75">
      <c r="A52" s="2" t="s">
        <v>24</v>
      </c>
      <c r="B52" s="16">
        <v>122</v>
      </c>
      <c r="C52" s="208"/>
      <c r="D52" s="179"/>
      <c r="E52" s="272">
        <f t="shared" si="0"/>
        <v>0</v>
      </c>
      <c r="F52" s="331"/>
      <c r="G52" s="117" t="s">
        <v>29</v>
      </c>
      <c r="H52" s="7" t="s">
        <v>78</v>
      </c>
      <c r="I52" s="339">
        <f>IF(E60&lt;0,-E60,0)</f>
        <v>1035.73</v>
      </c>
      <c r="J52" s="181"/>
    </row>
    <row r="53" spans="1:10" ht="15.75">
      <c r="A53" s="2" t="s">
        <v>24</v>
      </c>
      <c r="B53" s="16">
        <v>131</v>
      </c>
      <c r="C53" s="208"/>
      <c r="D53" s="333"/>
      <c r="E53" s="272">
        <f t="shared" si="0"/>
        <v>0</v>
      </c>
      <c r="F53" s="331"/>
      <c r="G53" s="117" t="s">
        <v>99</v>
      </c>
      <c r="H53" s="7" t="s">
        <v>227</v>
      </c>
      <c r="I53" s="339">
        <f>IF((E43-E59)&gt;0,E43-E59,0)</f>
        <v>0</v>
      </c>
      <c r="J53" s="339">
        <f>IF((E43-E59)&lt;0,E43-E59,0)</f>
        <v>-193201.49316000007</v>
      </c>
    </row>
    <row r="54" spans="1:10" ht="15.75">
      <c r="A54" s="2" t="s">
        <v>24</v>
      </c>
      <c r="B54" s="16">
        <v>132</v>
      </c>
      <c r="C54" s="208">
        <f>Jan!$K$42</f>
        <v>0</v>
      </c>
      <c r="D54" s="333">
        <v>1.482E-2</v>
      </c>
      <c r="E54" s="272">
        <f t="shared" si="0"/>
        <v>0</v>
      </c>
      <c r="F54" s="331"/>
      <c r="G54" s="117" t="s">
        <v>10</v>
      </c>
      <c r="H54" s="7" t="s">
        <v>58</v>
      </c>
      <c r="I54" s="7"/>
      <c r="J54" s="402"/>
    </row>
    <row r="55" spans="1:10" ht="16.5" thickBot="1">
      <c r="A55" s="2" t="s">
        <v>24</v>
      </c>
      <c r="B55" s="16" t="s">
        <v>61</v>
      </c>
      <c r="C55" s="208"/>
      <c r="D55" s="88"/>
      <c r="E55" s="272">
        <f t="shared" si="0"/>
        <v>0</v>
      </c>
      <c r="F55" s="331"/>
      <c r="G55" s="118" t="s">
        <v>100</v>
      </c>
      <c r="H55" s="111" t="s">
        <v>207</v>
      </c>
      <c r="I55" s="404">
        <f>IF((E61-E43)&gt;0,E61-E43,0)</f>
        <v>192165.76316000009</v>
      </c>
      <c r="J55" s="75">
        <f>IF((E61-E43)&lt;0,E61-E43,0)</f>
        <v>0</v>
      </c>
    </row>
    <row r="56" spans="1:10" ht="15.75">
      <c r="A56" s="2" t="s">
        <v>156</v>
      </c>
      <c r="B56" s="44"/>
      <c r="C56" s="207"/>
      <c r="D56" s="101"/>
      <c r="E56" s="275">
        <v>0</v>
      </c>
      <c r="F56" s="331"/>
      <c r="G56" s="7"/>
      <c r="H56" s="7"/>
      <c r="I56" s="8"/>
      <c r="J56" s="216">
        <f>ROUND(SUM(I51:J55),2)</f>
        <v>0</v>
      </c>
    </row>
    <row r="57" spans="1:10" ht="16.5" thickBot="1">
      <c r="B57" s="6"/>
      <c r="C57" s="210">
        <f>SUM(C48:C56)</f>
        <v>13036538</v>
      </c>
      <c r="D57" s="119"/>
      <c r="E57" s="274">
        <f>SUM(E48:E56)</f>
        <v>193201.49316000001</v>
      </c>
      <c r="F57" s="331"/>
      <c r="G57" s="7"/>
      <c r="H57" s="7"/>
      <c r="I57" s="7"/>
      <c r="J57" s="7"/>
    </row>
    <row r="58" spans="1:10" ht="16.5" thickTop="1">
      <c r="B58" s="6"/>
      <c r="C58" s="211">
        <v>13799763</v>
      </c>
      <c r="D58" s="41" t="s">
        <v>161</v>
      </c>
      <c r="E58" s="275">
        <v>0</v>
      </c>
      <c r="F58" s="331"/>
      <c r="G58" s="40" t="s">
        <v>158</v>
      </c>
      <c r="H58" s="7"/>
      <c r="I58" s="12"/>
      <c r="J58" s="12"/>
    </row>
    <row r="59" spans="1:10" ht="15.75">
      <c r="C59" s="267">
        <f>C57-C58</f>
        <v>-763225</v>
      </c>
      <c r="D59" s="41" t="s">
        <v>87</v>
      </c>
      <c r="E59" s="274">
        <f>E57+E58+E43</f>
        <v>-1146277.3972233329</v>
      </c>
      <c r="F59" s="331"/>
      <c r="G59" s="8">
        <f>(E43*(D60/12))+((E57-E56)*(D60/24))</f>
        <v>-1035.7317865027776</v>
      </c>
      <c r="H59" s="7"/>
      <c r="I59" s="8"/>
      <c r="J59" s="10"/>
    </row>
    <row r="60" spans="1:10" ht="15.75">
      <c r="C60" s="26"/>
      <c r="D60" s="184">
        <v>0.01</v>
      </c>
      <c r="E60" s="276">
        <f>ROUND(((E43)+(E57-E56)/2)*(D60/12),2)</f>
        <v>-1035.73</v>
      </c>
      <c r="F60" s="331"/>
      <c r="G60" s="40"/>
      <c r="H60" s="409"/>
      <c r="I60" s="10"/>
      <c r="J60" s="10"/>
    </row>
    <row r="61" spans="1:10" ht="16.5" thickBot="1">
      <c r="A61" s="5"/>
      <c r="B61" s="5"/>
      <c r="C61" s="26" t="s">
        <v>1</v>
      </c>
      <c r="D61" s="108">
        <f>A46</f>
        <v>41639</v>
      </c>
      <c r="E61" s="277">
        <f>SUM(E59:E60)</f>
        <v>-1147313.1272233329</v>
      </c>
      <c r="F61" s="331"/>
      <c r="G61" s="416" t="s">
        <v>243</v>
      </c>
      <c r="H61" s="417" t="e">
        <f>_xll.Get_Balance(I61,"YTD","USD","Total","A","","001","191015","GD","ID","DL")-E61</f>
        <v>#VALUE!</v>
      </c>
      <c r="I61" s="418">
        <v>201312</v>
      </c>
      <c r="J61" s="7"/>
    </row>
    <row r="62" spans="1:10" ht="15.75" thickTop="1"/>
    <row r="118" spans="16:16">
      <c r="P118" s="330">
        <f>(C106*M117)/12+((C109+C112+C113)*M117)/24</f>
        <v>0</v>
      </c>
    </row>
  </sheetData>
  <conditionalFormatting sqref="C23">
    <cfRule type="cellIs" dxfId="172" priority="45" operator="notEqual">
      <formula>0</formula>
    </cfRule>
  </conditionalFormatting>
  <conditionalFormatting sqref="J20">
    <cfRule type="cellIs" dxfId="171" priority="43" stopIfTrue="1" operator="equal">
      <formula>0</formula>
    </cfRule>
    <cfRule type="cellIs" dxfId="170" priority="44" stopIfTrue="1" operator="notEqual">
      <formula>0</formula>
    </cfRule>
  </conditionalFormatting>
  <conditionalFormatting sqref="C41">
    <cfRule type="cellIs" dxfId="169" priority="6" operator="notEqual">
      <formula>0</formula>
    </cfRule>
  </conditionalFormatting>
  <conditionalFormatting sqref="J38">
    <cfRule type="cellIs" dxfId="168" priority="4" stopIfTrue="1" operator="equal">
      <formula>0</formula>
    </cfRule>
    <cfRule type="cellIs" dxfId="167" priority="5" stopIfTrue="1" operator="notEqual">
      <formula>0</formula>
    </cfRule>
  </conditionalFormatting>
  <conditionalFormatting sqref="C59">
    <cfRule type="cellIs" dxfId="166" priority="3" operator="notEqual">
      <formula>0</formula>
    </cfRule>
  </conditionalFormatting>
  <conditionalFormatting sqref="J56">
    <cfRule type="cellIs" dxfId="165" priority="1" stopIfTrue="1" operator="equal">
      <formula>0</formula>
    </cfRule>
    <cfRule type="cellIs" dxfId="164" priority="2" stopIfTrue="1" operator="notEqual">
      <formula>0</formula>
    </cfRule>
  </conditionalFormatting>
  <printOptions gridLinesSet="0"/>
  <pageMargins left="0.5" right="0.5" top="1.04" bottom="0.5" header="0.25" footer="0.25"/>
  <pageSetup scale="53" orientation="portrait" horizontalDpi="300" verticalDpi="300" r:id="rId1"/>
  <headerFooter alignWithMargins="0">
    <oddHeader>&amp;L&amp;12Prior Period Unrecovered Gas Costs
Idaho
191000</oddHeader>
    <oddFooter>&amp;L&amp;F&amp;C&amp;A&amp;R&amp;D &amp;T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M32"/>
  <sheetViews>
    <sheetView zoomScale="85" zoomScaleNormal="85" workbookViewId="0">
      <selection activeCell="H2" sqref="H2"/>
    </sheetView>
  </sheetViews>
  <sheetFormatPr defaultRowHeight="12.75"/>
  <cols>
    <col min="1" max="1" width="17.5703125" bestFit="1" customWidth="1"/>
    <col min="2" max="2" width="7.28515625" bestFit="1" customWidth="1"/>
    <col min="3" max="3" width="4.85546875" bestFit="1" customWidth="1"/>
    <col min="4" max="4" width="16.7109375" bestFit="1" customWidth="1"/>
    <col min="5" max="5" width="12.28515625" bestFit="1" customWidth="1"/>
    <col min="6" max="6" width="9.28515625" bestFit="1" customWidth="1"/>
    <col min="7" max="7" width="7.140625" bestFit="1" customWidth="1"/>
    <col min="8" max="8" width="12.42578125" bestFit="1" customWidth="1"/>
    <col min="9" max="9" width="22.85546875" bestFit="1" customWidth="1"/>
    <col min="10" max="10" width="18.140625" bestFit="1" customWidth="1"/>
    <col min="11" max="11" width="12.42578125" bestFit="1" customWidth="1"/>
    <col min="12" max="12" width="23.5703125" bestFit="1" customWidth="1"/>
    <col min="13" max="13" width="40.42578125" bestFit="1" customWidth="1"/>
    <col min="15" max="15" width="12.85546875" customWidth="1"/>
  </cols>
  <sheetData>
    <row r="1" spans="1:13" ht="15">
      <c r="A1" s="419" t="s">
        <v>265</v>
      </c>
      <c r="B1" s="420" t="s">
        <v>266</v>
      </c>
      <c r="C1" s="421" t="s">
        <v>267</v>
      </c>
      <c r="D1" s="422" t="s">
        <v>268</v>
      </c>
      <c r="E1" s="421" t="s">
        <v>269</v>
      </c>
      <c r="F1" s="419" t="s">
        <v>270</v>
      </c>
      <c r="G1" s="419" t="s">
        <v>271</v>
      </c>
      <c r="H1" s="419" t="s">
        <v>272</v>
      </c>
      <c r="I1" s="419" t="s">
        <v>273</v>
      </c>
      <c r="J1" s="419" t="s">
        <v>274</v>
      </c>
      <c r="K1" s="423" t="s">
        <v>275</v>
      </c>
      <c r="L1" s="423" t="s">
        <v>276</v>
      </c>
      <c r="M1" s="421" t="s">
        <v>277</v>
      </c>
    </row>
    <row r="2" spans="1:13" ht="15">
      <c r="A2" s="424" t="s">
        <v>278</v>
      </c>
      <c r="B2" s="425"/>
      <c r="C2" s="425"/>
      <c r="D2" s="425"/>
      <c r="E2" s="425"/>
      <c r="F2" s="424">
        <v>1</v>
      </c>
      <c r="G2" s="426" t="str">
        <f>LEFT('WA - Def-Amtz (current)'!AY5,6)</f>
        <v>419600</v>
      </c>
      <c r="H2" s="426" t="str">
        <f>LEFT('WA - Def-Amtz (current)'!AZ5,6)</f>
        <v>GD</v>
      </c>
      <c r="I2" s="426" t="str">
        <f>LEFT('WA - Def-Amtz (current)'!BA5,6)</f>
        <v>WA</v>
      </c>
      <c r="J2" s="424" t="s">
        <v>281</v>
      </c>
      <c r="K2" s="427">
        <f>'WA - Def-Amtz (current)'!BB5</f>
        <v>0</v>
      </c>
      <c r="L2" s="427">
        <f>'WA - Def-Amtz (current)'!BC5</f>
        <v>10841.38</v>
      </c>
      <c r="M2" s="428" t="str">
        <f>'WA - Def-Amtz (current)'!AX5</f>
        <v>WA Deferral Interest Income</v>
      </c>
    </row>
    <row r="3" spans="1:13" ht="15">
      <c r="A3" s="424" t="s">
        <v>278</v>
      </c>
      <c r="B3" s="425"/>
      <c r="C3" s="425"/>
      <c r="D3" s="425"/>
      <c r="E3" s="425"/>
      <c r="F3" s="424">
        <v>1</v>
      </c>
      <c r="G3" s="426" t="str">
        <f>LEFT('WA - Def-Amtz (current)'!AY6,6)</f>
        <v>431600</v>
      </c>
      <c r="H3" s="426" t="str">
        <f>LEFT('WA - Def-Amtz (current)'!AZ6,6)</f>
        <v>GD</v>
      </c>
      <c r="I3" s="426" t="str">
        <f>LEFT('WA - Def-Amtz (current)'!BA6,6)</f>
        <v>WA</v>
      </c>
      <c r="J3" s="424" t="s">
        <v>281</v>
      </c>
      <c r="K3" s="427">
        <f>'WA - Def-Amtz (current)'!BB6</f>
        <v>0</v>
      </c>
      <c r="L3" s="427">
        <f>'WA - Def-Amtz (current)'!BC6</f>
        <v>0</v>
      </c>
      <c r="M3" s="428" t="str">
        <f>'WA - Def-Amtz (current)'!AX6</f>
        <v>WA Deferral Interest Expense</v>
      </c>
    </row>
    <row r="4" spans="1:13" ht="15">
      <c r="A4" s="424" t="s">
        <v>278</v>
      </c>
      <c r="B4" s="425"/>
      <c r="C4" s="425"/>
      <c r="D4" s="425"/>
      <c r="E4" s="425"/>
      <c r="F4" s="424">
        <v>1</v>
      </c>
      <c r="G4" s="426" t="str">
        <f>LEFT('WA - Def-Amtz (current)'!AY7,6)</f>
        <v>191010</v>
      </c>
      <c r="H4" s="426" t="str">
        <f>LEFT('WA - Def-Amtz (current)'!AZ7,6)</f>
        <v>GD</v>
      </c>
      <c r="I4" s="426" t="str">
        <f>LEFT('WA - Def-Amtz (current)'!BA7,6)</f>
        <v>WA</v>
      </c>
      <c r="J4" s="424" t="s">
        <v>281</v>
      </c>
      <c r="K4" s="427">
        <f>'WA - Def-Amtz (current)'!BB7</f>
        <v>0</v>
      </c>
      <c r="L4" s="427">
        <f>'WA - Def-Amtz (current)'!BC7</f>
        <v>983542.49805000017</v>
      </c>
      <c r="M4" s="428" t="str">
        <f>'WA - Def-Amtz (current)'!AX7</f>
        <v>WA Deferral</v>
      </c>
    </row>
    <row r="5" spans="1:13" ht="15">
      <c r="A5" s="424" t="s">
        <v>278</v>
      </c>
      <c r="B5" s="425"/>
      <c r="C5" s="425"/>
      <c r="D5" s="425"/>
      <c r="E5" s="425"/>
      <c r="F5" s="424">
        <v>1</v>
      </c>
      <c r="G5" s="426" t="str">
        <f>LEFT('WA - Def-Amtz (current)'!AY8,6)</f>
        <v>805120</v>
      </c>
      <c r="H5" s="426" t="str">
        <f>LEFT('WA - Def-Amtz (current)'!AZ8,6)</f>
        <v>GD</v>
      </c>
      <c r="I5" s="426" t="str">
        <f>LEFT('WA - Def-Amtz (current)'!BA8,6)</f>
        <v>WA</v>
      </c>
      <c r="J5" s="424" t="s">
        <v>281</v>
      </c>
      <c r="K5" s="427">
        <f>'WA - Def-Amtz (current)'!BB8</f>
        <v>994383.87805000017</v>
      </c>
      <c r="L5" s="427">
        <f>'WA - Def-Amtz (current)'!BC8</f>
        <v>0</v>
      </c>
      <c r="M5" s="428" t="str">
        <f>'WA - Def-Amtz (current)'!AX8</f>
        <v>WA Deferral Expense</v>
      </c>
    </row>
    <row r="6" spans="1:13" ht="15">
      <c r="A6" s="424" t="s">
        <v>278</v>
      </c>
      <c r="B6" s="425"/>
      <c r="C6" s="425"/>
      <c r="D6" s="425"/>
      <c r="E6" s="425"/>
      <c r="F6" s="424">
        <v>1</v>
      </c>
      <c r="G6" s="426" t="str">
        <f>LEFT('WA - Def-Amtz (current)'!AY36,6)</f>
        <v>431600</v>
      </c>
      <c r="H6" s="426" t="str">
        <f>LEFT('WA - Def-Amtz (current)'!AZ36,6)</f>
        <v>GD</v>
      </c>
      <c r="I6" s="426" t="str">
        <f>LEFT('WA - Def-Amtz (current)'!BA36,6)</f>
        <v>WA</v>
      </c>
      <c r="J6" s="424" t="s">
        <v>281</v>
      </c>
      <c r="K6" s="427">
        <f>'WA - Def-Amtz (current)'!BB36</f>
        <v>0</v>
      </c>
      <c r="L6" s="427">
        <f>'WA - Def-Amtz (current)'!BC36</f>
        <v>0</v>
      </c>
      <c r="M6" s="428" t="str">
        <f>'WA - Def-Amtz (current)'!AX36</f>
        <v>WA Amortization Interest Expense</v>
      </c>
    </row>
    <row r="7" spans="1:13" ht="15">
      <c r="A7" s="424" t="s">
        <v>278</v>
      </c>
      <c r="B7" s="425"/>
      <c r="C7" s="425"/>
      <c r="D7" s="425"/>
      <c r="E7" s="425"/>
      <c r="F7" s="424">
        <v>1</v>
      </c>
      <c r="G7" s="426" t="str">
        <f>LEFT('WA - Def-Amtz (current)'!AY37,6)</f>
        <v>191000</v>
      </c>
      <c r="H7" s="426" t="str">
        <f>LEFT('WA - Def-Amtz (current)'!AZ37,6)</f>
        <v>GD</v>
      </c>
      <c r="I7" s="426" t="str">
        <f>LEFT('WA - Def-Amtz (current)'!BA37,6)</f>
        <v>WA</v>
      </c>
      <c r="J7" s="424" t="s">
        <v>281</v>
      </c>
      <c r="K7" s="427">
        <f>'WA - Def-Amtz (current)'!BB37</f>
        <v>353993.238216158</v>
      </c>
      <c r="L7" s="427">
        <f>'WA - Def-Amtz (current)'!BC37</f>
        <v>0</v>
      </c>
      <c r="M7" s="428" t="str">
        <f>'WA - Def-Amtz (current)'!AX37</f>
        <v>WA Amortization</v>
      </c>
    </row>
    <row r="8" spans="1:13" ht="15">
      <c r="A8" s="424" t="s">
        <v>278</v>
      </c>
      <c r="B8" s="425"/>
      <c r="C8" s="425"/>
      <c r="D8" s="425"/>
      <c r="E8" s="425"/>
      <c r="F8" s="424">
        <v>1</v>
      </c>
      <c r="G8" s="426" t="str">
        <f>LEFT('WA - Def-Amtz (current)'!AY38,6)</f>
        <v>805110</v>
      </c>
      <c r="H8" s="426" t="str">
        <f>LEFT('WA - Def-Amtz (current)'!AZ38,6)</f>
        <v>GD</v>
      </c>
      <c r="I8" s="426" t="str">
        <f>LEFT('WA - Def-Amtz (current)'!BA38,6)</f>
        <v>WA</v>
      </c>
      <c r="J8" s="424" t="s">
        <v>281</v>
      </c>
      <c r="K8" s="427">
        <f>'WA - Def-Amtz (current)'!BB38</f>
        <v>0</v>
      </c>
      <c r="L8" s="427">
        <f>'WA - Def-Amtz (current)'!BC38</f>
        <v>349280.21017999999</v>
      </c>
      <c r="M8" s="428" t="str">
        <f>'WA - Def-Amtz (current)'!AX38</f>
        <v>WA Amortization Expense</v>
      </c>
    </row>
    <row r="9" spans="1:13" ht="15">
      <c r="A9" s="424" t="s">
        <v>278</v>
      </c>
      <c r="B9" s="425"/>
      <c r="C9" s="425"/>
      <c r="D9" s="425"/>
      <c r="E9" s="425"/>
      <c r="F9" s="424">
        <v>1</v>
      </c>
      <c r="G9" s="426" t="str">
        <f>LEFT('WA - Def-Amtz (current)'!AY70,6)</f>
        <v>191025</v>
      </c>
      <c r="H9" s="426" t="str">
        <f>LEFT('WA - Def-Amtz (current)'!AZ70,6)</f>
        <v>GD</v>
      </c>
      <c r="I9" s="426" t="str">
        <f>LEFT('WA - Def-Amtz (current)'!BA70,6)</f>
        <v>WA</v>
      </c>
      <c r="J9" s="424" t="s">
        <v>281</v>
      </c>
      <c r="K9" s="427">
        <f>'WA - Def-Amtz (current)'!BB70</f>
        <v>0</v>
      </c>
      <c r="L9" s="427">
        <f>'WA - Def-Amtz (current)'!BC70</f>
        <v>0</v>
      </c>
      <c r="M9" s="428" t="str">
        <f>'WA - Def-Amtz (current)'!AX70</f>
        <v>WA Amortization JP</v>
      </c>
    </row>
    <row r="10" spans="1:13" ht="15">
      <c r="A10" s="424" t="s">
        <v>278</v>
      </c>
      <c r="B10" s="425"/>
      <c r="C10" s="425"/>
      <c r="D10" s="425"/>
      <c r="E10" s="425"/>
      <c r="F10" s="424">
        <v>1</v>
      </c>
      <c r="G10" s="426" t="str">
        <f>LEFT('WA - Def-Amtz (current)'!AY71,6)</f>
        <v>805110</v>
      </c>
      <c r="H10" s="426" t="str">
        <f>LEFT('WA - Def-Amtz (current)'!AZ71,6)</f>
        <v>GD</v>
      </c>
      <c r="I10" s="426" t="str">
        <f>LEFT('WA - Def-Amtz (current)'!BA71,6)</f>
        <v>WA</v>
      </c>
      <c r="J10" s="424" t="s">
        <v>281</v>
      </c>
      <c r="K10" s="427">
        <f>'WA - Def-Amtz (current)'!BB71</f>
        <v>0</v>
      </c>
      <c r="L10" s="427">
        <f>'WA - Def-Amtz (current)'!BC71</f>
        <v>0</v>
      </c>
      <c r="M10" s="428" t="str">
        <f>'WA - Def-Amtz (current)'!AX71</f>
        <v>WA Amortization Expense JP</v>
      </c>
    </row>
    <row r="11" spans="1:13" ht="15">
      <c r="A11" s="424"/>
      <c r="B11" s="425"/>
      <c r="C11" s="425"/>
      <c r="D11" s="425"/>
      <c r="E11" s="425"/>
      <c r="F11" s="424"/>
      <c r="G11" s="426"/>
      <c r="H11" s="426"/>
      <c r="I11" s="426"/>
      <c r="J11" s="424"/>
      <c r="K11" s="427"/>
      <c r="L11" s="427"/>
      <c r="M11" s="428"/>
    </row>
    <row r="12" spans="1:13" ht="15">
      <c r="A12" s="424"/>
      <c r="B12" s="425"/>
      <c r="C12" s="425"/>
      <c r="D12" s="425"/>
      <c r="E12" s="425"/>
      <c r="F12" s="424"/>
      <c r="G12" s="426"/>
      <c r="H12" s="426"/>
      <c r="I12" s="426"/>
      <c r="J12" s="424"/>
      <c r="K12" s="427"/>
      <c r="L12" s="427"/>
      <c r="M12" s="428"/>
    </row>
    <row r="13" spans="1:13" ht="15">
      <c r="A13" s="424" t="s">
        <v>278</v>
      </c>
      <c r="B13" s="425"/>
      <c r="C13" s="425"/>
      <c r="D13" s="425"/>
      <c r="E13" s="425"/>
      <c r="F13" s="424">
        <v>1</v>
      </c>
      <c r="G13" s="426" t="e">
        <f>LEFT(#REF!,6)</f>
        <v>#REF!</v>
      </c>
      <c r="H13" s="426" t="e">
        <f>LEFT(#REF!,6)</f>
        <v>#REF!</v>
      </c>
      <c r="I13" s="426" t="e">
        <f>LEFT(#REF!,6)</f>
        <v>#REF!</v>
      </c>
      <c r="J13" s="424" t="s">
        <v>281</v>
      </c>
      <c r="K13" s="427" t="e">
        <f>#REF!</f>
        <v>#REF!</v>
      </c>
      <c r="L13" s="427" t="e">
        <f>#REF!</f>
        <v>#REF!</v>
      </c>
      <c r="M13" s="428" t="e">
        <f>#REF!</f>
        <v>#REF!</v>
      </c>
    </row>
    <row r="14" spans="1:13" ht="15">
      <c r="A14" s="424" t="s">
        <v>278</v>
      </c>
      <c r="B14" s="425"/>
      <c r="C14" s="425"/>
      <c r="D14" s="425"/>
      <c r="E14" s="425"/>
      <c r="F14" s="424">
        <v>1</v>
      </c>
      <c r="G14" s="426" t="e">
        <f>LEFT(#REF!,6)</f>
        <v>#REF!</v>
      </c>
      <c r="H14" s="426" t="e">
        <f>LEFT(#REF!,6)</f>
        <v>#REF!</v>
      </c>
      <c r="I14" s="426" t="e">
        <f>LEFT(#REF!,6)</f>
        <v>#REF!</v>
      </c>
      <c r="J14" s="424" t="s">
        <v>281</v>
      </c>
      <c r="K14" s="427" t="e">
        <f>#REF!</f>
        <v>#REF!</v>
      </c>
      <c r="L14" s="427" t="e">
        <f>#REF!</f>
        <v>#REF!</v>
      </c>
      <c r="M14" s="428" t="e">
        <f>#REF!</f>
        <v>#REF!</v>
      </c>
    </row>
    <row r="15" spans="1:13" ht="15">
      <c r="A15" s="424" t="s">
        <v>278</v>
      </c>
      <c r="B15" s="425"/>
      <c r="C15" s="425"/>
      <c r="D15" s="425"/>
      <c r="E15" s="425"/>
      <c r="F15" s="424">
        <v>1</v>
      </c>
      <c r="G15" s="426" t="e">
        <f>LEFT(#REF!,6)</f>
        <v>#REF!</v>
      </c>
      <c r="H15" s="426" t="e">
        <f>LEFT(#REF!,6)</f>
        <v>#REF!</v>
      </c>
      <c r="I15" s="426" t="e">
        <f>LEFT(#REF!,6)</f>
        <v>#REF!</v>
      </c>
      <c r="J15" s="424" t="s">
        <v>281</v>
      </c>
      <c r="K15" s="427" t="e">
        <f>#REF!</f>
        <v>#REF!</v>
      </c>
      <c r="L15" s="427" t="e">
        <f>#REF!</f>
        <v>#REF!</v>
      </c>
      <c r="M15" s="428" t="e">
        <f>#REF!</f>
        <v>#REF!</v>
      </c>
    </row>
    <row r="16" spans="1:13" ht="15">
      <c r="A16" s="424" t="s">
        <v>278</v>
      </c>
      <c r="B16" s="425"/>
      <c r="C16" s="425"/>
      <c r="D16" s="425"/>
      <c r="E16" s="425"/>
      <c r="F16" s="424">
        <v>1</v>
      </c>
      <c r="G16" s="426" t="e">
        <f>LEFT(#REF!,6)</f>
        <v>#REF!</v>
      </c>
      <c r="H16" s="426" t="e">
        <f>LEFT(#REF!,6)</f>
        <v>#REF!</v>
      </c>
      <c r="I16" s="426" t="e">
        <f>LEFT(#REF!,6)</f>
        <v>#REF!</v>
      </c>
      <c r="J16" s="424" t="s">
        <v>281</v>
      </c>
      <c r="K16" s="427" t="e">
        <f>#REF!</f>
        <v>#REF!</v>
      </c>
      <c r="L16" s="427" t="e">
        <f>#REF!</f>
        <v>#REF!</v>
      </c>
      <c r="M16" s="428" t="e">
        <f>#REF!</f>
        <v>#REF!</v>
      </c>
    </row>
    <row r="17" spans="1:13" ht="15">
      <c r="A17" s="424" t="s">
        <v>278</v>
      </c>
      <c r="B17" s="425"/>
      <c r="C17" s="425"/>
      <c r="D17" s="425"/>
      <c r="E17" s="425"/>
      <c r="F17" s="424">
        <v>1</v>
      </c>
      <c r="G17" s="426" t="e">
        <f>LEFT(#REF!,6)</f>
        <v>#REF!</v>
      </c>
      <c r="H17" s="426" t="e">
        <f>LEFT(#REF!,6)</f>
        <v>#REF!</v>
      </c>
      <c r="I17" s="426" t="e">
        <f>LEFT(#REF!,6)</f>
        <v>#REF!</v>
      </c>
      <c r="J17" s="424" t="s">
        <v>281</v>
      </c>
      <c r="K17" s="427" t="e">
        <f>#REF!</f>
        <v>#REF!</v>
      </c>
      <c r="L17" s="427" t="e">
        <f>#REF!</f>
        <v>#REF!</v>
      </c>
      <c r="M17" s="428" t="e">
        <f>#REF!</f>
        <v>#REF!</v>
      </c>
    </row>
    <row r="18" spans="1:13" ht="15">
      <c r="A18" s="424" t="s">
        <v>278</v>
      </c>
      <c r="B18" s="425"/>
      <c r="C18" s="425"/>
      <c r="D18" s="425"/>
      <c r="E18" s="425"/>
      <c r="F18" s="424">
        <v>1</v>
      </c>
      <c r="G18" s="426" t="e">
        <f>LEFT(#REF!,6)</f>
        <v>#REF!</v>
      </c>
      <c r="H18" s="426" t="e">
        <f>LEFT(#REF!,6)</f>
        <v>#REF!</v>
      </c>
      <c r="I18" s="426" t="e">
        <f>LEFT(#REF!,6)</f>
        <v>#REF!</v>
      </c>
      <c r="J18" s="424" t="s">
        <v>281</v>
      </c>
      <c r="K18" s="427" t="e">
        <f>#REF!</f>
        <v>#REF!</v>
      </c>
      <c r="L18" s="427" t="e">
        <f>#REF!</f>
        <v>#REF!</v>
      </c>
      <c r="M18" s="428" t="e">
        <f>#REF!</f>
        <v>#REF!</v>
      </c>
    </row>
    <row r="19" spans="1:13" ht="15">
      <c r="A19" s="424" t="s">
        <v>278</v>
      </c>
      <c r="B19" s="425"/>
      <c r="C19" s="425"/>
      <c r="D19" s="425"/>
      <c r="E19" s="425"/>
      <c r="F19" s="424">
        <v>1</v>
      </c>
      <c r="G19" s="426" t="e">
        <f>LEFT(#REF!,6)</f>
        <v>#REF!</v>
      </c>
      <c r="H19" s="426" t="e">
        <f>LEFT(#REF!,6)</f>
        <v>#REF!</v>
      </c>
      <c r="I19" s="426" t="e">
        <f>LEFT(#REF!,6)</f>
        <v>#REF!</v>
      </c>
      <c r="J19" s="424" t="s">
        <v>281</v>
      </c>
      <c r="K19" s="427" t="e">
        <f>#REF!</f>
        <v>#REF!</v>
      </c>
      <c r="L19" s="427" t="e">
        <f>#REF!</f>
        <v>#REF!</v>
      </c>
      <c r="M19" s="428" t="e">
        <f>#REF!</f>
        <v>#REF!</v>
      </c>
    </row>
    <row r="20" spans="1:13" ht="15">
      <c r="A20" s="424" t="s">
        <v>278</v>
      </c>
      <c r="B20" s="425"/>
      <c r="C20" s="425"/>
      <c r="D20" s="425"/>
      <c r="E20" s="425"/>
      <c r="F20" s="424">
        <v>1</v>
      </c>
      <c r="G20" s="426" t="e">
        <f>LEFT(#REF!,6)</f>
        <v>#REF!</v>
      </c>
      <c r="H20" s="426" t="e">
        <f>LEFT(#REF!,6)</f>
        <v>#REF!</v>
      </c>
      <c r="I20" s="426" t="e">
        <f>LEFT(#REF!,6)</f>
        <v>#REF!</v>
      </c>
      <c r="J20" s="424" t="s">
        <v>281</v>
      </c>
      <c r="K20" s="427" t="e">
        <f>#REF!</f>
        <v>#REF!</v>
      </c>
      <c r="L20" s="427" t="e">
        <f>#REF!</f>
        <v>#REF!</v>
      </c>
      <c r="M20" s="428" t="e">
        <f>#REF!</f>
        <v>#REF!</v>
      </c>
    </row>
    <row r="21" spans="1:13" ht="15">
      <c r="A21" s="424"/>
      <c r="B21" s="425"/>
      <c r="C21" s="425"/>
      <c r="D21" s="425"/>
      <c r="E21" s="425"/>
      <c r="F21" s="424"/>
      <c r="G21" s="426"/>
      <c r="H21" s="426"/>
      <c r="I21" s="426"/>
      <c r="J21" s="424"/>
      <c r="K21" s="427"/>
      <c r="L21" s="427"/>
      <c r="M21" s="428"/>
    </row>
    <row r="22" spans="1:13" ht="15">
      <c r="A22" s="424"/>
      <c r="B22" s="425"/>
      <c r="C22" s="425"/>
      <c r="D22" s="425"/>
      <c r="E22" s="425"/>
      <c r="F22" s="424"/>
      <c r="G22" s="426"/>
      <c r="H22" s="426"/>
      <c r="I22" s="426"/>
      <c r="J22" s="424"/>
      <c r="K22" s="427"/>
      <c r="L22" s="427"/>
      <c r="M22" s="428"/>
    </row>
    <row r="23" spans="1:13" s="435" customFormat="1" ht="15">
      <c r="A23" s="424"/>
      <c r="B23" s="425"/>
      <c r="C23" s="425"/>
      <c r="D23" s="425"/>
      <c r="E23" s="425"/>
      <c r="F23" s="424"/>
      <c r="G23" s="426"/>
      <c r="H23" s="426"/>
      <c r="I23" s="426"/>
      <c r="J23" s="424"/>
      <c r="K23" s="427"/>
      <c r="L23" s="427"/>
      <c r="M23" s="439"/>
    </row>
    <row r="24" spans="1:13" s="435" customFormat="1" ht="15">
      <c r="A24" s="424"/>
      <c r="B24" s="425"/>
      <c r="C24" s="425"/>
      <c r="D24" s="425"/>
      <c r="E24" s="425"/>
      <c r="F24" s="424"/>
      <c r="G24" s="426"/>
      <c r="H24" s="426"/>
      <c r="I24" s="426"/>
      <c r="J24" s="424"/>
      <c r="K24" s="427"/>
      <c r="L24" s="427"/>
      <c r="M24" s="439"/>
    </row>
    <row r="25" spans="1:13" ht="15">
      <c r="A25" s="424" t="s">
        <v>278</v>
      </c>
      <c r="B25" s="425"/>
      <c r="C25" s="425"/>
      <c r="D25" s="425"/>
      <c r="E25" s="425"/>
      <c r="F25" s="424">
        <v>1</v>
      </c>
      <c r="G25" s="426" t="e">
        <f>LEFT(#REF!,6)</f>
        <v>#REF!</v>
      </c>
      <c r="H25" s="426" t="e">
        <f>LEFT(#REF!,6)</f>
        <v>#REF!</v>
      </c>
      <c r="I25" s="426" t="e">
        <f>LEFT(#REF!,6)</f>
        <v>#REF!</v>
      </c>
      <c r="J25" s="424" t="s">
        <v>281</v>
      </c>
      <c r="K25" s="427" t="e">
        <f>#REF!</f>
        <v>#REF!</v>
      </c>
      <c r="L25" s="427" t="e">
        <f>#REF!</f>
        <v>#REF!</v>
      </c>
      <c r="M25" s="428" t="e">
        <f>#REF!</f>
        <v>#REF!</v>
      </c>
    </row>
    <row r="26" spans="1:13" ht="15">
      <c r="A26" s="424" t="s">
        <v>278</v>
      </c>
      <c r="B26" s="425"/>
      <c r="C26" s="425"/>
      <c r="D26" s="425"/>
      <c r="E26" s="425"/>
      <c r="F26" s="424">
        <v>1</v>
      </c>
      <c r="G26" s="426" t="e">
        <f>LEFT(#REF!,6)</f>
        <v>#REF!</v>
      </c>
      <c r="H26" s="426" t="e">
        <f>LEFT(#REF!,6)</f>
        <v>#REF!</v>
      </c>
      <c r="I26" s="426" t="e">
        <f>LEFT(#REF!,6)</f>
        <v>#REF!</v>
      </c>
      <c r="J26" s="424" t="s">
        <v>281</v>
      </c>
      <c r="K26" s="427" t="e">
        <f>#REF!</f>
        <v>#REF!</v>
      </c>
      <c r="L26" s="427" t="e">
        <f>#REF!</f>
        <v>#REF!</v>
      </c>
      <c r="M26" s="428" t="e">
        <f>#REF!</f>
        <v>#REF!</v>
      </c>
    </row>
    <row r="27" spans="1:13" ht="15">
      <c r="A27" s="424" t="s">
        <v>278</v>
      </c>
      <c r="B27" s="425"/>
      <c r="C27" s="425"/>
      <c r="D27" s="425"/>
      <c r="E27" s="425"/>
      <c r="F27" s="424">
        <v>1</v>
      </c>
      <c r="G27" s="426" t="e">
        <f>LEFT(#REF!,6)</f>
        <v>#REF!</v>
      </c>
      <c r="H27" s="426" t="e">
        <f>LEFT(#REF!,6)</f>
        <v>#REF!</v>
      </c>
      <c r="I27" s="426" t="e">
        <f>LEFT(#REF!,6)</f>
        <v>#REF!</v>
      </c>
      <c r="J27" s="424" t="s">
        <v>281</v>
      </c>
      <c r="K27" s="427" t="e">
        <f>#REF!</f>
        <v>#REF!</v>
      </c>
      <c r="L27" s="427" t="e">
        <f>#REF!</f>
        <v>#REF!</v>
      </c>
      <c r="M27" s="428" t="e">
        <f>#REF!</f>
        <v>#REF!</v>
      </c>
    </row>
    <row r="28" spans="1:13" ht="15">
      <c r="A28" s="424" t="s">
        <v>278</v>
      </c>
      <c r="B28" s="425"/>
      <c r="C28" s="425"/>
      <c r="D28" s="425"/>
      <c r="E28" s="425"/>
      <c r="F28" s="424">
        <v>1</v>
      </c>
      <c r="G28" s="426" t="e">
        <f>LEFT(#REF!,6)</f>
        <v>#REF!</v>
      </c>
      <c r="H28" s="426" t="e">
        <f>LEFT(#REF!,6)</f>
        <v>#REF!</v>
      </c>
      <c r="I28" s="426" t="e">
        <f>LEFT(#REF!,6)</f>
        <v>#REF!</v>
      </c>
      <c r="J28" s="424" t="s">
        <v>281</v>
      </c>
      <c r="K28" s="427" t="e">
        <f>#REF!</f>
        <v>#REF!</v>
      </c>
      <c r="L28" s="427" t="e">
        <f>#REF!</f>
        <v>#REF!</v>
      </c>
      <c r="M28" s="428" t="e">
        <f>#REF!</f>
        <v>#REF!</v>
      </c>
    </row>
    <row r="29" spans="1:13" ht="15">
      <c r="A29" s="424" t="s">
        <v>278</v>
      </c>
      <c r="B29" s="425"/>
      <c r="C29" s="425"/>
      <c r="D29" s="425"/>
      <c r="E29" s="425"/>
      <c r="F29" s="424">
        <v>1</v>
      </c>
      <c r="G29" s="426" t="e">
        <f>LEFT(#REF!,6)</f>
        <v>#REF!</v>
      </c>
      <c r="H29" s="426" t="e">
        <f>LEFT(#REF!,6)</f>
        <v>#REF!</v>
      </c>
      <c r="I29" s="426" t="e">
        <f>LEFT(#REF!,6)</f>
        <v>#REF!</v>
      </c>
      <c r="J29" s="424" t="s">
        <v>281</v>
      </c>
      <c r="K29" s="427" t="e">
        <f>#REF!</f>
        <v>#REF!</v>
      </c>
      <c r="L29" s="427" t="e">
        <f>#REF!</f>
        <v>#REF!</v>
      </c>
      <c r="M29" s="428" t="e">
        <f>#REF!</f>
        <v>#REF!</v>
      </c>
    </row>
    <row r="30" spans="1:13" ht="15">
      <c r="A30" s="424" t="s">
        <v>278</v>
      </c>
      <c r="B30" s="425"/>
      <c r="C30" s="425"/>
      <c r="D30" s="425"/>
      <c r="E30" s="425"/>
      <c r="F30" s="424">
        <v>1</v>
      </c>
      <c r="G30" s="426" t="e">
        <f>LEFT(#REF!,6)</f>
        <v>#REF!</v>
      </c>
      <c r="H30" s="426" t="e">
        <f>LEFT(#REF!,6)</f>
        <v>#REF!</v>
      </c>
      <c r="I30" s="426" t="e">
        <f>LEFT(#REF!,6)</f>
        <v>#REF!</v>
      </c>
      <c r="J30" s="424" t="s">
        <v>281</v>
      </c>
      <c r="K30" s="427" t="e">
        <f>#REF!</f>
        <v>#REF!</v>
      </c>
      <c r="L30" s="427" t="e">
        <f>#REF!</f>
        <v>#REF!</v>
      </c>
      <c r="M30" s="428" t="e">
        <f>#REF!</f>
        <v>#REF!</v>
      </c>
    </row>
    <row r="31" spans="1:13" ht="15">
      <c r="A31" s="424"/>
      <c r="B31" s="425"/>
      <c r="C31" s="425"/>
      <c r="D31" s="425"/>
      <c r="E31" s="425"/>
      <c r="F31" s="424"/>
      <c r="G31" s="426"/>
      <c r="H31" s="426"/>
      <c r="I31" s="426"/>
      <c r="J31" s="424"/>
    </row>
    <row r="32" spans="1:13">
      <c r="K32" t="e">
        <f>SUM(K2:K31)</f>
        <v>#REF!</v>
      </c>
      <c r="L32" t="e">
        <f>SUM(L2:L31)</f>
        <v>#REF!</v>
      </c>
    </row>
  </sheetData>
  <pageMargins left="0.7" right="0.7" top="0.75" bottom="0.75" header="0.3" footer="0.3"/>
  <pageSetup scale="61"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5">
    <tabColor rgb="FF92D050"/>
    <pageSetUpPr fitToPage="1"/>
  </sheetPr>
  <dimension ref="A1:P355"/>
  <sheetViews>
    <sheetView showGridLines="0" view="pageBreakPreview" topLeftCell="A276" zoomScale="80" zoomScaleNormal="100" zoomScaleSheetLayoutView="80" workbookViewId="0">
      <selection activeCell="G51" sqref="G51:J55"/>
    </sheetView>
  </sheetViews>
  <sheetFormatPr defaultColWidth="9.140625" defaultRowHeight="15"/>
  <cols>
    <col min="1" max="1" width="13.140625" style="1" customWidth="1"/>
    <col min="2" max="2" width="9.28515625" style="1" customWidth="1"/>
    <col min="3" max="3" width="17.85546875" style="1" customWidth="1"/>
    <col min="4" max="4" width="18.42578125" style="1" customWidth="1"/>
    <col min="5" max="5" width="20.140625" style="268" bestFit="1" customWidth="1"/>
    <col min="6" max="6" width="16.140625" style="1" customWidth="1"/>
    <col min="7" max="7" width="34.5703125" style="1" bestFit="1" customWidth="1"/>
    <col min="8" max="8" width="16.85546875" style="1" customWidth="1"/>
    <col min="9" max="9" width="18.28515625" style="1" bestFit="1" customWidth="1"/>
    <col min="10" max="10" width="18.28515625" style="1" customWidth="1"/>
    <col min="11" max="11" width="3.42578125" style="1" customWidth="1"/>
    <col min="12" max="16384" width="9.140625" style="1"/>
  </cols>
  <sheetData>
    <row r="1" spans="1:10" ht="15.75">
      <c r="A1" s="27" t="s">
        <v>13</v>
      </c>
    </row>
    <row r="2" spans="1:10" ht="15.75">
      <c r="A2" s="27" t="s">
        <v>46</v>
      </c>
    </row>
    <row r="3" spans="1:10" ht="15.75">
      <c r="A3" s="27" t="s">
        <v>170</v>
      </c>
    </row>
    <row r="4" spans="1:10" ht="15.75">
      <c r="A4" s="27" t="s">
        <v>171</v>
      </c>
    </row>
    <row r="7" spans="1:10" s="279" customFormat="1" ht="16.5" hidden="1" thickBot="1">
      <c r="A7" s="5"/>
      <c r="B7" s="5"/>
      <c r="C7" s="26" t="s">
        <v>1</v>
      </c>
      <c r="D7" s="108">
        <v>41182</v>
      </c>
      <c r="E7" s="277">
        <v>802311.62372397084</v>
      </c>
      <c r="F7" s="281"/>
      <c r="G7" s="7"/>
      <c r="H7" s="7"/>
      <c r="I7" s="8"/>
      <c r="J7" s="7"/>
    </row>
    <row r="8" spans="1:10" s="331" customFormat="1" ht="16.5" hidden="1" thickTop="1">
      <c r="D8" s="107" t="s">
        <v>208</v>
      </c>
      <c r="E8" s="274">
        <f>'ID Def 191010'!T17</f>
        <v>-2122091.5699999998</v>
      </c>
    </row>
    <row r="9" spans="1:10" s="331" customFormat="1" ht="16.5" hidden="1" thickBot="1">
      <c r="D9" s="107" t="s">
        <v>204</v>
      </c>
      <c r="E9" s="277">
        <f>E8+E7</f>
        <v>-1319779.9462760291</v>
      </c>
    </row>
    <row r="10" spans="1:10" s="279" customFormat="1" ht="16.5" hidden="1" thickTop="1" thickBot="1">
      <c r="E10" s="268"/>
    </row>
    <row r="11" spans="1:10" ht="15.75" hidden="1">
      <c r="A11" s="47" t="s">
        <v>142</v>
      </c>
      <c r="B11" s="48"/>
      <c r="C11" s="49"/>
      <c r="D11" s="50"/>
      <c r="E11" s="269"/>
      <c r="F11" s="279"/>
      <c r="G11" s="15"/>
      <c r="H11" s="5"/>
      <c r="I11" s="32"/>
      <c r="J11" s="32"/>
    </row>
    <row r="12" spans="1:10" ht="15.75" hidden="1">
      <c r="A12" s="178">
        <v>41213</v>
      </c>
      <c r="B12" s="45"/>
      <c r="C12" s="15"/>
      <c r="D12" s="46" t="s">
        <v>23</v>
      </c>
      <c r="E12" s="270" t="s">
        <v>21</v>
      </c>
      <c r="F12" s="279"/>
      <c r="G12" s="5"/>
      <c r="H12" s="5"/>
      <c r="I12" s="8"/>
      <c r="J12" s="10"/>
    </row>
    <row r="13" spans="1:10" ht="16.5" hidden="1" thickBot="1">
      <c r="A13" s="14"/>
      <c r="B13" s="17"/>
      <c r="C13" s="97" t="s">
        <v>21</v>
      </c>
      <c r="D13" s="97" t="s">
        <v>22</v>
      </c>
      <c r="E13" s="271" t="s">
        <v>23</v>
      </c>
      <c r="F13" s="281"/>
      <c r="G13" s="7"/>
      <c r="H13" s="7"/>
      <c r="I13" s="10"/>
      <c r="J13" s="10"/>
    </row>
    <row r="14" spans="1:10" ht="15.75" hidden="1">
      <c r="A14" s="2" t="s">
        <v>24</v>
      </c>
      <c r="B14" s="16">
        <v>101</v>
      </c>
      <c r="C14" s="208">
        <v>3765205</v>
      </c>
      <c r="D14" s="191">
        <v>1.7780000000000001E-2</v>
      </c>
      <c r="E14" s="272">
        <v>66929.279999999999</v>
      </c>
      <c r="F14" s="331" t="s">
        <v>187</v>
      </c>
      <c r="G14" s="7"/>
      <c r="H14" s="7"/>
      <c r="I14" s="8"/>
      <c r="J14" s="7"/>
    </row>
    <row r="15" spans="1:10" ht="16.5" hidden="1" thickBot="1">
      <c r="A15" s="2" t="s">
        <v>24</v>
      </c>
      <c r="B15" s="16">
        <v>111</v>
      </c>
      <c r="C15" s="208">
        <v>1887716</v>
      </c>
      <c r="D15" s="191">
        <v>1.7780000000000001E-2</v>
      </c>
      <c r="E15" s="272">
        <v>32198.03</v>
      </c>
      <c r="F15" s="331" t="s">
        <v>187</v>
      </c>
      <c r="G15" s="110">
        <f>A12</f>
        <v>41213</v>
      </c>
      <c r="H15" s="111"/>
      <c r="I15" s="111"/>
      <c r="J15" s="111"/>
    </row>
    <row r="16" spans="1:10" ht="16.5" hidden="1" thickBot="1">
      <c r="A16" s="2" t="s">
        <v>24</v>
      </c>
      <c r="B16" s="16">
        <v>112</v>
      </c>
      <c r="C16" s="208"/>
      <c r="D16" s="191"/>
      <c r="E16" s="272">
        <v>0</v>
      </c>
      <c r="F16" s="281"/>
      <c r="G16" s="70" t="s">
        <v>25</v>
      </c>
      <c r="H16" s="112"/>
      <c r="I16" s="113" t="s">
        <v>18</v>
      </c>
      <c r="J16" s="114" t="s">
        <v>19</v>
      </c>
    </row>
    <row r="17" spans="1:10" ht="15.75" hidden="1">
      <c r="A17" s="2" t="s">
        <v>24</v>
      </c>
      <c r="B17" s="16">
        <v>121</v>
      </c>
      <c r="C17" s="208"/>
      <c r="D17" s="179"/>
      <c r="E17" s="272">
        <v>0</v>
      </c>
      <c r="F17" s="281"/>
      <c r="G17" s="115" t="s">
        <v>28</v>
      </c>
      <c r="H17" s="116" t="s">
        <v>77</v>
      </c>
      <c r="I17" s="76"/>
      <c r="J17" s="338">
        <v>0</v>
      </c>
    </row>
    <row r="18" spans="1:10" ht="15.75" hidden="1">
      <c r="A18" s="2" t="s">
        <v>24</v>
      </c>
      <c r="B18" s="16">
        <v>122</v>
      </c>
      <c r="C18" s="209"/>
      <c r="D18" s="179"/>
      <c r="E18" s="272">
        <v>0</v>
      </c>
      <c r="F18" s="281"/>
      <c r="G18" s="117" t="s">
        <v>29</v>
      </c>
      <c r="H18" s="7" t="s">
        <v>78</v>
      </c>
      <c r="I18" s="339">
        <f>-E26</f>
        <v>1058.51</v>
      </c>
      <c r="J18" s="181"/>
    </row>
    <row r="19" spans="1:10" ht="15.75" hidden="1">
      <c r="A19" s="2" t="s">
        <v>24</v>
      </c>
      <c r="B19" s="16">
        <v>131</v>
      </c>
      <c r="C19" s="208">
        <v>0</v>
      </c>
      <c r="D19" s="191">
        <v>1.6570000000000001E-2</v>
      </c>
      <c r="E19" s="272">
        <v>0</v>
      </c>
      <c r="F19" s="281"/>
      <c r="G19" s="117" t="s">
        <v>99</v>
      </c>
      <c r="H19" s="7" t="s">
        <v>60</v>
      </c>
      <c r="I19" s="8"/>
      <c r="J19" s="67">
        <f>-E23-E24</f>
        <v>-147173</v>
      </c>
    </row>
    <row r="20" spans="1:10" ht="15.75" hidden="1">
      <c r="A20" s="2" t="s">
        <v>24</v>
      </c>
      <c r="B20" s="16">
        <v>132</v>
      </c>
      <c r="C20" s="209"/>
      <c r="D20" s="88"/>
      <c r="E20" s="272">
        <v>0</v>
      </c>
      <c r="F20" s="281"/>
      <c r="G20" s="117" t="s">
        <v>10</v>
      </c>
      <c r="H20" s="7" t="s">
        <v>58</v>
      </c>
      <c r="I20" s="7">
        <v>0</v>
      </c>
      <c r="J20" s="77"/>
    </row>
    <row r="21" spans="1:10" ht="16.5" hidden="1" thickBot="1">
      <c r="A21" s="2" t="s">
        <v>24</v>
      </c>
      <c r="B21" s="16" t="s">
        <v>61</v>
      </c>
      <c r="C21" s="209"/>
      <c r="D21" s="88"/>
      <c r="E21" s="272">
        <v>0</v>
      </c>
      <c r="F21" s="281"/>
      <c r="G21" s="118" t="s">
        <v>100</v>
      </c>
      <c r="H21" s="111" t="s">
        <v>62</v>
      </c>
      <c r="I21" s="78">
        <f>-E9+E27</f>
        <v>146114.49</v>
      </c>
      <c r="J21" s="75">
        <v>0</v>
      </c>
    </row>
    <row r="22" spans="1:10" ht="15.75" hidden="1">
      <c r="A22" s="2" t="s">
        <v>156</v>
      </c>
      <c r="B22" s="44"/>
      <c r="C22" s="207"/>
      <c r="D22" s="101"/>
      <c r="E22" s="273">
        <v>48045.69</v>
      </c>
      <c r="F22" s="281"/>
      <c r="G22" s="7"/>
      <c r="H22" s="7"/>
      <c r="I22" s="8"/>
      <c r="J22" s="216">
        <f>ROUND(SUM(I17:J21),2)</f>
        <v>0</v>
      </c>
    </row>
    <row r="23" spans="1:10" ht="16.5" hidden="1" thickBot="1">
      <c r="A23" s="279"/>
      <c r="B23" s="6"/>
      <c r="C23" s="210">
        <f>SUM(C14:C22)</f>
        <v>5652921</v>
      </c>
      <c r="D23" s="119"/>
      <c r="E23" s="274">
        <f>SUM(E14:E22)</f>
        <v>147173</v>
      </c>
      <c r="F23" s="281"/>
      <c r="G23" s="7"/>
      <c r="H23" s="7"/>
      <c r="I23" s="7"/>
      <c r="J23" s="7"/>
    </row>
    <row r="24" spans="1:10" ht="16.5" hidden="1" thickTop="1">
      <c r="A24" s="279"/>
      <c r="B24" s="6"/>
      <c r="C24" s="211">
        <v>5652921</v>
      </c>
      <c r="D24" s="41" t="s">
        <v>161</v>
      </c>
      <c r="E24" s="275">
        <v>0</v>
      </c>
      <c r="F24" s="281"/>
      <c r="G24" s="40" t="s">
        <v>158</v>
      </c>
      <c r="H24" s="7"/>
      <c r="I24" s="12"/>
      <c r="J24" s="12"/>
    </row>
    <row r="25" spans="1:10" ht="15.75" hidden="1">
      <c r="A25" s="279"/>
      <c r="B25" s="279"/>
      <c r="C25" s="267">
        <f>C23-C24</f>
        <v>0</v>
      </c>
      <c r="D25" s="41" t="s">
        <v>87</v>
      </c>
      <c r="E25" s="274">
        <f>E23+E24+E9</f>
        <v>-1172606.9462760291</v>
      </c>
      <c r="F25" s="281"/>
      <c r="G25" s="8">
        <f>(E9*(D26/12))+((E23-E22)*(D26/24))</f>
        <v>-1058.5135760633577</v>
      </c>
      <c r="H25" s="7"/>
      <c r="I25" s="8"/>
      <c r="J25" s="10"/>
    </row>
    <row r="26" spans="1:10" ht="15.75" hidden="1">
      <c r="A26" s="279"/>
      <c r="B26" s="279"/>
      <c r="C26" s="26"/>
      <c r="D26" s="184">
        <v>0.01</v>
      </c>
      <c r="E26" s="276">
        <f>ROUND(((E9)+(E23-E22)/2)*(D26/12),2)</f>
        <v>-1058.51</v>
      </c>
      <c r="F26" s="281"/>
      <c r="G26" s="40"/>
      <c r="H26" s="7"/>
      <c r="I26" s="10"/>
      <c r="J26" s="10"/>
    </row>
    <row r="27" spans="1:10" ht="16.5" hidden="1" thickBot="1">
      <c r="A27" s="5"/>
      <c r="B27" s="5"/>
      <c r="C27" s="26" t="s">
        <v>1</v>
      </c>
      <c r="D27" s="108">
        <f>A12</f>
        <v>41213</v>
      </c>
      <c r="E27" s="277">
        <f>SUM(E25:E26)</f>
        <v>-1173665.4562760291</v>
      </c>
      <c r="F27" s="281"/>
      <c r="G27" s="7"/>
      <c r="H27" s="7"/>
      <c r="I27" s="8"/>
      <c r="J27" s="7"/>
    </row>
    <row r="28" spans="1:10" ht="16.5" hidden="1" thickTop="1" thickBot="1"/>
    <row r="29" spans="1:10" ht="15.75" hidden="1">
      <c r="A29" s="47" t="s">
        <v>142</v>
      </c>
      <c r="B29" s="48"/>
      <c r="C29" s="49"/>
      <c r="D29" s="50"/>
      <c r="E29" s="269"/>
      <c r="F29" s="330"/>
      <c r="G29" s="15"/>
      <c r="H29" s="5"/>
      <c r="I29" s="32"/>
      <c r="J29" s="32"/>
    </row>
    <row r="30" spans="1:10" ht="15.75" hidden="1">
      <c r="A30" s="178">
        <v>41243</v>
      </c>
      <c r="B30" s="45"/>
      <c r="C30" s="15"/>
      <c r="D30" s="46" t="s">
        <v>23</v>
      </c>
      <c r="E30" s="270" t="s">
        <v>21</v>
      </c>
      <c r="F30" s="330"/>
      <c r="G30" s="5"/>
      <c r="H30" s="5"/>
      <c r="I30" s="8"/>
      <c r="J30" s="10"/>
    </row>
    <row r="31" spans="1:10" ht="16.5" hidden="1" thickBot="1">
      <c r="A31" s="14"/>
      <c r="B31" s="17"/>
      <c r="C31" s="97" t="s">
        <v>21</v>
      </c>
      <c r="D31" s="97" t="s">
        <v>22</v>
      </c>
      <c r="E31" s="271" t="s">
        <v>23</v>
      </c>
      <c r="F31" s="331"/>
      <c r="G31" s="7"/>
      <c r="H31" s="7"/>
      <c r="I31" s="10"/>
      <c r="J31" s="10"/>
    </row>
    <row r="32" spans="1:10" ht="15.75" hidden="1">
      <c r="A32" s="2" t="s">
        <v>24</v>
      </c>
      <c r="B32" s="16">
        <v>101</v>
      </c>
      <c r="C32" s="208">
        <v>6036412</v>
      </c>
      <c r="D32" s="333">
        <v>1.7780000000000001E-2</v>
      </c>
      <c r="E32" s="272">
        <v>74956.77</v>
      </c>
      <c r="F32" s="331" t="s">
        <v>187</v>
      </c>
      <c r="G32" s="7"/>
      <c r="H32" s="7"/>
      <c r="I32" s="8"/>
      <c r="J32" s="7"/>
    </row>
    <row r="33" spans="1:10" ht="16.5" hidden="1" thickBot="1">
      <c r="A33" s="2" t="s">
        <v>24</v>
      </c>
      <c r="B33" s="16">
        <v>111</v>
      </c>
      <c r="C33" s="208">
        <v>1867362</v>
      </c>
      <c r="D33" s="333">
        <v>1.7780000000000001E-2</v>
      </c>
      <c r="E33" s="272">
        <v>15979.81</v>
      </c>
      <c r="F33" s="331" t="s">
        <v>187</v>
      </c>
      <c r="G33" s="110">
        <v>41243</v>
      </c>
      <c r="H33" s="111"/>
      <c r="I33" s="111"/>
      <c r="J33" s="111"/>
    </row>
    <row r="34" spans="1:10" ht="16.5" hidden="1" thickBot="1">
      <c r="A34" s="2" t="s">
        <v>24</v>
      </c>
      <c r="B34" s="16">
        <v>112</v>
      </c>
      <c r="C34" s="208"/>
      <c r="D34" s="333"/>
      <c r="E34" s="272">
        <v>0</v>
      </c>
      <c r="F34" s="331"/>
      <c r="G34" s="70" t="s">
        <v>214</v>
      </c>
      <c r="H34" s="112"/>
      <c r="I34" s="113" t="s">
        <v>18</v>
      </c>
      <c r="J34" s="114" t="s">
        <v>19</v>
      </c>
    </row>
    <row r="35" spans="1:10" ht="15.75" hidden="1">
      <c r="A35" s="2" t="s">
        <v>24</v>
      </c>
      <c r="B35" s="16">
        <v>121</v>
      </c>
      <c r="C35" s="208"/>
      <c r="D35" s="179"/>
      <c r="E35" s="272">
        <v>0</v>
      </c>
      <c r="F35" s="331"/>
      <c r="G35" s="115" t="s">
        <v>28</v>
      </c>
      <c r="H35" s="116" t="s">
        <v>77</v>
      </c>
      <c r="I35" s="76"/>
      <c r="J35" s="338">
        <v>0</v>
      </c>
    </row>
    <row r="36" spans="1:10" ht="15.75" hidden="1">
      <c r="A36" s="2" t="s">
        <v>24</v>
      </c>
      <c r="B36" s="16">
        <v>122</v>
      </c>
      <c r="C36" s="209"/>
      <c r="D36" s="179"/>
      <c r="E36" s="272">
        <v>0</v>
      </c>
      <c r="F36" s="331"/>
      <c r="G36" s="117" t="s">
        <v>29</v>
      </c>
      <c r="H36" s="7" t="s">
        <v>78</v>
      </c>
      <c r="I36" s="339">
        <v>940.16</v>
      </c>
      <c r="J36" s="181"/>
    </row>
    <row r="37" spans="1:10" ht="15.75" hidden="1">
      <c r="A37" s="2" t="s">
        <v>24</v>
      </c>
      <c r="B37" s="16">
        <v>131</v>
      </c>
      <c r="C37" s="208">
        <v>0</v>
      </c>
      <c r="D37" s="333">
        <v>1.6570000000000001E-2</v>
      </c>
      <c r="E37" s="272">
        <v>0</v>
      </c>
      <c r="F37" s="331"/>
      <c r="G37" s="117" t="s">
        <v>99</v>
      </c>
      <c r="H37" s="7" t="s">
        <v>60</v>
      </c>
      <c r="I37" s="8"/>
      <c r="J37" s="67">
        <v>-90758.61</v>
      </c>
    </row>
    <row r="38" spans="1:10" ht="15.75" hidden="1">
      <c r="A38" s="2" t="s">
        <v>24</v>
      </c>
      <c r="B38" s="16">
        <v>132</v>
      </c>
      <c r="C38" s="209"/>
      <c r="D38" s="88"/>
      <c r="E38" s="272">
        <v>0</v>
      </c>
      <c r="F38" s="331"/>
      <c r="G38" s="117" t="s">
        <v>10</v>
      </c>
      <c r="H38" s="7" t="s">
        <v>58</v>
      </c>
      <c r="I38" s="7">
        <v>0</v>
      </c>
      <c r="J38" s="77"/>
    </row>
    <row r="39" spans="1:10" ht="16.5" hidden="1" thickBot="1">
      <c r="A39" s="2" t="s">
        <v>24</v>
      </c>
      <c r="B39" s="16" t="s">
        <v>61</v>
      </c>
      <c r="C39" s="209"/>
      <c r="D39" s="88"/>
      <c r="E39" s="272">
        <v>0</v>
      </c>
      <c r="F39" s="331"/>
      <c r="G39" s="118" t="s">
        <v>100</v>
      </c>
      <c r="H39" s="111" t="s">
        <v>62</v>
      </c>
      <c r="I39" s="78">
        <v>89818.450000000186</v>
      </c>
      <c r="J39" s="75">
        <v>0</v>
      </c>
    </row>
    <row r="40" spans="1:10" ht="15.75" hidden="1">
      <c r="A40" s="2" t="s">
        <v>156</v>
      </c>
      <c r="B40" s="44"/>
      <c r="C40" s="207"/>
      <c r="D40" s="101"/>
      <c r="E40" s="273">
        <v>0</v>
      </c>
      <c r="F40" s="331"/>
      <c r="G40" s="7"/>
      <c r="H40" s="7"/>
      <c r="I40" s="8"/>
      <c r="J40" s="216">
        <v>0</v>
      </c>
    </row>
    <row r="41" spans="1:10" ht="16.5" hidden="1" thickBot="1">
      <c r="A41" s="330"/>
      <c r="B41" s="6"/>
      <c r="C41" s="210">
        <v>7903774</v>
      </c>
      <c r="D41" s="119"/>
      <c r="E41" s="274">
        <v>90936.58</v>
      </c>
      <c r="F41" s="331"/>
      <c r="G41" s="7"/>
      <c r="H41" s="7"/>
      <c r="I41" s="7"/>
      <c r="J41" s="7"/>
    </row>
    <row r="42" spans="1:10" ht="16.5" hidden="1" thickTop="1">
      <c r="A42" s="330"/>
      <c r="B42" s="6"/>
      <c r="C42" s="211">
        <v>7903774</v>
      </c>
      <c r="D42" s="41" t="s">
        <v>161</v>
      </c>
      <c r="E42" s="275">
        <v>-177.97000000000116</v>
      </c>
      <c r="F42" s="331"/>
      <c r="G42" s="40" t="s">
        <v>158</v>
      </c>
      <c r="H42" s="7"/>
      <c r="I42" s="12"/>
      <c r="J42" s="12"/>
    </row>
    <row r="43" spans="1:10" ht="15.75" hidden="1">
      <c r="A43" s="330"/>
      <c r="B43" s="330"/>
      <c r="C43" s="267">
        <v>0</v>
      </c>
      <c r="D43" s="41" t="s">
        <v>87</v>
      </c>
      <c r="E43" s="274">
        <v>-1082906.846276029</v>
      </c>
      <c r="F43" s="331"/>
      <c r="G43" s="8">
        <v>-940.16430523002441</v>
      </c>
      <c r="H43" s="7"/>
      <c r="I43" s="8"/>
      <c r="J43" s="10"/>
    </row>
    <row r="44" spans="1:10" ht="15.75" hidden="1">
      <c r="A44" s="330"/>
      <c r="B44" s="330"/>
      <c r="C44" s="26"/>
      <c r="D44" s="184">
        <v>0.01</v>
      </c>
      <c r="E44" s="276">
        <v>-940.16</v>
      </c>
      <c r="F44" s="331"/>
      <c r="G44" s="40"/>
      <c r="H44" s="7"/>
      <c r="I44" s="10"/>
      <c r="J44" s="10"/>
    </row>
    <row r="45" spans="1:10" ht="16.5" hidden="1" thickBot="1">
      <c r="A45" s="5"/>
      <c r="B45" s="5"/>
      <c r="C45" s="26" t="s">
        <v>1</v>
      </c>
      <c r="D45" s="108">
        <v>41243</v>
      </c>
      <c r="E45" s="277">
        <v>-1083847.0062760289</v>
      </c>
      <c r="F45" s="331"/>
      <c r="G45" s="7"/>
      <c r="H45" s="7"/>
      <c r="I45" s="8"/>
      <c r="J45" s="7"/>
    </row>
    <row r="46" spans="1:10" s="330" customFormat="1" ht="16.5" hidden="1" thickTop="1" thickBot="1">
      <c r="E46" s="268"/>
    </row>
    <row r="47" spans="1:10" s="330" customFormat="1" ht="15.75" hidden="1">
      <c r="A47" s="47" t="s">
        <v>142</v>
      </c>
      <c r="B47" s="48"/>
      <c r="C47" s="49"/>
      <c r="D47" s="50"/>
      <c r="E47" s="269"/>
      <c r="G47" s="15"/>
      <c r="H47" s="5"/>
      <c r="I47" s="32"/>
      <c r="J47" s="32"/>
    </row>
    <row r="48" spans="1:10" s="330" customFormat="1" ht="15.75" hidden="1">
      <c r="A48" s="178" t="s">
        <v>219</v>
      </c>
      <c r="B48" s="45"/>
      <c r="C48" s="15"/>
      <c r="D48" s="46" t="s">
        <v>23</v>
      </c>
      <c r="E48" s="270" t="s">
        <v>21</v>
      </c>
      <c r="G48" s="5"/>
      <c r="H48" s="5"/>
      <c r="I48" s="8"/>
      <c r="J48" s="10"/>
    </row>
    <row r="49" spans="1:10" s="330" customFormat="1" ht="16.5" hidden="1" thickBot="1">
      <c r="A49" s="14"/>
      <c r="B49" s="17"/>
      <c r="C49" s="97" t="s">
        <v>21</v>
      </c>
      <c r="D49" s="97" t="s">
        <v>22</v>
      </c>
      <c r="E49" s="271" t="s">
        <v>23</v>
      </c>
      <c r="F49" s="331"/>
      <c r="G49" s="7"/>
      <c r="H49" s="7"/>
      <c r="I49" s="10"/>
      <c r="J49" s="10"/>
    </row>
    <row r="50" spans="1:10" s="330" customFormat="1" ht="15.75" hidden="1">
      <c r="A50" s="2" t="s">
        <v>24</v>
      </c>
      <c r="B50" s="16">
        <v>101</v>
      </c>
      <c r="C50" s="208">
        <v>6036412</v>
      </c>
      <c r="D50" s="333">
        <v>1.7780000000000001E-2</v>
      </c>
      <c r="E50" s="272">
        <v>107587.32</v>
      </c>
      <c r="F50" s="331" t="s">
        <v>187</v>
      </c>
      <c r="G50" s="7"/>
      <c r="H50" s="7"/>
      <c r="I50" s="8"/>
      <c r="J50" s="7"/>
    </row>
    <row r="51" spans="1:10" s="330" customFormat="1" ht="16.5" hidden="1" thickBot="1">
      <c r="A51" s="2" t="s">
        <v>24</v>
      </c>
      <c r="B51" s="16">
        <v>111</v>
      </c>
      <c r="C51" s="208">
        <v>1867362</v>
      </c>
      <c r="D51" s="333">
        <v>1.7780000000000001E-2</v>
      </c>
      <c r="E51" s="272">
        <v>33861.39</v>
      </c>
      <c r="F51" s="331" t="s">
        <v>187</v>
      </c>
      <c r="G51" s="342" t="str">
        <f>A48</f>
        <v>11-30-2012 - Corrected</v>
      </c>
      <c r="H51" s="343"/>
      <c r="I51" s="343"/>
      <c r="J51" s="343"/>
    </row>
    <row r="52" spans="1:10" s="330" customFormat="1" ht="16.5" hidden="1" thickBot="1">
      <c r="A52" s="2" t="s">
        <v>24</v>
      </c>
      <c r="B52" s="16">
        <v>112</v>
      </c>
      <c r="C52" s="208"/>
      <c r="D52" s="333"/>
      <c r="E52" s="272">
        <f t="shared" ref="E52:E57" si="0">C52*D52</f>
        <v>0</v>
      </c>
      <c r="F52" s="331"/>
      <c r="G52" s="344" t="s">
        <v>215</v>
      </c>
      <c r="H52" s="345"/>
      <c r="I52" s="346" t="s">
        <v>18</v>
      </c>
      <c r="J52" s="347" t="s">
        <v>19</v>
      </c>
    </row>
    <row r="53" spans="1:10" s="330" customFormat="1" ht="15.75" hidden="1">
      <c r="A53" s="2" t="s">
        <v>24</v>
      </c>
      <c r="B53" s="16">
        <v>121</v>
      </c>
      <c r="C53" s="208"/>
      <c r="D53" s="179"/>
      <c r="E53" s="272">
        <f t="shared" si="0"/>
        <v>0</v>
      </c>
      <c r="F53" s="331"/>
      <c r="G53" s="348" t="s">
        <v>28</v>
      </c>
      <c r="H53" s="349" t="s">
        <v>77</v>
      </c>
      <c r="I53" s="350"/>
      <c r="J53" s="351">
        <v>0</v>
      </c>
    </row>
    <row r="54" spans="1:10" s="330" customFormat="1" ht="15.75" hidden="1">
      <c r="A54" s="2" t="s">
        <v>24</v>
      </c>
      <c r="B54" s="16">
        <v>122</v>
      </c>
      <c r="C54" s="209"/>
      <c r="D54" s="179"/>
      <c r="E54" s="272">
        <f t="shared" si="0"/>
        <v>0</v>
      </c>
      <c r="F54" s="331"/>
      <c r="G54" s="352" t="s">
        <v>29</v>
      </c>
      <c r="H54" s="353" t="s">
        <v>78</v>
      </c>
      <c r="I54" s="354">
        <v>0</v>
      </c>
      <c r="J54" s="355">
        <f>-E62+E44</f>
        <v>-95.889999999999986</v>
      </c>
    </row>
    <row r="55" spans="1:10" s="330" customFormat="1" ht="15.75" hidden="1">
      <c r="A55" s="2" t="s">
        <v>24</v>
      </c>
      <c r="B55" s="16">
        <v>131</v>
      </c>
      <c r="C55" s="208">
        <v>0</v>
      </c>
      <c r="D55" s="333">
        <v>1.6570000000000001E-2</v>
      </c>
      <c r="E55" s="272">
        <f t="shared" si="0"/>
        <v>0</v>
      </c>
      <c r="F55" s="331"/>
      <c r="G55" s="352" t="s">
        <v>99</v>
      </c>
      <c r="H55" s="353" t="s">
        <v>60</v>
      </c>
      <c r="I55" s="278">
        <v>0</v>
      </c>
      <c r="J55" s="356">
        <f>E41-E59</f>
        <v>-50512.130000000019</v>
      </c>
    </row>
    <row r="56" spans="1:10" s="330" customFormat="1" ht="15.75" hidden="1">
      <c r="A56" s="2" t="s">
        <v>24</v>
      </c>
      <c r="B56" s="16">
        <v>132</v>
      </c>
      <c r="C56" s="209"/>
      <c r="D56" s="88"/>
      <c r="E56" s="272">
        <f t="shared" si="0"/>
        <v>0</v>
      </c>
      <c r="F56" s="331"/>
      <c r="G56" s="352" t="s">
        <v>10</v>
      </c>
      <c r="H56" s="353" t="s">
        <v>58</v>
      </c>
      <c r="I56" s="353">
        <v>0</v>
      </c>
      <c r="J56" s="357"/>
    </row>
    <row r="57" spans="1:10" s="330" customFormat="1" ht="16.5" hidden="1" thickBot="1">
      <c r="A57" s="2" t="s">
        <v>24</v>
      </c>
      <c r="B57" s="16" t="s">
        <v>61</v>
      </c>
      <c r="C57" s="209"/>
      <c r="D57" s="88"/>
      <c r="E57" s="272">
        <f t="shared" si="0"/>
        <v>0</v>
      </c>
      <c r="F57" s="331"/>
      <c r="G57" s="358" t="s">
        <v>100</v>
      </c>
      <c r="H57" s="343" t="s">
        <v>62</v>
      </c>
      <c r="I57" s="359">
        <f>-J55-J54</f>
        <v>50608.020000000019</v>
      </c>
      <c r="J57" s="360">
        <v>0</v>
      </c>
    </row>
    <row r="58" spans="1:10" s="330" customFormat="1" ht="15.75" hidden="1">
      <c r="A58" s="2" t="s">
        <v>156</v>
      </c>
      <c r="B58" s="44"/>
      <c r="C58" s="207"/>
      <c r="D58" s="101"/>
      <c r="E58" s="273">
        <v>0</v>
      </c>
      <c r="F58" s="331"/>
      <c r="G58" s="353"/>
      <c r="H58" s="353"/>
      <c r="I58" s="278"/>
      <c r="J58" s="278">
        <f>ROUND(SUM(I53:J57),2)</f>
        <v>0</v>
      </c>
    </row>
    <row r="59" spans="1:10" s="330" customFormat="1" ht="16.5" hidden="1" thickBot="1">
      <c r="B59" s="6"/>
      <c r="C59" s="210">
        <f>SUM(C50:C58)</f>
        <v>7903774</v>
      </c>
      <c r="D59" s="119"/>
      <c r="E59" s="274">
        <f>SUM(E50:E58)</f>
        <v>141448.71000000002</v>
      </c>
      <c r="F59" s="331"/>
      <c r="G59" s="7"/>
      <c r="H59" s="7"/>
      <c r="I59" s="7"/>
      <c r="J59" s="7"/>
    </row>
    <row r="60" spans="1:10" s="330" customFormat="1" ht="16.5" hidden="1" thickTop="1">
      <c r="B60" s="6"/>
      <c r="C60" s="211">
        <v>7903774</v>
      </c>
      <c r="D60" s="41" t="s">
        <v>161</v>
      </c>
      <c r="E60" s="275">
        <f>47867.72-48045.69</f>
        <v>-177.97000000000116</v>
      </c>
      <c r="F60" s="331"/>
      <c r="G60" s="40" t="s">
        <v>158</v>
      </c>
      <c r="H60" s="7"/>
      <c r="I60" s="12"/>
      <c r="J60" s="12"/>
    </row>
    <row r="61" spans="1:10" s="330" customFormat="1" ht="15.75" hidden="1">
      <c r="C61" s="267">
        <f>C59-C60</f>
        <v>0</v>
      </c>
      <c r="D61" s="41" t="s">
        <v>87</v>
      </c>
      <c r="E61" s="274">
        <f>E59+E60+E27</f>
        <v>-1032394.7162760291</v>
      </c>
      <c r="F61" s="331"/>
      <c r="G61" s="8">
        <f>(E45*(D62/12))+(E59*(D62/24))</f>
        <v>-844.26887606335742</v>
      </c>
      <c r="H61" s="7"/>
      <c r="I61" s="8"/>
      <c r="J61" s="10"/>
    </row>
    <row r="62" spans="1:10" s="330" customFormat="1" ht="15.75" hidden="1">
      <c r="C62" s="26"/>
      <c r="D62" s="184">
        <v>0.01</v>
      </c>
      <c r="E62" s="276">
        <f>ROUND(((E45)+(E59)/2)*(D62/12),2)</f>
        <v>-844.27</v>
      </c>
      <c r="F62" s="331"/>
      <c r="G62" s="40"/>
      <c r="H62" s="7"/>
      <c r="I62" s="10"/>
      <c r="J62" s="10"/>
    </row>
    <row r="63" spans="1:10" s="330" customFormat="1" ht="16.5" hidden="1" thickBot="1">
      <c r="A63" s="5"/>
      <c r="B63" s="5"/>
      <c r="C63" s="26" t="s">
        <v>1</v>
      </c>
      <c r="D63" s="108" t="str">
        <f>A48</f>
        <v>11-30-2012 - Corrected</v>
      </c>
      <c r="E63" s="277">
        <f>SUM(E61:E62)</f>
        <v>-1033238.9862760291</v>
      </c>
      <c r="F63" s="331"/>
      <c r="G63" s="7"/>
      <c r="H63" s="7"/>
      <c r="I63" s="8"/>
      <c r="J63" s="7"/>
    </row>
    <row r="64" spans="1:10" s="330" customFormat="1" ht="16.5" hidden="1" thickTop="1" thickBot="1">
      <c r="E64" s="268"/>
    </row>
    <row r="65" spans="1:10" s="330" customFormat="1" ht="15.75" hidden="1">
      <c r="A65" s="47" t="s">
        <v>142</v>
      </c>
      <c r="B65" s="48"/>
      <c r="C65" s="49"/>
      <c r="D65" s="50"/>
      <c r="E65" s="269"/>
      <c r="G65" s="15"/>
      <c r="H65" s="5"/>
      <c r="I65" s="32"/>
      <c r="J65" s="32"/>
    </row>
    <row r="66" spans="1:10" s="330" customFormat="1" ht="15.75" hidden="1">
      <c r="A66" s="178">
        <v>41274</v>
      </c>
      <c r="B66" s="45"/>
      <c r="C66" s="15"/>
      <c r="D66" s="46" t="s">
        <v>23</v>
      </c>
      <c r="E66" s="270" t="s">
        <v>21</v>
      </c>
      <c r="G66" s="5"/>
      <c r="H66" s="5"/>
      <c r="I66" s="8"/>
      <c r="J66" s="10"/>
    </row>
    <row r="67" spans="1:10" s="330" customFormat="1" ht="16.5" hidden="1" thickBot="1">
      <c r="A67" s="14"/>
      <c r="B67" s="17"/>
      <c r="C67" s="97" t="s">
        <v>21</v>
      </c>
      <c r="D67" s="97" t="s">
        <v>22</v>
      </c>
      <c r="E67" s="271" t="s">
        <v>23</v>
      </c>
      <c r="F67" s="331"/>
      <c r="G67" s="7"/>
      <c r="H67" s="7"/>
      <c r="I67" s="10"/>
      <c r="J67" s="10"/>
    </row>
    <row r="68" spans="1:10" s="330" customFormat="1" ht="15.75" hidden="1">
      <c r="A68" s="2" t="s">
        <v>24</v>
      </c>
      <c r="B68" s="16">
        <v>101</v>
      </c>
      <c r="C68" s="208">
        <v>8220978</v>
      </c>
      <c r="D68" s="333">
        <v>1.7780000000000001E-2</v>
      </c>
      <c r="E68" s="272">
        <f>C68*D68</f>
        <v>146168.98884000001</v>
      </c>
      <c r="F68" s="331"/>
      <c r="G68" s="7"/>
      <c r="H68" s="7"/>
      <c r="I68" s="8"/>
      <c r="J68" s="7"/>
    </row>
    <row r="69" spans="1:10" s="330" customFormat="1" ht="16.5" hidden="1" thickBot="1">
      <c r="A69" s="2" t="s">
        <v>24</v>
      </c>
      <c r="B69" s="16">
        <v>111</v>
      </c>
      <c r="C69" s="208">
        <v>2679003</v>
      </c>
      <c r="D69" s="333">
        <v>1.7780000000000001E-2</v>
      </c>
      <c r="E69" s="272">
        <f t="shared" ref="E69:E76" si="1">C69*D69</f>
        <v>47632.673340000001</v>
      </c>
      <c r="F69" s="331"/>
      <c r="G69" s="110">
        <f>A66</f>
        <v>41274</v>
      </c>
      <c r="H69" s="111"/>
      <c r="I69" s="111"/>
      <c r="J69" s="111"/>
    </row>
    <row r="70" spans="1:10" s="330" customFormat="1" ht="16.5" hidden="1" thickBot="1">
      <c r="A70" s="2" t="s">
        <v>24</v>
      </c>
      <c r="B70" s="16">
        <v>112</v>
      </c>
      <c r="C70" s="208"/>
      <c r="D70" s="333"/>
      <c r="E70" s="272">
        <f t="shared" si="1"/>
        <v>0</v>
      </c>
      <c r="F70" s="331"/>
      <c r="G70" s="70" t="s">
        <v>25</v>
      </c>
      <c r="H70" s="112"/>
      <c r="I70" s="113" t="s">
        <v>18</v>
      </c>
      <c r="J70" s="114" t="s">
        <v>19</v>
      </c>
    </row>
    <row r="71" spans="1:10" s="330" customFormat="1" ht="15.75" hidden="1">
      <c r="A71" s="2" t="s">
        <v>24</v>
      </c>
      <c r="B71" s="16">
        <v>121</v>
      </c>
      <c r="C71" s="208"/>
      <c r="D71" s="179"/>
      <c r="E71" s="272">
        <f t="shared" si="1"/>
        <v>0</v>
      </c>
      <c r="F71" s="331"/>
      <c r="G71" s="115" t="s">
        <v>28</v>
      </c>
      <c r="H71" s="116" t="s">
        <v>77</v>
      </c>
      <c r="I71" s="76"/>
      <c r="J71" s="338">
        <v>0</v>
      </c>
    </row>
    <row r="72" spans="1:10" s="330" customFormat="1" ht="15.75" hidden="1">
      <c r="A72" s="2" t="s">
        <v>24</v>
      </c>
      <c r="B72" s="16">
        <v>122</v>
      </c>
      <c r="C72" s="209"/>
      <c r="D72" s="179"/>
      <c r="E72" s="272">
        <f t="shared" si="1"/>
        <v>0</v>
      </c>
      <c r="F72" s="331"/>
      <c r="G72" s="117" t="s">
        <v>29</v>
      </c>
      <c r="H72" s="7" t="s">
        <v>78</v>
      </c>
      <c r="I72" s="339">
        <f>-E80</f>
        <v>780.28</v>
      </c>
      <c r="J72" s="181"/>
    </row>
    <row r="73" spans="1:10" s="330" customFormat="1" ht="15.75" hidden="1">
      <c r="A73" s="2" t="s">
        <v>24</v>
      </c>
      <c r="B73" s="16">
        <v>131</v>
      </c>
      <c r="C73" s="208">
        <v>0</v>
      </c>
      <c r="D73" s="333">
        <v>1.6570000000000001E-2</v>
      </c>
      <c r="E73" s="272">
        <f t="shared" si="1"/>
        <v>0</v>
      </c>
      <c r="F73" s="331"/>
      <c r="G73" s="117" t="s">
        <v>99</v>
      </c>
      <c r="H73" s="7" t="s">
        <v>60</v>
      </c>
      <c r="I73" s="8"/>
      <c r="J73" s="67">
        <f>-E77-E78</f>
        <v>-193801.66218000001</v>
      </c>
    </row>
    <row r="74" spans="1:10" s="330" customFormat="1" ht="15.75" hidden="1">
      <c r="A74" s="2" t="s">
        <v>24</v>
      </c>
      <c r="B74" s="16">
        <v>132</v>
      </c>
      <c r="C74" s="209"/>
      <c r="D74" s="88"/>
      <c r="E74" s="272">
        <f t="shared" si="1"/>
        <v>0</v>
      </c>
      <c r="F74" s="331"/>
      <c r="G74" s="117" t="s">
        <v>10</v>
      </c>
      <c r="H74" s="7" t="s">
        <v>58</v>
      </c>
      <c r="I74" s="7">
        <v>0</v>
      </c>
      <c r="J74" s="77"/>
    </row>
    <row r="75" spans="1:10" s="330" customFormat="1" ht="16.5" hidden="1" thickBot="1">
      <c r="A75" s="2" t="s">
        <v>24</v>
      </c>
      <c r="B75" s="16" t="s">
        <v>61</v>
      </c>
      <c r="C75" s="209"/>
      <c r="D75" s="88"/>
      <c r="E75" s="272">
        <f t="shared" si="1"/>
        <v>0</v>
      </c>
      <c r="F75" s="331"/>
      <c r="G75" s="118" t="s">
        <v>100</v>
      </c>
      <c r="H75" s="111" t="s">
        <v>62</v>
      </c>
      <c r="I75" s="78">
        <f>-E63+E81</f>
        <v>193021.38217999996</v>
      </c>
      <c r="J75" s="75">
        <v>0</v>
      </c>
    </row>
    <row r="76" spans="1:10" s="330" customFormat="1" ht="15.75" hidden="1">
      <c r="A76" s="2" t="s">
        <v>156</v>
      </c>
      <c r="B76" s="44"/>
      <c r="C76" s="207"/>
      <c r="D76" s="101"/>
      <c r="E76" s="273">
        <f t="shared" si="1"/>
        <v>0</v>
      </c>
      <c r="F76" s="331"/>
      <c r="G76" s="7"/>
      <c r="H76" s="7"/>
      <c r="I76" s="8"/>
      <c r="J76" s="216">
        <f>ROUND(SUM(I71:J75),2)</f>
        <v>0</v>
      </c>
    </row>
    <row r="77" spans="1:10" s="330" customFormat="1" ht="16.5" hidden="1" thickBot="1">
      <c r="B77" s="6"/>
      <c r="C77" s="210">
        <f>SUM(C68:C76)</f>
        <v>10899981</v>
      </c>
      <c r="D77" s="119"/>
      <c r="E77" s="274">
        <f>SUM(E68:E76)</f>
        <v>193801.66218000001</v>
      </c>
      <c r="F77" s="331"/>
      <c r="G77" s="7"/>
      <c r="H77" s="7"/>
      <c r="I77" s="7"/>
      <c r="J77" s="7"/>
    </row>
    <row r="78" spans="1:10" s="330" customFormat="1" ht="16.5" hidden="1" thickTop="1">
      <c r="B78" s="6"/>
      <c r="C78" s="211">
        <v>10899981</v>
      </c>
      <c r="D78" s="41" t="s">
        <v>161</v>
      </c>
      <c r="E78" s="275">
        <v>0</v>
      </c>
      <c r="F78" s="331"/>
      <c r="G78" s="40" t="s">
        <v>158</v>
      </c>
      <c r="H78" s="7"/>
      <c r="I78" s="12"/>
      <c r="J78" s="12"/>
    </row>
    <row r="79" spans="1:10" s="330" customFormat="1" ht="15.75" hidden="1">
      <c r="C79" s="267">
        <f>C77-C78</f>
        <v>0</v>
      </c>
      <c r="D79" s="41" t="s">
        <v>87</v>
      </c>
      <c r="E79" s="274">
        <f>E77+E78+E63</f>
        <v>-839437.32409602916</v>
      </c>
      <c r="F79" s="331"/>
      <c r="G79" s="8">
        <f>(E63*(D80/12))+(E77*(D80/24))</f>
        <v>-780.28179598835766</v>
      </c>
      <c r="H79" s="7"/>
      <c r="I79" s="8"/>
      <c r="J79" s="10"/>
    </row>
    <row r="80" spans="1:10" s="330" customFormat="1" ht="15.75" hidden="1">
      <c r="C80" s="26"/>
      <c r="D80" s="184">
        <v>0.01</v>
      </c>
      <c r="E80" s="276">
        <f>ROUND(((E63)+(E77)/2)*(D80/12),2)</f>
        <v>-780.28</v>
      </c>
      <c r="F80" s="331"/>
      <c r="G80" s="40"/>
      <c r="H80" s="7"/>
      <c r="I80" s="10"/>
      <c r="J80" s="10"/>
    </row>
    <row r="81" spans="1:10" s="330" customFormat="1" ht="16.5" hidden="1" thickBot="1">
      <c r="A81" s="5"/>
      <c r="B81" s="5"/>
      <c r="C81" s="26" t="s">
        <v>1</v>
      </c>
      <c r="D81" s="108">
        <f>A66</f>
        <v>41274</v>
      </c>
      <c r="E81" s="277">
        <f>SUM(E79:E80)</f>
        <v>-840217.60409602919</v>
      </c>
      <c r="F81" s="331"/>
      <c r="G81" s="7"/>
      <c r="H81" s="7"/>
      <c r="I81" s="8"/>
      <c r="J81" s="7"/>
    </row>
    <row r="82" spans="1:10" s="330" customFormat="1" ht="15.75" hidden="1" thickTop="1">
      <c r="E82" s="268"/>
    </row>
    <row r="83" spans="1:10" s="330" customFormat="1" ht="15.75" hidden="1">
      <c r="A83" s="47" t="s">
        <v>142</v>
      </c>
      <c r="B83" s="48"/>
      <c r="C83" s="49"/>
      <c r="D83" s="50"/>
      <c r="E83" s="269"/>
      <c r="G83" s="15"/>
      <c r="H83" s="5"/>
      <c r="I83" s="32"/>
      <c r="J83" s="32"/>
    </row>
    <row r="84" spans="1:10" s="330" customFormat="1" ht="15.75" hidden="1">
      <c r="A84" s="178">
        <v>41275</v>
      </c>
      <c r="B84" s="45"/>
      <c r="C84" s="15"/>
      <c r="D84" s="46" t="s">
        <v>23</v>
      </c>
      <c r="E84" s="270" t="s">
        <v>21</v>
      </c>
      <c r="G84" s="5"/>
      <c r="H84" s="5"/>
      <c r="I84" s="8"/>
      <c r="J84" s="10"/>
    </row>
    <row r="85" spans="1:10" s="330" customFormat="1" ht="16.5" hidden="1" thickBot="1">
      <c r="A85" s="14"/>
      <c r="B85" s="17"/>
      <c r="C85" s="97" t="s">
        <v>21</v>
      </c>
      <c r="D85" s="97" t="s">
        <v>22</v>
      </c>
      <c r="E85" s="271" t="s">
        <v>23</v>
      </c>
      <c r="F85" s="331"/>
      <c r="G85" s="7"/>
      <c r="H85" s="7"/>
      <c r="I85" s="10"/>
      <c r="J85" s="10"/>
    </row>
    <row r="86" spans="1:10" s="330" customFormat="1" ht="15.75" hidden="1">
      <c r="A86" s="2" t="s">
        <v>24</v>
      </c>
      <c r="B86" s="16">
        <v>101</v>
      </c>
      <c r="C86" s="208">
        <v>9764920</v>
      </c>
      <c r="D86" s="333">
        <v>1.7780000000000001E-2</v>
      </c>
      <c r="E86" s="272">
        <f>C86*D86</f>
        <v>173620.2776</v>
      </c>
      <c r="F86" s="331"/>
      <c r="G86" s="7"/>
      <c r="H86" s="7"/>
      <c r="I86" s="8"/>
      <c r="J86" s="7"/>
    </row>
    <row r="87" spans="1:10" s="330" customFormat="1" ht="16.5" hidden="1" thickBot="1">
      <c r="A87" s="2" t="s">
        <v>24</v>
      </c>
      <c r="B87" s="16">
        <v>111</v>
      </c>
      <c r="C87" s="208">
        <v>3069039</v>
      </c>
      <c r="D87" s="333">
        <v>1.7780000000000001E-2</v>
      </c>
      <c r="E87" s="272">
        <f>C87*D87</f>
        <v>54567.513420000003</v>
      </c>
      <c r="F87" s="331"/>
      <c r="G87" s="110">
        <f>A84</f>
        <v>41275</v>
      </c>
      <c r="H87" s="111"/>
      <c r="I87" s="111"/>
      <c r="J87" s="111"/>
    </row>
    <row r="88" spans="1:10" s="330" customFormat="1" ht="16.5" hidden="1" thickBot="1">
      <c r="A88" s="2" t="s">
        <v>24</v>
      </c>
      <c r="B88" s="16">
        <v>112</v>
      </c>
      <c r="C88" s="208"/>
      <c r="D88" s="333"/>
      <c r="E88" s="272">
        <f t="shared" ref="E88:E94" si="2">C88*D88</f>
        <v>0</v>
      </c>
      <c r="F88" s="331"/>
      <c r="G88" s="70" t="s">
        <v>25</v>
      </c>
      <c r="H88" s="112"/>
      <c r="I88" s="113" t="s">
        <v>18</v>
      </c>
      <c r="J88" s="114" t="s">
        <v>19</v>
      </c>
    </row>
    <row r="89" spans="1:10" s="330" customFormat="1" ht="15.75" hidden="1">
      <c r="A89" s="2" t="s">
        <v>24</v>
      </c>
      <c r="B89" s="16">
        <v>121</v>
      </c>
      <c r="C89" s="208"/>
      <c r="D89" s="179"/>
      <c r="E89" s="272">
        <f t="shared" si="2"/>
        <v>0</v>
      </c>
      <c r="F89" s="331"/>
      <c r="G89" s="115" t="s">
        <v>28</v>
      </c>
      <c r="H89" s="116" t="s">
        <v>77</v>
      </c>
      <c r="I89" s="76"/>
      <c r="J89" s="338">
        <v>0</v>
      </c>
    </row>
    <row r="90" spans="1:10" s="330" customFormat="1" ht="15.75" hidden="1">
      <c r="A90" s="2" t="s">
        <v>24</v>
      </c>
      <c r="B90" s="16">
        <v>122</v>
      </c>
      <c r="C90" s="209"/>
      <c r="D90" s="179"/>
      <c r="E90" s="272">
        <f t="shared" si="2"/>
        <v>0</v>
      </c>
      <c r="F90" s="331"/>
      <c r="G90" s="117" t="s">
        <v>29</v>
      </c>
      <c r="H90" s="7" t="s">
        <v>78</v>
      </c>
      <c r="I90" s="339">
        <f>-E98</f>
        <v>605.1</v>
      </c>
      <c r="J90" s="181"/>
    </row>
    <row r="91" spans="1:10" s="330" customFormat="1" ht="15.75" hidden="1">
      <c r="A91" s="2" t="s">
        <v>24</v>
      </c>
      <c r="B91" s="16">
        <v>131</v>
      </c>
      <c r="C91" s="208">
        <v>0</v>
      </c>
      <c r="D91" s="333">
        <v>1.6570000000000001E-2</v>
      </c>
      <c r="E91" s="272">
        <f>C91*D91</f>
        <v>0</v>
      </c>
      <c r="F91" s="331"/>
      <c r="G91" s="117" t="s">
        <v>99</v>
      </c>
      <c r="H91" s="7" t="s">
        <v>60</v>
      </c>
      <c r="I91" s="8"/>
      <c r="J91" s="67">
        <f>-E95-E96</f>
        <v>-228187.79102</v>
      </c>
    </row>
    <row r="92" spans="1:10" s="330" customFormat="1" ht="15.75" hidden="1">
      <c r="A92" s="2" t="s">
        <v>24</v>
      </c>
      <c r="B92" s="16">
        <v>132</v>
      </c>
      <c r="C92" s="209"/>
      <c r="D92" s="88"/>
      <c r="E92" s="272">
        <f t="shared" si="2"/>
        <v>0</v>
      </c>
      <c r="F92" s="331"/>
      <c r="G92" s="117" t="s">
        <v>10</v>
      </c>
      <c r="H92" s="7" t="s">
        <v>58</v>
      </c>
      <c r="I92" s="7">
        <v>0</v>
      </c>
      <c r="J92" s="77"/>
    </row>
    <row r="93" spans="1:10" s="330" customFormat="1" ht="16.5" hidden="1" thickBot="1">
      <c r="A93" s="2" t="s">
        <v>24</v>
      </c>
      <c r="B93" s="16" t="s">
        <v>61</v>
      </c>
      <c r="C93" s="209"/>
      <c r="D93" s="88"/>
      <c r="E93" s="272">
        <f t="shared" si="2"/>
        <v>0</v>
      </c>
      <c r="F93" s="331"/>
      <c r="G93" s="118" t="s">
        <v>100</v>
      </c>
      <c r="H93" s="111" t="s">
        <v>62</v>
      </c>
      <c r="I93" s="78">
        <f>-E81+E99</f>
        <v>227582.69102000003</v>
      </c>
      <c r="J93" s="75">
        <v>0</v>
      </c>
    </row>
    <row r="94" spans="1:10" s="330" customFormat="1" ht="15.75" hidden="1">
      <c r="A94" s="2" t="s">
        <v>156</v>
      </c>
      <c r="B94" s="44"/>
      <c r="C94" s="207"/>
      <c r="D94" s="101"/>
      <c r="E94" s="273">
        <f t="shared" si="2"/>
        <v>0</v>
      </c>
      <c r="F94" s="331"/>
      <c r="G94" s="7"/>
      <c r="H94" s="7"/>
      <c r="I94" s="8"/>
      <c r="J94" s="216">
        <f>ROUND(SUM(I89:J93),2)</f>
        <v>0</v>
      </c>
    </row>
    <row r="95" spans="1:10" s="330" customFormat="1" ht="16.5" hidden="1" thickBot="1">
      <c r="B95" s="6"/>
      <c r="C95" s="210">
        <f>SUM(C86:C94)</f>
        <v>12833959</v>
      </c>
      <c r="D95" s="119"/>
      <c r="E95" s="274">
        <f>SUM(E86:E94)</f>
        <v>228187.79102</v>
      </c>
      <c r="F95" s="331"/>
      <c r="G95" s="7"/>
      <c r="H95" s="7"/>
      <c r="I95" s="7"/>
      <c r="J95" s="7"/>
    </row>
    <row r="96" spans="1:10" s="330" customFormat="1" ht="16.5" hidden="1" thickTop="1">
      <c r="B96" s="6"/>
      <c r="C96" s="211">
        <v>12833959</v>
      </c>
      <c r="D96" s="41" t="s">
        <v>161</v>
      </c>
      <c r="E96" s="275">
        <v>0</v>
      </c>
      <c r="F96" s="331"/>
      <c r="G96" s="40" t="s">
        <v>158</v>
      </c>
      <c r="H96" s="7"/>
      <c r="I96" s="12"/>
      <c r="J96" s="12"/>
    </row>
    <row r="97" spans="1:10" s="330" customFormat="1" ht="15.75" hidden="1">
      <c r="C97" s="267">
        <f>C95-C96</f>
        <v>0</v>
      </c>
      <c r="D97" s="41" t="s">
        <v>87</v>
      </c>
      <c r="E97" s="274">
        <f>E95+E96+E81</f>
        <v>-612029.81307602918</v>
      </c>
      <c r="F97" s="331"/>
      <c r="G97" s="8">
        <f>(E81*(D98/12))+(E95*(D98/24))</f>
        <v>-605.10309048835768</v>
      </c>
      <c r="H97" s="7"/>
      <c r="I97" s="8"/>
      <c r="J97" s="10"/>
    </row>
    <row r="98" spans="1:10" s="330" customFormat="1" ht="15.75" hidden="1">
      <c r="C98" s="26"/>
      <c r="D98" s="184">
        <v>0.01</v>
      </c>
      <c r="E98" s="276">
        <f>ROUND(((E81)+(E95)/2)*(D98/12),2)</f>
        <v>-605.1</v>
      </c>
      <c r="F98" s="331"/>
      <c r="G98" s="40"/>
      <c r="H98" s="7"/>
      <c r="I98" s="10"/>
      <c r="J98" s="10"/>
    </row>
    <row r="99" spans="1:10" s="330" customFormat="1" ht="16.5" hidden="1" thickBot="1">
      <c r="A99" s="5"/>
      <c r="B99" s="5"/>
      <c r="C99" s="26" t="s">
        <v>1</v>
      </c>
      <c r="D99" s="108">
        <f>A84</f>
        <v>41275</v>
      </c>
      <c r="E99" s="277">
        <f>SUM(E97:E98)</f>
        <v>-612634.91307602916</v>
      </c>
      <c r="F99" s="331"/>
      <c r="G99" s="7"/>
      <c r="H99" s="7"/>
      <c r="I99" s="8"/>
      <c r="J99" s="7"/>
    </row>
    <row r="100" spans="1:10" s="330" customFormat="1" ht="16.5" hidden="1" thickTop="1" thickBot="1">
      <c r="E100" s="268"/>
    </row>
    <row r="101" spans="1:10" s="330" customFormat="1" ht="15.75" hidden="1">
      <c r="A101" s="47" t="s">
        <v>142</v>
      </c>
      <c r="B101" s="48"/>
      <c r="C101" s="49"/>
      <c r="D101" s="50"/>
      <c r="E101" s="269"/>
      <c r="G101" s="15"/>
      <c r="H101" s="5"/>
      <c r="I101" s="32"/>
      <c r="J101" s="32"/>
    </row>
    <row r="102" spans="1:10" s="330" customFormat="1" ht="15.75" hidden="1">
      <c r="A102" s="178">
        <v>41333</v>
      </c>
      <c r="B102" s="45"/>
      <c r="C102" s="15"/>
      <c r="D102" s="46" t="s">
        <v>23</v>
      </c>
      <c r="E102" s="270" t="s">
        <v>21</v>
      </c>
      <c r="G102" s="5"/>
      <c r="H102" s="5"/>
      <c r="I102" s="8"/>
      <c r="J102" s="10"/>
    </row>
    <row r="103" spans="1:10" s="330" customFormat="1" ht="16.5" hidden="1" thickBot="1">
      <c r="A103" s="14"/>
      <c r="B103" s="17"/>
      <c r="C103" s="97" t="s">
        <v>21</v>
      </c>
      <c r="D103" s="97" t="s">
        <v>22</v>
      </c>
      <c r="E103" s="271" t="s">
        <v>23</v>
      </c>
      <c r="F103" s="331"/>
      <c r="G103" s="7"/>
      <c r="H103" s="7"/>
      <c r="I103" s="10"/>
      <c r="J103" s="10"/>
    </row>
    <row r="104" spans="1:10" s="330" customFormat="1" ht="15.75" hidden="1">
      <c r="A104" s="2" t="s">
        <v>24</v>
      </c>
      <c r="B104" s="16">
        <v>101</v>
      </c>
      <c r="C104" s="208">
        <v>6162035</v>
      </c>
      <c r="D104" s="333">
        <v>1.7780000000000001E-2</v>
      </c>
      <c r="E104" s="272">
        <f>C104*D104</f>
        <v>109560.9823</v>
      </c>
      <c r="F104" s="331"/>
      <c r="G104" s="7"/>
      <c r="H104" s="7"/>
      <c r="I104" s="8"/>
      <c r="J104" s="7"/>
    </row>
    <row r="105" spans="1:10" s="330" customFormat="1" ht="16.5" hidden="1" thickBot="1">
      <c r="A105" s="2" t="s">
        <v>24</v>
      </c>
      <c r="B105" s="16">
        <v>111</v>
      </c>
      <c r="C105" s="208">
        <v>2375460</v>
      </c>
      <c r="D105" s="333">
        <v>1.7780000000000001E-2</v>
      </c>
      <c r="E105" s="272">
        <f>C105*D105</f>
        <v>42235.678800000002</v>
      </c>
      <c r="F105" s="331"/>
      <c r="G105" s="110">
        <f>A102</f>
        <v>41333</v>
      </c>
      <c r="H105" s="111"/>
      <c r="I105" s="111"/>
      <c r="J105" s="111"/>
    </row>
    <row r="106" spans="1:10" s="330" customFormat="1" ht="16.5" hidden="1" thickBot="1">
      <c r="A106" s="2" t="s">
        <v>24</v>
      </c>
      <c r="B106" s="16">
        <v>112</v>
      </c>
      <c r="C106" s="208"/>
      <c r="D106" s="333"/>
      <c r="E106" s="272">
        <f t="shared" ref="E106:E108" si="3">C106*D106</f>
        <v>0</v>
      </c>
      <c r="F106" s="331"/>
      <c r="G106" s="70" t="s">
        <v>25</v>
      </c>
      <c r="H106" s="112"/>
      <c r="I106" s="113" t="s">
        <v>18</v>
      </c>
      <c r="J106" s="114" t="s">
        <v>19</v>
      </c>
    </row>
    <row r="107" spans="1:10" s="330" customFormat="1" ht="15.75" hidden="1">
      <c r="A107" s="2" t="s">
        <v>24</v>
      </c>
      <c r="B107" s="16">
        <v>121</v>
      </c>
      <c r="C107" s="208"/>
      <c r="D107" s="179"/>
      <c r="E107" s="272">
        <f t="shared" si="3"/>
        <v>0</v>
      </c>
      <c r="F107" s="331"/>
      <c r="G107" s="115" t="s">
        <v>28</v>
      </c>
      <c r="H107" s="116" t="s">
        <v>77</v>
      </c>
      <c r="I107" s="76"/>
      <c r="J107" s="338">
        <v>0</v>
      </c>
    </row>
    <row r="108" spans="1:10" s="330" customFormat="1" ht="15.75" hidden="1">
      <c r="A108" s="2" t="s">
        <v>24</v>
      </c>
      <c r="B108" s="16">
        <v>122</v>
      </c>
      <c r="C108" s="209"/>
      <c r="D108" s="179"/>
      <c r="E108" s="272">
        <f t="shared" si="3"/>
        <v>0</v>
      </c>
      <c r="F108" s="331"/>
      <c r="G108" s="117" t="s">
        <v>29</v>
      </c>
      <c r="H108" s="7" t="s">
        <v>78</v>
      </c>
      <c r="I108" s="339">
        <f>-E116</f>
        <v>447.28</v>
      </c>
      <c r="J108" s="181"/>
    </row>
    <row r="109" spans="1:10" s="330" customFormat="1" ht="15.75" hidden="1">
      <c r="A109" s="2" t="s">
        <v>24</v>
      </c>
      <c r="B109" s="16">
        <v>131</v>
      </c>
      <c r="C109" s="208">
        <v>0</v>
      </c>
      <c r="D109" s="333">
        <v>1.6570000000000001E-2</v>
      </c>
      <c r="E109" s="272">
        <f>C109*D109</f>
        <v>0</v>
      </c>
      <c r="F109" s="331"/>
      <c r="G109" s="117" t="s">
        <v>99</v>
      </c>
      <c r="H109" s="7" t="s">
        <v>60</v>
      </c>
      <c r="I109" s="8"/>
      <c r="J109" s="67">
        <f>-E113-E114</f>
        <v>-151796.6611</v>
      </c>
    </row>
    <row r="110" spans="1:10" s="330" customFormat="1" ht="15.75" hidden="1">
      <c r="A110" s="2" t="s">
        <v>24</v>
      </c>
      <c r="B110" s="16">
        <v>132</v>
      </c>
      <c r="C110" s="209"/>
      <c r="D110" s="88"/>
      <c r="E110" s="272">
        <f t="shared" ref="E110:E112" si="4">C110*D110</f>
        <v>0</v>
      </c>
      <c r="F110" s="331"/>
      <c r="G110" s="117" t="s">
        <v>10</v>
      </c>
      <c r="H110" s="7" t="s">
        <v>58</v>
      </c>
      <c r="I110" s="7">
        <v>0</v>
      </c>
      <c r="J110" s="77"/>
    </row>
    <row r="111" spans="1:10" s="330" customFormat="1" ht="16.5" hidden="1" thickBot="1">
      <c r="A111" s="2" t="s">
        <v>24</v>
      </c>
      <c r="B111" s="16" t="s">
        <v>61</v>
      </c>
      <c r="C111" s="209"/>
      <c r="D111" s="88"/>
      <c r="E111" s="272">
        <f t="shared" si="4"/>
        <v>0</v>
      </c>
      <c r="F111" s="331"/>
      <c r="G111" s="118" t="s">
        <v>100</v>
      </c>
      <c r="H111" s="111" t="s">
        <v>62</v>
      </c>
      <c r="I111" s="78">
        <f>-E99+E117</f>
        <v>151349.3811</v>
      </c>
      <c r="J111" s="75">
        <v>0</v>
      </c>
    </row>
    <row r="112" spans="1:10" s="330" customFormat="1" ht="15.75" hidden="1">
      <c r="A112" s="2" t="s">
        <v>156</v>
      </c>
      <c r="B112" s="44"/>
      <c r="C112" s="207"/>
      <c r="D112" s="101"/>
      <c r="E112" s="273">
        <f t="shared" si="4"/>
        <v>0</v>
      </c>
      <c r="F112" s="331"/>
      <c r="G112" s="7"/>
      <c r="H112" s="7"/>
      <c r="I112" s="8"/>
      <c r="J112" s="216">
        <f>ROUND(SUM(I107:J111),2)</f>
        <v>0</v>
      </c>
    </row>
    <row r="113" spans="1:10" s="330" customFormat="1" ht="16.5" hidden="1" thickBot="1">
      <c r="B113" s="6"/>
      <c r="C113" s="210">
        <f>SUM(C104:C112)</f>
        <v>8537495</v>
      </c>
      <c r="D113" s="119"/>
      <c r="E113" s="274">
        <f>SUM(E104:E112)</f>
        <v>151796.6611</v>
      </c>
      <c r="F113" s="331"/>
      <c r="G113" s="7"/>
      <c r="H113" s="7"/>
      <c r="I113" s="7"/>
      <c r="J113" s="7"/>
    </row>
    <row r="114" spans="1:10" s="330" customFormat="1" ht="16.5" hidden="1" thickTop="1">
      <c r="B114" s="6"/>
      <c r="C114" s="211">
        <v>8537495</v>
      </c>
      <c r="D114" s="41" t="s">
        <v>161</v>
      </c>
      <c r="E114" s="275">
        <v>0</v>
      </c>
      <c r="F114" s="331"/>
      <c r="G114" s="40" t="s">
        <v>158</v>
      </c>
      <c r="H114" s="7"/>
      <c r="I114" s="12"/>
      <c r="J114" s="12"/>
    </row>
    <row r="115" spans="1:10" s="330" customFormat="1" ht="15.75" hidden="1">
      <c r="C115" s="267">
        <f>C113-C114</f>
        <v>0</v>
      </c>
      <c r="D115" s="41" t="s">
        <v>87</v>
      </c>
      <c r="E115" s="274">
        <f>E113+E114+E99</f>
        <v>-460838.25197602913</v>
      </c>
      <c r="F115" s="331"/>
      <c r="G115" s="8">
        <f>(E99*(D116/12))+(E113*(D116/24))</f>
        <v>-447.28048543835769</v>
      </c>
      <c r="H115" s="7"/>
      <c r="I115" s="8"/>
      <c r="J115" s="10"/>
    </row>
    <row r="116" spans="1:10" s="330" customFormat="1" ht="15.75" hidden="1">
      <c r="C116" s="26"/>
      <c r="D116" s="184">
        <v>0.01</v>
      </c>
      <c r="E116" s="276">
        <f>ROUND(((E99)+(E113)/2)*(D116/12),2)</f>
        <v>-447.28</v>
      </c>
      <c r="F116" s="331"/>
      <c r="G116" s="40"/>
      <c r="H116" s="7"/>
      <c r="I116" s="10"/>
      <c r="J116" s="10"/>
    </row>
    <row r="117" spans="1:10" s="330" customFormat="1" ht="16.5" hidden="1" thickBot="1">
      <c r="A117" s="5"/>
      <c r="B117" s="5"/>
      <c r="C117" s="26" t="s">
        <v>1</v>
      </c>
      <c r="D117" s="108">
        <f>A102</f>
        <v>41333</v>
      </c>
      <c r="E117" s="277">
        <f>SUM(E115:E116)</f>
        <v>-461285.53197602916</v>
      </c>
      <c r="F117" s="331"/>
      <c r="G117" s="7"/>
      <c r="H117" s="7"/>
      <c r="I117" s="8"/>
      <c r="J117" s="7"/>
    </row>
    <row r="118" spans="1:10" s="330" customFormat="1" ht="16.5" hidden="1" thickTop="1" thickBot="1">
      <c r="E118" s="268"/>
    </row>
    <row r="119" spans="1:10" s="330" customFormat="1" ht="15.75" hidden="1">
      <c r="A119" s="47" t="s">
        <v>142</v>
      </c>
      <c r="B119" s="48"/>
      <c r="C119" s="49"/>
      <c r="D119" s="50"/>
      <c r="E119" s="269"/>
      <c r="G119" s="15"/>
      <c r="H119" s="5"/>
      <c r="I119" s="32"/>
      <c r="J119" s="32"/>
    </row>
    <row r="120" spans="1:10" s="330" customFormat="1" ht="15.75" hidden="1">
      <c r="A120" s="178">
        <v>41364</v>
      </c>
      <c r="B120" s="45"/>
      <c r="C120" s="15"/>
      <c r="D120" s="46" t="s">
        <v>23</v>
      </c>
      <c r="E120" s="270" t="s">
        <v>21</v>
      </c>
      <c r="G120" s="5"/>
      <c r="H120" s="5"/>
      <c r="I120" s="8"/>
      <c r="J120" s="10"/>
    </row>
    <row r="121" spans="1:10" s="330" customFormat="1" ht="16.5" hidden="1" thickBot="1">
      <c r="A121" s="14"/>
      <c r="B121" s="17"/>
      <c r="C121" s="97" t="s">
        <v>21</v>
      </c>
      <c r="D121" s="97" t="s">
        <v>22</v>
      </c>
      <c r="E121" s="271" t="s">
        <v>23</v>
      </c>
      <c r="F121" s="331"/>
      <c r="G121" s="7"/>
      <c r="H121" s="7"/>
      <c r="I121" s="10"/>
      <c r="J121" s="10"/>
    </row>
    <row r="122" spans="1:10" s="330" customFormat="1" ht="15.75" hidden="1">
      <c r="A122" s="2" t="s">
        <v>24</v>
      </c>
      <c r="B122" s="16">
        <v>101</v>
      </c>
      <c r="C122" s="208">
        <v>6046642</v>
      </c>
      <c r="D122" s="333">
        <v>1.7780000000000001E-2</v>
      </c>
      <c r="E122" s="272">
        <v>107509.29476</v>
      </c>
      <c r="F122" s="331"/>
      <c r="G122" s="7"/>
      <c r="H122" s="7"/>
      <c r="I122" s="8"/>
      <c r="J122" s="7"/>
    </row>
    <row r="123" spans="1:10" s="330" customFormat="1" ht="16.5" hidden="1" thickBot="1">
      <c r="A123" s="2" t="s">
        <v>24</v>
      </c>
      <c r="B123" s="16">
        <v>111</v>
      </c>
      <c r="C123" s="208">
        <v>2214620</v>
      </c>
      <c r="D123" s="333">
        <v>1.7780000000000001E-2</v>
      </c>
      <c r="E123" s="272">
        <v>39375.943599999999</v>
      </c>
      <c r="F123" s="331"/>
      <c r="G123" s="110">
        <f>A120</f>
        <v>41364</v>
      </c>
      <c r="H123" s="111"/>
      <c r="I123" s="111"/>
      <c r="J123" s="111"/>
    </row>
    <row r="124" spans="1:10" s="330" customFormat="1" ht="16.5" hidden="1" thickBot="1">
      <c r="A124" s="2" t="s">
        <v>24</v>
      </c>
      <c r="B124" s="16">
        <v>112</v>
      </c>
      <c r="C124" s="208"/>
      <c r="D124" s="333"/>
      <c r="E124" s="272">
        <v>0</v>
      </c>
      <c r="F124" s="331"/>
      <c r="G124" s="70" t="s">
        <v>25</v>
      </c>
      <c r="H124" s="112"/>
      <c r="I124" s="113" t="s">
        <v>18</v>
      </c>
      <c r="J124" s="114" t="s">
        <v>19</v>
      </c>
    </row>
    <row r="125" spans="1:10" s="330" customFormat="1" ht="15.75" hidden="1">
      <c r="A125" s="2" t="s">
        <v>24</v>
      </c>
      <c r="B125" s="16">
        <v>121</v>
      </c>
      <c r="C125" s="208"/>
      <c r="D125" s="179"/>
      <c r="E125" s="272">
        <v>0</v>
      </c>
      <c r="F125" s="331"/>
      <c r="G125" s="115" t="s">
        <v>28</v>
      </c>
      <c r="H125" s="116" t="s">
        <v>77</v>
      </c>
      <c r="I125" s="76"/>
      <c r="J125" s="338">
        <v>0</v>
      </c>
    </row>
    <row r="126" spans="1:10" s="330" customFormat="1" ht="15.75" hidden="1">
      <c r="A126" s="2" t="s">
        <v>24</v>
      </c>
      <c r="B126" s="16">
        <v>122</v>
      </c>
      <c r="C126" s="209"/>
      <c r="D126" s="179"/>
      <c r="E126" s="272">
        <v>0</v>
      </c>
      <c r="F126" s="331"/>
      <c r="G126" s="117" t="s">
        <v>29</v>
      </c>
      <c r="H126" s="7" t="s">
        <v>78</v>
      </c>
      <c r="I126" s="339">
        <f>-E134</f>
        <v>323.2</v>
      </c>
      <c r="J126" s="181"/>
    </row>
    <row r="127" spans="1:10" s="330" customFormat="1" ht="15.75" hidden="1">
      <c r="A127" s="2" t="s">
        <v>24</v>
      </c>
      <c r="B127" s="16">
        <v>131</v>
      </c>
      <c r="C127" s="208">
        <v>0</v>
      </c>
      <c r="D127" s="333">
        <v>1.6570000000000001E-2</v>
      </c>
      <c r="E127" s="272">
        <v>0</v>
      </c>
      <c r="F127" s="331"/>
      <c r="G127" s="117" t="s">
        <v>99</v>
      </c>
      <c r="H127" s="7" t="s">
        <v>60</v>
      </c>
      <c r="I127" s="8"/>
      <c r="J127" s="67">
        <f>-E131-E132</f>
        <v>-146885.23836000002</v>
      </c>
    </row>
    <row r="128" spans="1:10" s="330" customFormat="1" ht="15.75" hidden="1">
      <c r="A128" s="2" t="s">
        <v>24</v>
      </c>
      <c r="B128" s="16">
        <v>132</v>
      </c>
      <c r="C128" s="209"/>
      <c r="D128" s="88"/>
      <c r="E128" s="272">
        <v>0</v>
      </c>
      <c r="F128" s="331"/>
      <c r="G128" s="117" t="s">
        <v>10</v>
      </c>
      <c r="H128" s="7" t="s">
        <v>58</v>
      </c>
      <c r="I128" s="7">
        <v>0</v>
      </c>
      <c r="J128" s="77"/>
    </row>
    <row r="129" spans="1:10" s="330" customFormat="1" ht="16.5" hidden="1" thickBot="1">
      <c r="A129" s="2" t="s">
        <v>24</v>
      </c>
      <c r="B129" s="16" t="s">
        <v>61</v>
      </c>
      <c r="C129" s="209"/>
      <c r="D129" s="88"/>
      <c r="E129" s="272">
        <v>0</v>
      </c>
      <c r="F129" s="331"/>
      <c r="G129" s="118" t="s">
        <v>100</v>
      </c>
      <c r="H129" s="111" t="s">
        <v>62</v>
      </c>
      <c r="I129" s="78">
        <f>-E117+E135</f>
        <v>146562.03836000001</v>
      </c>
      <c r="J129" s="75">
        <v>0</v>
      </c>
    </row>
    <row r="130" spans="1:10" s="330" customFormat="1" ht="15.75" hidden="1">
      <c r="A130" s="2" t="s">
        <v>156</v>
      </c>
      <c r="B130" s="44"/>
      <c r="C130" s="207"/>
      <c r="D130" s="101"/>
      <c r="E130" s="273">
        <v>0</v>
      </c>
      <c r="F130" s="331"/>
      <c r="G130" s="7"/>
      <c r="H130" s="7"/>
      <c r="I130" s="8"/>
      <c r="J130" s="216">
        <f>ROUND(SUM(I125:J129),2)</f>
        <v>0</v>
      </c>
    </row>
    <row r="131" spans="1:10" s="330" customFormat="1" ht="16.5" hidden="1" thickBot="1">
      <c r="B131" s="6"/>
      <c r="C131" s="210">
        <f>SUM(C122:C130)</f>
        <v>8261262</v>
      </c>
      <c r="D131" s="119"/>
      <c r="E131" s="274">
        <f>SUM(E122:E130)</f>
        <v>146885.23836000002</v>
      </c>
      <c r="F131" s="331"/>
      <c r="G131" s="7"/>
      <c r="H131" s="7"/>
      <c r="I131" s="7"/>
      <c r="J131" s="7"/>
    </row>
    <row r="132" spans="1:10" s="330" customFormat="1" ht="16.5" hidden="1" thickTop="1">
      <c r="B132" s="6"/>
      <c r="C132" s="211">
        <v>8261262</v>
      </c>
      <c r="D132" s="41" t="s">
        <v>161</v>
      </c>
      <c r="E132" s="275">
        <v>0</v>
      </c>
      <c r="F132" s="331"/>
      <c r="G132" s="40" t="s">
        <v>158</v>
      </c>
      <c r="H132" s="7"/>
      <c r="I132" s="12"/>
      <c r="J132" s="12"/>
    </row>
    <row r="133" spans="1:10" s="330" customFormat="1" ht="15.75" hidden="1">
      <c r="C133" s="267">
        <f>C131-C132</f>
        <v>0</v>
      </c>
      <c r="D133" s="41" t="s">
        <v>87</v>
      </c>
      <c r="E133" s="274">
        <f>E131+E132+E117</f>
        <v>-314400.29361602914</v>
      </c>
      <c r="F133" s="331"/>
      <c r="G133" s="8">
        <f>(E117*(D134/12))+(E131*(D134/24))</f>
        <v>-323.20242733002431</v>
      </c>
      <c r="H133" s="7"/>
      <c r="I133" s="8"/>
      <c r="J133" s="10"/>
    </row>
    <row r="134" spans="1:10" s="330" customFormat="1" ht="15.75" hidden="1">
      <c r="C134" s="26"/>
      <c r="D134" s="184">
        <v>0.01</v>
      </c>
      <c r="E134" s="276">
        <f>ROUND(((E117)+(E131)/2)*(D134/12),2)</f>
        <v>-323.2</v>
      </c>
      <c r="F134" s="331"/>
      <c r="G134" s="40"/>
      <c r="H134" s="7"/>
      <c r="I134" s="10"/>
      <c r="J134" s="10"/>
    </row>
    <row r="135" spans="1:10" s="330" customFormat="1" ht="16.5" hidden="1" thickBot="1">
      <c r="A135" s="5"/>
      <c r="B135" s="5"/>
      <c r="C135" s="26" t="s">
        <v>1</v>
      </c>
      <c r="D135" s="108">
        <f>A120</f>
        <v>41364</v>
      </c>
      <c r="E135" s="277">
        <f>SUM(E133:E134)</f>
        <v>-314723.49361602915</v>
      </c>
      <c r="F135" s="331"/>
      <c r="G135" s="7"/>
      <c r="H135" s="7"/>
      <c r="I135" s="8"/>
      <c r="J135" s="7"/>
    </row>
    <row r="136" spans="1:10" ht="16.5" hidden="1" thickTop="1" thickBot="1">
      <c r="A136" s="330"/>
      <c r="B136" s="330"/>
      <c r="C136" s="330"/>
      <c r="D136" s="330"/>
      <c r="F136" s="330"/>
      <c r="G136" s="330"/>
      <c r="H136" s="330"/>
      <c r="I136" s="330"/>
      <c r="J136" s="330"/>
    </row>
    <row r="137" spans="1:10" ht="15.75" hidden="1">
      <c r="A137" s="47" t="s">
        <v>142</v>
      </c>
      <c r="B137" s="48"/>
      <c r="C137" s="49"/>
      <c r="D137" s="50"/>
      <c r="E137" s="269"/>
      <c r="F137" s="330"/>
      <c r="G137" s="15"/>
      <c r="H137" s="5"/>
      <c r="I137" s="32"/>
      <c r="J137" s="32"/>
    </row>
    <row r="138" spans="1:10" ht="15.75" hidden="1">
      <c r="A138" s="178">
        <v>41394</v>
      </c>
      <c r="B138" s="45"/>
      <c r="C138" s="15"/>
      <c r="D138" s="46" t="s">
        <v>23</v>
      </c>
      <c r="E138" s="270" t="s">
        <v>21</v>
      </c>
      <c r="F138" s="330"/>
      <c r="G138" s="5"/>
      <c r="H138" s="5"/>
      <c r="I138" s="8"/>
      <c r="J138" s="10"/>
    </row>
    <row r="139" spans="1:10" ht="16.5" hidden="1" thickBot="1">
      <c r="A139" s="14"/>
      <c r="B139" s="17"/>
      <c r="C139" s="97" t="s">
        <v>21</v>
      </c>
      <c r="D139" s="97" t="s">
        <v>22</v>
      </c>
      <c r="E139" s="271" t="s">
        <v>23</v>
      </c>
      <c r="F139" s="331"/>
      <c r="G139" s="7"/>
      <c r="H139" s="7"/>
      <c r="I139" s="10"/>
      <c r="J139" s="10"/>
    </row>
    <row r="140" spans="1:10" ht="15.75" hidden="1">
      <c r="A140" s="2" t="s">
        <v>24</v>
      </c>
      <c r="B140" s="16">
        <v>101</v>
      </c>
      <c r="C140" s="208">
        <v>4076497</v>
      </c>
      <c r="D140" s="333">
        <v>1.7780000000000001E-2</v>
      </c>
      <c r="E140" s="272">
        <v>72480.11666</v>
      </c>
      <c r="F140" s="331"/>
      <c r="G140" s="7"/>
      <c r="H140" s="7"/>
      <c r="I140" s="8"/>
      <c r="J140" s="7"/>
    </row>
    <row r="141" spans="1:10" ht="16.5" hidden="1" thickBot="1">
      <c r="A141" s="2" t="s">
        <v>24</v>
      </c>
      <c r="B141" s="16">
        <v>111</v>
      </c>
      <c r="C141" s="208">
        <v>1757142</v>
      </c>
      <c r="D141" s="333">
        <v>1.7780000000000001E-2</v>
      </c>
      <c r="E141" s="272">
        <v>31241.984759999999</v>
      </c>
      <c r="F141" s="331"/>
      <c r="G141" s="110">
        <f>A138</f>
        <v>41394</v>
      </c>
      <c r="H141" s="111"/>
      <c r="I141" s="111"/>
      <c r="J141" s="111"/>
    </row>
    <row r="142" spans="1:10" ht="16.5" hidden="1" thickBot="1">
      <c r="A142" s="2" t="s">
        <v>24</v>
      </c>
      <c r="B142" s="16">
        <v>112</v>
      </c>
      <c r="C142" s="208"/>
      <c r="D142" s="333"/>
      <c r="E142" s="272">
        <v>0</v>
      </c>
      <c r="F142" s="331"/>
      <c r="G142" s="70" t="s">
        <v>25</v>
      </c>
      <c r="H142" s="112"/>
      <c r="I142" s="113" t="s">
        <v>18</v>
      </c>
      <c r="J142" s="114" t="s">
        <v>19</v>
      </c>
    </row>
    <row r="143" spans="1:10" ht="15.75" hidden="1">
      <c r="A143" s="2" t="s">
        <v>24</v>
      </c>
      <c r="B143" s="16">
        <v>121</v>
      </c>
      <c r="C143" s="208"/>
      <c r="D143" s="179"/>
      <c r="E143" s="272">
        <v>0</v>
      </c>
      <c r="F143" s="331"/>
      <c r="G143" s="115" t="s">
        <v>28</v>
      </c>
      <c r="H143" s="116" t="s">
        <v>77</v>
      </c>
      <c r="I143" s="76"/>
      <c r="J143" s="338">
        <v>0</v>
      </c>
    </row>
    <row r="144" spans="1:10" ht="15.75" hidden="1">
      <c r="A144" s="2" t="s">
        <v>24</v>
      </c>
      <c r="B144" s="16">
        <v>122</v>
      </c>
      <c r="C144" s="209"/>
      <c r="D144" s="179"/>
      <c r="E144" s="272">
        <v>0</v>
      </c>
      <c r="F144" s="331"/>
      <c r="G144" s="117" t="s">
        <v>29</v>
      </c>
      <c r="H144" s="7" t="s">
        <v>78</v>
      </c>
      <c r="I144" s="339">
        <f>-E152</f>
        <v>219.05</v>
      </c>
      <c r="J144" s="181"/>
    </row>
    <row r="145" spans="1:10" ht="15.75" hidden="1">
      <c r="A145" s="2" t="s">
        <v>24</v>
      </c>
      <c r="B145" s="16">
        <v>131</v>
      </c>
      <c r="C145" s="208">
        <v>0</v>
      </c>
      <c r="D145" s="333">
        <v>1.6570000000000001E-2</v>
      </c>
      <c r="E145" s="272">
        <v>0</v>
      </c>
      <c r="F145" s="331"/>
      <c r="G145" s="117" t="s">
        <v>99</v>
      </c>
      <c r="H145" s="7" t="s">
        <v>60</v>
      </c>
      <c r="I145" s="8"/>
      <c r="J145" s="67">
        <f>-E149-E150</f>
        <v>-103722.10141999999</v>
      </c>
    </row>
    <row r="146" spans="1:10" ht="15.75" hidden="1">
      <c r="A146" s="2" t="s">
        <v>24</v>
      </c>
      <c r="B146" s="16">
        <v>132</v>
      </c>
      <c r="C146" s="209"/>
      <c r="D146" s="88"/>
      <c r="E146" s="272">
        <v>0</v>
      </c>
      <c r="F146" s="331"/>
      <c r="G146" s="117" t="s">
        <v>10</v>
      </c>
      <c r="H146" s="7" t="s">
        <v>58</v>
      </c>
      <c r="I146" s="7">
        <v>0</v>
      </c>
      <c r="J146" s="77"/>
    </row>
    <row r="147" spans="1:10" ht="16.5" hidden="1" thickBot="1">
      <c r="A147" s="2" t="s">
        <v>24</v>
      </c>
      <c r="B147" s="16" t="s">
        <v>61</v>
      </c>
      <c r="C147" s="209"/>
      <c r="D147" s="88"/>
      <c r="E147" s="272">
        <v>0</v>
      </c>
      <c r="F147" s="331"/>
      <c r="G147" s="118" t="s">
        <v>100</v>
      </c>
      <c r="H147" s="111" t="s">
        <v>62</v>
      </c>
      <c r="I147" s="78">
        <f>-E135+E153</f>
        <v>103503.05142</v>
      </c>
      <c r="J147" s="75">
        <v>0</v>
      </c>
    </row>
    <row r="148" spans="1:10" ht="15.75" hidden="1">
      <c r="A148" s="2" t="s">
        <v>156</v>
      </c>
      <c r="B148" s="44"/>
      <c r="C148" s="207"/>
      <c r="D148" s="101"/>
      <c r="E148" s="273">
        <v>0</v>
      </c>
      <c r="F148" s="331"/>
      <c r="G148" s="7"/>
      <c r="H148" s="7"/>
      <c r="I148" s="8"/>
      <c r="J148" s="216">
        <f>ROUND(SUM(I143:J147),2)</f>
        <v>0</v>
      </c>
    </row>
    <row r="149" spans="1:10" ht="16.5" hidden="1" thickBot="1">
      <c r="A149" s="330"/>
      <c r="B149" s="6"/>
      <c r="C149" s="210">
        <f>SUM(C140:C148)</f>
        <v>5833639</v>
      </c>
      <c r="D149" s="119"/>
      <c r="E149" s="274">
        <f>SUM(E140:E148)</f>
        <v>103722.10141999999</v>
      </c>
      <c r="F149" s="331"/>
      <c r="G149" s="7"/>
      <c r="H149" s="7"/>
      <c r="I149" s="7"/>
      <c r="J149" s="7"/>
    </row>
    <row r="150" spans="1:10" ht="16.5" hidden="1" thickTop="1">
      <c r="A150" s="330"/>
      <c r="B150" s="6"/>
      <c r="C150" s="211">
        <v>5833639</v>
      </c>
      <c r="D150" s="41" t="s">
        <v>161</v>
      </c>
      <c r="E150" s="275">
        <v>0</v>
      </c>
      <c r="F150" s="331"/>
      <c r="G150" s="40" t="s">
        <v>158</v>
      </c>
      <c r="H150" s="7"/>
      <c r="I150" s="12"/>
      <c r="J150" s="12"/>
    </row>
    <row r="151" spans="1:10" ht="15.75" hidden="1">
      <c r="A151" s="330"/>
      <c r="B151" s="330"/>
      <c r="C151" s="267">
        <f>C149-C150</f>
        <v>0</v>
      </c>
      <c r="D151" s="41" t="s">
        <v>87</v>
      </c>
      <c r="E151" s="274">
        <f>E149+E150+E135</f>
        <v>-211001.39219602916</v>
      </c>
      <c r="F151" s="331"/>
      <c r="G151" s="8">
        <f>(E135*(D152/12))+(E149*(D152/24))</f>
        <v>-219.05203575502432</v>
      </c>
      <c r="H151" s="7"/>
      <c r="I151" s="8"/>
      <c r="J151" s="10"/>
    </row>
    <row r="152" spans="1:10" ht="15.75" hidden="1">
      <c r="A152" s="330"/>
      <c r="B152" s="330"/>
      <c r="C152" s="26"/>
      <c r="D152" s="184">
        <v>0.01</v>
      </c>
      <c r="E152" s="276">
        <f>ROUND(((E135)+(E149)/2)*(D152/12),2)</f>
        <v>-219.05</v>
      </c>
      <c r="F152" s="331"/>
      <c r="G152" s="40"/>
      <c r="H152" s="7"/>
      <c r="I152" s="10"/>
      <c r="J152" s="10"/>
    </row>
    <row r="153" spans="1:10" ht="16.5" hidden="1" thickBot="1">
      <c r="A153" s="5"/>
      <c r="B153" s="5"/>
      <c r="C153" s="26" t="s">
        <v>1</v>
      </c>
      <c r="D153" s="108">
        <f>A138</f>
        <v>41394</v>
      </c>
      <c r="E153" s="277">
        <f>SUM(E151:E152)</f>
        <v>-211220.44219602915</v>
      </c>
      <c r="F153" s="331"/>
      <c r="G153" s="7"/>
      <c r="H153" s="7"/>
      <c r="I153" s="8"/>
      <c r="J153" s="7"/>
    </row>
    <row r="154" spans="1:10" s="330" customFormat="1" ht="16.5" hidden="1" thickTop="1" thickBot="1">
      <c r="E154" s="268"/>
    </row>
    <row r="155" spans="1:10" s="330" customFormat="1" ht="15.75" hidden="1">
      <c r="A155" s="47" t="s">
        <v>142</v>
      </c>
      <c r="B155" s="48"/>
      <c r="C155" s="49"/>
      <c r="D155" s="50"/>
      <c r="E155" s="269"/>
      <c r="G155" s="15"/>
      <c r="H155" s="5"/>
      <c r="I155" s="32"/>
      <c r="J155" s="32"/>
    </row>
    <row r="156" spans="1:10" s="330" customFormat="1" ht="15.75" hidden="1">
      <c r="A156" s="178">
        <v>41425</v>
      </c>
      <c r="B156" s="45"/>
      <c r="C156" s="15"/>
      <c r="D156" s="46" t="s">
        <v>23</v>
      </c>
      <c r="E156" s="270" t="s">
        <v>21</v>
      </c>
      <c r="G156" s="5"/>
      <c r="H156" s="5"/>
      <c r="I156" s="8"/>
      <c r="J156" s="10"/>
    </row>
    <row r="157" spans="1:10" s="330" customFormat="1" ht="16.5" hidden="1" thickBot="1">
      <c r="A157" s="14"/>
      <c r="B157" s="17"/>
      <c r="C157" s="97" t="s">
        <v>21</v>
      </c>
      <c r="D157" s="97" t="s">
        <v>22</v>
      </c>
      <c r="E157" s="271" t="s">
        <v>23</v>
      </c>
      <c r="F157" s="331"/>
      <c r="G157" s="7"/>
      <c r="H157" s="7"/>
      <c r="I157" s="10"/>
      <c r="J157" s="10"/>
    </row>
    <row r="158" spans="1:10" s="330" customFormat="1" ht="15.75" hidden="1">
      <c r="A158" s="2" t="s">
        <v>24</v>
      </c>
      <c r="B158" s="16">
        <v>101</v>
      </c>
      <c r="C158" s="208">
        <v>1886293</v>
      </c>
      <c r="D158" s="333">
        <v>1.7780000000000001E-2</v>
      </c>
      <c r="E158" s="272">
        <v>33538.289539999998</v>
      </c>
      <c r="F158" s="331"/>
      <c r="G158" s="7"/>
      <c r="H158" s="7"/>
      <c r="I158" s="8"/>
      <c r="J158" s="7"/>
    </row>
    <row r="159" spans="1:10" s="330" customFormat="1" ht="16.5" hidden="1" thickBot="1">
      <c r="A159" s="2" t="s">
        <v>24</v>
      </c>
      <c r="B159" s="16">
        <v>111</v>
      </c>
      <c r="C159" s="208">
        <v>1075171</v>
      </c>
      <c r="D159" s="333">
        <v>1.7780000000000001E-2</v>
      </c>
      <c r="E159" s="272">
        <v>19116.540380000002</v>
      </c>
      <c r="F159" s="331"/>
      <c r="G159" s="110">
        <f>A156</f>
        <v>41425</v>
      </c>
      <c r="H159" s="111"/>
      <c r="I159" s="111"/>
      <c r="J159" s="111"/>
    </row>
    <row r="160" spans="1:10" s="330" customFormat="1" ht="16.5" hidden="1" thickBot="1">
      <c r="A160" s="2" t="s">
        <v>24</v>
      </c>
      <c r="B160" s="16">
        <v>112</v>
      </c>
      <c r="C160" s="208"/>
      <c r="D160" s="333"/>
      <c r="E160" s="272">
        <v>0</v>
      </c>
      <c r="F160" s="331"/>
      <c r="G160" s="70" t="s">
        <v>25</v>
      </c>
      <c r="H160" s="112"/>
      <c r="I160" s="113" t="s">
        <v>18</v>
      </c>
      <c r="J160" s="114" t="s">
        <v>19</v>
      </c>
    </row>
    <row r="161" spans="1:10" s="330" customFormat="1" ht="15.75" hidden="1">
      <c r="A161" s="2" t="s">
        <v>24</v>
      </c>
      <c r="B161" s="16">
        <v>121</v>
      </c>
      <c r="C161" s="208"/>
      <c r="D161" s="179"/>
      <c r="E161" s="272">
        <v>0</v>
      </c>
      <c r="F161" s="331"/>
      <c r="G161" s="115" t="s">
        <v>28</v>
      </c>
      <c r="H161" s="116" t="s">
        <v>77</v>
      </c>
      <c r="I161" s="76"/>
      <c r="J161" s="338">
        <v>0</v>
      </c>
    </row>
    <row r="162" spans="1:10" s="330" customFormat="1" ht="15.75" hidden="1">
      <c r="A162" s="2" t="s">
        <v>24</v>
      </c>
      <c r="B162" s="16">
        <v>122</v>
      </c>
      <c r="C162" s="209"/>
      <c r="D162" s="179"/>
      <c r="E162" s="272">
        <v>0</v>
      </c>
      <c r="F162" s="331"/>
      <c r="G162" s="117" t="s">
        <v>29</v>
      </c>
      <c r="H162" s="7" t="s">
        <v>78</v>
      </c>
      <c r="I162" s="339">
        <f>-E170</f>
        <v>154.08000000000001</v>
      </c>
      <c r="J162" s="181"/>
    </row>
    <row r="163" spans="1:10" s="330" customFormat="1" ht="15.75" hidden="1">
      <c r="A163" s="2" t="s">
        <v>24</v>
      </c>
      <c r="B163" s="16">
        <v>131</v>
      </c>
      <c r="C163" s="208">
        <v>0</v>
      </c>
      <c r="D163" s="333">
        <v>1.6570000000000001E-2</v>
      </c>
      <c r="E163" s="272">
        <v>0</v>
      </c>
      <c r="F163" s="331"/>
      <c r="G163" s="117" t="s">
        <v>99</v>
      </c>
      <c r="H163" s="7" t="s">
        <v>60</v>
      </c>
      <c r="I163" s="8"/>
      <c r="J163" s="67">
        <f>-E167-E168</f>
        <v>-52654.829920000004</v>
      </c>
    </row>
    <row r="164" spans="1:10" s="330" customFormat="1" ht="15.75" hidden="1">
      <c r="A164" s="2" t="s">
        <v>24</v>
      </c>
      <c r="B164" s="16">
        <v>132</v>
      </c>
      <c r="C164" s="209"/>
      <c r="D164" s="88"/>
      <c r="E164" s="272">
        <v>0</v>
      </c>
      <c r="F164" s="331"/>
      <c r="G164" s="117" t="s">
        <v>10</v>
      </c>
      <c r="H164" s="7" t="s">
        <v>58</v>
      </c>
      <c r="I164" s="7">
        <v>0</v>
      </c>
      <c r="J164" s="77"/>
    </row>
    <row r="165" spans="1:10" s="330" customFormat="1" ht="16.5" hidden="1" thickBot="1">
      <c r="A165" s="2" t="s">
        <v>24</v>
      </c>
      <c r="B165" s="16" t="s">
        <v>61</v>
      </c>
      <c r="C165" s="209"/>
      <c r="D165" s="88"/>
      <c r="E165" s="272">
        <v>0</v>
      </c>
      <c r="F165" s="331"/>
      <c r="G165" s="118" t="s">
        <v>100</v>
      </c>
      <c r="H165" s="111" t="s">
        <v>62</v>
      </c>
      <c r="I165" s="78">
        <f>-E153+E171</f>
        <v>52500.749920000031</v>
      </c>
      <c r="J165" s="75">
        <v>0</v>
      </c>
    </row>
    <row r="166" spans="1:10" s="330" customFormat="1" ht="15.75" hidden="1">
      <c r="A166" s="2" t="s">
        <v>156</v>
      </c>
      <c r="B166" s="44"/>
      <c r="C166" s="207"/>
      <c r="D166" s="101"/>
      <c r="E166" s="273">
        <v>0</v>
      </c>
      <c r="F166" s="331"/>
      <c r="G166" s="7"/>
      <c r="H166" s="7"/>
      <c r="I166" s="8"/>
      <c r="J166" s="216">
        <f>ROUND(SUM(I161:J165),2)</f>
        <v>0</v>
      </c>
    </row>
    <row r="167" spans="1:10" s="330" customFormat="1" ht="16.5" hidden="1" thickBot="1">
      <c r="B167" s="6"/>
      <c r="C167" s="210">
        <f>SUM(C158:C166)</f>
        <v>2961464</v>
      </c>
      <c r="D167" s="119"/>
      <c r="E167" s="274">
        <f>SUM(E158:E166)</f>
        <v>52654.829920000004</v>
      </c>
      <c r="F167" s="331"/>
      <c r="G167" s="7"/>
      <c r="H167" s="7"/>
      <c r="I167" s="7"/>
      <c r="J167" s="7"/>
    </row>
    <row r="168" spans="1:10" s="330" customFormat="1" ht="16.5" hidden="1" thickTop="1">
      <c r="B168" s="6"/>
      <c r="C168" s="211">
        <v>2961464</v>
      </c>
      <c r="D168" s="41" t="s">
        <v>161</v>
      </c>
      <c r="E168" s="275">
        <v>0</v>
      </c>
      <c r="F168" s="331"/>
      <c r="G168" s="40" t="s">
        <v>158</v>
      </c>
      <c r="H168" s="7"/>
      <c r="I168" s="12"/>
      <c r="J168" s="12"/>
    </row>
    <row r="169" spans="1:10" s="330" customFormat="1" ht="15.75" hidden="1">
      <c r="C169" s="267">
        <f>C167-C168</f>
        <v>0</v>
      </c>
      <c r="D169" s="41" t="s">
        <v>87</v>
      </c>
      <c r="E169" s="274">
        <f>E167+E168+E153</f>
        <v>-158565.61227602913</v>
      </c>
      <c r="F169" s="331"/>
      <c r="G169" s="8">
        <f>(E153*(D170/12))+(E167*(D170/24))</f>
        <v>-154.07752269669095</v>
      </c>
      <c r="H169" s="7"/>
      <c r="I169" s="8"/>
      <c r="J169" s="10"/>
    </row>
    <row r="170" spans="1:10" s="330" customFormat="1" ht="15.75" hidden="1">
      <c r="C170" s="26"/>
      <c r="D170" s="184">
        <v>0.01</v>
      </c>
      <c r="E170" s="276">
        <f>ROUND(((E153)+(E167)/2)*(D170/12),2)</f>
        <v>-154.08000000000001</v>
      </c>
      <c r="F170" s="331"/>
      <c r="G170" s="40"/>
      <c r="H170" s="7"/>
      <c r="I170" s="10"/>
      <c r="J170" s="10"/>
    </row>
    <row r="171" spans="1:10" s="330" customFormat="1" ht="16.5" hidden="1" thickBot="1">
      <c r="A171" s="5"/>
      <c r="B171" s="5"/>
      <c r="C171" s="26" t="s">
        <v>1</v>
      </c>
      <c r="D171" s="108">
        <f>A156</f>
        <v>41425</v>
      </c>
      <c r="E171" s="277">
        <f>SUM(E169:E170)</f>
        <v>-158719.69227602912</v>
      </c>
      <c r="F171" s="331"/>
      <c r="G171" s="7"/>
      <c r="H171" s="7"/>
      <c r="I171" s="8"/>
      <c r="J171" s="7"/>
    </row>
    <row r="172" spans="1:10" s="330" customFormat="1" ht="16.5" hidden="1" thickTop="1" thickBot="1">
      <c r="E172" s="268"/>
    </row>
    <row r="173" spans="1:10" s="330" customFormat="1" ht="15.75" hidden="1">
      <c r="A173" s="47" t="s">
        <v>142</v>
      </c>
      <c r="B173" s="48"/>
      <c r="C173" s="49"/>
      <c r="D173" s="50"/>
      <c r="E173" s="269"/>
      <c r="G173" s="15"/>
      <c r="H173" s="5"/>
      <c r="I173" s="32"/>
      <c r="J173" s="32"/>
    </row>
    <row r="174" spans="1:10" s="330" customFormat="1" ht="15.75" hidden="1">
      <c r="A174" s="178">
        <v>41426</v>
      </c>
      <c r="B174" s="45"/>
      <c r="C174" s="15"/>
      <c r="D174" s="46" t="s">
        <v>23</v>
      </c>
      <c r="E174" s="270" t="s">
        <v>21</v>
      </c>
      <c r="G174" s="5"/>
      <c r="H174" s="5"/>
      <c r="I174" s="8"/>
      <c r="J174" s="10"/>
    </row>
    <row r="175" spans="1:10" s="330" customFormat="1" ht="16.5" hidden="1" thickBot="1">
      <c r="A175" s="14"/>
      <c r="B175" s="17"/>
      <c r="C175" s="97" t="s">
        <v>21</v>
      </c>
      <c r="D175" s="97" t="s">
        <v>22</v>
      </c>
      <c r="E175" s="271" t="s">
        <v>23</v>
      </c>
      <c r="F175" s="331"/>
      <c r="G175" s="7"/>
      <c r="H175" s="7"/>
      <c r="I175" s="10"/>
      <c r="J175" s="10"/>
    </row>
    <row r="176" spans="1:10" s="330" customFormat="1" ht="15.75" hidden="1">
      <c r="A176" s="2" t="s">
        <v>24</v>
      </c>
      <c r="B176" s="16">
        <v>101</v>
      </c>
      <c r="C176" s="208">
        <v>1322327</v>
      </c>
      <c r="D176" s="333">
        <v>1.7780000000000001E-2</v>
      </c>
      <c r="E176" s="272">
        <v>23510.97406</v>
      </c>
      <c r="F176" s="331"/>
      <c r="G176" s="7"/>
      <c r="H176" s="7"/>
      <c r="I176" s="8"/>
      <c r="J176" s="7"/>
    </row>
    <row r="177" spans="1:10" s="330" customFormat="1" ht="16.5" hidden="1" thickBot="1">
      <c r="A177" s="2" t="s">
        <v>24</v>
      </c>
      <c r="B177" s="16">
        <v>111</v>
      </c>
      <c r="C177" s="208">
        <v>1044472</v>
      </c>
      <c r="D177" s="333">
        <v>1.7780000000000001E-2</v>
      </c>
      <c r="E177" s="272">
        <v>18570.712159999999</v>
      </c>
      <c r="F177" s="331"/>
      <c r="G177" s="110">
        <f>A174</f>
        <v>41426</v>
      </c>
      <c r="H177" s="111"/>
      <c r="I177" s="111"/>
      <c r="J177" s="111"/>
    </row>
    <row r="178" spans="1:10" s="330" customFormat="1" ht="16.5" hidden="1" thickBot="1">
      <c r="A178" s="2" t="s">
        <v>24</v>
      </c>
      <c r="B178" s="16">
        <v>112</v>
      </c>
      <c r="C178" s="208"/>
      <c r="D178" s="333"/>
      <c r="E178" s="272">
        <v>0</v>
      </c>
      <c r="F178" s="331"/>
      <c r="G178" s="70" t="s">
        <v>25</v>
      </c>
      <c r="H178" s="112"/>
      <c r="I178" s="113" t="s">
        <v>18</v>
      </c>
      <c r="J178" s="114" t="s">
        <v>19</v>
      </c>
    </row>
    <row r="179" spans="1:10" s="330" customFormat="1" ht="15.75" hidden="1">
      <c r="A179" s="2" t="s">
        <v>24</v>
      </c>
      <c r="B179" s="16">
        <v>121</v>
      </c>
      <c r="C179" s="208"/>
      <c r="D179" s="179"/>
      <c r="E179" s="272">
        <v>0</v>
      </c>
      <c r="F179" s="331"/>
      <c r="G179" s="115" t="s">
        <v>28</v>
      </c>
      <c r="H179" s="116" t="s">
        <v>77</v>
      </c>
      <c r="I179" s="76"/>
      <c r="J179" s="338">
        <v>0</v>
      </c>
    </row>
    <row r="180" spans="1:10" s="330" customFormat="1" ht="15.75" hidden="1">
      <c r="A180" s="2" t="s">
        <v>24</v>
      </c>
      <c r="B180" s="16">
        <v>122</v>
      </c>
      <c r="C180" s="209"/>
      <c r="D180" s="179"/>
      <c r="E180" s="272">
        <v>0</v>
      </c>
      <c r="F180" s="331"/>
      <c r="G180" s="117" t="s">
        <v>29</v>
      </c>
      <c r="H180" s="7" t="s">
        <v>78</v>
      </c>
      <c r="I180" s="339">
        <f>-E188</f>
        <v>114.73</v>
      </c>
      <c r="J180" s="181"/>
    </row>
    <row r="181" spans="1:10" s="330" customFormat="1" ht="15.75" hidden="1">
      <c r="A181" s="2" t="s">
        <v>24</v>
      </c>
      <c r="B181" s="16">
        <v>131</v>
      </c>
      <c r="C181" s="208">
        <v>0</v>
      </c>
      <c r="D181" s="333">
        <v>1.6570000000000001E-2</v>
      </c>
      <c r="E181" s="272">
        <v>0</v>
      </c>
      <c r="F181" s="331"/>
      <c r="G181" s="117" t="s">
        <v>99</v>
      </c>
      <c r="H181" s="7" t="s">
        <v>60</v>
      </c>
      <c r="I181" s="8"/>
      <c r="J181" s="67">
        <f>-E185-E186</f>
        <v>-42081.686220000003</v>
      </c>
    </row>
    <row r="182" spans="1:10" s="330" customFormat="1" ht="15.75" hidden="1">
      <c r="A182" s="2" t="s">
        <v>24</v>
      </c>
      <c r="B182" s="16">
        <v>132</v>
      </c>
      <c r="C182" s="209"/>
      <c r="D182" s="88"/>
      <c r="E182" s="272">
        <v>0</v>
      </c>
      <c r="F182" s="331"/>
      <c r="G182" s="117" t="s">
        <v>10</v>
      </c>
      <c r="H182" s="7" t="s">
        <v>58</v>
      </c>
      <c r="I182" s="7">
        <v>0</v>
      </c>
      <c r="J182" s="77"/>
    </row>
    <row r="183" spans="1:10" s="330" customFormat="1" ht="16.5" hidden="1" thickBot="1">
      <c r="A183" s="2" t="s">
        <v>24</v>
      </c>
      <c r="B183" s="16" t="s">
        <v>61</v>
      </c>
      <c r="C183" s="209"/>
      <c r="D183" s="88"/>
      <c r="E183" s="272">
        <v>0</v>
      </c>
      <c r="F183" s="331"/>
      <c r="G183" s="118" t="s">
        <v>100</v>
      </c>
      <c r="H183" s="111" t="s">
        <v>62</v>
      </c>
      <c r="I183" s="78">
        <f>-E171+E189</f>
        <v>41966.956220000007</v>
      </c>
      <c r="J183" s="75">
        <v>0</v>
      </c>
    </row>
    <row r="184" spans="1:10" s="330" customFormat="1" ht="15.75" hidden="1">
      <c r="A184" s="2" t="s">
        <v>156</v>
      </c>
      <c r="B184" s="44"/>
      <c r="C184" s="207"/>
      <c r="D184" s="101"/>
      <c r="E184" s="273">
        <v>0</v>
      </c>
      <c r="F184" s="331"/>
      <c r="G184" s="7"/>
      <c r="H184" s="7"/>
      <c r="I184" s="8"/>
      <c r="J184" s="216">
        <f>ROUND(SUM(I179:J183),2)</f>
        <v>0</v>
      </c>
    </row>
    <row r="185" spans="1:10" s="330" customFormat="1" ht="16.5" hidden="1" thickBot="1">
      <c r="B185" s="6"/>
      <c r="C185" s="210">
        <f>SUM(C176:C184)</f>
        <v>2366799</v>
      </c>
      <c r="D185" s="119"/>
      <c r="E185" s="274">
        <f>SUM(E176:E184)</f>
        <v>42081.686220000003</v>
      </c>
      <c r="F185" s="331"/>
      <c r="G185" s="7"/>
      <c r="H185" s="7"/>
      <c r="I185" s="7"/>
      <c r="J185" s="7"/>
    </row>
    <row r="186" spans="1:10" s="330" customFormat="1" ht="16.5" hidden="1" thickTop="1">
      <c r="B186" s="6"/>
      <c r="C186" s="211">
        <v>2366799</v>
      </c>
      <c r="D186" s="41" t="s">
        <v>161</v>
      </c>
      <c r="E186" s="275">
        <v>0</v>
      </c>
      <c r="F186" s="331"/>
      <c r="G186" s="40" t="s">
        <v>158</v>
      </c>
      <c r="H186" s="7"/>
      <c r="I186" s="12"/>
      <c r="J186" s="12"/>
    </row>
    <row r="187" spans="1:10" s="330" customFormat="1" ht="15.75" hidden="1">
      <c r="C187" s="267">
        <f>C185-C186</f>
        <v>0</v>
      </c>
      <c r="D187" s="41" t="s">
        <v>87</v>
      </c>
      <c r="E187" s="274">
        <f>E185+E186+E171</f>
        <v>-116638.00605602912</v>
      </c>
      <c r="F187" s="331"/>
      <c r="G187" s="8">
        <f>(E171*(D188/12))+(E185*(D188/24))</f>
        <v>-114.73237430502427</v>
      </c>
      <c r="H187" s="7"/>
      <c r="I187" s="8"/>
      <c r="J187" s="10"/>
    </row>
    <row r="188" spans="1:10" s="330" customFormat="1" ht="15.75" hidden="1">
      <c r="C188" s="26"/>
      <c r="D188" s="184">
        <v>0.01</v>
      </c>
      <c r="E188" s="276">
        <f>ROUND(((E171)+(E185)/2)*(D188/12),2)</f>
        <v>-114.73</v>
      </c>
      <c r="F188" s="331"/>
      <c r="G188" s="40"/>
      <c r="H188" s="7"/>
      <c r="I188" s="10"/>
      <c r="J188" s="10"/>
    </row>
    <row r="189" spans="1:10" s="330" customFormat="1" ht="16.5" thickBot="1">
      <c r="A189" s="5"/>
      <c r="B189" s="5"/>
      <c r="C189" s="26" t="s">
        <v>1</v>
      </c>
      <c r="D189" s="108">
        <f>A174</f>
        <v>41426</v>
      </c>
      <c r="E189" s="277">
        <f>SUM(E187:E188)</f>
        <v>-116752.73605602911</v>
      </c>
      <c r="F189" s="331"/>
      <c r="G189" s="7"/>
      <c r="H189" s="7"/>
      <c r="I189" s="8"/>
      <c r="J189" s="7"/>
    </row>
    <row r="190" spans="1:10" s="330" customFormat="1" ht="16.5" thickTop="1" thickBot="1">
      <c r="E190" s="268"/>
    </row>
    <row r="191" spans="1:10" s="330" customFormat="1" ht="15.75">
      <c r="A191" s="47" t="s">
        <v>142</v>
      </c>
      <c r="B191" s="48"/>
      <c r="C191" s="49"/>
      <c r="D191" s="50"/>
      <c r="E191" s="269"/>
      <c r="G191" s="15"/>
      <c r="H191" s="5"/>
      <c r="I191" s="32"/>
      <c r="J191" s="32"/>
    </row>
    <row r="192" spans="1:10" s="330" customFormat="1" ht="15.75">
      <c r="A192" s="178">
        <v>41456</v>
      </c>
      <c r="B192" s="45"/>
      <c r="C192" s="15"/>
      <c r="D192" s="46" t="s">
        <v>23</v>
      </c>
      <c r="E192" s="270" t="s">
        <v>21</v>
      </c>
      <c r="G192" s="5"/>
      <c r="H192" s="5"/>
      <c r="I192" s="8"/>
      <c r="J192" s="10"/>
    </row>
    <row r="193" spans="1:10" s="330" customFormat="1" ht="16.5" thickBot="1">
      <c r="A193" s="14"/>
      <c r="B193" s="17"/>
      <c r="C193" s="97" t="s">
        <v>21</v>
      </c>
      <c r="D193" s="97" t="s">
        <v>22</v>
      </c>
      <c r="E193" s="271" t="s">
        <v>23</v>
      </c>
      <c r="F193" s="331"/>
      <c r="G193" s="7"/>
      <c r="H193" s="7"/>
      <c r="I193" s="10"/>
      <c r="J193" s="10"/>
    </row>
    <row r="194" spans="1:10" s="330" customFormat="1" ht="15.75">
      <c r="A194" s="2" t="s">
        <v>24</v>
      </c>
      <c r="B194" s="16">
        <v>101</v>
      </c>
      <c r="C194" s="208">
        <v>970543</v>
      </c>
      <c r="D194" s="333">
        <v>1.7780000000000001E-2</v>
      </c>
      <c r="E194" s="272">
        <v>17256.254540000002</v>
      </c>
      <c r="F194" s="331"/>
      <c r="G194" s="7"/>
      <c r="H194" s="7"/>
      <c r="I194" s="8"/>
      <c r="J194" s="7"/>
    </row>
    <row r="195" spans="1:10" s="330" customFormat="1" ht="16.5" thickBot="1">
      <c r="A195" s="2" t="s">
        <v>24</v>
      </c>
      <c r="B195" s="16">
        <v>111</v>
      </c>
      <c r="C195" s="208">
        <v>805059</v>
      </c>
      <c r="D195" s="333">
        <v>1.7780000000000001E-2</v>
      </c>
      <c r="E195" s="272">
        <v>14313.94902</v>
      </c>
      <c r="F195" s="331"/>
      <c r="G195" s="110">
        <f>A192</f>
        <v>41456</v>
      </c>
      <c r="H195" s="111"/>
      <c r="I195" s="111"/>
      <c r="J195" s="111"/>
    </row>
    <row r="196" spans="1:10" s="330" customFormat="1" ht="16.5" thickBot="1">
      <c r="A196" s="2" t="s">
        <v>24</v>
      </c>
      <c r="B196" s="16">
        <v>112</v>
      </c>
      <c r="C196" s="208"/>
      <c r="D196" s="333"/>
      <c r="E196" s="272">
        <v>0</v>
      </c>
      <c r="F196" s="331"/>
      <c r="G196" s="70" t="s">
        <v>25</v>
      </c>
      <c r="H196" s="112"/>
      <c r="I196" s="113" t="s">
        <v>18</v>
      </c>
      <c r="J196" s="114" t="s">
        <v>19</v>
      </c>
    </row>
    <row r="197" spans="1:10" s="330" customFormat="1" ht="15.75">
      <c r="A197" s="2" t="s">
        <v>24</v>
      </c>
      <c r="B197" s="16">
        <v>121</v>
      </c>
      <c r="C197" s="208"/>
      <c r="D197" s="179"/>
      <c r="E197" s="272">
        <v>0</v>
      </c>
      <c r="F197" s="331"/>
      <c r="G197" s="115" t="s">
        <v>28</v>
      </c>
      <c r="H197" s="116" t="s">
        <v>77</v>
      </c>
      <c r="I197" s="76"/>
      <c r="J197" s="338">
        <v>0</v>
      </c>
    </row>
    <row r="198" spans="1:10" s="330" customFormat="1" ht="15.75">
      <c r="A198" s="2" t="s">
        <v>24</v>
      </c>
      <c r="B198" s="16">
        <v>122</v>
      </c>
      <c r="C198" s="209"/>
      <c r="D198" s="179"/>
      <c r="E198" s="272">
        <v>0</v>
      </c>
      <c r="F198" s="331"/>
      <c r="G198" s="117" t="s">
        <v>29</v>
      </c>
      <c r="H198" s="7" t="s">
        <v>78</v>
      </c>
      <c r="I198" s="339">
        <f>-E206</f>
        <v>84.14</v>
      </c>
      <c r="J198" s="181"/>
    </row>
    <row r="199" spans="1:10" s="330" customFormat="1" ht="15.75">
      <c r="A199" s="2" t="s">
        <v>24</v>
      </c>
      <c r="B199" s="16">
        <v>131</v>
      </c>
      <c r="C199" s="208">
        <v>0</v>
      </c>
      <c r="D199" s="333">
        <v>1.6570000000000001E-2</v>
      </c>
      <c r="E199" s="272">
        <v>0</v>
      </c>
      <c r="F199" s="331"/>
      <c r="G199" s="117" t="s">
        <v>99</v>
      </c>
      <c r="H199" s="7" t="s">
        <v>60</v>
      </c>
      <c r="I199" s="8"/>
      <c r="J199" s="67">
        <f>-E203-E204</f>
        <v>-31570.203560000002</v>
      </c>
    </row>
    <row r="200" spans="1:10" s="330" customFormat="1" ht="15.75">
      <c r="A200" s="2" t="s">
        <v>24</v>
      </c>
      <c r="B200" s="16">
        <v>132</v>
      </c>
      <c r="C200" s="209"/>
      <c r="D200" s="88"/>
      <c r="E200" s="272">
        <v>0</v>
      </c>
      <c r="F200" s="331"/>
      <c r="G200" s="117" t="s">
        <v>10</v>
      </c>
      <c r="H200" s="7" t="s">
        <v>58</v>
      </c>
      <c r="I200" s="7">
        <v>0</v>
      </c>
      <c r="J200" s="77"/>
    </row>
    <row r="201" spans="1:10" s="330" customFormat="1" ht="16.5" thickBot="1">
      <c r="A201" s="2" t="s">
        <v>24</v>
      </c>
      <c r="B201" s="16" t="s">
        <v>61</v>
      </c>
      <c r="C201" s="209"/>
      <c r="D201" s="88"/>
      <c r="E201" s="272">
        <v>0</v>
      </c>
      <c r="F201" s="331"/>
      <c r="G201" s="118" t="s">
        <v>100</v>
      </c>
      <c r="H201" s="111" t="s">
        <v>62</v>
      </c>
      <c r="I201" s="78">
        <f>-E189+E207</f>
        <v>31486.06356000001</v>
      </c>
      <c r="J201" s="75">
        <v>0</v>
      </c>
    </row>
    <row r="202" spans="1:10" s="330" customFormat="1" ht="15.75">
      <c r="A202" s="2" t="s">
        <v>156</v>
      </c>
      <c r="B202" s="44"/>
      <c r="C202" s="207"/>
      <c r="D202" s="101"/>
      <c r="E202" s="273">
        <v>0</v>
      </c>
      <c r="F202" s="331"/>
      <c r="G202" s="7"/>
      <c r="H202" s="7"/>
      <c r="I202" s="8"/>
      <c r="J202" s="216">
        <f>ROUND(SUM(I197:J201),2)</f>
        <v>0</v>
      </c>
    </row>
    <row r="203" spans="1:10" s="330" customFormat="1" ht="16.5" thickBot="1">
      <c r="B203" s="6"/>
      <c r="C203" s="210">
        <f>SUM(C194:C202)</f>
        <v>1775602</v>
      </c>
      <c r="D203" s="119"/>
      <c r="E203" s="274">
        <f>SUM(E194:E202)</f>
        <v>31570.203560000002</v>
      </c>
      <c r="F203" s="331"/>
      <c r="G203" s="7"/>
      <c r="H203" s="7"/>
      <c r="I203" s="7"/>
      <c r="J203" s="7"/>
    </row>
    <row r="204" spans="1:10" s="330" customFormat="1" ht="16.5" thickTop="1">
      <c r="B204" s="6"/>
      <c r="C204" s="211">
        <v>1775602</v>
      </c>
      <c r="D204" s="41" t="s">
        <v>161</v>
      </c>
      <c r="E204" s="275">
        <v>0</v>
      </c>
      <c r="F204" s="331"/>
      <c r="G204" s="40" t="s">
        <v>158</v>
      </c>
      <c r="H204" s="7"/>
      <c r="I204" s="12"/>
      <c r="J204" s="12"/>
    </row>
    <row r="205" spans="1:10" s="330" customFormat="1" ht="15.75">
      <c r="C205" s="267">
        <f>C203-C204</f>
        <v>0</v>
      </c>
      <c r="D205" s="41" t="s">
        <v>87</v>
      </c>
      <c r="E205" s="274">
        <f>E203+E204+E189</f>
        <v>-85182.532496029104</v>
      </c>
      <c r="F205" s="331"/>
      <c r="G205" s="8">
        <f>(E189*(D206/12))+(E203*(D206/24))</f>
        <v>-84.139695230024259</v>
      </c>
      <c r="H205" s="7"/>
      <c r="I205" s="8"/>
      <c r="J205" s="10"/>
    </row>
    <row r="206" spans="1:10" s="330" customFormat="1" ht="15.75">
      <c r="C206" s="26"/>
      <c r="D206" s="184">
        <v>0.01</v>
      </c>
      <c r="E206" s="276">
        <f>ROUND(((E189)+(E203)/2)*(D206/12),2)</f>
        <v>-84.14</v>
      </c>
      <c r="F206" s="331"/>
      <c r="G206" s="40"/>
      <c r="H206" s="7"/>
      <c r="I206" s="10"/>
      <c r="J206" s="10"/>
    </row>
    <row r="207" spans="1:10" s="330" customFormat="1" ht="16.5" thickBot="1">
      <c r="A207" s="5"/>
      <c r="B207" s="5"/>
      <c r="C207" s="26" t="s">
        <v>1</v>
      </c>
      <c r="D207" s="108">
        <f>A192</f>
        <v>41456</v>
      </c>
      <c r="E207" s="277">
        <f>SUM(E205:E206)</f>
        <v>-85266.672496029103</v>
      </c>
      <c r="F207" s="331"/>
      <c r="G207" s="7"/>
      <c r="H207" s="7"/>
      <c r="I207" s="8"/>
      <c r="J207" s="7"/>
    </row>
    <row r="208" spans="1:10" ht="16.5" thickTop="1" thickBot="1"/>
    <row r="209" spans="1:10" s="330" customFormat="1" ht="15.75">
      <c r="A209" s="47" t="s">
        <v>142</v>
      </c>
      <c r="B209" s="48"/>
      <c r="C209" s="49"/>
      <c r="D209" s="50"/>
      <c r="E209" s="269"/>
      <c r="G209" s="15"/>
      <c r="H209" s="5"/>
      <c r="I209" s="32"/>
      <c r="J209" s="32"/>
    </row>
    <row r="210" spans="1:10" s="330" customFormat="1" ht="15.75">
      <c r="A210" s="178">
        <v>41487</v>
      </c>
      <c r="B210" s="45"/>
      <c r="C210" s="15"/>
      <c r="D210" s="46" t="s">
        <v>23</v>
      </c>
      <c r="E210" s="270" t="s">
        <v>21</v>
      </c>
      <c r="G210" s="5"/>
      <c r="H210" s="5"/>
      <c r="I210" s="8"/>
      <c r="J210" s="10"/>
    </row>
    <row r="211" spans="1:10" s="330" customFormat="1" ht="16.5" thickBot="1">
      <c r="A211" s="14"/>
      <c r="B211" s="17"/>
      <c r="C211" s="97" t="s">
        <v>21</v>
      </c>
      <c r="D211" s="97" t="s">
        <v>22</v>
      </c>
      <c r="E211" s="271" t="s">
        <v>23</v>
      </c>
      <c r="F211" s="331"/>
      <c r="G211" s="7"/>
      <c r="H211" s="7"/>
      <c r="I211" s="10"/>
      <c r="J211" s="10"/>
    </row>
    <row r="212" spans="1:10" s="330" customFormat="1" ht="15.75">
      <c r="A212" s="2" t="s">
        <v>24</v>
      </c>
      <c r="B212" s="16">
        <v>101</v>
      </c>
      <c r="C212" s="208">
        <v>985214</v>
      </c>
      <c r="D212" s="333">
        <v>1.7780000000000001E-2</v>
      </c>
      <c r="E212" s="272">
        <v>17517.104920000002</v>
      </c>
      <c r="F212" s="331"/>
      <c r="G212" s="7"/>
      <c r="H212" s="7"/>
      <c r="I212" s="8"/>
      <c r="J212" s="7"/>
    </row>
    <row r="213" spans="1:10" s="330" customFormat="1" ht="16.5" thickBot="1">
      <c r="A213" s="2" t="s">
        <v>24</v>
      </c>
      <c r="B213" s="16">
        <v>111</v>
      </c>
      <c r="C213" s="208">
        <v>994287</v>
      </c>
      <c r="D213" s="333">
        <v>1.7780000000000001E-2</v>
      </c>
      <c r="E213" s="272">
        <v>17678.422860000002</v>
      </c>
      <c r="F213" s="331"/>
      <c r="G213" s="110">
        <f>A210</f>
        <v>41487</v>
      </c>
      <c r="H213" s="111"/>
      <c r="I213" s="111"/>
      <c r="J213" s="111"/>
    </row>
    <row r="214" spans="1:10" s="330" customFormat="1" ht="16.5" thickBot="1">
      <c r="A214" s="2" t="s">
        <v>24</v>
      </c>
      <c r="B214" s="16">
        <v>112</v>
      </c>
      <c r="C214" s="208"/>
      <c r="D214" s="333"/>
      <c r="E214" s="272">
        <v>0</v>
      </c>
      <c r="F214" s="331"/>
      <c r="G214" s="70" t="s">
        <v>25</v>
      </c>
      <c r="H214" s="112"/>
      <c r="I214" s="113" t="s">
        <v>18</v>
      </c>
      <c r="J214" s="114" t="s">
        <v>19</v>
      </c>
    </row>
    <row r="215" spans="1:10" s="330" customFormat="1" ht="15.75">
      <c r="A215" s="2" t="s">
        <v>24</v>
      </c>
      <c r="B215" s="16">
        <v>121</v>
      </c>
      <c r="C215" s="208"/>
      <c r="D215" s="179"/>
      <c r="E215" s="272">
        <v>0</v>
      </c>
      <c r="F215" s="331"/>
      <c r="G215" s="115" t="s">
        <v>28</v>
      </c>
      <c r="H215" s="116" t="s">
        <v>77</v>
      </c>
      <c r="I215" s="76"/>
      <c r="J215" s="338">
        <v>0</v>
      </c>
    </row>
    <row r="216" spans="1:10" s="330" customFormat="1" ht="15.75">
      <c r="A216" s="2" t="s">
        <v>24</v>
      </c>
      <c r="B216" s="16">
        <v>122</v>
      </c>
      <c r="C216" s="209"/>
      <c r="D216" s="179"/>
      <c r="E216" s="272">
        <v>0</v>
      </c>
      <c r="F216" s="331"/>
      <c r="G216" s="117" t="s">
        <v>29</v>
      </c>
      <c r="H216" s="7" t="s">
        <v>78</v>
      </c>
      <c r="I216" s="339">
        <f>-E224</f>
        <v>56.39</v>
      </c>
      <c r="J216" s="181"/>
    </row>
    <row r="217" spans="1:10" s="330" customFormat="1" ht="15.75">
      <c r="A217" s="2" t="s">
        <v>24</v>
      </c>
      <c r="B217" s="16">
        <v>131</v>
      </c>
      <c r="C217" s="208">
        <v>0</v>
      </c>
      <c r="D217" s="333">
        <v>1.6570000000000001E-2</v>
      </c>
      <c r="E217" s="272">
        <v>0</v>
      </c>
      <c r="F217" s="331"/>
      <c r="G217" s="117" t="s">
        <v>99</v>
      </c>
      <c r="H217" s="7" t="s">
        <v>60</v>
      </c>
      <c r="I217" s="8"/>
      <c r="J217" s="67">
        <f>-E221-E222</f>
        <v>-35195.527780000004</v>
      </c>
    </row>
    <row r="218" spans="1:10" s="330" customFormat="1" ht="15.75">
      <c r="A218" s="2" t="s">
        <v>24</v>
      </c>
      <c r="B218" s="16">
        <v>132</v>
      </c>
      <c r="C218" s="209"/>
      <c r="D218" s="88"/>
      <c r="E218" s="272">
        <v>0</v>
      </c>
      <c r="F218" s="331"/>
      <c r="G218" s="117" t="s">
        <v>10</v>
      </c>
      <c r="H218" s="7" t="s">
        <v>58</v>
      </c>
      <c r="I218" s="7">
        <v>0</v>
      </c>
      <c r="J218" s="77"/>
    </row>
    <row r="219" spans="1:10" s="330" customFormat="1" ht="16.5" thickBot="1">
      <c r="A219" s="2" t="s">
        <v>24</v>
      </c>
      <c r="B219" s="16" t="s">
        <v>61</v>
      </c>
      <c r="C219" s="209"/>
      <c r="D219" s="88"/>
      <c r="E219" s="272">
        <v>0</v>
      </c>
      <c r="F219" s="331"/>
      <c r="G219" s="118" t="s">
        <v>100</v>
      </c>
      <c r="H219" s="111" t="s">
        <v>62</v>
      </c>
      <c r="I219" s="78">
        <f>-E207+E225</f>
        <v>35139.137780000005</v>
      </c>
      <c r="J219" s="75">
        <v>0</v>
      </c>
    </row>
    <row r="220" spans="1:10" s="330" customFormat="1" ht="15.75">
      <c r="A220" s="2" t="s">
        <v>156</v>
      </c>
      <c r="B220" s="44"/>
      <c r="C220" s="207"/>
      <c r="D220" s="101"/>
      <c r="E220" s="273">
        <v>0</v>
      </c>
      <c r="F220" s="331"/>
      <c r="G220" s="7"/>
      <c r="H220" s="7"/>
      <c r="I220" s="8"/>
      <c r="J220" s="216">
        <f>ROUND(SUM(I215:J219),2)</f>
        <v>0</v>
      </c>
    </row>
    <row r="221" spans="1:10" s="330" customFormat="1" ht="16.5" thickBot="1">
      <c r="B221" s="6"/>
      <c r="C221" s="210">
        <f>SUM(C212:C220)</f>
        <v>1979501</v>
      </c>
      <c r="D221" s="119"/>
      <c r="E221" s="274">
        <f>SUM(E212:E220)</f>
        <v>35195.527780000004</v>
      </c>
      <c r="F221" s="331"/>
      <c r="G221" s="7"/>
      <c r="H221" s="7"/>
      <c r="I221" s="7"/>
      <c r="J221" s="7"/>
    </row>
    <row r="222" spans="1:10" s="330" customFormat="1" ht="16.5" thickTop="1">
      <c r="B222" s="6"/>
      <c r="C222" s="211">
        <v>1979501</v>
      </c>
      <c r="D222" s="41" t="s">
        <v>161</v>
      </c>
      <c r="E222" s="275">
        <v>0</v>
      </c>
      <c r="F222" s="331"/>
      <c r="G222" s="40" t="s">
        <v>158</v>
      </c>
      <c r="H222" s="7"/>
      <c r="I222" s="12"/>
      <c r="J222" s="12"/>
    </row>
    <row r="223" spans="1:10" s="330" customFormat="1" ht="15.75">
      <c r="C223" s="267">
        <f>C221-C222</f>
        <v>0</v>
      </c>
      <c r="D223" s="41" t="s">
        <v>87</v>
      </c>
      <c r="E223" s="274">
        <f>E221+E222+E207</f>
        <v>-50071.144716029099</v>
      </c>
      <c r="F223" s="331"/>
      <c r="G223" s="8">
        <f>(E207*(D224/12))+(E221*(D224/24))</f>
        <v>-56.390757171690929</v>
      </c>
      <c r="H223" s="7"/>
      <c r="I223" s="8"/>
      <c r="J223" s="10"/>
    </row>
    <row r="224" spans="1:10" s="330" customFormat="1" ht="15.75">
      <c r="C224" s="26"/>
      <c r="D224" s="184">
        <v>0.01</v>
      </c>
      <c r="E224" s="276">
        <f>ROUND(((E207)+(E221)/2)*(D224/12),2)</f>
        <v>-56.39</v>
      </c>
      <c r="F224" s="331"/>
      <c r="G224" s="40"/>
      <c r="H224" s="7"/>
      <c r="I224" s="10"/>
      <c r="J224" s="10"/>
    </row>
    <row r="225" spans="1:10" s="330" customFormat="1" ht="16.5" thickBot="1">
      <c r="A225" s="5"/>
      <c r="B225" s="5"/>
      <c r="C225" s="26" t="s">
        <v>1</v>
      </c>
      <c r="D225" s="108">
        <f>A210</f>
        <v>41487</v>
      </c>
      <c r="E225" s="277">
        <f>SUM(E223:E224)</f>
        <v>-50127.534716029098</v>
      </c>
      <c r="F225" s="331"/>
      <c r="G225" s="7"/>
      <c r="H225" s="7"/>
      <c r="I225" s="8"/>
      <c r="J225" s="7"/>
    </row>
    <row r="226" spans="1:10" ht="16.5" thickTop="1" thickBot="1"/>
    <row r="227" spans="1:10" s="330" customFormat="1" ht="15.75">
      <c r="A227" s="47" t="s">
        <v>142</v>
      </c>
      <c r="B227" s="48"/>
      <c r="C227" s="49"/>
      <c r="D227" s="50"/>
      <c r="E227" s="269"/>
      <c r="G227" s="15"/>
      <c r="H227" s="5"/>
      <c r="I227" s="32"/>
      <c r="J227" s="32"/>
    </row>
    <row r="228" spans="1:10" s="330" customFormat="1" ht="15.75">
      <c r="A228" s="178">
        <v>41518</v>
      </c>
      <c r="B228" s="45"/>
      <c r="C228" s="15"/>
      <c r="D228" s="46" t="s">
        <v>23</v>
      </c>
      <c r="E228" s="270" t="s">
        <v>21</v>
      </c>
      <c r="G228" s="5"/>
      <c r="H228" s="5"/>
      <c r="I228" s="8"/>
      <c r="J228" s="10"/>
    </row>
    <row r="229" spans="1:10" s="330" customFormat="1" ht="16.5" thickBot="1">
      <c r="A229" s="14"/>
      <c r="B229" s="17"/>
      <c r="C229" s="97" t="s">
        <v>21</v>
      </c>
      <c r="D229" s="97" t="s">
        <v>22</v>
      </c>
      <c r="E229" s="271" t="s">
        <v>23</v>
      </c>
      <c r="F229" s="331"/>
      <c r="G229" s="7"/>
      <c r="H229" s="7"/>
      <c r="I229" s="10"/>
      <c r="J229" s="10"/>
    </row>
    <row r="230" spans="1:10" s="330" customFormat="1" ht="15.75">
      <c r="A230" s="2" t="s">
        <v>24</v>
      </c>
      <c r="B230" s="16">
        <v>101</v>
      </c>
      <c r="C230" s="208">
        <v>1338764</v>
      </c>
      <c r="D230" s="333">
        <v>1.7780000000000001E-2</v>
      </c>
      <c r="E230" s="272">
        <v>23803.22392</v>
      </c>
      <c r="F230" s="331"/>
      <c r="G230" s="7"/>
      <c r="H230" s="7"/>
      <c r="I230" s="8"/>
      <c r="J230" s="7"/>
    </row>
    <row r="231" spans="1:10" s="330" customFormat="1" ht="16.5" thickBot="1">
      <c r="A231" s="2" t="s">
        <v>24</v>
      </c>
      <c r="B231" s="16">
        <v>111</v>
      </c>
      <c r="C231" s="208">
        <v>1168974</v>
      </c>
      <c r="D231" s="333">
        <v>1.7780000000000001E-2</v>
      </c>
      <c r="E231" s="272">
        <v>20784.35772</v>
      </c>
      <c r="F231" s="331"/>
      <c r="G231" s="110">
        <f>A228</f>
        <v>41518</v>
      </c>
      <c r="H231" s="111"/>
      <c r="I231" s="111"/>
      <c r="J231" s="111"/>
    </row>
    <row r="232" spans="1:10" s="330" customFormat="1" ht="16.5" thickBot="1">
      <c r="A232" s="2" t="s">
        <v>24</v>
      </c>
      <c r="B232" s="16">
        <v>112</v>
      </c>
      <c r="C232" s="208"/>
      <c r="D232" s="333"/>
      <c r="E232" s="272">
        <v>0</v>
      </c>
      <c r="F232" s="331"/>
      <c r="G232" s="70" t="s">
        <v>25</v>
      </c>
      <c r="H232" s="112"/>
      <c r="I232" s="113" t="s">
        <v>18</v>
      </c>
      <c r="J232" s="114" t="s">
        <v>19</v>
      </c>
    </row>
    <row r="233" spans="1:10" s="330" customFormat="1" ht="15.75">
      <c r="A233" s="2" t="s">
        <v>24</v>
      </c>
      <c r="B233" s="16">
        <v>121</v>
      </c>
      <c r="C233" s="208"/>
      <c r="D233" s="179"/>
      <c r="E233" s="272">
        <v>0</v>
      </c>
      <c r="F233" s="331"/>
      <c r="G233" s="115" t="s">
        <v>28</v>
      </c>
      <c r="H233" s="116" t="s">
        <v>77</v>
      </c>
      <c r="I233" s="76"/>
      <c r="J233" s="338">
        <v>0</v>
      </c>
    </row>
    <row r="234" spans="1:10" s="330" customFormat="1" ht="15.75">
      <c r="A234" s="2" t="s">
        <v>24</v>
      </c>
      <c r="B234" s="16">
        <v>122</v>
      </c>
      <c r="C234" s="209"/>
      <c r="D234" s="179"/>
      <c r="E234" s="272">
        <v>0</v>
      </c>
      <c r="F234" s="331"/>
      <c r="G234" s="117" t="s">
        <v>29</v>
      </c>
      <c r="H234" s="7" t="s">
        <v>78</v>
      </c>
      <c r="I234" s="339">
        <f>-E242</f>
        <v>23.19</v>
      </c>
      <c r="J234" s="181"/>
    </row>
    <row r="235" spans="1:10" s="330" customFormat="1" ht="15.75">
      <c r="A235" s="2" t="s">
        <v>24</v>
      </c>
      <c r="B235" s="16">
        <v>131</v>
      </c>
      <c r="C235" s="208">
        <v>0</v>
      </c>
      <c r="D235" s="333">
        <v>1.6570000000000001E-2</v>
      </c>
      <c r="E235" s="272">
        <v>0</v>
      </c>
      <c r="F235" s="331"/>
      <c r="G235" s="117" t="s">
        <v>99</v>
      </c>
      <c r="H235" s="7" t="s">
        <v>60</v>
      </c>
      <c r="I235" s="8"/>
      <c r="J235" s="67">
        <f>-E239-E240</f>
        <v>-44587.581640000004</v>
      </c>
    </row>
    <row r="236" spans="1:10" s="330" customFormat="1" ht="15.75">
      <c r="A236" s="2" t="s">
        <v>24</v>
      </c>
      <c r="B236" s="16">
        <v>132</v>
      </c>
      <c r="C236" s="209"/>
      <c r="D236" s="88"/>
      <c r="E236" s="272">
        <v>0</v>
      </c>
      <c r="F236" s="331"/>
      <c r="G236" s="117" t="s">
        <v>10</v>
      </c>
      <c r="H236" s="7" t="s">
        <v>58</v>
      </c>
      <c r="I236" s="7">
        <v>0</v>
      </c>
      <c r="J236" s="77"/>
    </row>
    <row r="237" spans="1:10" s="330" customFormat="1" ht="16.5" thickBot="1">
      <c r="A237" s="2" t="s">
        <v>24</v>
      </c>
      <c r="B237" s="16" t="s">
        <v>61</v>
      </c>
      <c r="C237" s="209"/>
      <c r="D237" s="88"/>
      <c r="E237" s="272">
        <v>0</v>
      </c>
      <c r="F237" s="331"/>
      <c r="G237" s="118" t="s">
        <v>100</v>
      </c>
      <c r="H237" s="111" t="s">
        <v>62</v>
      </c>
      <c r="I237" s="78">
        <f>-E225+E243</f>
        <v>44564.391640000002</v>
      </c>
      <c r="J237" s="75">
        <v>0</v>
      </c>
    </row>
    <row r="238" spans="1:10" s="330" customFormat="1" ht="15.75">
      <c r="A238" s="2" t="s">
        <v>156</v>
      </c>
      <c r="B238" s="44"/>
      <c r="C238" s="207"/>
      <c r="D238" s="101"/>
      <c r="E238" s="273">
        <v>0</v>
      </c>
      <c r="F238" s="331"/>
      <c r="G238" s="7"/>
      <c r="H238" s="7"/>
      <c r="I238" s="8"/>
      <c r="J238" s="216">
        <f>ROUND(SUM(I233:J237),2)</f>
        <v>0</v>
      </c>
    </row>
    <row r="239" spans="1:10" s="330" customFormat="1" ht="16.5" thickBot="1">
      <c r="B239" s="6"/>
      <c r="C239" s="210">
        <f>SUM(C230:C238)</f>
        <v>2507738</v>
      </c>
      <c r="D239" s="119"/>
      <c r="E239" s="274">
        <f>SUM(E230:E238)</f>
        <v>44587.581640000004</v>
      </c>
      <c r="F239" s="331"/>
      <c r="G239" s="7"/>
      <c r="H239" s="7"/>
      <c r="I239" s="7"/>
      <c r="J239" s="7"/>
    </row>
    <row r="240" spans="1:10" s="330" customFormat="1" ht="16.5" thickTop="1">
      <c r="B240" s="6"/>
      <c r="C240" s="211">
        <v>2507738</v>
      </c>
      <c r="D240" s="41" t="s">
        <v>161</v>
      </c>
      <c r="E240" s="275">
        <v>0</v>
      </c>
      <c r="F240" s="331"/>
      <c r="G240" s="40" t="s">
        <v>158</v>
      </c>
      <c r="H240" s="7"/>
      <c r="I240" s="12"/>
      <c r="J240" s="12"/>
    </row>
    <row r="241" spans="1:10" s="330" customFormat="1" ht="15.75">
      <c r="C241" s="267">
        <f>C239-C240</f>
        <v>0</v>
      </c>
      <c r="D241" s="41" t="s">
        <v>87</v>
      </c>
      <c r="E241" s="274">
        <f>E239+E240+E225</f>
        <v>-5539.9530760290945</v>
      </c>
      <c r="F241" s="331"/>
      <c r="G241" s="8">
        <f>(E225*(D242/12))+(E239*(D242/24))</f>
        <v>-23.194786580024246</v>
      </c>
      <c r="H241" s="7"/>
      <c r="I241" s="8"/>
      <c r="J241" s="10"/>
    </row>
    <row r="242" spans="1:10" s="330" customFormat="1" ht="15.75">
      <c r="C242" s="26"/>
      <c r="D242" s="184">
        <v>0.01</v>
      </c>
      <c r="E242" s="276">
        <f>ROUND(((E225)+(E239)/2)*(D242/12),2)</f>
        <v>-23.19</v>
      </c>
      <c r="F242" s="331"/>
      <c r="G242" s="40"/>
      <c r="H242" s="7"/>
      <c r="I242" s="10"/>
      <c r="J242" s="10"/>
    </row>
    <row r="243" spans="1:10" s="330" customFormat="1" ht="15.75">
      <c r="A243" s="5"/>
      <c r="B243" s="5"/>
      <c r="C243" s="26" t="s">
        <v>1</v>
      </c>
      <c r="D243" s="108">
        <f>A228</f>
        <v>41518</v>
      </c>
      <c r="E243" s="276">
        <f>SUM(E241:E242)</f>
        <v>-5563.1430760290941</v>
      </c>
      <c r="F243" s="331"/>
      <c r="G243" s="7"/>
      <c r="H243" s="7"/>
      <c r="I243" s="8"/>
      <c r="J243" s="7"/>
    </row>
    <row r="244" spans="1:10" s="330" customFormat="1" ht="15.75">
      <c r="A244" s="5"/>
      <c r="B244" s="5"/>
      <c r="C244" s="26"/>
      <c r="D244" s="403" t="s">
        <v>224</v>
      </c>
      <c r="E244" s="405">
        <f>'ID Def 191010'!C131*-1</f>
        <v>108659.43754694135</v>
      </c>
      <c r="F244" s="331"/>
      <c r="G244" s="7"/>
      <c r="H244" s="7"/>
      <c r="I244" s="8"/>
      <c r="J244" s="7"/>
    </row>
    <row r="245" spans="1:10" s="330" customFormat="1" ht="16.5" thickBot="1">
      <c r="A245" s="5"/>
      <c r="B245" s="5"/>
      <c r="C245" s="26"/>
      <c r="D245" s="403" t="s">
        <v>225</v>
      </c>
      <c r="E245" s="406">
        <f>SUM(E243:E244)</f>
        <v>103096.29447091225</v>
      </c>
      <c r="F245" s="331"/>
      <c r="G245" s="7"/>
      <c r="H245" s="7"/>
      <c r="I245" s="8"/>
      <c r="J245" s="7"/>
    </row>
    <row r="246" spans="1:10" ht="16.5" thickTop="1" thickBot="1"/>
    <row r="247" spans="1:10" s="330" customFormat="1" ht="15.75">
      <c r="A247" s="47" t="s">
        <v>142</v>
      </c>
      <c r="B247" s="48"/>
      <c r="C247" s="49"/>
      <c r="D247" s="50"/>
      <c r="E247" s="269"/>
      <c r="G247" s="15"/>
      <c r="H247" s="5"/>
      <c r="I247" s="32"/>
      <c r="J247" s="32"/>
    </row>
    <row r="248" spans="1:10" s="330" customFormat="1" ht="15.75">
      <c r="A248" s="178">
        <v>41578</v>
      </c>
      <c r="B248" s="45"/>
      <c r="C248" s="15"/>
      <c r="D248" s="46" t="s">
        <v>23</v>
      </c>
      <c r="E248" s="270" t="s">
        <v>21</v>
      </c>
      <c r="G248" s="5"/>
      <c r="H248" s="5"/>
      <c r="I248" s="8"/>
      <c r="J248" s="10"/>
    </row>
    <row r="249" spans="1:10" s="330" customFormat="1" ht="16.5" thickBot="1">
      <c r="A249" s="14"/>
      <c r="B249" s="17"/>
      <c r="C249" s="97" t="s">
        <v>21</v>
      </c>
      <c r="D249" s="97" t="s">
        <v>22</v>
      </c>
      <c r="E249" s="271" t="s">
        <v>23</v>
      </c>
      <c r="F249" s="331"/>
      <c r="G249" s="7"/>
      <c r="H249" s="7"/>
      <c r="I249" s="10"/>
      <c r="J249" s="10"/>
    </row>
    <row r="250" spans="1:10" s="330" customFormat="1" ht="15.75">
      <c r="A250" s="2" t="s">
        <v>24</v>
      </c>
      <c r="B250" s="16">
        <v>101</v>
      </c>
      <c r="C250" s="208">
        <v>4291264</v>
      </c>
      <c r="D250" s="333" t="s">
        <v>187</v>
      </c>
      <c r="E250" s="272">
        <v>2709.04</v>
      </c>
      <c r="F250" s="331"/>
      <c r="G250" s="7"/>
      <c r="H250" s="7"/>
      <c r="I250" s="8"/>
      <c r="J250" s="7"/>
    </row>
    <row r="251" spans="1:10" s="330" customFormat="1" ht="16.5" thickBot="1">
      <c r="A251" s="2" t="s">
        <v>24</v>
      </c>
      <c r="B251" s="16">
        <v>111</v>
      </c>
      <c r="C251" s="208">
        <v>1602282</v>
      </c>
      <c r="D251" s="333" t="s">
        <v>187</v>
      </c>
      <c r="E251" s="272">
        <v>-3558.27</v>
      </c>
      <c r="F251" s="331"/>
      <c r="G251" s="110">
        <f>A248</f>
        <v>41578</v>
      </c>
      <c r="H251" s="111"/>
      <c r="I251" s="111"/>
      <c r="J251" s="111"/>
    </row>
    <row r="252" spans="1:10" s="330" customFormat="1" ht="16.5" thickBot="1">
      <c r="A252" s="2" t="s">
        <v>24</v>
      </c>
      <c r="B252" s="16">
        <v>112</v>
      </c>
      <c r="C252" s="208"/>
      <c r="D252" s="333"/>
      <c r="E252" s="272">
        <v>0</v>
      </c>
      <c r="F252" s="331"/>
      <c r="G252" s="70" t="s">
        <v>25</v>
      </c>
      <c r="H252" s="112"/>
      <c r="I252" s="113" t="s">
        <v>18</v>
      </c>
      <c r="J252" s="114" t="s">
        <v>19</v>
      </c>
    </row>
    <row r="253" spans="1:10" s="330" customFormat="1" ht="15.75">
      <c r="A253" s="2" t="s">
        <v>24</v>
      </c>
      <c r="B253" s="16">
        <v>121</v>
      </c>
      <c r="C253" s="208"/>
      <c r="D253" s="179"/>
      <c r="E253" s="272">
        <v>0</v>
      </c>
      <c r="F253" s="331"/>
      <c r="G253" s="115" t="s">
        <v>28</v>
      </c>
      <c r="H253" s="116" t="s">
        <v>77</v>
      </c>
      <c r="I253" s="76"/>
      <c r="J253" s="338">
        <f>IF(E262&gt;0,-E262,0)</f>
        <v>-93.84</v>
      </c>
    </row>
    <row r="254" spans="1:10" s="330" customFormat="1" ht="15.75">
      <c r="A254" s="2" t="s">
        <v>24</v>
      </c>
      <c r="B254" s="16">
        <v>122</v>
      </c>
      <c r="C254" s="209"/>
      <c r="D254" s="179"/>
      <c r="E254" s="272">
        <v>0</v>
      </c>
      <c r="F254" s="331"/>
      <c r="G254" s="117" t="s">
        <v>29</v>
      </c>
      <c r="H254" s="7" t="s">
        <v>78</v>
      </c>
      <c r="I254" s="339">
        <f>IF(E262&lt;0,-E262,0)</f>
        <v>0</v>
      </c>
      <c r="J254" s="181"/>
    </row>
    <row r="255" spans="1:10" s="330" customFormat="1" ht="15.75">
      <c r="A255" s="2" t="s">
        <v>24</v>
      </c>
      <c r="B255" s="16">
        <v>131</v>
      </c>
      <c r="C255" s="208">
        <v>0</v>
      </c>
      <c r="D255" s="333" t="s">
        <v>187</v>
      </c>
      <c r="E255" s="272">
        <v>0</v>
      </c>
      <c r="F255" s="331"/>
      <c r="G255" s="117" t="s">
        <v>99</v>
      </c>
      <c r="H255" s="7" t="s">
        <v>60</v>
      </c>
      <c r="I255" s="339">
        <f>IF((E245-E261)&gt;0,E245-E261,0)</f>
        <v>0</v>
      </c>
      <c r="J255" s="339">
        <f>IF((E245-E261)&lt;0,E245-E261,0)</f>
        <v>-19013.619999999995</v>
      </c>
    </row>
    <row r="256" spans="1:10" s="330" customFormat="1" ht="15.75">
      <c r="A256" s="2" t="s">
        <v>24</v>
      </c>
      <c r="B256" s="16">
        <v>132</v>
      </c>
      <c r="C256" s="209"/>
      <c r="D256" s="88"/>
      <c r="E256" s="272">
        <v>0</v>
      </c>
      <c r="F256" s="331"/>
      <c r="G256" s="117" t="s">
        <v>10</v>
      </c>
      <c r="H256" s="7" t="s">
        <v>58</v>
      </c>
      <c r="I256" s="7"/>
      <c r="J256" s="402"/>
    </row>
    <row r="257" spans="1:10" s="330" customFormat="1" ht="16.5" thickBot="1">
      <c r="A257" s="2" t="s">
        <v>24</v>
      </c>
      <c r="B257" s="16" t="s">
        <v>61</v>
      </c>
      <c r="C257" s="209"/>
      <c r="D257" s="88"/>
      <c r="E257" s="272">
        <v>0</v>
      </c>
      <c r="F257" s="331"/>
      <c r="G257" s="118" t="s">
        <v>100</v>
      </c>
      <c r="H257" s="111" t="s">
        <v>62</v>
      </c>
      <c r="I257" s="404">
        <f>IF((E263-E245)&gt;0,E263-E245,0)</f>
        <v>19107.459999999992</v>
      </c>
      <c r="J257" s="75">
        <f>IF((E263-E245)&lt;0,E263-E245,0)</f>
        <v>0</v>
      </c>
    </row>
    <row r="258" spans="1:10" s="330" customFormat="1" ht="15.75">
      <c r="A258" s="2" t="s">
        <v>156</v>
      </c>
      <c r="B258" s="44"/>
      <c r="C258" s="207"/>
      <c r="D258" s="101"/>
      <c r="E258" s="273">
        <v>19862.850000000002</v>
      </c>
      <c r="F258" s="331"/>
      <c r="G258" s="7"/>
      <c r="H258" s="7"/>
      <c r="I258" s="8"/>
      <c r="J258" s="216">
        <f>ROUND(SUM(I253:J257),2)</f>
        <v>0</v>
      </c>
    </row>
    <row r="259" spans="1:10" s="330" customFormat="1" ht="16.5" thickBot="1">
      <c r="B259" s="6"/>
      <c r="C259" s="210">
        <f>SUM(C250:C258)</f>
        <v>5893546</v>
      </c>
      <c r="D259" s="119"/>
      <c r="E259" s="274">
        <f>SUM(E250:E258)</f>
        <v>19013.620000000003</v>
      </c>
      <c r="F259" s="331"/>
      <c r="G259" s="7"/>
      <c r="H259" s="7"/>
      <c r="I259" s="7"/>
      <c r="J259" s="7"/>
    </row>
    <row r="260" spans="1:10" s="330" customFormat="1" ht="16.5" thickTop="1">
      <c r="B260" s="6"/>
      <c r="C260" s="211"/>
      <c r="D260" s="41" t="s">
        <v>161</v>
      </c>
      <c r="E260" s="275">
        <v>0</v>
      </c>
      <c r="F260" s="331">
        <f>E251+E250</f>
        <v>-849.23</v>
      </c>
      <c r="G260" s="40" t="s">
        <v>158</v>
      </c>
      <c r="H260" s="7"/>
      <c r="I260" s="12"/>
      <c r="J260" s="12"/>
    </row>
    <row r="261" spans="1:10" s="330" customFormat="1" ht="15.75">
      <c r="C261" s="267">
        <f>C259-C260</f>
        <v>5893546</v>
      </c>
      <c r="D261" s="41" t="s">
        <v>87</v>
      </c>
      <c r="E261" s="274">
        <f>E259+E260+E245</f>
        <v>122109.91447091225</v>
      </c>
      <c r="F261" s="331"/>
      <c r="G261" s="8">
        <f>(E243*(D262/12))+(E259*(D262/24))</f>
        <v>3.2863891033090891</v>
      </c>
      <c r="H261" s="7">
        <f>E262-G261</f>
        <v>90.553610896690913</v>
      </c>
      <c r="I261" s="8"/>
      <c r="J261" s="10"/>
    </row>
    <row r="262" spans="1:10" s="330" customFormat="1" ht="15.75">
      <c r="C262" s="26"/>
      <c r="D262" s="184">
        <v>0.01</v>
      </c>
      <c r="E262" s="276">
        <f>ROUND(((E245)+(E259)/2)*(D262/12),2)</f>
        <v>93.84</v>
      </c>
      <c r="F262" s="331"/>
      <c r="G262" s="40"/>
      <c r="H262" s="7"/>
      <c r="I262" s="10"/>
      <c r="J262" s="10"/>
    </row>
    <row r="263" spans="1:10" s="330" customFormat="1" ht="16.5" thickBot="1">
      <c r="A263" s="5"/>
      <c r="B263" s="5"/>
      <c r="C263" s="26" t="s">
        <v>1</v>
      </c>
      <c r="D263" s="108">
        <f>A248</f>
        <v>41578</v>
      </c>
      <c r="E263" s="277">
        <f>SUM(E261:E262)</f>
        <v>122203.75447091224</v>
      </c>
      <c r="F263" s="331"/>
      <c r="G263" s="7"/>
      <c r="H263" s="7"/>
      <c r="I263" s="8"/>
      <c r="J263" s="7"/>
    </row>
    <row r="264" spans="1:10" s="330" customFormat="1" ht="16.5" thickTop="1" thickBot="1">
      <c r="E264" s="268"/>
    </row>
    <row r="265" spans="1:10" s="330" customFormat="1" ht="15.75">
      <c r="A265" s="47" t="s">
        <v>142</v>
      </c>
      <c r="B265" s="48"/>
      <c r="C265" s="49"/>
      <c r="D265" s="50"/>
      <c r="E265" s="269"/>
      <c r="G265" s="15"/>
      <c r="H265" s="5"/>
      <c r="I265" s="32"/>
      <c r="J265" s="32"/>
    </row>
    <row r="266" spans="1:10" s="330" customFormat="1" ht="15.75">
      <c r="A266" s="178">
        <f>EOMONTH(A248,1)</f>
        <v>41608</v>
      </c>
      <c r="B266" s="45"/>
      <c r="C266" s="15"/>
      <c r="D266" s="46" t="s">
        <v>23</v>
      </c>
      <c r="E266" s="270" t="s">
        <v>21</v>
      </c>
      <c r="G266" s="5"/>
      <c r="H266" s="5"/>
      <c r="I266" s="8"/>
      <c r="J266" s="10"/>
    </row>
    <row r="267" spans="1:10" s="330" customFormat="1" ht="16.5" thickBot="1">
      <c r="A267" s="14"/>
      <c r="B267" s="17"/>
      <c r="C267" s="97" t="s">
        <v>21</v>
      </c>
      <c r="D267" s="97" t="s">
        <v>22</v>
      </c>
      <c r="E267" s="271" t="s">
        <v>23</v>
      </c>
      <c r="F267" s="331"/>
      <c r="G267" s="7"/>
      <c r="H267" s="7"/>
      <c r="I267" s="10"/>
      <c r="J267" s="10"/>
    </row>
    <row r="268" spans="1:10" s="330" customFormat="1" ht="15.75">
      <c r="A268" s="2" t="s">
        <v>24</v>
      </c>
      <c r="B268" s="16">
        <v>101</v>
      </c>
      <c r="C268" s="208">
        <v>7085932</v>
      </c>
      <c r="D268" s="333" t="s">
        <v>187</v>
      </c>
      <c r="E268" s="272">
        <v>-478.93</v>
      </c>
      <c r="F268" s="331"/>
      <c r="G268" s="7"/>
      <c r="H268" s="7"/>
      <c r="I268" s="8"/>
      <c r="J268" s="7"/>
    </row>
    <row r="269" spans="1:10" s="330" customFormat="1" ht="16.5" thickBot="1">
      <c r="A269" s="2" t="s">
        <v>24</v>
      </c>
      <c r="B269" s="16">
        <v>111</v>
      </c>
      <c r="C269" s="208">
        <v>2422167</v>
      </c>
      <c r="D269" s="333" t="s">
        <v>187</v>
      </c>
      <c r="E269" s="272">
        <v>80.569999999999993</v>
      </c>
      <c r="F269" s="331"/>
      <c r="G269" s="110">
        <f>A266</f>
        <v>41608</v>
      </c>
      <c r="H269" s="111"/>
      <c r="I269" s="111"/>
      <c r="J269" s="111"/>
    </row>
    <row r="270" spans="1:10" s="330" customFormat="1" ht="16.5" thickBot="1">
      <c r="A270" s="2" t="s">
        <v>24</v>
      </c>
      <c r="B270" s="16">
        <v>112</v>
      </c>
      <c r="C270" s="208"/>
      <c r="D270" s="333"/>
      <c r="E270" s="272">
        <v>0</v>
      </c>
      <c r="F270" s="331"/>
      <c r="G270" s="70" t="s">
        <v>25</v>
      </c>
      <c r="H270" s="112"/>
      <c r="I270" s="113" t="s">
        <v>18</v>
      </c>
      <c r="J270" s="114" t="s">
        <v>19</v>
      </c>
    </row>
    <row r="271" spans="1:10" s="330" customFormat="1" ht="15.75">
      <c r="A271" s="2" t="s">
        <v>24</v>
      </c>
      <c r="B271" s="16">
        <v>121</v>
      </c>
      <c r="C271" s="208"/>
      <c r="D271" s="179"/>
      <c r="E271" s="272">
        <v>0</v>
      </c>
      <c r="F271" s="331"/>
      <c r="G271" s="115" t="s">
        <v>28</v>
      </c>
      <c r="H271" s="116" t="s">
        <v>77</v>
      </c>
      <c r="I271" s="76"/>
      <c r="J271" s="338">
        <f>IF(E280&gt;0,-E280,0)</f>
        <v>-101.67</v>
      </c>
    </row>
    <row r="272" spans="1:10" s="330" customFormat="1" ht="15.75">
      <c r="A272" s="2" t="s">
        <v>24</v>
      </c>
      <c r="B272" s="16">
        <v>122</v>
      </c>
      <c r="C272" s="209"/>
      <c r="D272" s="179"/>
      <c r="E272" s="272">
        <v>0</v>
      </c>
      <c r="F272" s="331"/>
      <c r="G272" s="117" t="s">
        <v>29</v>
      </c>
      <c r="H272" s="7" t="s">
        <v>78</v>
      </c>
      <c r="I272" s="339">
        <f>IF(E280&lt;0,-E280,0)</f>
        <v>0</v>
      </c>
      <c r="J272" s="181"/>
    </row>
    <row r="273" spans="1:10" s="330" customFormat="1" ht="15.75">
      <c r="A273" s="2" t="s">
        <v>24</v>
      </c>
      <c r="B273" s="16">
        <v>131</v>
      </c>
      <c r="C273" s="208">
        <v>0</v>
      </c>
      <c r="D273" s="333" t="s">
        <v>187</v>
      </c>
      <c r="E273" s="272">
        <v>0</v>
      </c>
      <c r="F273" s="331"/>
      <c r="G273" s="117" t="s">
        <v>99</v>
      </c>
      <c r="H273" s="7" t="s">
        <v>60</v>
      </c>
      <c r="I273" s="339">
        <f>IF((E263-E279)&gt;0,E263-E279,0)</f>
        <v>398.36000000000058</v>
      </c>
      <c r="J273" s="339">
        <f>IF((E263-E279)&lt;0,E263-E279,0)</f>
        <v>0</v>
      </c>
    </row>
    <row r="274" spans="1:10" s="330" customFormat="1" ht="15.75">
      <c r="A274" s="2" t="s">
        <v>24</v>
      </c>
      <c r="B274" s="16">
        <v>132</v>
      </c>
      <c r="C274" s="209"/>
      <c r="D274" s="88"/>
      <c r="E274" s="272">
        <v>0</v>
      </c>
      <c r="F274" s="331"/>
      <c r="G274" s="117" t="s">
        <v>10</v>
      </c>
      <c r="H274" s="7" t="s">
        <v>58</v>
      </c>
      <c r="I274" s="7"/>
      <c r="J274" s="402"/>
    </row>
    <row r="275" spans="1:10" s="330" customFormat="1" ht="16.5" thickBot="1">
      <c r="A275" s="2" t="s">
        <v>24</v>
      </c>
      <c r="B275" s="16" t="s">
        <v>61</v>
      </c>
      <c r="C275" s="209"/>
      <c r="D275" s="88"/>
      <c r="E275" s="272">
        <v>0</v>
      </c>
      <c r="F275" s="331"/>
      <c r="G275" s="118" t="s">
        <v>100</v>
      </c>
      <c r="H275" s="111" t="s">
        <v>62</v>
      </c>
      <c r="I275" s="404">
        <f>IF((E281-E263)&gt;0,E281-E263,0)</f>
        <v>0</v>
      </c>
      <c r="J275" s="75">
        <f>IF((E281-E263)&lt;0,E281-E263,0)</f>
        <v>-296.69000000000233</v>
      </c>
    </row>
    <row r="276" spans="1:10" s="330" customFormat="1" ht="15.75">
      <c r="A276" s="2" t="s">
        <v>156</v>
      </c>
      <c r="B276" s="44"/>
      <c r="C276" s="207"/>
      <c r="D276" s="101"/>
      <c r="E276" s="273">
        <v>0</v>
      </c>
      <c r="F276" s="331"/>
      <c r="G276" s="7"/>
      <c r="H276" s="7"/>
      <c r="I276" s="8"/>
      <c r="J276" s="216">
        <f>ROUND(SUM(I271:J275),2)</f>
        <v>0</v>
      </c>
    </row>
    <row r="277" spans="1:10" s="330" customFormat="1" ht="16.5" thickBot="1">
      <c r="B277" s="6"/>
      <c r="C277" s="210">
        <f>SUM(C268:C276)</f>
        <v>9508099</v>
      </c>
      <c r="D277" s="119"/>
      <c r="E277" s="274">
        <f>SUM(E268:E276)</f>
        <v>-398.36</v>
      </c>
      <c r="F277" s="331"/>
      <c r="G277" s="7"/>
      <c r="H277" s="7"/>
      <c r="I277" s="7"/>
      <c r="J277" s="7"/>
    </row>
    <row r="278" spans="1:10" s="330" customFormat="1" ht="16.5" thickTop="1">
      <c r="B278" s="6"/>
      <c r="C278" s="211">
        <v>9508099</v>
      </c>
      <c r="D278" s="41" t="s">
        <v>161</v>
      </c>
      <c r="E278" s="275">
        <v>0</v>
      </c>
      <c r="F278" s="331"/>
      <c r="G278" s="40" t="s">
        <v>158</v>
      </c>
      <c r="H278" s="7"/>
      <c r="I278" s="12"/>
      <c r="J278" s="12"/>
    </row>
    <row r="279" spans="1:10" s="330" customFormat="1" ht="15.75">
      <c r="C279" s="267">
        <f>C277-C278</f>
        <v>0</v>
      </c>
      <c r="D279" s="41" t="s">
        <v>87</v>
      </c>
      <c r="E279" s="274">
        <f>E277+E278+E263</f>
        <v>121805.39447091224</v>
      </c>
      <c r="F279" s="331"/>
      <c r="G279" s="8">
        <f>(E261*(D280/12))+(E277*(D280/24))</f>
        <v>101.59227872576022</v>
      </c>
      <c r="H279" s="7">
        <f>E280-G279</f>
        <v>7.7721274239777927E-2</v>
      </c>
      <c r="I279" s="8"/>
      <c r="J279" s="10"/>
    </row>
    <row r="280" spans="1:10" s="330" customFormat="1" ht="15.75">
      <c r="C280" s="26"/>
      <c r="D280" s="184">
        <v>0.01</v>
      </c>
      <c r="E280" s="276">
        <f>ROUND(((E263)+(E277)/2)*(D280/12),2)</f>
        <v>101.67</v>
      </c>
      <c r="F280" s="331"/>
      <c r="G280" s="40"/>
      <c r="H280" s="7"/>
      <c r="I280" s="10"/>
      <c r="J280" s="10"/>
    </row>
    <row r="281" spans="1:10" s="330" customFormat="1" ht="16.5" thickBot="1">
      <c r="A281" s="5"/>
      <c r="B281" s="5"/>
      <c r="C281" s="26" t="s">
        <v>1</v>
      </c>
      <c r="D281" s="108">
        <f>A266</f>
        <v>41608</v>
      </c>
      <c r="E281" s="277">
        <f>SUM(E279:E280)</f>
        <v>121907.06447091224</v>
      </c>
      <c r="F281" s="331"/>
      <c r="G281" s="7"/>
      <c r="H281" s="7"/>
      <c r="I281" s="8"/>
      <c r="J281" s="7"/>
    </row>
    <row r="282" spans="1:10" s="330" customFormat="1" ht="16.5" thickTop="1" thickBot="1">
      <c r="E282" s="268"/>
    </row>
    <row r="283" spans="1:10" s="330" customFormat="1" ht="15.75">
      <c r="A283" s="47" t="s">
        <v>142</v>
      </c>
      <c r="B283" s="48"/>
      <c r="C283" s="49"/>
      <c r="D283" s="50"/>
      <c r="E283" s="269"/>
      <c r="G283" s="15"/>
      <c r="H283" s="5"/>
      <c r="I283" s="32"/>
      <c r="J283" s="32"/>
    </row>
    <row r="284" spans="1:10" s="330" customFormat="1" ht="15.75">
      <c r="A284" s="178">
        <f>EOMONTH(A266,1)</f>
        <v>41639</v>
      </c>
      <c r="B284" s="45"/>
      <c r="C284" s="15"/>
      <c r="D284" s="46" t="s">
        <v>23</v>
      </c>
      <c r="E284" s="270" t="s">
        <v>21</v>
      </c>
      <c r="G284" s="5"/>
      <c r="H284" s="5"/>
      <c r="I284" s="8"/>
      <c r="J284" s="10"/>
    </row>
    <row r="285" spans="1:10" s="330" customFormat="1" ht="16.5" thickBot="1">
      <c r="A285" s="14"/>
      <c r="B285" s="17"/>
      <c r="C285" s="97" t="s">
        <v>21</v>
      </c>
      <c r="D285" s="97" t="s">
        <v>22</v>
      </c>
      <c r="E285" s="271" t="s">
        <v>23</v>
      </c>
      <c r="F285" s="331"/>
      <c r="G285" s="7"/>
      <c r="H285" s="7"/>
      <c r="I285" s="10"/>
      <c r="J285" s="10"/>
    </row>
    <row r="286" spans="1:10" s="330" customFormat="1" ht="15.75">
      <c r="A286" s="2" t="s">
        <v>24</v>
      </c>
      <c r="B286" s="16">
        <v>101</v>
      </c>
      <c r="C286" s="208">
        <f>Jan!$K$23</f>
        <v>9766779</v>
      </c>
      <c r="D286" s="333">
        <v>-1.4999999999999999E-4</v>
      </c>
      <c r="E286" s="272">
        <f>C286*D286</f>
        <v>-1465.01685</v>
      </c>
      <c r="F286" s="331"/>
      <c r="G286" s="7"/>
      <c r="H286" s="7"/>
      <c r="I286" s="8"/>
      <c r="J286" s="7"/>
    </row>
    <row r="287" spans="1:10" s="330" customFormat="1" ht="16.5" thickBot="1">
      <c r="A287" s="2" t="s">
        <v>24</v>
      </c>
      <c r="B287" s="16">
        <v>111</v>
      </c>
      <c r="C287" s="208">
        <f>Jan!$K$24</f>
        <v>3268684</v>
      </c>
      <c r="D287" s="333">
        <v>-1.4999999999999999E-4</v>
      </c>
      <c r="E287" s="272">
        <f t="shared" ref="E287:E293" si="5">C287*D287</f>
        <v>-490.30259999999998</v>
      </c>
      <c r="F287" s="331"/>
      <c r="G287" s="110">
        <f>A284</f>
        <v>41639</v>
      </c>
      <c r="H287" s="111"/>
      <c r="I287" s="111"/>
      <c r="J287" s="111"/>
    </row>
    <row r="288" spans="1:10" s="330" customFormat="1" ht="16.5" thickBot="1">
      <c r="A288" s="2" t="s">
        <v>24</v>
      </c>
      <c r="B288" s="16">
        <v>112</v>
      </c>
      <c r="C288" s="208"/>
      <c r="D288" s="333"/>
      <c r="E288" s="272">
        <f t="shared" si="5"/>
        <v>0</v>
      </c>
      <c r="F288" s="331"/>
      <c r="G288" s="70" t="s">
        <v>25</v>
      </c>
      <c r="H288" s="112"/>
      <c r="I288" s="113" t="s">
        <v>18</v>
      </c>
      <c r="J288" s="114" t="s">
        <v>19</v>
      </c>
    </row>
    <row r="289" spans="1:10" s="330" customFormat="1" ht="15.75">
      <c r="A289" s="2" t="s">
        <v>24</v>
      </c>
      <c r="B289" s="16">
        <v>121</v>
      </c>
      <c r="C289" s="208"/>
      <c r="D289" s="179"/>
      <c r="E289" s="272">
        <f t="shared" si="5"/>
        <v>0</v>
      </c>
      <c r="F289" s="331"/>
      <c r="G289" s="115" t="s">
        <v>28</v>
      </c>
      <c r="H289" s="116" t="s">
        <v>77</v>
      </c>
      <c r="I289" s="76"/>
      <c r="J289" s="338">
        <f>IF(E298&gt;0,-E298,0)</f>
        <v>-100.77</v>
      </c>
    </row>
    <row r="290" spans="1:10" s="330" customFormat="1" ht="15.75">
      <c r="A290" s="2" t="s">
        <v>24</v>
      </c>
      <c r="B290" s="16">
        <v>122</v>
      </c>
      <c r="C290" s="209"/>
      <c r="D290" s="179"/>
      <c r="E290" s="272">
        <f t="shared" si="5"/>
        <v>0</v>
      </c>
      <c r="F290" s="331"/>
      <c r="G290" s="117" t="s">
        <v>29</v>
      </c>
      <c r="H290" s="7" t="s">
        <v>78</v>
      </c>
      <c r="I290" s="339">
        <f>IF(E298&lt;0,-E298,0)</f>
        <v>0</v>
      </c>
      <c r="J290" s="181"/>
    </row>
    <row r="291" spans="1:10" s="330" customFormat="1" ht="15.75">
      <c r="A291" s="2" t="s">
        <v>24</v>
      </c>
      <c r="B291" s="16">
        <v>131</v>
      </c>
      <c r="C291" s="208">
        <f>Jan!$K$41</f>
        <v>0</v>
      </c>
      <c r="D291" s="333">
        <v>1.042E-2</v>
      </c>
      <c r="E291" s="272">
        <f t="shared" si="5"/>
        <v>0</v>
      </c>
      <c r="F291" s="331"/>
      <c r="G291" s="117" t="s">
        <v>99</v>
      </c>
      <c r="H291" s="7" t="s">
        <v>60</v>
      </c>
      <c r="I291" s="339">
        <f>IF((E281-E297)&gt;0,E281-E297,0)</f>
        <v>1955.3194499999954</v>
      </c>
      <c r="J291" s="339">
        <f>IF((E281-E297)&lt;0,E281-E297,0)</f>
        <v>0</v>
      </c>
    </row>
    <row r="292" spans="1:10" s="330" customFormat="1" ht="15.75">
      <c r="A292" s="2" t="s">
        <v>24</v>
      </c>
      <c r="B292" s="16">
        <v>132</v>
      </c>
      <c r="C292" s="209"/>
      <c r="D292" s="88"/>
      <c r="E292" s="272">
        <f t="shared" si="5"/>
        <v>0</v>
      </c>
      <c r="F292" s="331"/>
      <c r="G292" s="117" t="s">
        <v>10</v>
      </c>
      <c r="H292" s="7" t="s">
        <v>58</v>
      </c>
      <c r="I292" s="7"/>
      <c r="J292" s="402"/>
    </row>
    <row r="293" spans="1:10" s="330" customFormat="1" ht="16.5" thickBot="1">
      <c r="A293" s="2" t="s">
        <v>24</v>
      </c>
      <c r="B293" s="16" t="s">
        <v>61</v>
      </c>
      <c r="C293" s="209"/>
      <c r="D293" s="88"/>
      <c r="E293" s="272">
        <f t="shared" si="5"/>
        <v>0</v>
      </c>
      <c r="F293" s="331"/>
      <c r="G293" s="118" t="s">
        <v>100</v>
      </c>
      <c r="H293" s="111" t="s">
        <v>62</v>
      </c>
      <c r="I293" s="404">
        <f>IF((E299-E281)&gt;0,E299-E281,0)</f>
        <v>0</v>
      </c>
      <c r="J293" s="75">
        <f>IF((E299-E281)&lt;0,E299-E281,0)</f>
        <v>-1854.5494499999913</v>
      </c>
    </row>
    <row r="294" spans="1:10" s="330" customFormat="1" ht="15.75">
      <c r="A294" s="2" t="s">
        <v>156</v>
      </c>
      <c r="B294" s="44"/>
      <c r="C294" s="207"/>
      <c r="D294" s="101"/>
      <c r="E294" s="273">
        <v>0</v>
      </c>
      <c r="F294" s="331"/>
      <c r="G294" s="7"/>
      <c r="H294" s="7"/>
      <c r="I294" s="8"/>
      <c r="J294" s="216">
        <f>ROUND(SUM(I289:J293),2)</f>
        <v>0</v>
      </c>
    </row>
    <row r="295" spans="1:10" s="330" customFormat="1" ht="16.5" thickBot="1">
      <c r="B295" s="6"/>
      <c r="C295" s="210">
        <f>SUM(C286:C294)</f>
        <v>13035463</v>
      </c>
      <c r="D295" s="119"/>
      <c r="E295" s="274">
        <f>SUM(E286:E294)</f>
        <v>-1955.31945</v>
      </c>
      <c r="F295" s="331"/>
      <c r="G295" s="7"/>
      <c r="H295" s="7"/>
      <c r="I295" s="7"/>
      <c r="J295" s="7"/>
    </row>
    <row r="296" spans="1:10" s="330" customFormat="1" ht="16.5" thickTop="1">
      <c r="B296" s="6"/>
      <c r="C296" s="211">
        <v>13760186</v>
      </c>
      <c r="D296" s="41" t="s">
        <v>161</v>
      </c>
      <c r="E296" s="275">
        <v>0</v>
      </c>
      <c r="F296" s="331"/>
      <c r="G296" s="40" t="s">
        <v>158</v>
      </c>
      <c r="H296" s="7"/>
      <c r="I296" s="12"/>
      <c r="J296" s="12"/>
    </row>
    <row r="297" spans="1:10" s="330" customFormat="1" ht="15.75">
      <c r="C297" s="267">
        <f>C295-C296</f>
        <v>-724723</v>
      </c>
      <c r="D297" s="41" t="s">
        <v>87</v>
      </c>
      <c r="E297" s="274">
        <f>E295+E296+E281</f>
        <v>119951.74502091225</v>
      </c>
      <c r="F297" s="331"/>
      <c r="G297" s="8">
        <f>(E279*(D298/12))+(E295*(D298/24))</f>
        <v>100.68977895492688</v>
      </c>
      <c r="H297" s="7">
        <f>E298-G297</f>
        <v>8.022104507311667E-2</v>
      </c>
      <c r="I297" s="8"/>
      <c r="J297" s="10"/>
    </row>
    <row r="298" spans="1:10" s="330" customFormat="1" ht="15.75">
      <c r="C298" s="26"/>
      <c r="D298" s="184">
        <v>0.01</v>
      </c>
      <c r="E298" s="276">
        <f>ROUND(((E281)+(E295)/2)*(D298/12),2)</f>
        <v>100.77</v>
      </c>
      <c r="F298" s="331"/>
      <c r="G298" s="40"/>
      <c r="H298" s="7"/>
      <c r="I298" s="10"/>
      <c r="J298" s="10"/>
    </row>
    <row r="299" spans="1:10" s="330" customFormat="1" ht="16.5" thickBot="1">
      <c r="A299" s="5"/>
      <c r="B299" s="5"/>
      <c r="C299" s="26" t="s">
        <v>1</v>
      </c>
      <c r="D299" s="108">
        <f>A284</f>
        <v>41639</v>
      </c>
      <c r="E299" s="277">
        <f>SUM(E297:E298)</f>
        <v>120052.51502091225</v>
      </c>
      <c r="F299" s="331"/>
      <c r="G299" s="416" t="s">
        <v>243</v>
      </c>
      <c r="H299" s="417" t="e">
        <f>_xll.Get_Balance(I299,"YTD","USD","Total","A","","001","191000","GD","ID","DL")-E299</f>
        <v>#VALUE!</v>
      </c>
      <c r="I299" s="418">
        <v>201312</v>
      </c>
      <c r="J299" s="7"/>
    </row>
    <row r="300" spans="1:10" ht="15.75" thickTop="1"/>
    <row r="355" spans="16:16">
      <c r="P355" s="1">
        <f>(C343*M354)/12+((C346+C349+C350)*M354)/24</f>
        <v>0</v>
      </c>
    </row>
  </sheetData>
  <phoneticPr fontId="0" type="noConversion"/>
  <conditionalFormatting sqref="C25">
    <cfRule type="cellIs" dxfId="163" priority="48" operator="notEqual">
      <formula>0</formula>
    </cfRule>
  </conditionalFormatting>
  <conditionalFormatting sqref="J22">
    <cfRule type="cellIs" dxfId="162" priority="46" stopIfTrue="1" operator="equal">
      <formula>0</formula>
    </cfRule>
    <cfRule type="cellIs" dxfId="161" priority="47" stopIfTrue="1" operator="notEqual">
      <formula>0</formula>
    </cfRule>
  </conditionalFormatting>
  <conditionalFormatting sqref="C43">
    <cfRule type="cellIs" dxfId="160" priority="45" operator="notEqual">
      <formula>0</formula>
    </cfRule>
  </conditionalFormatting>
  <conditionalFormatting sqref="J40">
    <cfRule type="cellIs" dxfId="159" priority="43" stopIfTrue="1" operator="equal">
      <formula>0</formula>
    </cfRule>
    <cfRule type="cellIs" dxfId="158" priority="44" stopIfTrue="1" operator="notEqual">
      <formula>0</formula>
    </cfRule>
  </conditionalFormatting>
  <conditionalFormatting sqref="C61">
    <cfRule type="cellIs" dxfId="157" priority="42" operator="notEqual">
      <formula>0</formula>
    </cfRule>
  </conditionalFormatting>
  <conditionalFormatting sqref="J58">
    <cfRule type="cellIs" dxfId="156" priority="40" stopIfTrue="1" operator="equal">
      <formula>0</formula>
    </cfRule>
    <cfRule type="cellIs" dxfId="155" priority="41" stopIfTrue="1" operator="notEqual">
      <formula>0</formula>
    </cfRule>
  </conditionalFormatting>
  <conditionalFormatting sqref="C79">
    <cfRule type="cellIs" dxfId="154" priority="39" operator="notEqual">
      <formula>0</formula>
    </cfRule>
  </conditionalFormatting>
  <conditionalFormatting sqref="J76">
    <cfRule type="cellIs" dxfId="153" priority="37" stopIfTrue="1" operator="equal">
      <formula>0</formula>
    </cfRule>
    <cfRule type="cellIs" dxfId="152" priority="38" stopIfTrue="1" operator="notEqual">
      <formula>0</formula>
    </cfRule>
  </conditionalFormatting>
  <conditionalFormatting sqref="C97">
    <cfRule type="cellIs" dxfId="151" priority="36" operator="notEqual">
      <formula>0</formula>
    </cfRule>
  </conditionalFormatting>
  <conditionalFormatting sqref="J94">
    <cfRule type="cellIs" dxfId="150" priority="34" stopIfTrue="1" operator="equal">
      <formula>0</formula>
    </cfRule>
    <cfRule type="cellIs" dxfId="149" priority="35" stopIfTrue="1" operator="notEqual">
      <formula>0</formula>
    </cfRule>
  </conditionalFormatting>
  <conditionalFormatting sqref="C115">
    <cfRule type="cellIs" dxfId="148" priority="33" operator="notEqual">
      <formula>0</formula>
    </cfRule>
  </conditionalFormatting>
  <conditionalFormatting sqref="J112">
    <cfRule type="cellIs" dxfId="147" priority="31" stopIfTrue="1" operator="equal">
      <formula>0</formula>
    </cfRule>
    <cfRule type="cellIs" dxfId="146" priority="32" stopIfTrue="1" operator="notEqual">
      <formula>0</formula>
    </cfRule>
  </conditionalFormatting>
  <conditionalFormatting sqref="C133">
    <cfRule type="cellIs" dxfId="145" priority="30" operator="notEqual">
      <formula>0</formula>
    </cfRule>
  </conditionalFormatting>
  <conditionalFormatting sqref="J130">
    <cfRule type="cellIs" dxfId="144" priority="28" stopIfTrue="1" operator="equal">
      <formula>0</formula>
    </cfRule>
    <cfRule type="cellIs" dxfId="143" priority="29" stopIfTrue="1" operator="notEqual">
      <formula>0</formula>
    </cfRule>
  </conditionalFormatting>
  <conditionalFormatting sqref="C151">
    <cfRule type="cellIs" dxfId="142" priority="27" operator="notEqual">
      <formula>0</formula>
    </cfRule>
  </conditionalFormatting>
  <conditionalFormatting sqref="J148">
    <cfRule type="cellIs" dxfId="141" priority="25" stopIfTrue="1" operator="equal">
      <formula>0</formula>
    </cfRule>
    <cfRule type="cellIs" dxfId="140" priority="26" stopIfTrue="1" operator="notEqual">
      <formula>0</formula>
    </cfRule>
  </conditionalFormatting>
  <conditionalFormatting sqref="C169">
    <cfRule type="cellIs" dxfId="139" priority="24" operator="notEqual">
      <formula>0</formula>
    </cfRule>
  </conditionalFormatting>
  <conditionalFormatting sqref="J166">
    <cfRule type="cellIs" dxfId="138" priority="22" stopIfTrue="1" operator="equal">
      <formula>0</formula>
    </cfRule>
    <cfRule type="cellIs" dxfId="137" priority="23" stopIfTrue="1" operator="notEqual">
      <formula>0</formula>
    </cfRule>
  </conditionalFormatting>
  <conditionalFormatting sqref="C187">
    <cfRule type="cellIs" dxfId="136" priority="21" operator="notEqual">
      <formula>0</formula>
    </cfRule>
  </conditionalFormatting>
  <conditionalFormatting sqref="J184">
    <cfRule type="cellIs" dxfId="135" priority="19" stopIfTrue="1" operator="equal">
      <formula>0</formula>
    </cfRule>
    <cfRule type="cellIs" dxfId="134" priority="20" stopIfTrue="1" operator="notEqual">
      <formula>0</formula>
    </cfRule>
  </conditionalFormatting>
  <conditionalFormatting sqref="C205">
    <cfRule type="cellIs" dxfId="133" priority="18" operator="notEqual">
      <formula>0</formula>
    </cfRule>
  </conditionalFormatting>
  <conditionalFormatting sqref="J202">
    <cfRule type="cellIs" dxfId="132" priority="16" stopIfTrue="1" operator="equal">
      <formula>0</formula>
    </cfRule>
    <cfRule type="cellIs" dxfId="131" priority="17" stopIfTrue="1" operator="notEqual">
      <formula>0</formula>
    </cfRule>
  </conditionalFormatting>
  <conditionalFormatting sqref="C223">
    <cfRule type="cellIs" dxfId="130" priority="15" operator="notEqual">
      <formula>0</formula>
    </cfRule>
  </conditionalFormatting>
  <conditionalFormatting sqref="J220">
    <cfRule type="cellIs" dxfId="129" priority="13" stopIfTrue="1" operator="equal">
      <formula>0</formula>
    </cfRule>
    <cfRule type="cellIs" dxfId="128" priority="14" stopIfTrue="1" operator="notEqual">
      <formula>0</formula>
    </cfRule>
  </conditionalFormatting>
  <conditionalFormatting sqref="C241">
    <cfRule type="cellIs" dxfId="127" priority="12" operator="notEqual">
      <formula>0</formula>
    </cfRule>
  </conditionalFormatting>
  <conditionalFormatting sqref="J238">
    <cfRule type="cellIs" dxfId="126" priority="10" stopIfTrue="1" operator="equal">
      <formula>0</formula>
    </cfRule>
    <cfRule type="cellIs" dxfId="125" priority="11" stopIfTrue="1" operator="notEqual">
      <formula>0</formula>
    </cfRule>
  </conditionalFormatting>
  <conditionalFormatting sqref="C261">
    <cfRule type="cellIs" dxfId="124" priority="9" operator="notEqual">
      <formula>0</formula>
    </cfRule>
  </conditionalFormatting>
  <conditionalFormatting sqref="J258">
    <cfRule type="cellIs" dxfId="123" priority="7" stopIfTrue="1" operator="equal">
      <formula>0</formula>
    </cfRule>
    <cfRule type="cellIs" dxfId="122" priority="8" stopIfTrue="1" operator="notEqual">
      <formula>0</formula>
    </cfRule>
  </conditionalFormatting>
  <conditionalFormatting sqref="C279">
    <cfRule type="cellIs" dxfId="121" priority="6" operator="notEqual">
      <formula>0</formula>
    </cfRule>
  </conditionalFormatting>
  <conditionalFormatting sqref="J276">
    <cfRule type="cellIs" dxfId="120" priority="4" stopIfTrue="1" operator="equal">
      <formula>0</formula>
    </cfRule>
    <cfRule type="cellIs" dxfId="119" priority="5" stopIfTrue="1" operator="notEqual">
      <formula>0</formula>
    </cfRule>
  </conditionalFormatting>
  <conditionalFormatting sqref="C297">
    <cfRule type="cellIs" dxfId="118" priority="3" operator="notEqual">
      <formula>0</formula>
    </cfRule>
  </conditionalFormatting>
  <conditionalFormatting sqref="J294">
    <cfRule type="cellIs" dxfId="117" priority="1" stopIfTrue="1" operator="equal">
      <formula>0</formula>
    </cfRule>
    <cfRule type="cellIs" dxfId="116" priority="2" stopIfTrue="1" operator="notEqual">
      <formula>0</formula>
    </cfRule>
  </conditionalFormatting>
  <printOptions gridLinesSet="0"/>
  <pageMargins left="0.5" right="0.5" top="1.04" bottom="0.5" header="0.25" footer="0.25"/>
  <pageSetup scale="36" orientation="portrait" horizontalDpi="300" verticalDpi="300" r:id="rId1"/>
  <headerFooter alignWithMargins="0">
    <oddHeader>&amp;L&amp;12Prior Period Unrecovered Gas Costs
Idaho
191000</oddHeader>
    <oddFooter>&amp;L&amp;F&amp;C&amp;A&amp;R&amp;D &amp;T</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
    <tabColor rgb="FFFFFF00"/>
    <pageSetUpPr fitToPage="1"/>
  </sheetPr>
  <dimension ref="A1:R1010"/>
  <sheetViews>
    <sheetView showGridLines="0" view="pageBreakPreview" topLeftCell="A109" zoomScaleNormal="100" zoomScaleSheetLayoutView="100" workbookViewId="0">
      <selection activeCell="E128" sqref="E128"/>
    </sheetView>
  </sheetViews>
  <sheetFormatPr defaultColWidth="9.85546875" defaultRowHeight="15"/>
  <cols>
    <col min="1" max="1" width="12.42578125" style="29" customWidth="1"/>
    <col min="2" max="2" width="39.85546875" style="1" customWidth="1"/>
    <col min="3" max="3" width="24.85546875" style="1" customWidth="1"/>
    <col min="4" max="4" width="20.140625" style="1" bestFit="1" customWidth="1"/>
    <col min="5" max="5" width="19.7109375" style="1" customWidth="1"/>
    <col min="6" max="6" width="16.7109375" style="1" customWidth="1"/>
    <col min="7" max="7" width="16.7109375" style="1" hidden="1" customWidth="1"/>
    <col min="8" max="8" width="13.140625" style="1" hidden="1" customWidth="1"/>
    <col min="9" max="9" width="14.28515625" style="1" hidden="1" customWidth="1"/>
    <col min="10" max="10" width="16" style="1" hidden="1" customWidth="1"/>
    <col min="11" max="11" width="11.28515625" style="1" hidden="1" customWidth="1"/>
    <col min="12" max="12" width="25.7109375" style="1" bestFit="1" customWidth="1"/>
    <col min="13" max="13" width="18" style="28" customWidth="1"/>
    <col min="14" max="14" width="3.140625" style="1" customWidth="1"/>
    <col min="15" max="15" width="25.85546875" style="1" customWidth="1"/>
    <col min="16" max="16" width="20.28515625" style="1" customWidth="1"/>
    <col min="17" max="17" width="19.85546875" style="1" customWidth="1"/>
    <col min="18" max="18" width="20" style="1" customWidth="1"/>
    <col min="19" max="16384" width="9.85546875" style="1"/>
  </cols>
  <sheetData>
    <row r="1" spans="1:18" ht="18.75" customHeight="1">
      <c r="A1" s="27" t="s">
        <v>13</v>
      </c>
    </row>
    <row r="2" spans="1:18" ht="15.75">
      <c r="A2" s="27" t="s">
        <v>0</v>
      </c>
    </row>
    <row r="3" spans="1:18" ht="15.75">
      <c r="A3" s="27" t="s">
        <v>15</v>
      </c>
    </row>
    <row r="4" spans="1:18" ht="15.75">
      <c r="A4" s="27" t="s">
        <v>104</v>
      </c>
    </row>
    <row r="5" spans="1:18" ht="15.75">
      <c r="C5" s="31" t="s">
        <v>21</v>
      </c>
      <c r="D5" s="31" t="s">
        <v>2</v>
      </c>
      <c r="E5" s="31" t="s">
        <v>3</v>
      </c>
      <c r="F5" s="31"/>
      <c r="J5" s="23"/>
    </row>
    <row r="6" spans="1:18" ht="15.75">
      <c r="A6" s="38"/>
      <c r="B6" s="43"/>
      <c r="C6" s="31" t="s">
        <v>16</v>
      </c>
      <c r="D6" s="31" t="s">
        <v>7</v>
      </c>
      <c r="E6" s="31" t="s">
        <v>7</v>
      </c>
      <c r="F6" s="31" t="s">
        <v>4</v>
      </c>
      <c r="O6" s="62"/>
      <c r="P6" s="61"/>
      <c r="Q6" s="18"/>
      <c r="R6" s="18"/>
    </row>
    <row r="7" spans="1:18" ht="15.75">
      <c r="A7" s="38"/>
      <c r="B7" s="43"/>
      <c r="C7" s="31"/>
      <c r="D7" s="31"/>
      <c r="E7" s="31"/>
      <c r="O7" s="62"/>
      <c r="P7" s="61"/>
      <c r="Q7" s="18"/>
      <c r="R7" s="18"/>
    </row>
    <row r="8" spans="1:18" s="279" customFormat="1" ht="16.5" thickBot="1">
      <c r="A8" s="71">
        <v>41183</v>
      </c>
      <c r="B8" s="26" t="s">
        <v>56</v>
      </c>
      <c r="C8" s="121">
        <v>-6056575.765431677</v>
      </c>
      <c r="D8" s="121">
        <v>-6691252.0927546788</v>
      </c>
      <c r="E8" s="121">
        <v>809169.36732299952</v>
      </c>
      <c r="F8" s="121">
        <v>-174493.04</v>
      </c>
      <c r="G8" s="121">
        <v>0</v>
      </c>
      <c r="H8" s="121">
        <v>0</v>
      </c>
      <c r="I8" s="121">
        <v>0</v>
      </c>
      <c r="J8" s="121">
        <v>0</v>
      </c>
      <c r="K8" s="121">
        <v>0</v>
      </c>
      <c r="L8" s="121">
        <v>0</v>
      </c>
      <c r="M8" s="33"/>
      <c r="N8" s="281"/>
      <c r="O8" s="281"/>
      <c r="P8" s="281"/>
      <c r="Q8" s="281"/>
      <c r="R8" s="18"/>
    </row>
    <row r="9" spans="1:18" s="330" customFormat="1" ht="16.5" thickTop="1">
      <c r="A9" s="71"/>
      <c r="B9" s="26"/>
      <c r="C9" s="11"/>
      <c r="D9" s="11"/>
      <c r="E9" s="11"/>
      <c r="F9" s="11"/>
      <c r="G9" s="11"/>
      <c r="H9" s="11"/>
      <c r="I9" s="11"/>
      <c r="J9" s="11"/>
      <c r="K9" s="11"/>
      <c r="L9" s="11"/>
      <c r="M9" s="33"/>
      <c r="N9" s="331"/>
      <c r="O9" s="331"/>
      <c r="P9" s="331"/>
      <c r="Q9" s="331"/>
      <c r="R9" s="331"/>
    </row>
    <row r="10" spans="1:18" s="330" customFormat="1" ht="15.75">
      <c r="A10" s="212"/>
      <c r="B10" s="124" t="s">
        <v>11</v>
      </c>
      <c r="C10" s="166">
        <v>7340824.0093394704</v>
      </c>
      <c r="D10" s="166">
        <v>4103157.0665184702</v>
      </c>
      <c r="E10" s="166">
        <v>3134193.9628209998</v>
      </c>
      <c r="F10" s="166">
        <v>103472.98</v>
      </c>
      <c r="G10" s="166">
        <v>0</v>
      </c>
      <c r="H10" s="166">
        <v>0</v>
      </c>
      <c r="I10" s="166">
        <v>0</v>
      </c>
      <c r="J10" s="166">
        <v>0</v>
      </c>
      <c r="K10" s="166">
        <v>0</v>
      </c>
      <c r="L10" s="166">
        <v>0</v>
      </c>
      <c r="M10" s="166"/>
      <c r="N10" s="166"/>
      <c r="O10" s="165"/>
      <c r="P10" s="165"/>
      <c r="Q10" s="165"/>
      <c r="R10" s="165"/>
    </row>
    <row r="11" spans="1:18" s="330" customFormat="1" ht="16.5" thickBot="1">
      <c r="A11" s="212"/>
      <c r="B11" s="124" t="s">
        <v>210</v>
      </c>
      <c r="C11" s="334">
        <f>SUM(C8:C10)</f>
        <v>1284248.2439077934</v>
      </c>
      <c r="D11" s="334">
        <f>SUM(D8:D10)</f>
        <v>-2588095.0262362086</v>
      </c>
      <c r="E11" s="334">
        <f>SUM(E8:E10)</f>
        <v>3943363.3301439993</v>
      </c>
      <c r="F11" s="334">
        <f>SUM(F8:F10)</f>
        <v>-71020.060000000012</v>
      </c>
      <c r="G11" s="334">
        <v>0</v>
      </c>
      <c r="H11" s="334">
        <v>0</v>
      </c>
      <c r="I11" s="334">
        <v>0</v>
      </c>
      <c r="J11" s="334">
        <v>0</v>
      </c>
      <c r="K11" s="334">
        <v>0</v>
      </c>
      <c r="L11" s="334">
        <f>SUM(L8:L10)</f>
        <v>0</v>
      </c>
      <c r="M11" s="334"/>
      <c r="N11" s="334"/>
      <c r="O11" s="165"/>
      <c r="P11" s="165"/>
      <c r="Q11" s="165"/>
      <c r="R11" s="165"/>
    </row>
    <row r="12" spans="1:18" ht="16.5" thickTop="1" thickBot="1"/>
    <row r="13" spans="1:18" s="330" customFormat="1" ht="16.5" thickBot="1">
      <c r="A13" s="34">
        <v>41243</v>
      </c>
      <c r="B13" s="35" t="s">
        <v>84</v>
      </c>
      <c r="C13" s="26">
        <f>SUM(D13:L13)</f>
        <v>1615352.97</v>
      </c>
      <c r="D13" s="200">
        <v>1685691.83</v>
      </c>
      <c r="E13" s="200">
        <v>-70338.86</v>
      </c>
      <c r="F13" s="124">
        <v>0</v>
      </c>
      <c r="G13" s="124"/>
      <c r="H13" s="124"/>
      <c r="I13" s="124"/>
      <c r="J13" s="332"/>
      <c r="K13" s="124"/>
      <c r="L13" s="124">
        <v>0</v>
      </c>
      <c r="M13" s="99"/>
      <c r="N13" s="26"/>
      <c r="O13" s="284" t="s">
        <v>106</v>
      </c>
      <c r="P13" s="63"/>
      <c r="Q13" s="63"/>
      <c r="R13" s="64"/>
    </row>
    <row r="14" spans="1:18" s="330" customFormat="1" ht="15.75">
      <c r="A14" s="34"/>
      <c r="B14" s="35" t="s">
        <v>148</v>
      </c>
      <c r="C14" s="26">
        <f>SUM(D14:F14)</f>
        <v>0</v>
      </c>
      <c r="D14" s="197"/>
      <c r="E14" s="197">
        <v>0</v>
      </c>
      <c r="F14" s="124"/>
      <c r="G14" s="124"/>
      <c r="H14" s="124"/>
      <c r="I14" s="124"/>
      <c r="J14" s="124"/>
      <c r="K14" s="124"/>
      <c r="L14" s="124"/>
      <c r="M14" s="99"/>
      <c r="N14" s="26"/>
      <c r="O14" s="295" t="s">
        <v>211</v>
      </c>
      <c r="P14" s="287" t="s">
        <v>27</v>
      </c>
      <c r="Q14" s="283">
        <v>0</v>
      </c>
      <c r="R14" s="285">
        <f>-C10</f>
        <v>-7340824.0093394704</v>
      </c>
    </row>
    <row r="15" spans="1:18" s="330" customFormat="1" ht="15.75">
      <c r="A15" s="34"/>
      <c r="B15" s="19" t="s">
        <v>157</v>
      </c>
      <c r="C15" s="26">
        <f>SUM(D15:L15)</f>
        <v>0</v>
      </c>
      <c r="D15" s="198">
        <v>0</v>
      </c>
      <c r="E15" s="197"/>
      <c r="F15" s="124"/>
      <c r="G15" s="124"/>
      <c r="H15" s="124"/>
      <c r="I15" s="124"/>
      <c r="J15" s="124"/>
      <c r="K15" s="124"/>
      <c r="L15" s="124"/>
      <c r="M15" s="99"/>
      <c r="N15" s="26"/>
      <c r="O15" s="282" t="s">
        <v>79</v>
      </c>
      <c r="P15" s="287" t="s">
        <v>17</v>
      </c>
      <c r="Q15" s="283">
        <f>IF((-C8+C19)&gt;0,(-C8+C19),0)</f>
        <v>8961842.60933947</v>
      </c>
      <c r="R15" s="285">
        <f>IF((-C8+C19)&lt;0,(-C8+C19),0)</f>
        <v>0</v>
      </c>
    </row>
    <row r="16" spans="1:18" s="330" customFormat="1" ht="15.75">
      <c r="A16" s="34"/>
      <c r="B16" s="35" t="s">
        <v>49</v>
      </c>
      <c r="C16" s="26">
        <f>SUM(D16:L16)</f>
        <v>0</v>
      </c>
      <c r="D16" s="124"/>
      <c r="E16" s="124"/>
      <c r="F16" s="124"/>
      <c r="G16" s="124"/>
      <c r="H16" s="124"/>
      <c r="I16" s="124"/>
      <c r="J16" s="124"/>
      <c r="K16" s="124"/>
      <c r="L16" s="199">
        <v>0</v>
      </c>
      <c r="M16" s="100"/>
      <c r="N16" s="26"/>
      <c r="O16" s="288" t="s">
        <v>80</v>
      </c>
      <c r="P16" s="287" t="s">
        <v>20</v>
      </c>
      <c r="Q16" s="80">
        <f>IF((C13+C14)&lt;0,(-C13-C14),0)</f>
        <v>0</v>
      </c>
      <c r="R16" s="285">
        <f>IF((C13+C14)&gt;0,(-C13-C14),0)</f>
        <v>-1615352.97</v>
      </c>
    </row>
    <row r="17" spans="1:18" s="330" customFormat="1" ht="15.75">
      <c r="A17" s="34"/>
      <c r="B17" s="35" t="s">
        <v>144</v>
      </c>
      <c r="C17" s="26">
        <f>SUM(D17:L17)</f>
        <v>0</v>
      </c>
      <c r="D17" s="124"/>
      <c r="E17" s="124"/>
      <c r="F17" s="124"/>
      <c r="G17" s="124"/>
      <c r="H17" s="124"/>
      <c r="I17" s="124"/>
      <c r="J17" s="124"/>
      <c r="K17" s="124"/>
      <c r="L17" s="199">
        <v>0</v>
      </c>
      <c r="M17" s="100"/>
      <c r="N17" s="26"/>
      <c r="O17" s="290" t="s">
        <v>82</v>
      </c>
      <c r="P17" s="287" t="s">
        <v>75</v>
      </c>
      <c r="Q17" s="292">
        <v>0</v>
      </c>
      <c r="R17" s="285">
        <f>IF(C18&gt;0,-C18,0)</f>
        <v>-5665.63</v>
      </c>
    </row>
    <row r="18" spans="1:18" s="330" customFormat="1" ht="16.5" thickBot="1">
      <c r="A18" s="37"/>
      <c r="B18" s="35" t="s">
        <v>12</v>
      </c>
      <c r="C18" s="26">
        <f>SUM(D18:L18)</f>
        <v>5665.63</v>
      </c>
      <c r="D18" s="124"/>
      <c r="E18" s="124"/>
      <c r="F18" s="124">
        <v>5665.63</v>
      </c>
      <c r="G18" s="124"/>
      <c r="H18" s="124"/>
      <c r="I18" s="124"/>
      <c r="J18" s="124"/>
      <c r="K18" s="124"/>
      <c r="L18" s="201"/>
      <c r="M18" s="195">
        <v>3.2500000000000001E-2</v>
      </c>
      <c r="N18" s="26"/>
      <c r="O18" s="291" t="s">
        <v>83</v>
      </c>
      <c r="P18" s="289" t="s">
        <v>76</v>
      </c>
      <c r="Q18" s="84">
        <f>IF(-C18&gt;0,-C18,0)</f>
        <v>0</v>
      </c>
      <c r="R18" s="84">
        <f>IF(C18&gt;0,0,0)</f>
        <v>0</v>
      </c>
    </row>
    <row r="19" spans="1:18" s="330" customFormat="1" ht="16.5" thickBot="1">
      <c r="A19" s="71">
        <f>A13</f>
        <v>41243</v>
      </c>
      <c r="B19" s="26" t="s">
        <v>56</v>
      </c>
      <c r="C19" s="121">
        <f>SUM(C11:C18)</f>
        <v>2905266.8439077931</v>
      </c>
      <c r="D19" s="121">
        <f>SUM(D11:D18)</f>
        <v>-902403.19623620855</v>
      </c>
      <c r="E19" s="121">
        <f>SUM(E11:E18)</f>
        <v>3873024.4701439994</v>
      </c>
      <c r="F19" s="121">
        <f>SUM(F11:F18)</f>
        <v>-65354.430000000015</v>
      </c>
      <c r="G19" s="121">
        <f>SUM(G8:G18)</f>
        <v>0</v>
      </c>
      <c r="H19" s="121">
        <f>SUM(H8:H18)</f>
        <v>0</v>
      </c>
      <c r="I19" s="121">
        <f>SUM(I8:I18)</f>
        <v>0</v>
      </c>
      <c r="J19" s="121">
        <f>SUM(J8:J18)</f>
        <v>0</v>
      </c>
      <c r="K19" s="121">
        <f>SUM(K8:K18)</f>
        <v>0</v>
      </c>
      <c r="L19" s="121">
        <f>SUM(L11:L18)</f>
        <v>0</v>
      </c>
      <c r="M19" s="33"/>
      <c r="N19" s="331"/>
      <c r="O19" s="331"/>
      <c r="P19" s="331"/>
      <c r="Q19" s="331"/>
      <c r="R19" s="286">
        <f>ROUND(SUM(Q14:R18),2)</f>
        <v>0</v>
      </c>
    </row>
    <row r="20" spans="1:18" ht="16.5" thickTop="1" thickBot="1"/>
    <row r="21" spans="1:18" s="330" customFormat="1" ht="16.5" thickBot="1">
      <c r="A21" s="34">
        <v>41274</v>
      </c>
      <c r="B21" s="35" t="s">
        <v>84</v>
      </c>
      <c r="C21" s="26">
        <f>SUM(D21:L21)</f>
        <v>338391.8734309976</v>
      </c>
      <c r="D21" s="200">
        <v>1143938.5575779974</v>
      </c>
      <c r="E21" s="200">
        <v>-805546.68414699985</v>
      </c>
      <c r="F21" s="124">
        <v>0</v>
      </c>
      <c r="G21" s="124"/>
      <c r="H21" s="124"/>
      <c r="I21" s="124"/>
      <c r="J21" s="332"/>
      <c r="K21" s="124"/>
      <c r="L21" s="124">
        <v>0</v>
      </c>
      <c r="M21" s="99"/>
      <c r="N21" s="26"/>
      <c r="O21" s="284" t="s">
        <v>106</v>
      </c>
      <c r="P21" s="63"/>
      <c r="Q21" s="63"/>
      <c r="R21" s="64"/>
    </row>
    <row r="22" spans="1:18" s="330" customFormat="1" ht="15.75">
      <c r="A22" s="34"/>
      <c r="B22" s="35" t="s">
        <v>148</v>
      </c>
      <c r="C22" s="26">
        <f>SUM(D22:F22)</f>
        <v>0</v>
      </c>
      <c r="D22" s="197"/>
      <c r="E22" s="197">
        <v>0</v>
      </c>
      <c r="F22" s="124"/>
      <c r="G22" s="124"/>
      <c r="H22" s="124"/>
      <c r="I22" s="124"/>
      <c r="J22" s="124"/>
      <c r="K22" s="124"/>
      <c r="L22" s="124"/>
      <c r="M22" s="99"/>
      <c r="N22" s="26"/>
      <c r="O22" s="295" t="s">
        <v>211</v>
      </c>
      <c r="P22" s="287" t="s">
        <v>27</v>
      </c>
      <c r="Q22" s="283">
        <v>0</v>
      </c>
      <c r="R22" s="285">
        <v>0</v>
      </c>
    </row>
    <row r="23" spans="1:18" s="330" customFormat="1" ht="15.75">
      <c r="A23" s="34"/>
      <c r="B23" s="19" t="s">
        <v>157</v>
      </c>
      <c r="C23" s="26">
        <f>SUM(D23:L23)</f>
        <v>0</v>
      </c>
      <c r="D23" s="198">
        <v>0</v>
      </c>
      <c r="E23" s="197"/>
      <c r="F23" s="124"/>
      <c r="G23" s="124"/>
      <c r="H23" s="124"/>
      <c r="I23" s="124"/>
      <c r="J23" s="124"/>
      <c r="K23" s="124"/>
      <c r="L23" s="124"/>
      <c r="M23" s="99"/>
      <c r="N23" s="26"/>
      <c r="O23" s="282" t="s">
        <v>79</v>
      </c>
      <c r="P23" s="287" t="s">
        <v>17</v>
      </c>
      <c r="Q23" s="283">
        <f>IF((-C19+C27)&gt;0,(-C19+C27),0)</f>
        <v>346718.54343099752</v>
      </c>
      <c r="R23" s="285">
        <f>IF((-C16+C27)&lt;0,(-C16+C27),0)</f>
        <v>0</v>
      </c>
    </row>
    <row r="24" spans="1:18" s="330" customFormat="1" ht="15.75">
      <c r="A24" s="34"/>
      <c r="B24" s="35" t="s">
        <v>49</v>
      </c>
      <c r="C24" s="26">
        <f>SUM(D24:L24)</f>
        <v>0</v>
      </c>
      <c r="D24" s="124"/>
      <c r="E24" s="124"/>
      <c r="F24" s="124"/>
      <c r="G24" s="124"/>
      <c r="H24" s="124"/>
      <c r="I24" s="124"/>
      <c r="J24" s="124"/>
      <c r="K24" s="124"/>
      <c r="L24" s="199">
        <v>0</v>
      </c>
      <c r="M24" s="100"/>
      <c r="N24" s="26"/>
      <c r="O24" s="288" t="s">
        <v>80</v>
      </c>
      <c r="P24" s="287" t="s">
        <v>20</v>
      </c>
      <c r="Q24" s="80">
        <f>IF((C21+C22)&lt;0,(-C21-C22),0)</f>
        <v>0</v>
      </c>
      <c r="R24" s="285">
        <f>IF((C21+C22)&gt;0,(-C21-C22),0)</f>
        <v>-338391.8734309976</v>
      </c>
    </row>
    <row r="25" spans="1:18" s="330" customFormat="1" ht="15.75">
      <c r="A25" s="34"/>
      <c r="B25" s="35" t="s">
        <v>144</v>
      </c>
      <c r="C25" s="26">
        <f>SUM(D25:L25)</f>
        <v>0</v>
      </c>
      <c r="D25" s="124"/>
      <c r="E25" s="124"/>
      <c r="F25" s="124"/>
      <c r="G25" s="124"/>
      <c r="H25" s="124"/>
      <c r="I25" s="124"/>
      <c r="J25" s="124"/>
      <c r="K25" s="124"/>
      <c r="L25" s="199">
        <v>0</v>
      </c>
      <c r="M25" s="100"/>
      <c r="N25" s="26"/>
      <c r="O25" s="290" t="s">
        <v>82</v>
      </c>
      <c r="P25" s="287" t="s">
        <v>75</v>
      </c>
      <c r="Q25" s="292">
        <v>0</v>
      </c>
      <c r="R25" s="285">
        <f>IF(C26&gt;0,-C26,0)</f>
        <v>-8326.67</v>
      </c>
    </row>
    <row r="26" spans="1:18" s="330" customFormat="1" ht="16.5" thickBot="1">
      <c r="A26" s="37"/>
      <c r="B26" s="35" t="s">
        <v>12</v>
      </c>
      <c r="C26" s="26">
        <f>SUM(D26:L26)</f>
        <v>8326.67</v>
      </c>
      <c r="D26" s="124"/>
      <c r="E26" s="124"/>
      <c r="F26" s="124">
        <v>8326.67</v>
      </c>
      <c r="G26" s="124"/>
      <c r="H26" s="124"/>
      <c r="I26" s="124"/>
      <c r="J26" s="124"/>
      <c r="K26" s="124"/>
      <c r="L26" s="201"/>
      <c r="M26" s="195">
        <v>3.2500000000000001E-2</v>
      </c>
      <c r="N26" s="26"/>
      <c r="O26" s="291" t="s">
        <v>83</v>
      </c>
      <c r="P26" s="289" t="s">
        <v>76</v>
      </c>
      <c r="Q26" s="84">
        <f>IF(-C26&gt;0,-C26,0)</f>
        <v>0</v>
      </c>
      <c r="R26" s="84">
        <f>IF(C26&gt;0,0,0)</f>
        <v>0</v>
      </c>
    </row>
    <row r="27" spans="1:18" s="330" customFormat="1" ht="16.5" thickBot="1">
      <c r="A27" s="71">
        <f>A21</f>
        <v>41274</v>
      </c>
      <c r="B27" s="26" t="s">
        <v>56</v>
      </c>
      <c r="C27" s="121">
        <f>SUM(C19:C26)</f>
        <v>3251985.3873387906</v>
      </c>
      <c r="D27" s="121">
        <f>SUM(D19:D26)</f>
        <v>241535.3613417889</v>
      </c>
      <c r="E27" s="121">
        <f>SUM(E19:E26)</f>
        <v>3067477.7859969996</v>
      </c>
      <c r="F27" s="121">
        <f>SUM(F19:F26)</f>
        <v>-57027.760000000017</v>
      </c>
      <c r="G27" s="121">
        <f t="shared" ref="G27:K27" si="0">SUM(G16:G26)</f>
        <v>0</v>
      </c>
      <c r="H27" s="121">
        <f t="shared" si="0"/>
        <v>0</v>
      </c>
      <c r="I27" s="121">
        <f t="shared" si="0"/>
        <v>0</v>
      </c>
      <c r="J27" s="121">
        <f t="shared" si="0"/>
        <v>0</v>
      </c>
      <c r="K27" s="121">
        <f t="shared" si="0"/>
        <v>0</v>
      </c>
      <c r="L27" s="121">
        <f>SUM(L19:L26)</f>
        <v>0</v>
      </c>
      <c r="M27" s="33"/>
      <c r="N27" s="331"/>
      <c r="O27" s="331"/>
      <c r="P27" s="331"/>
      <c r="Q27" s="331"/>
      <c r="R27" s="286">
        <f>ROUND(SUM(Q22:R26),2)</f>
        <v>0</v>
      </c>
    </row>
    <row r="28" spans="1:18" s="330" customFormat="1" ht="16.5" thickTop="1" thickBot="1">
      <c r="A28" s="29"/>
      <c r="M28" s="28"/>
    </row>
    <row r="29" spans="1:18" s="330" customFormat="1" ht="16.5" thickBot="1">
      <c r="A29" s="34">
        <v>41305</v>
      </c>
      <c r="B29" s="35" t="s">
        <v>84</v>
      </c>
      <c r="C29" s="26">
        <f>SUM(D29:L29)</f>
        <v>-3227933.8735419996</v>
      </c>
      <c r="D29" s="200">
        <v>-1853906.027032</v>
      </c>
      <c r="E29" s="200">
        <v>-1374027.8465099994</v>
      </c>
      <c r="F29" s="124">
        <v>0</v>
      </c>
      <c r="G29" s="124"/>
      <c r="H29" s="124"/>
      <c r="I29" s="124"/>
      <c r="J29" s="332"/>
      <c r="K29" s="124"/>
      <c r="L29" s="124">
        <v>0</v>
      </c>
      <c r="M29" s="99"/>
      <c r="N29" s="26"/>
      <c r="O29" s="284" t="s">
        <v>106</v>
      </c>
      <c r="P29" s="63"/>
      <c r="Q29" s="63"/>
      <c r="R29" s="64"/>
    </row>
    <row r="30" spans="1:18" s="330" customFormat="1" ht="15.75">
      <c r="A30" s="34"/>
      <c r="B30" s="35" t="s">
        <v>148</v>
      </c>
      <c r="C30" s="26">
        <f>SUM(D30:F30)</f>
        <v>0</v>
      </c>
      <c r="D30" s="197"/>
      <c r="E30" s="197">
        <v>0</v>
      </c>
      <c r="F30" s="124"/>
      <c r="G30" s="124"/>
      <c r="H30" s="124"/>
      <c r="I30" s="124"/>
      <c r="J30" s="124"/>
      <c r="K30" s="124"/>
      <c r="L30" s="124"/>
      <c r="M30" s="99"/>
      <c r="N30" s="26"/>
      <c r="O30" s="295" t="s">
        <v>211</v>
      </c>
      <c r="P30" s="287" t="s">
        <v>27</v>
      </c>
      <c r="Q30" s="283">
        <v>0</v>
      </c>
      <c r="R30" s="285">
        <v>0</v>
      </c>
    </row>
    <row r="31" spans="1:18" s="330" customFormat="1" ht="15.75">
      <c r="A31" s="34"/>
      <c r="B31" s="19" t="s">
        <v>157</v>
      </c>
      <c r="C31" s="26">
        <f>SUM(D31:L31)</f>
        <v>0</v>
      </c>
      <c r="D31" s="198">
        <v>0</v>
      </c>
      <c r="E31" s="197"/>
      <c r="F31" s="124"/>
      <c r="G31" s="124"/>
      <c r="H31" s="124"/>
      <c r="I31" s="124"/>
      <c r="J31" s="124"/>
      <c r="K31" s="124"/>
      <c r="L31" s="124"/>
      <c r="M31" s="99"/>
      <c r="N31" s="26"/>
      <c r="O31" s="282" t="s">
        <v>79</v>
      </c>
      <c r="P31" s="287" t="s">
        <v>17</v>
      </c>
      <c r="Q31" s="283">
        <f>IF((-C27+C35)&gt;0,(-C27+C35),0)</f>
        <v>0</v>
      </c>
      <c r="R31" s="285">
        <f>IF((-C27+C35)&lt;0,(-C27+C35),0)</f>
        <v>-3223497.5735419998</v>
      </c>
    </row>
    <row r="32" spans="1:18" s="330" customFormat="1" ht="15.75">
      <c r="A32" s="34"/>
      <c r="B32" s="35" t="s">
        <v>49</v>
      </c>
      <c r="C32" s="26">
        <f>SUM(D32:L32)</f>
        <v>0</v>
      </c>
      <c r="D32" s="124"/>
      <c r="E32" s="124"/>
      <c r="F32" s="124"/>
      <c r="G32" s="124"/>
      <c r="H32" s="124"/>
      <c r="I32" s="124"/>
      <c r="J32" s="124"/>
      <c r="K32" s="124"/>
      <c r="L32" s="199">
        <v>0</v>
      </c>
      <c r="M32" s="100"/>
      <c r="N32" s="26"/>
      <c r="O32" s="288" t="s">
        <v>80</v>
      </c>
      <c r="P32" s="287" t="s">
        <v>20</v>
      </c>
      <c r="Q32" s="80">
        <f>IF((C29+C30)&lt;0,(-C29-C30),0)</f>
        <v>3227933.8735419996</v>
      </c>
      <c r="R32" s="285">
        <f>IF((C29+C30)&gt;0,(-C29-C30),0)</f>
        <v>0</v>
      </c>
    </row>
    <row r="33" spans="1:18" s="330" customFormat="1" ht="15.75">
      <c r="A33" s="34"/>
      <c r="B33" s="35" t="s">
        <v>144</v>
      </c>
      <c r="C33" s="26">
        <f>SUM(D33:L33)</f>
        <v>0</v>
      </c>
      <c r="D33" s="124"/>
      <c r="E33" s="124"/>
      <c r="F33" s="124"/>
      <c r="G33" s="124"/>
      <c r="H33" s="124"/>
      <c r="I33" s="124"/>
      <c r="J33" s="124"/>
      <c r="K33" s="124"/>
      <c r="L33" s="199">
        <v>0</v>
      </c>
      <c r="M33" s="100"/>
      <c r="N33" s="26"/>
      <c r="O33" s="290" t="s">
        <v>82</v>
      </c>
      <c r="P33" s="287" t="s">
        <v>75</v>
      </c>
      <c r="Q33" s="292">
        <v>0</v>
      </c>
      <c r="R33" s="285">
        <f>IF(C34&gt;0,-C34,0)</f>
        <v>-4436.3</v>
      </c>
    </row>
    <row r="34" spans="1:18" s="330" customFormat="1" ht="16.5" thickBot="1">
      <c r="A34" s="37"/>
      <c r="B34" s="35" t="s">
        <v>12</v>
      </c>
      <c r="C34" s="26">
        <f>SUM(D34:L34)</f>
        <v>4436.3</v>
      </c>
      <c r="D34" s="124"/>
      <c r="E34" s="124"/>
      <c r="F34" s="124">
        <v>4436.3</v>
      </c>
      <c r="G34" s="124"/>
      <c r="H34" s="124"/>
      <c r="I34" s="124"/>
      <c r="J34" s="124"/>
      <c r="K34" s="124"/>
      <c r="L34" s="201"/>
      <c r="M34" s="195">
        <v>3.2500000000000001E-2</v>
      </c>
      <c r="N34" s="26"/>
      <c r="O34" s="291" t="s">
        <v>83</v>
      </c>
      <c r="P34" s="289" t="s">
        <v>76</v>
      </c>
      <c r="Q34" s="84">
        <f>IF(-C34&gt;0,-C34,0)</f>
        <v>0</v>
      </c>
      <c r="R34" s="84">
        <f>IF(C34&gt;0,0,0)</f>
        <v>0</v>
      </c>
    </row>
    <row r="35" spans="1:18" s="330" customFormat="1" ht="16.5" thickBot="1">
      <c r="A35" s="71">
        <f>A29</f>
        <v>41305</v>
      </c>
      <c r="B35" s="26" t="s">
        <v>56</v>
      </c>
      <c r="C35" s="121">
        <f>SUM(C27:C34)</f>
        <v>28487.813796790968</v>
      </c>
      <c r="D35" s="121">
        <f>SUM(D27:D34)</f>
        <v>-1612370.6656902111</v>
      </c>
      <c r="E35" s="121">
        <f>SUM(E27:E34)</f>
        <v>1693449.9394870002</v>
      </c>
      <c r="F35" s="121">
        <f>SUM(F27:F34)</f>
        <v>-52591.460000000014</v>
      </c>
      <c r="G35" s="121">
        <f t="shared" ref="G35:K35" si="1">SUM(G24:G34)</f>
        <v>0</v>
      </c>
      <c r="H35" s="121">
        <f t="shared" si="1"/>
        <v>0</v>
      </c>
      <c r="I35" s="121">
        <f t="shared" si="1"/>
        <v>0</v>
      </c>
      <c r="J35" s="121">
        <f t="shared" si="1"/>
        <v>0</v>
      </c>
      <c r="K35" s="121">
        <f t="shared" si="1"/>
        <v>0</v>
      </c>
      <c r="L35" s="121">
        <f>SUM(L27:L34)</f>
        <v>0</v>
      </c>
      <c r="M35" s="33"/>
      <c r="N35" s="331"/>
      <c r="O35" s="331"/>
      <c r="P35" s="331"/>
      <c r="Q35" s="331"/>
      <c r="R35" s="286">
        <f>ROUND(SUM(Q30:R34),2)</f>
        <v>0</v>
      </c>
    </row>
    <row r="36" spans="1:18" s="330" customFormat="1" ht="16.5" thickTop="1" thickBot="1">
      <c r="A36" s="29"/>
      <c r="M36" s="28"/>
    </row>
    <row r="37" spans="1:18" s="330" customFormat="1" ht="16.5" thickBot="1">
      <c r="A37" s="34">
        <v>41333</v>
      </c>
      <c r="B37" s="35" t="s">
        <v>84</v>
      </c>
      <c r="C37" s="26">
        <f>SUM(D37:L37)</f>
        <v>227268.08091399889</v>
      </c>
      <c r="D37" s="200">
        <v>964027.88181999885</v>
      </c>
      <c r="E37" s="200">
        <v>-736759.80090599996</v>
      </c>
      <c r="F37" s="124">
        <v>0</v>
      </c>
      <c r="G37" s="124"/>
      <c r="H37" s="124"/>
      <c r="I37" s="124"/>
      <c r="J37" s="332"/>
      <c r="K37" s="124"/>
      <c r="L37" s="124">
        <v>0</v>
      </c>
      <c r="M37" s="99"/>
      <c r="N37" s="26"/>
      <c r="O37" s="284" t="s">
        <v>106</v>
      </c>
      <c r="P37" s="63"/>
      <c r="Q37" s="63"/>
      <c r="R37" s="64"/>
    </row>
    <row r="38" spans="1:18" s="330" customFormat="1" ht="15.75">
      <c r="A38" s="34"/>
      <c r="B38" s="35" t="s">
        <v>148</v>
      </c>
      <c r="C38" s="26">
        <f>SUM(D38:F38)</f>
        <v>0</v>
      </c>
      <c r="D38" s="197"/>
      <c r="E38" s="197">
        <v>0</v>
      </c>
      <c r="F38" s="124"/>
      <c r="G38" s="124"/>
      <c r="H38" s="124"/>
      <c r="I38" s="124"/>
      <c r="J38" s="124"/>
      <c r="K38" s="124"/>
      <c r="L38" s="124"/>
      <c r="M38" s="99"/>
      <c r="N38" s="26"/>
      <c r="O38" s="295" t="s">
        <v>211</v>
      </c>
      <c r="P38" s="287" t="s">
        <v>27</v>
      </c>
      <c r="Q38" s="283">
        <v>0</v>
      </c>
      <c r="R38" s="285">
        <v>0</v>
      </c>
    </row>
    <row r="39" spans="1:18" s="330" customFormat="1" ht="15.75">
      <c r="A39" s="34"/>
      <c r="B39" s="19" t="s">
        <v>157</v>
      </c>
      <c r="C39" s="26">
        <f>SUM(D39:L39)</f>
        <v>0</v>
      </c>
      <c r="D39" s="198">
        <v>0</v>
      </c>
      <c r="E39" s="197"/>
      <c r="F39" s="124"/>
      <c r="G39" s="124"/>
      <c r="H39" s="124"/>
      <c r="I39" s="124"/>
      <c r="J39" s="124"/>
      <c r="K39" s="124"/>
      <c r="L39" s="124"/>
      <c r="M39" s="99"/>
      <c r="N39" s="26"/>
      <c r="O39" s="282" t="s">
        <v>79</v>
      </c>
      <c r="P39" s="287" t="s">
        <v>17</v>
      </c>
      <c r="Q39" s="283">
        <f>IF((-C35+C43)&gt;0,(-C35+C43),0)</f>
        <v>227652.99091399889</v>
      </c>
      <c r="R39" s="285">
        <f>IF((-C35+C43)&lt;0,(-C35+C43),0)</f>
        <v>0</v>
      </c>
    </row>
    <row r="40" spans="1:18" s="330" customFormat="1" ht="15.75">
      <c r="A40" s="34"/>
      <c r="B40" s="35" t="s">
        <v>49</v>
      </c>
      <c r="C40" s="26">
        <f>SUM(D40:L40)</f>
        <v>0</v>
      </c>
      <c r="D40" s="124"/>
      <c r="E40" s="124"/>
      <c r="F40" s="124"/>
      <c r="G40" s="124"/>
      <c r="H40" s="124"/>
      <c r="I40" s="124"/>
      <c r="J40" s="124"/>
      <c r="K40" s="124"/>
      <c r="L40" s="199">
        <v>0</v>
      </c>
      <c r="M40" s="100"/>
      <c r="N40" s="26"/>
      <c r="O40" s="288" t="s">
        <v>80</v>
      </c>
      <c r="P40" s="287" t="s">
        <v>20</v>
      </c>
      <c r="Q40" s="80">
        <f>IF((C37+C38)&lt;0,(-C37-C38),0)</f>
        <v>0</v>
      </c>
      <c r="R40" s="285">
        <f>IF((C37+C38)&gt;0,(-C37-C38),0)</f>
        <v>-227268.08091399889</v>
      </c>
    </row>
    <row r="41" spans="1:18" s="330" customFormat="1" ht="15.75">
      <c r="A41" s="34"/>
      <c r="B41" s="35" t="s">
        <v>144</v>
      </c>
      <c r="C41" s="26">
        <f>SUM(D41:L41)</f>
        <v>0</v>
      </c>
      <c r="D41" s="124"/>
      <c r="E41" s="124"/>
      <c r="F41" s="124"/>
      <c r="G41" s="124"/>
      <c r="H41" s="124"/>
      <c r="I41" s="124"/>
      <c r="J41" s="124"/>
      <c r="K41" s="124"/>
      <c r="L41" s="199">
        <v>0</v>
      </c>
      <c r="M41" s="100"/>
      <c r="N41" s="26"/>
      <c r="O41" s="290" t="s">
        <v>82</v>
      </c>
      <c r="P41" s="287" t="s">
        <v>75</v>
      </c>
      <c r="Q41" s="292">
        <v>0</v>
      </c>
      <c r="R41" s="285">
        <f>IF(C42&gt;0,-C42,0)</f>
        <v>-384.91</v>
      </c>
    </row>
    <row r="42" spans="1:18" s="330" customFormat="1" ht="16.5" thickBot="1">
      <c r="A42" s="37"/>
      <c r="B42" s="35" t="s">
        <v>12</v>
      </c>
      <c r="C42" s="26">
        <f>SUM(D42:L42)</f>
        <v>384.91</v>
      </c>
      <c r="D42" s="124"/>
      <c r="E42" s="124"/>
      <c r="F42" s="124">
        <v>384.91</v>
      </c>
      <c r="G42" s="124"/>
      <c r="H42" s="124"/>
      <c r="I42" s="124"/>
      <c r="J42" s="124"/>
      <c r="K42" s="124"/>
      <c r="L42" s="201"/>
      <c r="M42" s="195">
        <v>3.2500000000000001E-2</v>
      </c>
      <c r="N42" s="26"/>
      <c r="O42" s="291" t="s">
        <v>83</v>
      </c>
      <c r="P42" s="289" t="s">
        <v>76</v>
      </c>
      <c r="Q42" s="84">
        <f>IF(-C42&gt;0,-C42,0)</f>
        <v>0</v>
      </c>
      <c r="R42" s="84">
        <f>IF(C42&gt;0,0,0)</f>
        <v>0</v>
      </c>
    </row>
    <row r="43" spans="1:18" s="330" customFormat="1" ht="16.5" thickBot="1">
      <c r="A43" s="71">
        <f>A37</f>
        <v>41333</v>
      </c>
      <c r="B43" s="26" t="s">
        <v>56</v>
      </c>
      <c r="C43" s="121">
        <f>SUM(C35:C42)</f>
        <v>256140.80471078985</v>
      </c>
      <c r="D43" s="121">
        <f>SUM(D35:D42)</f>
        <v>-648342.78387021227</v>
      </c>
      <c r="E43" s="121">
        <f>SUM(E35:E42)</f>
        <v>956690.13858100027</v>
      </c>
      <c r="F43" s="121">
        <f>SUM(F35:F42)</f>
        <v>-52206.55000000001</v>
      </c>
      <c r="G43" s="121">
        <f t="shared" ref="G43:K43" si="2">SUM(G32:G42)</f>
        <v>0</v>
      </c>
      <c r="H43" s="121">
        <f t="shared" si="2"/>
        <v>0</v>
      </c>
      <c r="I43" s="121">
        <f t="shared" si="2"/>
        <v>0</v>
      </c>
      <c r="J43" s="121">
        <f t="shared" si="2"/>
        <v>0</v>
      </c>
      <c r="K43" s="121">
        <f t="shared" si="2"/>
        <v>0</v>
      </c>
      <c r="L43" s="121">
        <f>SUM(L35:L42)</f>
        <v>0</v>
      </c>
      <c r="M43" s="33"/>
      <c r="N43" s="331"/>
      <c r="O43" s="331"/>
      <c r="P43" s="331"/>
      <c r="Q43" s="331"/>
      <c r="R43" s="286">
        <f>ROUND(SUM(Q38:R42),2)</f>
        <v>0</v>
      </c>
    </row>
    <row r="44" spans="1:18" s="330" customFormat="1" ht="16.5" thickTop="1" thickBot="1">
      <c r="A44" s="29"/>
      <c r="M44" s="28"/>
    </row>
    <row r="45" spans="1:18" s="330" customFormat="1" ht="16.5" thickBot="1">
      <c r="A45" s="34">
        <v>41364</v>
      </c>
      <c r="B45" s="35" t="s">
        <v>84</v>
      </c>
      <c r="C45" s="26">
        <f>SUM(D45:L45)</f>
        <v>-83754.106502999784</v>
      </c>
      <c r="D45" s="200">
        <v>311623.77906699944</v>
      </c>
      <c r="E45" s="200">
        <v>-395377.88556999923</v>
      </c>
      <c r="F45" s="124">
        <v>0</v>
      </c>
      <c r="G45" s="124"/>
      <c r="H45" s="124"/>
      <c r="I45" s="124"/>
      <c r="J45" s="332"/>
      <c r="K45" s="124"/>
      <c r="L45" s="124">
        <v>0</v>
      </c>
      <c r="M45" s="99"/>
      <c r="N45" s="26"/>
      <c r="O45" s="284" t="s">
        <v>106</v>
      </c>
      <c r="P45" s="63"/>
      <c r="Q45" s="63"/>
      <c r="R45" s="64"/>
    </row>
    <row r="46" spans="1:18" s="330" customFormat="1" ht="15.75">
      <c r="A46" s="34"/>
      <c r="B46" s="35" t="s">
        <v>148</v>
      </c>
      <c r="C46" s="26">
        <f>SUM(D46:F46)</f>
        <v>0</v>
      </c>
      <c r="D46" s="197"/>
      <c r="E46" s="197">
        <v>0</v>
      </c>
      <c r="F46" s="124"/>
      <c r="G46" s="124"/>
      <c r="H46" s="124"/>
      <c r="I46" s="124"/>
      <c r="J46" s="124"/>
      <c r="K46" s="124"/>
      <c r="L46" s="124"/>
      <c r="M46" s="99"/>
      <c r="N46" s="26"/>
      <c r="O46" s="295" t="s">
        <v>211</v>
      </c>
      <c r="P46" s="287" t="s">
        <v>27</v>
      </c>
      <c r="Q46" s="283">
        <v>0</v>
      </c>
      <c r="R46" s="285">
        <v>0</v>
      </c>
    </row>
    <row r="47" spans="1:18" s="330" customFormat="1" ht="15.75">
      <c r="A47" s="34"/>
      <c r="B47" s="19" t="s">
        <v>157</v>
      </c>
      <c r="C47" s="26">
        <f>SUM(D47:L47)</f>
        <v>0</v>
      </c>
      <c r="D47" s="198">
        <v>0</v>
      </c>
      <c r="E47" s="197"/>
      <c r="F47" s="124"/>
      <c r="G47" s="124"/>
      <c r="H47" s="124"/>
      <c r="I47" s="124"/>
      <c r="J47" s="124"/>
      <c r="K47" s="124"/>
      <c r="L47" s="124"/>
      <c r="M47" s="99"/>
      <c r="N47" s="26"/>
      <c r="O47" s="282" t="s">
        <v>79</v>
      </c>
      <c r="P47" s="287" t="s">
        <v>17</v>
      </c>
      <c r="Q47" s="283">
        <f>IF((-C43+C51)&gt;0,(-C43+C51),0)</f>
        <v>0</v>
      </c>
      <c r="R47" s="285">
        <f>IF((-C43+C51)&lt;0,(-C43+C51),0)</f>
        <v>-83173.806502999796</v>
      </c>
    </row>
    <row r="48" spans="1:18" s="330" customFormat="1" ht="15.75">
      <c r="A48" s="34"/>
      <c r="B48" s="35" t="s">
        <v>49</v>
      </c>
      <c r="C48" s="26">
        <f>SUM(D48:L48)</f>
        <v>0</v>
      </c>
      <c r="D48" s="124"/>
      <c r="E48" s="124"/>
      <c r="F48" s="124"/>
      <c r="G48" s="124"/>
      <c r="H48" s="124"/>
      <c r="I48" s="124"/>
      <c r="J48" s="124"/>
      <c r="K48" s="124"/>
      <c r="L48" s="199">
        <v>0</v>
      </c>
      <c r="M48" s="100"/>
      <c r="N48" s="26"/>
      <c r="O48" s="288" t="s">
        <v>80</v>
      </c>
      <c r="P48" s="287" t="s">
        <v>20</v>
      </c>
      <c r="Q48" s="80">
        <f>IF((C45+C46)&lt;0,(-C45-C46),0)</f>
        <v>83754.106502999784</v>
      </c>
      <c r="R48" s="285">
        <f>IF((C45+C46)&gt;0,(-C45-C46),0)</f>
        <v>0</v>
      </c>
    </row>
    <row r="49" spans="1:18" s="330" customFormat="1" ht="15.75">
      <c r="A49" s="34"/>
      <c r="B49" s="35" t="s">
        <v>144</v>
      </c>
      <c r="C49" s="26">
        <f>SUM(D49:L49)</f>
        <v>0</v>
      </c>
      <c r="D49" s="124"/>
      <c r="E49" s="124"/>
      <c r="F49" s="124"/>
      <c r="G49" s="124"/>
      <c r="H49" s="124"/>
      <c r="I49" s="124"/>
      <c r="J49" s="124"/>
      <c r="K49" s="124"/>
      <c r="L49" s="199">
        <v>0</v>
      </c>
      <c r="M49" s="100"/>
      <c r="N49" s="26"/>
      <c r="O49" s="290" t="s">
        <v>82</v>
      </c>
      <c r="P49" s="287" t="s">
        <v>75</v>
      </c>
      <c r="Q49" s="292">
        <v>0</v>
      </c>
      <c r="R49" s="285">
        <f>IF(C50&gt;0,-C50,0)</f>
        <v>-580.29999999999995</v>
      </c>
    </row>
    <row r="50" spans="1:18" s="330" customFormat="1" ht="16.5" thickBot="1">
      <c r="A50" s="37"/>
      <c r="B50" s="35" t="s">
        <v>12</v>
      </c>
      <c r="C50" s="26">
        <f>SUM(D50:L50)</f>
        <v>580.29999999999995</v>
      </c>
      <c r="D50" s="124"/>
      <c r="E50" s="124"/>
      <c r="F50" s="124">
        <v>580.29999999999995</v>
      </c>
      <c r="G50" s="124"/>
      <c r="H50" s="124"/>
      <c r="I50" s="124"/>
      <c r="J50" s="124"/>
      <c r="K50" s="124"/>
      <c r="L50" s="201"/>
      <c r="M50" s="195">
        <v>3.2500000000000001E-2</v>
      </c>
      <c r="N50" s="26"/>
      <c r="O50" s="291" t="s">
        <v>83</v>
      </c>
      <c r="P50" s="289" t="s">
        <v>76</v>
      </c>
      <c r="Q50" s="84">
        <f>IF(-C50&gt;0,-C50,0)</f>
        <v>0</v>
      </c>
      <c r="R50" s="84">
        <f>IF(C50&gt;0,0,0)</f>
        <v>0</v>
      </c>
    </row>
    <row r="51" spans="1:18" s="330" customFormat="1" ht="16.5" thickBot="1">
      <c r="A51" s="71">
        <f>A45</f>
        <v>41364</v>
      </c>
      <c r="B51" s="26" t="s">
        <v>56</v>
      </c>
      <c r="C51" s="121">
        <f>SUM(C43:C50)</f>
        <v>172966.99820779005</v>
      </c>
      <c r="D51" s="121">
        <f>SUM(D43:D50)</f>
        <v>-336719.00480321283</v>
      </c>
      <c r="E51" s="121">
        <f>SUM(E43:E50)</f>
        <v>561312.25301100104</v>
      </c>
      <c r="F51" s="121">
        <f>SUM(F43:F50)</f>
        <v>-51626.250000000007</v>
      </c>
      <c r="G51" s="121">
        <f t="shared" ref="G51:K51" si="3">SUM(G40:G50)</f>
        <v>0</v>
      </c>
      <c r="H51" s="121">
        <f t="shared" si="3"/>
        <v>0</v>
      </c>
      <c r="I51" s="121">
        <f t="shared" si="3"/>
        <v>0</v>
      </c>
      <c r="J51" s="121">
        <f t="shared" si="3"/>
        <v>0</v>
      </c>
      <c r="K51" s="121">
        <f t="shared" si="3"/>
        <v>0</v>
      </c>
      <c r="L51" s="121">
        <f>SUM(L43:L50)</f>
        <v>0</v>
      </c>
      <c r="M51" s="33"/>
      <c r="N51" s="331"/>
      <c r="O51" s="331"/>
      <c r="P51" s="331"/>
      <c r="Q51" s="331"/>
      <c r="R51" s="286">
        <f>ROUND(SUM(Q46:R50),2)</f>
        <v>0</v>
      </c>
    </row>
    <row r="52" spans="1:18" ht="16.5" thickTop="1" thickBot="1"/>
    <row r="53" spans="1:18" s="330" customFormat="1" ht="16.5" thickBot="1">
      <c r="A53" s="34">
        <v>41365</v>
      </c>
      <c r="B53" s="35" t="s">
        <v>84</v>
      </c>
      <c r="C53" s="26">
        <f>SUM(D53:L53)</f>
        <v>-160377.30866600084</v>
      </c>
      <c r="D53" s="200">
        <v>-294475.16016600048</v>
      </c>
      <c r="E53" s="200">
        <v>134097.85149999964</v>
      </c>
      <c r="F53" s="124">
        <v>0</v>
      </c>
      <c r="G53" s="124"/>
      <c r="H53" s="124"/>
      <c r="I53" s="124"/>
      <c r="J53" s="332"/>
      <c r="K53" s="124"/>
      <c r="L53" s="124">
        <v>0</v>
      </c>
      <c r="M53" s="99"/>
      <c r="N53" s="26"/>
      <c r="O53" s="284" t="s">
        <v>106</v>
      </c>
      <c r="P53" s="63"/>
      <c r="Q53" s="63"/>
      <c r="R53" s="64"/>
    </row>
    <row r="54" spans="1:18" s="330" customFormat="1" ht="15.75">
      <c r="A54" s="34"/>
      <c r="B54" s="35" t="s">
        <v>148</v>
      </c>
      <c r="C54" s="26">
        <f>SUM(D54:F54)</f>
        <v>0</v>
      </c>
      <c r="D54" s="197"/>
      <c r="E54" s="197">
        <v>0</v>
      </c>
      <c r="F54" s="124"/>
      <c r="G54" s="124"/>
      <c r="H54" s="124"/>
      <c r="I54" s="124"/>
      <c r="J54" s="124"/>
      <c r="K54" s="124"/>
      <c r="L54" s="124"/>
      <c r="M54" s="99"/>
      <c r="N54" s="26"/>
      <c r="O54" s="295" t="s">
        <v>211</v>
      </c>
      <c r="P54" s="287" t="s">
        <v>27</v>
      </c>
      <c r="Q54" s="283">
        <v>0</v>
      </c>
      <c r="R54" s="285">
        <v>0</v>
      </c>
    </row>
    <row r="55" spans="1:18" s="330" customFormat="1" ht="15.75">
      <c r="A55" s="34"/>
      <c r="B55" s="19" t="s">
        <v>157</v>
      </c>
      <c r="C55" s="26">
        <f>SUM(D55:L55)</f>
        <v>0</v>
      </c>
      <c r="D55" s="198">
        <v>0</v>
      </c>
      <c r="E55" s="197"/>
      <c r="F55" s="124"/>
      <c r="G55" s="124"/>
      <c r="H55" s="124"/>
      <c r="I55" s="124"/>
      <c r="J55" s="124"/>
      <c r="K55" s="124"/>
      <c r="L55" s="124"/>
      <c r="M55" s="99"/>
      <c r="N55" s="26"/>
      <c r="O55" s="282" t="s">
        <v>79</v>
      </c>
      <c r="P55" s="287" t="s">
        <v>17</v>
      </c>
      <c r="Q55" s="283">
        <f>IF((-C51+C59)&gt;0,(-C51+C59),0)</f>
        <v>0</v>
      </c>
      <c r="R55" s="285">
        <f>IF((-C51+C59)&lt;0,(-C51+C59),0)</f>
        <v>-160126.03866600085</v>
      </c>
    </row>
    <row r="56" spans="1:18" s="330" customFormat="1" ht="15.75">
      <c r="A56" s="34"/>
      <c r="B56" s="35" t="s">
        <v>49</v>
      </c>
      <c r="C56" s="26">
        <f>SUM(D56:L56)</f>
        <v>0</v>
      </c>
      <c r="D56" s="124"/>
      <c r="E56" s="124"/>
      <c r="F56" s="124"/>
      <c r="G56" s="124"/>
      <c r="H56" s="124"/>
      <c r="I56" s="124"/>
      <c r="J56" s="124"/>
      <c r="K56" s="124"/>
      <c r="L56" s="199">
        <v>0</v>
      </c>
      <c r="M56" s="100"/>
      <c r="N56" s="26"/>
      <c r="O56" s="288" t="s">
        <v>80</v>
      </c>
      <c r="P56" s="287" t="s">
        <v>20</v>
      </c>
      <c r="Q56" s="80">
        <f>IF((C53+C54)&lt;0,(-C53-C54),0)</f>
        <v>160377.30866600084</v>
      </c>
      <c r="R56" s="285">
        <f>IF((C53+C54)&gt;0,(-C53-C54),0)</f>
        <v>0</v>
      </c>
    </row>
    <row r="57" spans="1:18" s="330" customFormat="1" ht="15.75">
      <c r="A57" s="34"/>
      <c r="B57" s="35" t="s">
        <v>144</v>
      </c>
      <c r="C57" s="26">
        <f>SUM(D57:L57)</f>
        <v>0</v>
      </c>
      <c r="D57" s="124"/>
      <c r="E57" s="124"/>
      <c r="F57" s="124"/>
      <c r="G57" s="124"/>
      <c r="H57" s="124"/>
      <c r="I57" s="124"/>
      <c r="J57" s="124"/>
      <c r="K57" s="124"/>
      <c r="L57" s="199">
        <v>0</v>
      </c>
      <c r="M57" s="100"/>
      <c r="N57" s="26"/>
      <c r="O57" s="290" t="s">
        <v>82</v>
      </c>
      <c r="P57" s="287" t="s">
        <v>75</v>
      </c>
      <c r="Q57" s="292">
        <v>0</v>
      </c>
      <c r="R57" s="285">
        <f>IF(C58&gt;0,-C58,0)</f>
        <v>-251.27</v>
      </c>
    </row>
    <row r="58" spans="1:18" s="330" customFormat="1" ht="16.5" thickBot="1">
      <c r="A58" s="37"/>
      <c r="B58" s="35" t="s">
        <v>12</v>
      </c>
      <c r="C58" s="26">
        <f>SUM(D58:L58)</f>
        <v>251.27</v>
      </c>
      <c r="D58" s="124"/>
      <c r="E58" s="124"/>
      <c r="F58" s="124">
        <v>251.27</v>
      </c>
      <c r="G58" s="124"/>
      <c r="H58" s="124"/>
      <c r="I58" s="124"/>
      <c r="J58" s="124"/>
      <c r="K58" s="124"/>
      <c r="L58" s="201"/>
      <c r="M58" s="195">
        <v>3.2500000000000001E-2</v>
      </c>
      <c r="N58" s="26"/>
      <c r="O58" s="291" t="s">
        <v>83</v>
      </c>
      <c r="P58" s="289" t="s">
        <v>76</v>
      </c>
      <c r="Q58" s="84">
        <f>IF(-C58&gt;0,-C58,0)</f>
        <v>0</v>
      </c>
      <c r="R58" s="84">
        <f>IF(C58&gt;0,0,0)</f>
        <v>0</v>
      </c>
    </row>
    <row r="59" spans="1:18" s="330" customFormat="1" ht="16.5" thickBot="1">
      <c r="A59" s="71">
        <f>A53</f>
        <v>41365</v>
      </c>
      <c r="B59" s="26" t="s">
        <v>56</v>
      </c>
      <c r="C59" s="121">
        <f>SUM(C51:C58)</f>
        <v>12840.959541789209</v>
      </c>
      <c r="D59" s="121">
        <f>SUM(D51:D58)</f>
        <v>-631194.16496921331</v>
      </c>
      <c r="E59" s="121">
        <f>SUM(E51:E58)</f>
        <v>695410.10451100068</v>
      </c>
      <c r="F59" s="121">
        <f>SUM(F51:F58)</f>
        <v>-51374.98000000001</v>
      </c>
      <c r="G59" s="121">
        <f t="shared" ref="G59:K59" si="4">SUM(G48:G58)</f>
        <v>0</v>
      </c>
      <c r="H59" s="121">
        <f t="shared" si="4"/>
        <v>0</v>
      </c>
      <c r="I59" s="121">
        <f t="shared" si="4"/>
        <v>0</v>
      </c>
      <c r="J59" s="121">
        <f t="shared" si="4"/>
        <v>0</v>
      </c>
      <c r="K59" s="121">
        <f t="shared" si="4"/>
        <v>0</v>
      </c>
      <c r="L59" s="121">
        <f>SUM(L51:L58)</f>
        <v>0</v>
      </c>
      <c r="M59" s="33"/>
      <c r="N59" s="331"/>
      <c r="O59" s="331"/>
      <c r="P59" s="331"/>
      <c r="Q59" s="331"/>
      <c r="R59" s="286">
        <f>ROUND(SUM(Q54:R58),2)</f>
        <v>0</v>
      </c>
    </row>
    <row r="60" spans="1:18" s="330" customFormat="1" ht="16.5" thickTop="1" thickBot="1">
      <c r="A60" s="29"/>
      <c r="C60" s="331"/>
      <c r="M60" s="28"/>
    </row>
    <row r="61" spans="1:18" s="330" customFormat="1" ht="16.5" thickBot="1">
      <c r="A61" s="34">
        <v>41425</v>
      </c>
      <c r="B61" s="35" t="s">
        <v>84</v>
      </c>
      <c r="C61" s="26">
        <f>SUM(D61:L61)</f>
        <v>291085.24359799817</v>
      </c>
      <c r="D61" s="200">
        <v>-577860.59273000155</v>
      </c>
      <c r="E61" s="200">
        <v>868945.83632799971</v>
      </c>
      <c r="F61" s="124">
        <v>0</v>
      </c>
      <c r="G61" s="124"/>
      <c r="H61" s="124"/>
      <c r="I61" s="124"/>
      <c r="J61" s="332"/>
      <c r="K61" s="124"/>
      <c r="L61" s="124">
        <v>0</v>
      </c>
      <c r="M61" s="99"/>
      <c r="N61" s="26"/>
      <c r="O61" s="284" t="s">
        <v>106</v>
      </c>
      <c r="P61" s="63"/>
      <c r="Q61" s="63"/>
      <c r="R61" s="64"/>
    </row>
    <row r="62" spans="1:18" s="330" customFormat="1" ht="15.75">
      <c r="A62" s="34"/>
      <c r="B62" s="35" t="s">
        <v>148</v>
      </c>
      <c r="C62" s="26">
        <f>SUM(D62:F62)</f>
        <v>0</v>
      </c>
      <c r="D62" s="197"/>
      <c r="E62" s="197">
        <v>0</v>
      </c>
      <c r="F62" s="124"/>
      <c r="G62" s="124"/>
      <c r="H62" s="124"/>
      <c r="I62" s="124"/>
      <c r="J62" s="124"/>
      <c r="K62" s="124"/>
      <c r="L62" s="124"/>
      <c r="M62" s="99"/>
      <c r="N62" s="26"/>
      <c r="O62" s="295" t="s">
        <v>211</v>
      </c>
      <c r="P62" s="287" t="s">
        <v>27</v>
      </c>
      <c r="Q62" s="283">
        <v>0</v>
      </c>
      <c r="R62" s="285">
        <v>0</v>
      </c>
    </row>
    <row r="63" spans="1:18" s="330" customFormat="1" ht="15.75">
      <c r="A63" s="34"/>
      <c r="B63" s="19" t="s">
        <v>157</v>
      </c>
      <c r="C63" s="26">
        <f>SUM(D63:L63)</f>
        <v>0</v>
      </c>
      <c r="D63" s="198">
        <v>0</v>
      </c>
      <c r="E63" s="197"/>
      <c r="F63" s="124"/>
      <c r="G63" s="124"/>
      <c r="H63" s="124"/>
      <c r="I63" s="124"/>
      <c r="J63" s="124"/>
      <c r="K63" s="124"/>
      <c r="L63" s="124"/>
      <c r="M63" s="99"/>
      <c r="N63" s="26"/>
      <c r="O63" s="282" t="s">
        <v>79</v>
      </c>
      <c r="P63" s="287" t="s">
        <v>17</v>
      </c>
      <c r="Q63" s="283">
        <f>IF((-C59+C67)&gt;0,(-C59+C67),0)</f>
        <v>291514.20359799819</v>
      </c>
      <c r="R63" s="285">
        <f>IF((-C59+C67)&lt;0,(-C59+C67),0)</f>
        <v>0</v>
      </c>
    </row>
    <row r="64" spans="1:18" s="330" customFormat="1" ht="15.75">
      <c r="A64" s="34"/>
      <c r="B64" s="35" t="s">
        <v>49</v>
      </c>
      <c r="C64" s="26">
        <f>SUM(D64:L64)</f>
        <v>0</v>
      </c>
      <c r="D64" s="124"/>
      <c r="E64" s="124"/>
      <c r="F64" s="124"/>
      <c r="G64" s="124"/>
      <c r="H64" s="124"/>
      <c r="I64" s="124"/>
      <c r="J64" s="124"/>
      <c r="K64" s="124"/>
      <c r="L64" s="199">
        <v>0</v>
      </c>
      <c r="M64" s="100"/>
      <c r="N64" s="26"/>
      <c r="O64" s="288" t="s">
        <v>80</v>
      </c>
      <c r="P64" s="287" t="s">
        <v>20</v>
      </c>
      <c r="Q64" s="80">
        <f>IF((C61+C62)&lt;0,(-C61-C62),0)</f>
        <v>0</v>
      </c>
      <c r="R64" s="285">
        <f>IF((C61+C62)&gt;0,(-C61-C62),0)</f>
        <v>-291085.24359799817</v>
      </c>
    </row>
    <row r="65" spans="1:18" s="330" customFormat="1" ht="15.75">
      <c r="A65" s="34"/>
      <c r="B65" s="35" t="s">
        <v>144</v>
      </c>
      <c r="C65" s="26">
        <f>SUM(D65:L65)</f>
        <v>0</v>
      </c>
      <c r="D65" s="124"/>
      <c r="E65" s="124"/>
      <c r="F65" s="124"/>
      <c r="G65" s="124"/>
      <c r="H65" s="124"/>
      <c r="I65" s="124"/>
      <c r="J65" s="124"/>
      <c r="K65" s="124"/>
      <c r="L65" s="199">
        <v>0</v>
      </c>
      <c r="M65" s="100"/>
      <c r="N65" s="26"/>
      <c r="O65" s="290" t="s">
        <v>82</v>
      </c>
      <c r="P65" s="287" t="s">
        <v>75</v>
      </c>
      <c r="Q65" s="292">
        <v>0</v>
      </c>
      <c r="R65" s="285">
        <f>IF(C66&gt;0,-C66,0)</f>
        <v>-428.96</v>
      </c>
    </row>
    <row r="66" spans="1:18" s="330" customFormat="1" ht="16.5" thickBot="1">
      <c r="A66" s="37"/>
      <c r="B66" s="35" t="s">
        <v>12</v>
      </c>
      <c r="C66" s="26">
        <f>SUM(D66:L66)</f>
        <v>428.96</v>
      </c>
      <c r="D66" s="124"/>
      <c r="E66" s="124"/>
      <c r="F66" s="124">
        <v>428.96</v>
      </c>
      <c r="G66" s="124"/>
      <c r="H66" s="124"/>
      <c r="I66" s="124"/>
      <c r="J66" s="124"/>
      <c r="K66" s="124"/>
      <c r="L66" s="201"/>
      <c r="M66" s="195">
        <v>3.2500000000000001E-2</v>
      </c>
      <c r="N66" s="26"/>
      <c r="O66" s="291" t="s">
        <v>83</v>
      </c>
      <c r="P66" s="289" t="s">
        <v>76</v>
      </c>
      <c r="Q66" s="84">
        <f>IF(-C66&gt;0,-C66,0)</f>
        <v>0</v>
      </c>
      <c r="R66" s="84">
        <f>IF(C66&gt;0,0,0)</f>
        <v>0</v>
      </c>
    </row>
    <row r="67" spans="1:18" s="330" customFormat="1" ht="16.5" thickBot="1">
      <c r="A67" s="71">
        <f>A61</f>
        <v>41425</v>
      </c>
      <c r="B67" s="26" t="s">
        <v>56</v>
      </c>
      <c r="C67" s="121">
        <f>SUM(C59:C66)</f>
        <v>304355.16313978739</v>
      </c>
      <c r="D67" s="121">
        <f>SUM(D59:D66)</f>
        <v>-1209054.7576992149</v>
      </c>
      <c r="E67" s="121">
        <f>SUM(E59:E66)</f>
        <v>1564355.9408390005</v>
      </c>
      <c r="F67" s="121">
        <f>SUM(F59:F66)</f>
        <v>-50946.020000000011</v>
      </c>
      <c r="G67" s="121">
        <f t="shared" ref="G67:K67" si="5">SUM(G56:G66)</f>
        <v>0</v>
      </c>
      <c r="H67" s="121">
        <f t="shared" si="5"/>
        <v>0</v>
      </c>
      <c r="I67" s="121">
        <f t="shared" si="5"/>
        <v>0</v>
      </c>
      <c r="J67" s="121">
        <f t="shared" si="5"/>
        <v>0</v>
      </c>
      <c r="K67" s="121">
        <f t="shared" si="5"/>
        <v>0</v>
      </c>
      <c r="L67" s="121">
        <f>SUM(L59:L66)</f>
        <v>0</v>
      </c>
      <c r="M67" s="33"/>
      <c r="N67" s="331"/>
      <c r="O67" s="331"/>
      <c r="P67" s="331"/>
      <c r="Q67" s="331"/>
      <c r="R67" s="286">
        <f>ROUND(SUM(Q62:R66),2)</f>
        <v>0</v>
      </c>
    </row>
    <row r="68" spans="1:18" s="330" customFormat="1" ht="16.5" thickTop="1" thickBot="1">
      <c r="A68" s="29"/>
      <c r="C68" s="331"/>
      <c r="M68" s="28"/>
    </row>
    <row r="69" spans="1:18" s="330" customFormat="1" ht="16.5" thickBot="1">
      <c r="A69" s="34">
        <v>41426</v>
      </c>
      <c r="B69" s="35" t="s">
        <v>84</v>
      </c>
      <c r="C69" s="26">
        <f>SUM(D69:L69)</f>
        <v>839471.48552700132</v>
      </c>
      <c r="D69" s="200">
        <v>-173993.23901399877</v>
      </c>
      <c r="E69" s="200">
        <v>1013464.7245410001</v>
      </c>
      <c r="F69" s="124">
        <v>0</v>
      </c>
      <c r="G69" s="124"/>
      <c r="H69" s="124"/>
      <c r="I69" s="124"/>
      <c r="J69" s="332"/>
      <c r="K69" s="124"/>
      <c r="L69" s="124">
        <v>0</v>
      </c>
      <c r="M69" s="99"/>
      <c r="N69" s="26"/>
      <c r="O69" s="284" t="s">
        <v>106</v>
      </c>
      <c r="P69" s="63"/>
      <c r="Q69" s="63"/>
      <c r="R69" s="64"/>
    </row>
    <row r="70" spans="1:18" s="330" customFormat="1" ht="15.75">
      <c r="A70" s="34"/>
      <c r="B70" s="35" t="s">
        <v>148</v>
      </c>
      <c r="C70" s="26">
        <f>SUM(D70:F70)</f>
        <v>0</v>
      </c>
      <c r="D70" s="197"/>
      <c r="E70" s="197">
        <v>0</v>
      </c>
      <c r="F70" s="124"/>
      <c r="G70" s="124"/>
      <c r="H70" s="124"/>
      <c r="I70" s="124"/>
      <c r="J70" s="124"/>
      <c r="K70" s="124"/>
      <c r="L70" s="124"/>
      <c r="M70" s="99"/>
      <c r="N70" s="26"/>
      <c r="O70" s="295" t="s">
        <v>211</v>
      </c>
      <c r="P70" s="287" t="s">
        <v>27</v>
      </c>
      <c r="Q70" s="283">
        <v>0</v>
      </c>
      <c r="R70" s="285">
        <v>0</v>
      </c>
    </row>
    <row r="71" spans="1:18" s="330" customFormat="1" ht="15.75">
      <c r="A71" s="34"/>
      <c r="B71" s="19" t="s">
        <v>157</v>
      </c>
      <c r="C71" s="26">
        <f>SUM(D71:L71)</f>
        <v>0</v>
      </c>
      <c r="D71" s="198">
        <v>0</v>
      </c>
      <c r="E71" s="197"/>
      <c r="F71" s="124"/>
      <c r="G71" s="124"/>
      <c r="H71" s="124"/>
      <c r="I71" s="124"/>
      <c r="J71" s="124"/>
      <c r="K71" s="124"/>
      <c r="L71" s="124"/>
      <c r="M71" s="99"/>
      <c r="N71" s="26"/>
      <c r="O71" s="282" t="s">
        <v>79</v>
      </c>
      <c r="P71" s="287" t="s">
        <v>17</v>
      </c>
      <c r="Q71" s="283">
        <f>IF((-C67+C75)&gt;0,(-C67+C75),0)</f>
        <v>841432.56552700151</v>
      </c>
      <c r="R71" s="285">
        <f>IF((-C67+C75)&lt;0,(-C67+C75),0)</f>
        <v>0</v>
      </c>
    </row>
    <row r="72" spans="1:18" s="330" customFormat="1" ht="15.75">
      <c r="A72" s="34"/>
      <c r="B72" s="35" t="s">
        <v>49</v>
      </c>
      <c r="C72" s="26">
        <f>SUM(D72:L72)</f>
        <v>0</v>
      </c>
      <c r="D72" s="124"/>
      <c r="E72" s="124"/>
      <c r="F72" s="124"/>
      <c r="G72" s="124"/>
      <c r="H72" s="124"/>
      <c r="I72" s="124"/>
      <c r="J72" s="124"/>
      <c r="K72" s="124"/>
      <c r="L72" s="199">
        <v>0</v>
      </c>
      <c r="M72" s="100"/>
      <c r="N72" s="26"/>
      <c r="O72" s="288" t="s">
        <v>80</v>
      </c>
      <c r="P72" s="287" t="s">
        <v>20</v>
      </c>
      <c r="Q72" s="80">
        <f>IF((C69+C70)&lt;0,(-C69-C70),0)</f>
        <v>0</v>
      </c>
      <c r="R72" s="285">
        <f>IF((C69+C70)&gt;0,(-C69-C70),0)</f>
        <v>-839471.48552700132</v>
      </c>
    </row>
    <row r="73" spans="1:18" s="330" customFormat="1" ht="15.75">
      <c r="A73" s="34"/>
      <c r="B73" s="35" t="s">
        <v>144</v>
      </c>
      <c r="C73" s="26">
        <f>SUM(D73:L73)</f>
        <v>0</v>
      </c>
      <c r="D73" s="124"/>
      <c r="E73" s="124"/>
      <c r="F73" s="124"/>
      <c r="G73" s="124"/>
      <c r="H73" s="124"/>
      <c r="I73" s="124"/>
      <c r="J73" s="124"/>
      <c r="K73" s="124"/>
      <c r="L73" s="199">
        <v>0</v>
      </c>
      <c r="M73" s="100"/>
      <c r="N73" s="26"/>
      <c r="O73" s="290" t="s">
        <v>82</v>
      </c>
      <c r="P73" s="287" t="s">
        <v>75</v>
      </c>
      <c r="Q73" s="292">
        <v>0</v>
      </c>
      <c r="R73" s="285">
        <f>IF(C74&gt;0,-C74,0)</f>
        <v>-1961.08</v>
      </c>
    </row>
    <row r="74" spans="1:18" s="330" customFormat="1" ht="16.5" thickBot="1">
      <c r="A74" s="37"/>
      <c r="B74" s="35" t="s">
        <v>12</v>
      </c>
      <c r="C74" s="26">
        <f>SUM(D74:L74)</f>
        <v>1961.08</v>
      </c>
      <c r="D74" s="124"/>
      <c r="E74" s="124"/>
      <c r="F74" s="124">
        <v>1961.08</v>
      </c>
      <c r="G74" s="124"/>
      <c r="H74" s="124"/>
      <c r="I74" s="124"/>
      <c r="J74" s="124"/>
      <c r="K74" s="124"/>
      <c r="L74" s="201"/>
      <c r="M74" s="195">
        <v>3.2500000000000001E-2</v>
      </c>
      <c r="N74" s="26"/>
      <c r="O74" s="291" t="s">
        <v>83</v>
      </c>
      <c r="P74" s="289" t="s">
        <v>76</v>
      </c>
      <c r="Q74" s="84">
        <f>IF(-C74&gt;0,-C74,0)</f>
        <v>0</v>
      </c>
      <c r="R74" s="84">
        <f>IF(C74&gt;0,0,0)</f>
        <v>0</v>
      </c>
    </row>
    <row r="75" spans="1:18" s="330" customFormat="1" ht="16.5" thickBot="1">
      <c r="A75" s="71">
        <f>A69</f>
        <v>41426</v>
      </c>
      <c r="B75" s="26" t="s">
        <v>56</v>
      </c>
      <c r="C75" s="121">
        <f>SUM(C67:C74)</f>
        <v>1145787.7286667889</v>
      </c>
      <c r="D75" s="121">
        <f>SUM(D67:D74)</f>
        <v>-1383047.9967132136</v>
      </c>
      <c r="E75" s="121">
        <f>SUM(E67:E74)</f>
        <v>2577820.6653800006</v>
      </c>
      <c r="F75" s="121">
        <f>SUM(F67:F74)</f>
        <v>-48984.94000000001</v>
      </c>
      <c r="G75" s="121">
        <f t="shared" ref="G75:K75" si="6">SUM(G64:G74)</f>
        <v>0</v>
      </c>
      <c r="H75" s="121">
        <f t="shared" si="6"/>
        <v>0</v>
      </c>
      <c r="I75" s="121">
        <f t="shared" si="6"/>
        <v>0</v>
      </c>
      <c r="J75" s="121">
        <f t="shared" si="6"/>
        <v>0</v>
      </c>
      <c r="K75" s="121">
        <f t="shared" si="6"/>
        <v>0</v>
      </c>
      <c r="L75" s="121">
        <f>SUM(L67:L74)</f>
        <v>0</v>
      </c>
      <c r="M75" s="33"/>
      <c r="N75" s="331"/>
      <c r="O75" s="331"/>
      <c r="P75" s="331"/>
      <c r="Q75" s="331"/>
      <c r="R75" s="286">
        <f>ROUND(SUM(Q70:R74),2)</f>
        <v>0</v>
      </c>
    </row>
    <row r="76" spans="1:18" ht="16.5" thickTop="1" thickBot="1"/>
    <row r="77" spans="1:18" s="330" customFormat="1" ht="16.5" thickBot="1">
      <c r="A77" s="34">
        <v>41456</v>
      </c>
      <c r="B77" s="35" t="s">
        <v>84</v>
      </c>
      <c r="C77" s="26">
        <f>SUM(D77:L77)</f>
        <v>777094.91390700196</v>
      </c>
      <c r="D77" s="200">
        <v>-494523.11633399874</v>
      </c>
      <c r="E77" s="200">
        <v>1271618.0302410007</v>
      </c>
      <c r="F77" s="124">
        <v>0</v>
      </c>
      <c r="G77" s="124"/>
      <c r="H77" s="124"/>
      <c r="I77" s="124"/>
      <c r="J77" s="332"/>
      <c r="K77" s="124"/>
      <c r="L77" s="124">
        <v>0</v>
      </c>
      <c r="M77" s="99"/>
      <c r="N77" s="26"/>
      <c r="O77" s="284" t="s">
        <v>106</v>
      </c>
      <c r="P77" s="63"/>
      <c r="Q77" s="63"/>
      <c r="R77" s="64"/>
    </row>
    <row r="78" spans="1:18" s="330" customFormat="1" ht="15.75">
      <c r="A78" s="34"/>
      <c r="B78" s="35" t="s">
        <v>148</v>
      </c>
      <c r="C78" s="26">
        <f>SUM(D78:F78)</f>
        <v>0</v>
      </c>
      <c r="D78" s="197"/>
      <c r="E78" s="197">
        <v>0</v>
      </c>
      <c r="F78" s="124"/>
      <c r="G78" s="124"/>
      <c r="H78" s="124"/>
      <c r="I78" s="124"/>
      <c r="J78" s="124"/>
      <c r="K78" s="124"/>
      <c r="L78" s="124"/>
      <c r="M78" s="99"/>
      <c r="N78" s="26"/>
      <c r="O78" s="295" t="s">
        <v>211</v>
      </c>
      <c r="P78" s="287" t="s">
        <v>27</v>
      </c>
      <c r="Q78" s="283">
        <v>0</v>
      </c>
      <c r="R78" s="285">
        <v>0</v>
      </c>
    </row>
    <row r="79" spans="1:18" s="330" customFormat="1" ht="15.75">
      <c r="A79" s="34"/>
      <c r="B79" s="19" t="s">
        <v>157</v>
      </c>
      <c r="C79" s="26">
        <f>SUM(D79:L79)</f>
        <v>0</v>
      </c>
      <c r="D79" s="198">
        <v>0</v>
      </c>
      <c r="E79" s="197"/>
      <c r="F79" s="124"/>
      <c r="G79" s="124"/>
      <c r="H79" s="124"/>
      <c r="I79" s="124"/>
      <c r="J79" s="124"/>
      <c r="K79" s="124"/>
      <c r="L79" s="124"/>
      <c r="M79" s="99"/>
      <c r="N79" s="26"/>
      <c r="O79" s="282" t="s">
        <v>79</v>
      </c>
      <c r="P79" s="287" t="s">
        <v>17</v>
      </c>
      <c r="Q79" s="283">
        <f>IF((-C75+C83)&gt;0,(-C75+C83),0)</f>
        <v>781250.40390700195</v>
      </c>
      <c r="R79" s="285">
        <f>IF((-C75+C83)&lt;0,(-C75+C83),0)</f>
        <v>0</v>
      </c>
    </row>
    <row r="80" spans="1:18" s="330" customFormat="1" ht="15.75">
      <c r="A80" s="34"/>
      <c r="B80" s="35" t="s">
        <v>49</v>
      </c>
      <c r="C80" s="26">
        <f>SUM(D80:L80)</f>
        <v>0</v>
      </c>
      <c r="D80" s="124"/>
      <c r="E80" s="124"/>
      <c r="F80" s="124"/>
      <c r="G80" s="124"/>
      <c r="H80" s="124"/>
      <c r="I80" s="124"/>
      <c r="J80" s="124"/>
      <c r="K80" s="124"/>
      <c r="L80" s="199">
        <v>0</v>
      </c>
      <c r="M80" s="100"/>
      <c r="N80" s="26"/>
      <c r="O80" s="288" t="s">
        <v>80</v>
      </c>
      <c r="P80" s="287" t="s">
        <v>20</v>
      </c>
      <c r="Q80" s="80">
        <f>IF((C77+C78)&lt;0,(-C77-C78),0)</f>
        <v>0</v>
      </c>
      <c r="R80" s="285">
        <f>IF((C77+C78)&gt;0,(-C77-C78),0)</f>
        <v>-777094.91390700196</v>
      </c>
    </row>
    <row r="81" spans="1:18" s="330" customFormat="1" ht="15.75">
      <c r="A81" s="34"/>
      <c r="B81" s="35" t="s">
        <v>144</v>
      </c>
      <c r="C81" s="26">
        <f>SUM(D81:L81)</f>
        <v>0</v>
      </c>
      <c r="D81" s="124"/>
      <c r="E81" s="124"/>
      <c r="F81" s="124"/>
      <c r="G81" s="124"/>
      <c r="H81" s="124"/>
      <c r="I81" s="124"/>
      <c r="J81" s="124"/>
      <c r="K81" s="124"/>
      <c r="L81" s="199">
        <v>0</v>
      </c>
      <c r="M81" s="100"/>
      <c r="N81" s="26"/>
      <c r="O81" s="290" t="s">
        <v>82</v>
      </c>
      <c r="P81" s="287" t="s">
        <v>75</v>
      </c>
      <c r="Q81" s="292">
        <v>0</v>
      </c>
      <c r="R81" s="285">
        <f>IF(C82&gt;0,-C82,0)</f>
        <v>-4155.49</v>
      </c>
    </row>
    <row r="82" spans="1:18" s="330" customFormat="1" ht="16.5" thickBot="1">
      <c r="A82" s="37"/>
      <c r="B82" s="35" t="s">
        <v>12</v>
      </c>
      <c r="C82" s="26">
        <f>SUM(D82:L82)</f>
        <v>4155.49</v>
      </c>
      <c r="D82" s="124"/>
      <c r="E82" s="124"/>
      <c r="F82" s="124">
        <v>4155.49</v>
      </c>
      <c r="G82" s="124"/>
      <c r="H82" s="124"/>
      <c r="I82" s="124"/>
      <c r="J82" s="124"/>
      <c r="K82" s="124"/>
      <c r="L82" s="201"/>
      <c r="M82" s="195">
        <v>3.2500000000000001E-2</v>
      </c>
      <c r="N82" s="26"/>
      <c r="O82" s="291" t="s">
        <v>83</v>
      </c>
      <c r="P82" s="289" t="s">
        <v>76</v>
      </c>
      <c r="Q82" s="84">
        <f>IF(-C82&gt;0,-C82,0)</f>
        <v>0</v>
      </c>
      <c r="R82" s="84">
        <f>IF(C82&gt;0,0,0)</f>
        <v>0</v>
      </c>
    </row>
    <row r="83" spans="1:18" s="330" customFormat="1" ht="16.5" thickBot="1">
      <c r="A83" s="71">
        <f>A77</f>
        <v>41456</v>
      </c>
      <c r="B83" s="26" t="s">
        <v>56</v>
      </c>
      <c r="C83" s="121">
        <f>SUM(C75:C82)</f>
        <v>1927038.1325737908</v>
      </c>
      <c r="D83" s="121">
        <f>SUM(D75:D82)</f>
        <v>-1877571.1130472124</v>
      </c>
      <c r="E83" s="121">
        <f>SUM(E75:E82)</f>
        <v>3849438.6956210015</v>
      </c>
      <c r="F83" s="121">
        <f>SUM(F75:F82)</f>
        <v>-44829.450000000012</v>
      </c>
      <c r="G83" s="121">
        <f t="shared" ref="G83:K83" si="7">SUM(G72:G82)</f>
        <v>0</v>
      </c>
      <c r="H83" s="121">
        <f t="shared" si="7"/>
        <v>0</v>
      </c>
      <c r="I83" s="121">
        <f t="shared" si="7"/>
        <v>0</v>
      </c>
      <c r="J83" s="121">
        <f t="shared" si="7"/>
        <v>0</v>
      </c>
      <c r="K83" s="121">
        <f t="shared" si="7"/>
        <v>0</v>
      </c>
      <c r="L83" s="121">
        <f>SUM(L75:L82)</f>
        <v>0</v>
      </c>
      <c r="M83" s="33"/>
      <c r="N83" s="331"/>
      <c r="O83" s="331"/>
      <c r="P83" s="331"/>
      <c r="Q83" s="331"/>
      <c r="R83" s="286">
        <f>ROUND(SUM(Q78:R82),2)</f>
        <v>0</v>
      </c>
    </row>
    <row r="84" spans="1:18" ht="16.5" thickTop="1" thickBot="1"/>
    <row r="85" spans="1:18" s="330" customFormat="1" ht="16.5" thickBot="1">
      <c r="A85" s="34">
        <v>41487</v>
      </c>
      <c r="B85" s="35" t="s">
        <v>84</v>
      </c>
      <c r="C85" s="26">
        <f>SUM(D85:L85)</f>
        <v>564000.44398000068</v>
      </c>
      <c r="D85" s="200">
        <v>-646266.22842499963</v>
      </c>
      <c r="E85" s="200">
        <v>1210266.6724050003</v>
      </c>
      <c r="F85" s="124">
        <v>0</v>
      </c>
      <c r="G85" s="124"/>
      <c r="H85" s="124"/>
      <c r="I85" s="124"/>
      <c r="J85" s="332"/>
      <c r="K85" s="124"/>
      <c r="L85" s="124">
        <v>0</v>
      </c>
      <c r="M85" s="99"/>
      <c r="N85" s="26"/>
      <c r="O85" s="284" t="s">
        <v>106</v>
      </c>
      <c r="P85" s="63"/>
      <c r="Q85" s="63"/>
      <c r="R85" s="64"/>
    </row>
    <row r="86" spans="1:18" s="330" customFormat="1" ht="15.75">
      <c r="A86" s="34"/>
      <c r="B86" s="35" t="s">
        <v>148</v>
      </c>
      <c r="C86" s="26">
        <f>SUM(D86:F86)</f>
        <v>0</v>
      </c>
      <c r="D86" s="197"/>
      <c r="E86" s="197">
        <v>0</v>
      </c>
      <c r="F86" s="124"/>
      <c r="G86" s="124"/>
      <c r="H86" s="124"/>
      <c r="I86" s="124"/>
      <c r="J86" s="124"/>
      <c r="K86" s="124"/>
      <c r="L86" s="124"/>
      <c r="M86" s="99"/>
      <c r="N86" s="26"/>
      <c r="O86" s="295" t="s">
        <v>211</v>
      </c>
      <c r="P86" s="287" t="s">
        <v>27</v>
      </c>
      <c r="Q86" s="283">
        <v>0</v>
      </c>
      <c r="R86" s="285">
        <v>0</v>
      </c>
    </row>
    <row r="87" spans="1:18" s="330" customFormat="1" ht="15.75">
      <c r="A87" s="34"/>
      <c r="B87" s="19" t="s">
        <v>157</v>
      </c>
      <c r="C87" s="26">
        <f>SUM(D87:L87)</f>
        <v>0</v>
      </c>
      <c r="D87" s="198">
        <v>0</v>
      </c>
      <c r="E87" s="197"/>
      <c r="F87" s="124"/>
      <c r="G87" s="124"/>
      <c r="H87" s="124"/>
      <c r="I87" s="124"/>
      <c r="J87" s="124"/>
      <c r="K87" s="124"/>
      <c r="L87" s="124"/>
      <c r="M87" s="99"/>
      <c r="N87" s="26"/>
      <c r="O87" s="282" t="s">
        <v>79</v>
      </c>
      <c r="P87" s="287" t="s">
        <v>17</v>
      </c>
      <c r="Q87" s="283">
        <f>IF((-C83+C91)&gt;0,(-C83+C91),0)</f>
        <v>569983.25398000097</v>
      </c>
      <c r="R87" s="285">
        <f>IF((-C83+C91)&lt;0,(-C83+C91),0)</f>
        <v>0</v>
      </c>
    </row>
    <row r="88" spans="1:18" s="330" customFormat="1" ht="15.75">
      <c r="A88" s="34"/>
      <c r="B88" s="35" t="s">
        <v>49</v>
      </c>
      <c r="C88" s="26">
        <f>SUM(D88:L88)</f>
        <v>0</v>
      </c>
      <c r="D88" s="124"/>
      <c r="E88" s="124"/>
      <c r="F88" s="124"/>
      <c r="G88" s="124"/>
      <c r="H88" s="124"/>
      <c r="I88" s="124"/>
      <c r="J88" s="124"/>
      <c r="K88" s="124"/>
      <c r="L88" s="199">
        <v>0</v>
      </c>
      <c r="M88" s="100"/>
      <c r="N88" s="26"/>
      <c r="O88" s="288" t="s">
        <v>80</v>
      </c>
      <c r="P88" s="287" t="s">
        <v>20</v>
      </c>
      <c r="Q88" s="80">
        <f>IF((C85+C86)&lt;0,(-C85-C86),0)</f>
        <v>0</v>
      </c>
      <c r="R88" s="285">
        <f>IF((C85+C86)&gt;0,(-C85-C86),0)</f>
        <v>-564000.44398000068</v>
      </c>
    </row>
    <row r="89" spans="1:18" s="330" customFormat="1" ht="15.75">
      <c r="A89" s="34"/>
      <c r="B89" s="35" t="s">
        <v>144</v>
      </c>
      <c r="C89" s="26">
        <f>SUM(D89:L89)</f>
        <v>0</v>
      </c>
      <c r="D89" s="124"/>
      <c r="E89" s="124"/>
      <c r="F89" s="124"/>
      <c r="G89" s="124"/>
      <c r="H89" s="124"/>
      <c r="I89" s="124"/>
      <c r="J89" s="124"/>
      <c r="K89" s="124"/>
      <c r="L89" s="199">
        <v>0</v>
      </c>
      <c r="M89" s="100"/>
      <c r="N89" s="26"/>
      <c r="O89" s="290" t="s">
        <v>82</v>
      </c>
      <c r="P89" s="287" t="s">
        <v>75</v>
      </c>
      <c r="Q89" s="292">
        <v>0</v>
      </c>
      <c r="R89" s="285">
        <f>IF(C90&gt;0,-C90,0)</f>
        <v>-5982.81</v>
      </c>
    </row>
    <row r="90" spans="1:18" s="330" customFormat="1" ht="16.5" thickBot="1">
      <c r="A90" s="37"/>
      <c r="B90" s="35" t="s">
        <v>12</v>
      </c>
      <c r="C90" s="26">
        <f>SUM(D90:L90)</f>
        <v>5982.81</v>
      </c>
      <c r="D90" s="124"/>
      <c r="E90" s="124"/>
      <c r="F90" s="124">
        <v>5982.81</v>
      </c>
      <c r="G90" s="124"/>
      <c r="H90" s="124"/>
      <c r="I90" s="124"/>
      <c r="J90" s="124"/>
      <c r="K90" s="124"/>
      <c r="L90" s="201"/>
      <c r="M90" s="195">
        <v>3.2500000000000001E-2</v>
      </c>
      <c r="N90" s="26"/>
      <c r="O90" s="291" t="s">
        <v>83</v>
      </c>
      <c r="P90" s="289" t="s">
        <v>76</v>
      </c>
      <c r="Q90" s="84">
        <f>IF(-C90&gt;0,-C90,0)</f>
        <v>0</v>
      </c>
      <c r="R90" s="84">
        <f>IF(C90&gt;0,0,0)</f>
        <v>0</v>
      </c>
    </row>
    <row r="91" spans="1:18" s="330" customFormat="1" ht="16.5" thickBot="1">
      <c r="A91" s="71">
        <f>A85</f>
        <v>41487</v>
      </c>
      <c r="B91" s="26" t="s">
        <v>56</v>
      </c>
      <c r="C91" s="121">
        <f>SUM(C83:C90)</f>
        <v>2497021.3865537918</v>
      </c>
      <c r="D91" s="121">
        <f>SUM(D83:D90)</f>
        <v>-2523837.3414722122</v>
      </c>
      <c r="E91" s="121">
        <f>SUM(E83:E90)</f>
        <v>5059705.3680260014</v>
      </c>
      <c r="F91" s="121">
        <f>SUM(F83:F90)</f>
        <v>-38846.640000000014</v>
      </c>
      <c r="G91" s="121">
        <f t="shared" ref="G91:K91" si="8">SUM(G80:G90)</f>
        <v>0</v>
      </c>
      <c r="H91" s="121">
        <f t="shared" si="8"/>
        <v>0</v>
      </c>
      <c r="I91" s="121">
        <f t="shared" si="8"/>
        <v>0</v>
      </c>
      <c r="J91" s="121">
        <f t="shared" si="8"/>
        <v>0</v>
      </c>
      <c r="K91" s="121">
        <f t="shared" si="8"/>
        <v>0</v>
      </c>
      <c r="L91" s="121">
        <f>SUM(L83:L90)</f>
        <v>0</v>
      </c>
      <c r="M91" s="33"/>
      <c r="N91" s="331"/>
      <c r="O91" s="331"/>
      <c r="P91" s="331"/>
      <c r="Q91" s="331"/>
      <c r="R91" s="286">
        <f>ROUND(SUM(Q86:R90),2)</f>
        <v>0</v>
      </c>
    </row>
    <row r="92" spans="1:18" s="330" customFormat="1" ht="16.5" thickTop="1" thickBot="1">
      <c r="A92" s="29"/>
      <c r="M92" s="28"/>
    </row>
    <row r="93" spans="1:18" s="330" customFormat="1" ht="16.5" thickBot="1">
      <c r="A93" s="34">
        <v>41518</v>
      </c>
      <c r="B93" s="35" t="s">
        <v>84</v>
      </c>
      <c r="C93" s="26">
        <f>SUM(D93:L93)</f>
        <v>208713.47537599935</v>
      </c>
      <c r="D93" s="200">
        <v>-814688.68566800107</v>
      </c>
      <c r="E93" s="200">
        <v>1023402.1610440004</v>
      </c>
      <c r="F93" s="124">
        <v>0</v>
      </c>
      <c r="G93" s="124"/>
      <c r="H93" s="124"/>
      <c r="I93" s="124"/>
      <c r="J93" s="332"/>
      <c r="K93" s="124"/>
      <c r="L93" s="124">
        <v>0</v>
      </c>
      <c r="M93" s="99"/>
      <c r="N93" s="26"/>
      <c r="O93" s="284" t="s">
        <v>106</v>
      </c>
      <c r="P93" s="63"/>
      <c r="Q93" s="63"/>
      <c r="R93" s="64"/>
    </row>
    <row r="94" spans="1:18" s="330" customFormat="1" ht="15.75">
      <c r="A94" s="34"/>
      <c r="B94" s="35" t="s">
        <v>148</v>
      </c>
      <c r="C94" s="26">
        <f>SUM(D94:F94)</f>
        <v>0</v>
      </c>
      <c r="D94" s="197"/>
      <c r="E94" s="197">
        <v>0</v>
      </c>
      <c r="F94" s="124"/>
      <c r="G94" s="124"/>
      <c r="H94" s="124"/>
      <c r="I94" s="124"/>
      <c r="J94" s="124"/>
      <c r="K94" s="124"/>
      <c r="L94" s="124"/>
      <c r="M94" s="99"/>
      <c r="N94" s="26"/>
      <c r="O94" s="295" t="s">
        <v>211</v>
      </c>
      <c r="P94" s="287" t="s">
        <v>27</v>
      </c>
      <c r="Q94" s="283">
        <v>0</v>
      </c>
      <c r="R94" s="285">
        <v>0</v>
      </c>
    </row>
    <row r="95" spans="1:18" s="330" customFormat="1" ht="15.75">
      <c r="A95" s="34"/>
      <c r="B95" s="19" t="s">
        <v>157</v>
      </c>
      <c r="C95" s="26">
        <f>SUM(D95:L95)</f>
        <v>0</v>
      </c>
      <c r="D95" s="198">
        <v>0</v>
      </c>
      <c r="E95" s="197"/>
      <c r="F95" s="124"/>
      <c r="G95" s="124"/>
      <c r="H95" s="124"/>
      <c r="I95" s="124"/>
      <c r="J95" s="124"/>
      <c r="K95" s="124"/>
      <c r="L95" s="124"/>
      <c r="M95" s="99"/>
      <c r="N95" s="26"/>
      <c r="O95" s="282" t="s">
        <v>79</v>
      </c>
      <c r="P95" s="287" t="s">
        <v>17</v>
      </c>
      <c r="Q95" s="283">
        <f>IF((-C91+C99)&gt;0,(-C91+C99),0)</f>
        <v>215758.87537599914</v>
      </c>
      <c r="R95" s="285">
        <f>IF((-C91+C99)&lt;0,(-C91+C99),0)</f>
        <v>0</v>
      </c>
    </row>
    <row r="96" spans="1:18" s="330" customFormat="1" ht="15.75">
      <c r="A96" s="34"/>
      <c r="B96" s="35" t="s">
        <v>49</v>
      </c>
      <c r="C96" s="26">
        <f>SUM(D96:L96)</f>
        <v>0</v>
      </c>
      <c r="D96" s="124"/>
      <c r="E96" s="124"/>
      <c r="F96" s="124"/>
      <c r="G96" s="124"/>
      <c r="H96" s="124"/>
      <c r="I96" s="124"/>
      <c r="J96" s="124"/>
      <c r="K96" s="124"/>
      <c r="L96" s="199">
        <v>0</v>
      </c>
      <c r="M96" s="100"/>
      <c r="N96" s="26"/>
      <c r="O96" s="288" t="s">
        <v>80</v>
      </c>
      <c r="P96" s="287" t="s">
        <v>20</v>
      </c>
      <c r="Q96" s="80">
        <f>IF((C93+C94)&lt;0,(-C93-C94),0)</f>
        <v>0</v>
      </c>
      <c r="R96" s="285">
        <f>IF((C93+C94)&gt;0,(-C93-C94),0)</f>
        <v>-208713.47537599935</v>
      </c>
    </row>
    <row r="97" spans="1:18" s="330" customFormat="1" ht="15.75">
      <c r="A97" s="34"/>
      <c r="B97" s="35" t="s">
        <v>144</v>
      </c>
      <c r="C97" s="26">
        <f>SUM(D97:L97)</f>
        <v>0</v>
      </c>
      <c r="D97" s="124"/>
      <c r="E97" s="124"/>
      <c r="F97" s="124"/>
      <c r="G97" s="124"/>
      <c r="H97" s="124"/>
      <c r="I97" s="124"/>
      <c r="J97" s="124"/>
      <c r="K97" s="124"/>
      <c r="L97" s="199">
        <v>0</v>
      </c>
      <c r="M97" s="100"/>
      <c r="N97" s="26"/>
      <c r="O97" s="290" t="s">
        <v>82</v>
      </c>
      <c r="P97" s="287" t="s">
        <v>75</v>
      </c>
      <c r="Q97" s="292">
        <v>0</v>
      </c>
      <c r="R97" s="285">
        <f>IF(C98&gt;0,-C98,0)</f>
        <v>-7045.4</v>
      </c>
    </row>
    <row r="98" spans="1:18" s="330" customFormat="1" ht="16.5" thickBot="1">
      <c r="A98" s="37"/>
      <c r="B98" s="35" t="s">
        <v>12</v>
      </c>
      <c r="C98" s="26">
        <f>SUM(D98:L98)</f>
        <v>7045.4</v>
      </c>
      <c r="D98" s="124"/>
      <c r="E98" s="124"/>
      <c r="F98" s="124">
        <v>7045.4</v>
      </c>
      <c r="G98" s="124"/>
      <c r="H98" s="124"/>
      <c r="I98" s="124"/>
      <c r="J98" s="124"/>
      <c r="K98" s="124"/>
      <c r="L98" s="201"/>
      <c r="M98" s="195">
        <v>3.2500000000000001E-2</v>
      </c>
      <c r="N98" s="26"/>
      <c r="O98" s="291" t="s">
        <v>83</v>
      </c>
      <c r="P98" s="289" t="s">
        <v>76</v>
      </c>
      <c r="Q98" s="84">
        <f>IF(-C98&gt;0,-C98,0)</f>
        <v>0</v>
      </c>
      <c r="R98" s="84">
        <f>IF(C98&gt;0,0,0)</f>
        <v>0</v>
      </c>
    </row>
    <row r="99" spans="1:18" s="330" customFormat="1" ht="16.5" thickBot="1">
      <c r="A99" s="71">
        <f>A93</f>
        <v>41518</v>
      </c>
      <c r="B99" s="26" t="s">
        <v>56</v>
      </c>
      <c r="C99" s="121">
        <f>SUM(C91:C98)</f>
        <v>2712780.261929791</v>
      </c>
      <c r="D99" s="121">
        <f>SUM(D91:D98)</f>
        <v>-3338526.0271402132</v>
      </c>
      <c r="E99" s="121">
        <f>SUM(E91:E98)</f>
        <v>6083107.529070002</v>
      </c>
      <c r="F99" s="121">
        <f>SUM(F91:F98)</f>
        <v>-31801.240000000013</v>
      </c>
      <c r="G99" s="121">
        <f t="shared" ref="G99:K99" si="9">SUM(G88:G98)</f>
        <v>0</v>
      </c>
      <c r="H99" s="121">
        <f t="shared" si="9"/>
        <v>0</v>
      </c>
      <c r="I99" s="121">
        <f t="shared" si="9"/>
        <v>0</v>
      </c>
      <c r="J99" s="121">
        <f t="shared" si="9"/>
        <v>0</v>
      </c>
      <c r="K99" s="121">
        <f t="shared" si="9"/>
        <v>0</v>
      </c>
      <c r="L99" s="121">
        <f>SUM(L91:L98)</f>
        <v>0</v>
      </c>
      <c r="M99" s="33"/>
      <c r="N99" s="331"/>
      <c r="O99" s="331"/>
      <c r="P99" s="331"/>
      <c r="Q99" s="331"/>
      <c r="R99" s="286">
        <f>ROUND(SUM(Q94:R98),2)</f>
        <v>0</v>
      </c>
    </row>
    <row r="100" spans="1:18" ht="16.5" thickTop="1" thickBot="1"/>
    <row r="101" spans="1:18" s="330" customFormat="1" ht="16.5" thickBot="1">
      <c r="A101" s="34">
        <v>41578</v>
      </c>
      <c r="B101" s="35" t="s">
        <v>84</v>
      </c>
      <c r="C101" s="26">
        <f>SUM(D101:L101)</f>
        <v>-464484.39013699861</v>
      </c>
      <c r="D101" s="200">
        <v>-726195.13553999923</v>
      </c>
      <c r="E101" s="200">
        <v>261710.74540300062</v>
      </c>
      <c r="F101" s="124">
        <v>0</v>
      </c>
      <c r="G101" s="124"/>
      <c r="H101" s="124"/>
      <c r="I101" s="124"/>
      <c r="J101" s="332"/>
      <c r="K101" s="124"/>
      <c r="L101" s="124">
        <v>0</v>
      </c>
      <c r="M101" s="99"/>
      <c r="N101" s="26"/>
      <c r="O101" s="284" t="s">
        <v>106</v>
      </c>
      <c r="P101" s="63"/>
      <c r="Q101" s="63"/>
      <c r="R101" s="64"/>
    </row>
    <row r="102" spans="1:18" s="330" customFormat="1" ht="15.75">
      <c r="A102" s="34"/>
      <c r="B102" s="35" t="s">
        <v>148</v>
      </c>
      <c r="C102" s="26">
        <f>SUM(D102:F102)</f>
        <v>0</v>
      </c>
      <c r="D102" s="197"/>
      <c r="E102" s="197">
        <v>0</v>
      </c>
      <c r="F102" s="124"/>
      <c r="G102" s="124"/>
      <c r="H102" s="124"/>
      <c r="I102" s="124"/>
      <c r="J102" s="124"/>
      <c r="K102" s="124"/>
      <c r="L102" s="124"/>
      <c r="M102" s="99"/>
      <c r="N102" s="26"/>
      <c r="O102" s="295" t="s">
        <v>211</v>
      </c>
      <c r="P102" s="287" t="s">
        <v>27</v>
      </c>
      <c r="Q102" s="283">
        <v>0</v>
      </c>
      <c r="R102" s="285">
        <v>0</v>
      </c>
    </row>
    <row r="103" spans="1:18" s="330" customFormat="1" ht="15.75">
      <c r="A103" s="34"/>
      <c r="B103" s="19" t="s">
        <v>157</v>
      </c>
      <c r="C103" s="26">
        <f>SUM(D103:L103)</f>
        <v>0</v>
      </c>
      <c r="D103" s="198">
        <v>0</v>
      </c>
      <c r="E103" s="197"/>
      <c r="F103" s="124"/>
      <c r="G103" s="124"/>
      <c r="H103" s="124"/>
      <c r="I103" s="124"/>
      <c r="J103" s="124"/>
      <c r="K103" s="124"/>
      <c r="L103" s="124"/>
      <c r="M103" s="99"/>
      <c r="N103" s="26"/>
      <c r="O103" s="282" t="s">
        <v>79</v>
      </c>
      <c r="P103" s="287" t="s">
        <v>17</v>
      </c>
      <c r="Q103" s="283">
        <f>IF((-C99+C107)&gt;0,(-C99+C107),0)</f>
        <v>0</v>
      </c>
      <c r="R103" s="285">
        <f>IF((-C99+C107)&lt;0,(-C99+C107),0)</f>
        <v>-457766.2701369985</v>
      </c>
    </row>
    <row r="104" spans="1:18" s="330" customFormat="1" ht="15.75">
      <c r="A104" s="34"/>
      <c r="B104" s="35" t="s">
        <v>49</v>
      </c>
      <c r="C104" s="26">
        <f>SUM(D104:L104)</f>
        <v>0</v>
      </c>
      <c r="D104" s="124"/>
      <c r="E104" s="124"/>
      <c r="F104" s="124"/>
      <c r="G104" s="124"/>
      <c r="H104" s="124"/>
      <c r="I104" s="124"/>
      <c r="J104" s="124"/>
      <c r="K104" s="124"/>
      <c r="L104" s="199">
        <v>0</v>
      </c>
      <c r="M104" s="100"/>
      <c r="N104" s="26"/>
      <c r="O104" s="288" t="s">
        <v>80</v>
      </c>
      <c r="P104" s="287" t="s">
        <v>20</v>
      </c>
      <c r="Q104" s="80">
        <f>IF((C101+C102)&lt;0,(-C101-C102),0)</f>
        <v>464484.39013699861</v>
      </c>
      <c r="R104" s="285">
        <f>IF((C101+C102)&gt;0,(-C101-C102),0)</f>
        <v>0</v>
      </c>
    </row>
    <row r="105" spans="1:18" s="330" customFormat="1" ht="15.75">
      <c r="A105" s="34"/>
      <c r="B105" s="35" t="s">
        <v>144</v>
      </c>
      <c r="C105" s="26">
        <f>SUM(D105:L105)</f>
        <v>0</v>
      </c>
      <c r="D105" s="124"/>
      <c r="E105" s="124"/>
      <c r="F105" s="124"/>
      <c r="G105" s="124"/>
      <c r="H105" s="124"/>
      <c r="I105" s="124"/>
      <c r="J105" s="124"/>
      <c r="K105" s="124"/>
      <c r="L105" s="199">
        <v>0</v>
      </c>
      <c r="M105" s="100"/>
      <c r="N105" s="26"/>
      <c r="O105" s="290" t="s">
        <v>82</v>
      </c>
      <c r="P105" s="287" t="s">
        <v>75</v>
      </c>
      <c r="Q105" s="292">
        <v>0</v>
      </c>
      <c r="R105" s="285">
        <f>IF(C106&gt;0,-C106,0)</f>
        <v>-6718.12</v>
      </c>
    </row>
    <row r="106" spans="1:18" s="330" customFormat="1" ht="16.5" thickBot="1">
      <c r="A106" s="37"/>
      <c r="B106" s="35" t="s">
        <v>12</v>
      </c>
      <c r="C106" s="26">
        <f>SUM(D106:L106)</f>
        <v>6718.12</v>
      </c>
      <c r="D106" s="124"/>
      <c r="E106" s="124"/>
      <c r="F106" s="124">
        <v>6718.12</v>
      </c>
      <c r="G106" s="124"/>
      <c r="H106" s="124"/>
      <c r="I106" s="124"/>
      <c r="J106" s="124"/>
      <c r="K106" s="124"/>
      <c r="L106" s="201"/>
      <c r="M106" s="195">
        <v>3.2500000000000001E-2</v>
      </c>
      <c r="N106" s="26"/>
      <c r="O106" s="291" t="s">
        <v>83</v>
      </c>
      <c r="P106" s="289" t="s">
        <v>76</v>
      </c>
      <c r="Q106" s="84">
        <f>IF(-C106&gt;0,-C106,0)</f>
        <v>0</v>
      </c>
      <c r="R106" s="84">
        <f>IF(C106&gt;0,0,0)</f>
        <v>0</v>
      </c>
    </row>
    <row r="107" spans="1:18" s="330" customFormat="1" ht="16.5" thickBot="1">
      <c r="A107" s="71">
        <f>A101</f>
        <v>41578</v>
      </c>
      <c r="B107" s="26" t="s">
        <v>56</v>
      </c>
      <c r="C107" s="121">
        <f>SUM(C99:C106)</f>
        <v>2255013.9917927925</v>
      </c>
      <c r="D107" s="121">
        <f>SUM(D99:D106)</f>
        <v>-4064721.1626802124</v>
      </c>
      <c r="E107" s="121">
        <f>SUM(E99:E106)</f>
        <v>6344818.2744730022</v>
      </c>
      <c r="F107" s="121">
        <f>SUM(F99:F106)</f>
        <v>-25083.120000000014</v>
      </c>
      <c r="G107" s="121">
        <f t="shared" ref="G107:K107" si="10">SUM(G96:G106)</f>
        <v>0</v>
      </c>
      <c r="H107" s="121">
        <f t="shared" si="10"/>
        <v>0</v>
      </c>
      <c r="I107" s="121">
        <f t="shared" si="10"/>
        <v>0</v>
      </c>
      <c r="J107" s="121">
        <f t="shared" si="10"/>
        <v>0</v>
      </c>
      <c r="K107" s="121">
        <f t="shared" si="10"/>
        <v>0</v>
      </c>
      <c r="L107" s="121">
        <f>SUM(L99:L106)</f>
        <v>0</v>
      </c>
      <c r="M107" s="33"/>
      <c r="N107" s="331"/>
      <c r="O107" s="331"/>
      <c r="P107" s="331"/>
      <c r="Q107" s="331"/>
      <c r="R107" s="286">
        <f>ROUND(SUM(Q102:R106),2)</f>
        <v>0</v>
      </c>
    </row>
    <row r="108" spans="1:18" s="330" customFormat="1" ht="15.75" thickTop="1">
      <c r="A108" s="29"/>
      <c r="M108" s="28"/>
    </row>
    <row r="109" spans="1:18" s="330" customFormat="1" ht="15.75">
      <c r="A109" s="71">
        <v>41579</v>
      </c>
      <c r="B109" s="2" t="s">
        <v>229</v>
      </c>
      <c r="C109" s="26">
        <f>SUM(D109:L109)</f>
        <v>-1145801.7486667871</v>
      </c>
      <c r="D109" s="124">
        <f>-D75</f>
        <v>1383047.9967132136</v>
      </c>
      <c r="E109" s="124">
        <f>-E75</f>
        <v>-2577820.6653800006</v>
      </c>
      <c r="F109" s="124">
        <f>-F75-14.02</f>
        <v>48970.920000000013</v>
      </c>
      <c r="G109" s="124"/>
      <c r="H109" s="124"/>
      <c r="I109" s="124"/>
      <c r="J109" s="124"/>
      <c r="K109" s="124"/>
      <c r="L109" s="201"/>
      <c r="M109" s="28"/>
    </row>
    <row r="110" spans="1:18" s="330" customFormat="1" ht="16.5" thickBot="1">
      <c r="A110" s="71"/>
      <c r="B110" s="2" t="s">
        <v>232</v>
      </c>
      <c r="C110" s="121">
        <f>SUM(C107:C109)</f>
        <v>1109212.2431260054</v>
      </c>
      <c r="D110" s="121">
        <f>SUM(D107:D109)</f>
        <v>-2681673.1659669988</v>
      </c>
      <c r="E110" s="121">
        <f>SUM(E107:E109)</f>
        <v>3766997.6090930016</v>
      </c>
      <c r="F110" s="121">
        <f>SUM(F107:F109)</f>
        <v>23887.8</v>
      </c>
      <c r="G110" s="121"/>
      <c r="H110" s="121"/>
      <c r="I110" s="121"/>
      <c r="J110" s="121"/>
      <c r="K110" s="121"/>
      <c r="L110" s="121">
        <f>SUM(L107:L109)</f>
        <v>0</v>
      </c>
      <c r="M110" s="28"/>
    </row>
    <row r="111" spans="1:18" s="330" customFormat="1" ht="16.5" thickTop="1" thickBot="1">
      <c r="A111" s="29"/>
      <c r="M111" s="28"/>
    </row>
    <row r="112" spans="1:18" s="330" customFormat="1" ht="16.5" thickBot="1">
      <c r="A112" s="34">
        <f>EOMONTH(A101,1)</f>
        <v>41608</v>
      </c>
      <c r="B112" s="35" t="s">
        <v>84</v>
      </c>
      <c r="C112" s="26">
        <f>SUM(D112:L112)</f>
        <v>-1144165.7052559927</v>
      </c>
      <c r="D112" s="200">
        <v>-363626.86552299373</v>
      </c>
      <c r="E112" s="200">
        <v>-780538.83973299898</v>
      </c>
      <c r="F112" s="124">
        <v>0</v>
      </c>
      <c r="G112" s="124"/>
      <c r="H112" s="124"/>
      <c r="I112" s="124"/>
      <c r="J112" s="332"/>
      <c r="K112" s="124"/>
      <c r="L112" s="124">
        <v>0</v>
      </c>
      <c r="M112" s="99"/>
      <c r="N112" s="26"/>
      <c r="O112" s="284" t="s">
        <v>106</v>
      </c>
      <c r="P112" s="63"/>
      <c r="Q112" s="63"/>
      <c r="R112" s="64"/>
    </row>
    <row r="113" spans="1:18" s="330" customFormat="1" ht="15.75">
      <c r="A113" s="34"/>
      <c r="B113" s="35" t="s">
        <v>148</v>
      </c>
      <c r="C113" s="26">
        <f>SUM(D113:F113)</f>
        <v>0</v>
      </c>
      <c r="D113" s="197"/>
      <c r="E113" s="197">
        <v>0</v>
      </c>
      <c r="F113" s="124"/>
      <c r="G113" s="124"/>
      <c r="H113" s="124"/>
      <c r="I113" s="124"/>
      <c r="J113" s="124"/>
      <c r="K113" s="124"/>
      <c r="L113" s="124"/>
      <c r="M113" s="99"/>
      <c r="N113" s="26"/>
      <c r="O113" s="295" t="s">
        <v>231</v>
      </c>
      <c r="P113" s="287" t="s">
        <v>27</v>
      </c>
      <c r="Q113" s="283">
        <f>-C109</f>
        <v>1145801.7486667871</v>
      </c>
      <c r="R113" s="285">
        <v>0</v>
      </c>
    </row>
    <row r="114" spans="1:18" s="330" customFormat="1" ht="15.75">
      <c r="A114" s="34"/>
      <c r="B114" s="19" t="s">
        <v>157</v>
      </c>
      <c r="C114" s="26">
        <f>SUM(D114:L114)</f>
        <v>0</v>
      </c>
      <c r="D114" s="198">
        <v>0</v>
      </c>
      <c r="E114" s="197"/>
      <c r="F114" s="124"/>
      <c r="G114" s="124"/>
      <c r="H114" s="124"/>
      <c r="I114" s="124"/>
      <c r="J114" s="124"/>
      <c r="K114" s="124"/>
      <c r="L114" s="124"/>
      <c r="M114" s="99"/>
      <c r="N114" s="26"/>
      <c r="O114" s="282" t="s">
        <v>79</v>
      </c>
      <c r="P114" s="287" t="s">
        <v>17</v>
      </c>
      <c r="Q114" s="283">
        <f>IF((-C107+C118)&gt;0,(-C107+C118),0)</f>
        <v>0</v>
      </c>
      <c r="R114" s="285">
        <f>IF((-C107+C118)&lt;0,(-C107+C118),0)</f>
        <v>-2288512.7239227798</v>
      </c>
    </row>
    <row r="115" spans="1:18" s="330" customFormat="1" ht="15.75">
      <c r="A115" s="34"/>
      <c r="B115" s="35" t="s">
        <v>49</v>
      </c>
      <c r="C115" s="26">
        <f>SUM(D115:L115)</f>
        <v>0</v>
      </c>
      <c r="D115" s="124"/>
      <c r="E115" s="124"/>
      <c r="F115" s="124"/>
      <c r="G115" s="124"/>
      <c r="H115" s="124"/>
      <c r="I115" s="124"/>
      <c r="J115" s="124"/>
      <c r="K115" s="124"/>
      <c r="L115" s="199">
        <v>0</v>
      </c>
      <c r="M115" s="100"/>
      <c r="N115" s="26"/>
      <c r="O115" s="288" t="s">
        <v>80</v>
      </c>
      <c r="P115" s="287" t="s">
        <v>20</v>
      </c>
      <c r="Q115" s="80">
        <f>IF((C112+C113)&lt;0,(-C112-C113),0)</f>
        <v>1144165.7052559927</v>
      </c>
      <c r="R115" s="285">
        <f>IF((C112+C113)&gt;0,(-C112-C113),0)</f>
        <v>0</v>
      </c>
    </row>
    <row r="116" spans="1:18" s="330" customFormat="1" ht="15.75">
      <c r="A116" s="34"/>
      <c r="B116" s="35" t="s">
        <v>144</v>
      </c>
      <c r="C116" s="26">
        <f>SUM(D116:L116)</f>
        <v>0</v>
      </c>
      <c r="D116" s="124"/>
      <c r="E116" s="124"/>
      <c r="F116" s="124"/>
      <c r="G116" s="124"/>
      <c r="H116" s="124"/>
      <c r="I116" s="124"/>
      <c r="J116" s="124"/>
      <c r="K116" s="124"/>
      <c r="L116" s="199">
        <v>0</v>
      </c>
      <c r="M116" s="100"/>
      <c r="N116" s="26"/>
      <c r="O116" s="290" t="s">
        <v>82</v>
      </c>
      <c r="P116" s="287" t="s">
        <v>75</v>
      </c>
      <c r="Q116" s="292">
        <v>0</v>
      </c>
      <c r="R116" s="285">
        <f>IF(C117&gt;0,-C117,0)</f>
        <v>-1454.73</v>
      </c>
    </row>
    <row r="117" spans="1:18" s="330" customFormat="1" ht="16.5" thickBot="1">
      <c r="A117" s="37"/>
      <c r="B117" s="35" t="s">
        <v>12</v>
      </c>
      <c r="C117" s="26">
        <f>SUM(D117:L117)</f>
        <v>1454.73</v>
      </c>
      <c r="D117" s="124"/>
      <c r="E117" s="124"/>
      <c r="F117" s="124">
        <v>1454.73</v>
      </c>
      <c r="G117" s="124"/>
      <c r="H117" s="124"/>
      <c r="I117" s="124"/>
      <c r="J117" s="124"/>
      <c r="K117" s="124"/>
      <c r="L117" s="201"/>
      <c r="M117" s="195">
        <v>3.2500000000000001E-2</v>
      </c>
      <c r="N117" s="26"/>
      <c r="O117" s="291" t="s">
        <v>83</v>
      </c>
      <c r="P117" s="289" t="s">
        <v>76</v>
      </c>
      <c r="Q117" s="84">
        <f>IF(-C117&gt;0,-C117,0)</f>
        <v>0</v>
      </c>
      <c r="R117" s="84">
        <f>IF(C117&gt;0,0,0)</f>
        <v>0</v>
      </c>
    </row>
    <row r="118" spans="1:18" s="330" customFormat="1" ht="16.5" thickBot="1">
      <c r="A118" s="71">
        <f>A112</f>
        <v>41608</v>
      </c>
      <c r="B118" s="26" t="s">
        <v>56</v>
      </c>
      <c r="C118" s="121">
        <f>SUM(C110:C117)</f>
        <v>-33498.732129987307</v>
      </c>
      <c r="D118" s="121">
        <f>SUM(D110:D117)</f>
        <v>-3045300.0314899925</v>
      </c>
      <c r="E118" s="121">
        <f>SUM(E110:E117)</f>
        <v>2986458.7693600026</v>
      </c>
      <c r="F118" s="121">
        <f>SUM(F110:F117)</f>
        <v>25342.53</v>
      </c>
      <c r="G118" s="121">
        <f t="shared" ref="G118:K118" si="11">SUM(G104:G117)</f>
        <v>0</v>
      </c>
      <c r="H118" s="121">
        <f t="shared" si="11"/>
        <v>0</v>
      </c>
      <c r="I118" s="121">
        <f t="shared" si="11"/>
        <v>0</v>
      </c>
      <c r="J118" s="121">
        <f t="shared" si="11"/>
        <v>0</v>
      </c>
      <c r="K118" s="121">
        <f t="shared" si="11"/>
        <v>0</v>
      </c>
      <c r="L118" s="121">
        <f>SUM(L107:L117)</f>
        <v>0</v>
      </c>
      <c r="M118" s="33"/>
      <c r="N118" s="331"/>
      <c r="O118" s="331"/>
      <c r="P118" s="331"/>
      <c r="Q118" s="331"/>
      <c r="R118" s="286">
        <f>ROUND(SUM(Q113:R117),2)</f>
        <v>0</v>
      </c>
    </row>
    <row r="119" spans="1:18" s="330" customFormat="1" ht="16.5" thickTop="1" thickBot="1">
      <c r="A119" s="29"/>
      <c r="M119" s="28"/>
    </row>
    <row r="120" spans="1:18" s="330" customFormat="1" ht="16.5" thickBot="1">
      <c r="A120" s="34">
        <f>EOMONTH(A112,1)</f>
        <v>41639</v>
      </c>
      <c r="B120" s="35" t="s">
        <v>84</v>
      </c>
      <c r="C120" s="26">
        <f>SUM(D120:L120)</f>
        <v>-460587.0252219995</v>
      </c>
      <c r="D120" s="200">
        <f>Jan!$H$55</f>
        <v>873899.57711800188</v>
      </c>
      <c r="E120" s="200">
        <f>Jan!$I$55</f>
        <v>-1334486.6023400014</v>
      </c>
      <c r="F120" s="124">
        <v>0</v>
      </c>
      <c r="G120" s="124"/>
      <c r="H120" s="124"/>
      <c r="I120" s="124"/>
      <c r="J120" s="332"/>
      <c r="K120" s="124"/>
      <c r="L120" s="124">
        <v>0</v>
      </c>
      <c r="M120" s="99"/>
      <c r="N120" s="26"/>
      <c r="O120" s="284" t="s">
        <v>234</v>
      </c>
      <c r="P120" s="63"/>
      <c r="Q120" s="63"/>
      <c r="R120" s="64"/>
    </row>
    <row r="121" spans="1:18" s="330" customFormat="1" ht="15.75">
      <c r="A121" s="34"/>
      <c r="B121" s="35" t="s">
        <v>148</v>
      </c>
      <c r="C121" s="26">
        <f>SUM(D121:F121)</f>
        <v>0</v>
      </c>
      <c r="D121" s="197"/>
      <c r="E121" s="197">
        <v>0</v>
      </c>
      <c r="F121" s="124"/>
      <c r="G121" s="124"/>
      <c r="H121" s="124"/>
      <c r="I121" s="124"/>
      <c r="J121" s="124"/>
      <c r="K121" s="124"/>
      <c r="L121" s="124"/>
      <c r="M121" s="99"/>
      <c r="N121" s="26"/>
      <c r="O121" s="295" t="s">
        <v>231</v>
      </c>
      <c r="P121" s="287" t="s">
        <v>27</v>
      </c>
      <c r="Q121" s="283">
        <v>0</v>
      </c>
      <c r="R121" s="285">
        <v>0</v>
      </c>
    </row>
    <row r="122" spans="1:18" s="330" customFormat="1" ht="15.75">
      <c r="A122" s="34"/>
      <c r="B122" s="19" t="s">
        <v>157</v>
      </c>
      <c r="C122" s="26">
        <f>SUM(D122:L122)</f>
        <v>0</v>
      </c>
      <c r="D122" s="198">
        <v>0</v>
      </c>
      <c r="E122" s="197"/>
      <c r="F122" s="124"/>
      <c r="G122" s="124"/>
      <c r="H122" s="124"/>
      <c r="I122" s="124"/>
      <c r="J122" s="124"/>
      <c r="K122" s="124"/>
      <c r="L122" s="124"/>
      <c r="M122" s="99"/>
      <c r="N122" s="26"/>
      <c r="O122" s="282" t="s">
        <v>79</v>
      </c>
      <c r="P122" s="287" t="s">
        <v>17</v>
      </c>
      <c r="Q122" s="283">
        <f>IF((-C115+C126)&gt;0,(-C115+C126),0)</f>
        <v>0</v>
      </c>
      <c r="R122" s="285">
        <f>IF((-C118+C126)&lt;0,(-C118+C126),0)-C121</f>
        <v>-461301.4652219995</v>
      </c>
    </row>
    <row r="123" spans="1:18" s="330" customFormat="1" ht="15.75">
      <c r="A123" s="34"/>
      <c r="B123" s="35" t="s">
        <v>49</v>
      </c>
      <c r="C123" s="26">
        <f>SUM(D123:L123)</f>
        <v>0</v>
      </c>
      <c r="D123" s="124"/>
      <c r="E123" s="124"/>
      <c r="F123" s="124"/>
      <c r="G123" s="124"/>
      <c r="H123" s="124"/>
      <c r="I123" s="124"/>
      <c r="J123" s="124"/>
      <c r="K123" s="124"/>
      <c r="L123" s="199">
        <v>0</v>
      </c>
      <c r="M123" s="100"/>
      <c r="N123" s="26"/>
      <c r="O123" s="288" t="s">
        <v>80</v>
      </c>
      <c r="P123" s="287" t="s">
        <v>20</v>
      </c>
      <c r="Q123" s="80">
        <f>IF((C120)&lt;0,(-C120),0)</f>
        <v>460587.0252219995</v>
      </c>
      <c r="R123" s="285">
        <f>IF((C120+C121)&gt;0,(-C120-C121),0)</f>
        <v>0</v>
      </c>
    </row>
    <row r="124" spans="1:18" s="330" customFormat="1" ht="15.75">
      <c r="A124" s="34"/>
      <c r="B124" s="35" t="s">
        <v>144</v>
      </c>
      <c r="C124" s="26">
        <f>SUM(D124:L124)</f>
        <v>0</v>
      </c>
      <c r="D124" s="124"/>
      <c r="E124" s="124"/>
      <c r="F124" s="124"/>
      <c r="G124" s="124"/>
      <c r="H124" s="124"/>
      <c r="I124" s="124"/>
      <c r="J124" s="124"/>
      <c r="K124" s="124"/>
      <c r="L124" s="199">
        <v>0</v>
      </c>
      <c r="M124" s="100"/>
      <c r="N124" s="26"/>
      <c r="O124" s="290" t="s">
        <v>82</v>
      </c>
      <c r="P124" s="287" t="s">
        <v>75</v>
      </c>
      <c r="Q124" s="292">
        <v>0</v>
      </c>
      <c r="R124" s="285">
        <f>IF(C125&gt;0,-C125,0)</f>
        <v>0</v>
      </c>
    </row>
    <row r="125" spans="1:18" s="330" customFormat="1" ht="16.5" thickBot="1">
      <c r="A125" s="37"/>
      <c r="B125" s="35" t="s">
        <v>12</v>
      </c>
      <c r="C125" s="26">
        <f>SUM(D125:L125)</f>
        <v>-714.44</v>
      </c>
      <c r="D125" s="124"/>
      <c r="E125" s="124"/>
      <c r="F125" s="124">
        <f>ROUND(((C118)+(C120)/2)*(M125/12),2)</f>
        <v>-714.44</v>
      </c>
      <c r="G125" s="124"/>
      <c r="H125" s="124"/>
      <c r="I125" s="124"/>
      <c r="J125" s="124"/>
      <c r="K125" s="124"/>
      <c r="L125" s="201"/>
      <c r="M125" s="195">
        <v>3.2500000000000001E-2</v>
      </c>
      <c r="N125" s="26"/>
      <c r="O125" s="291" t="s">
        <v>83</v>
      </c>
      <c r="P125" s="289" t="s">
        <v>76</v>
      </c>
      <c r="Q125" s="84">
        <f>IF(-C125&gt;0,-C125,0)</f>
        <v>714.44</v>
      </c>
      <c r="R125" s="84">
        <f>IF(C125&gt;0,0,0)</f>
        <v>0</v>
      </c>
    </row>
    <row r="126" spans="1:18" s="330" customFormat="1" ht="16.5" thickBot="1">
      <c r="A126" s="71">
        <f>A120</f>
        <v>41639</v>
      </c>
      <c r="B126" s="26" t="s">
        <v>56</v>
      </c>
      <c r="C126" s="121">
        <f>SUM(C120:C125,C118)</f>
        <v>-494800.19735198683</v>
      </c>
      <c r="D126" s="121">
        <f>SUM(D120:D125,D118)</f>
        <v>-2171400.4543719906</v>
      </c>
      <c r="E126" s="121">
        <f>SUM(E120:E125,E118)</f>
        <v>1651972.1670200012</v>
      </c>
      <c r="F126" s="121">
        <f>SUM(F120:F125,F118)</f>
        <v>24628.09</v>
      </c>
      <c r="G126" s="121">
        <f t="shared" ref="G126:K126" si="12">SUM(G112:G125)</f>
        <v>0</v>
      </c>
      <c r="H126" s="121">
        <f t="shared" si="12"/>
        <v>0</v>
      </c>
      <c r="I126" s="121">
        <f t="shared" si="12"/>
        <v>0</v>
      </c>
      <c r="J126" s="121">
        <f t="shared" si="12"/>
        <v>0</v>
      </c>
      <c r="K126" s="121">
        <f t="shared" si="12"/>
        <v>0</v>
      </c>
      <c r="L126" s="121">
        <f>SUM(L120:L125,L118)</f>
        <v>0</v>
      </c>
      <c r="M126" s="33"/>
      <c r="N126" s="331"/>
      <c r="O126" s="331"/>
      <c r="P126" s="331"/>
      <c r="Q126" s="41"/>
      <c r="R126" s="286">
        <f>ROUND(SUM(Q121:R125),2)</f>
        <v>0</v>
      </c>
    </row>
    <row r="127" spans="1:18" ht="17.25" thickTop="1" thickBot="1">
      <c r="A127" s="109"/>
      <c r="B127" s="9" t="s">
        <v>246</v>
      </c>
      <c r="C127" s="1">
        <f>SUM(D127:L127)</f>
        <v>-1156793.8500000001</v>
      </c>
      <c r="D127" s="330"/>
      <c r="E127" s="330">
        <v>-1111877.48</v>
      </c>
      <c r="F127" s="330">
        <v>-44916.37</v>
      </c>
      <c r="G127" s="124"/>
      <c r="H127" s="124"/>
      <c r="I127" s="124"/>
      <c r="J127" s="332"/>
      <c r="K127" s="124"/>
      <c r="L127" s="124"/>
    </row>
    <row r="128" spans="1:18" ht="16.5" thickBot="1">
      <c r="B128" s="9" t="s">
        <v>240</v>
      </c>
      <c r="C128" s="415">
        <f>SUM(C126:C127)</f>
        <v>-1651594.0473519869</v>
      </c>
      <c r="D128" s="415">
        <f>SUM(D126:D127)</f>
        <v>-2171400.4543719906</v>
      </c>
      <c r="E128" s="415">
        <f>SUM(E126:E127)</f>
        <v>540094.68702000123</v>
      </c>
      <c r="F128" s="415">
        <f>SUM(F126:F127)</f>
        <v>-20288.280000000002</v>
      </c>
      <c r="G128" s="415"/>
      <c r="H128" s="415"/>
      <c r="I128" s="415"/>
      <c r="J128" s="415"/>
      <c r="K128" s="415"/>
      <c r="L128" s="415">
        <f>SUM(L126:L127)</f>
        <v>0</v>
      </c>
      <c r="O128" s="284" t="s">
        <v>235</v>
      </c>
      <c r="P128" s="63"/>
      <c r="Q128" s="63"/>
      <c r="R128" s="64"/>
    </row>
    <row r="129" spans="2:18" ht="15.75">
      <c r="B129" s="9" t="s">
        <v>241</v>
      </c>
      <c r="C129" s="1" t="e">
        <f>_xll.Get_Balance("201312","YTD","USD","Total","A","","001","191010","GD","WA","DL")</f>
        <v>#VALUE!</v>
      </c>
      <c r="D129" s="330"/>
      <c r="E129" s="330"/>
      <c r="F129" s="330"/>
      <c r="G129" s="330"/>
      <c r="H129" s="330"/>
      <c r="I129" s="330"/>
      <c r="J129" s="330"/>
      <c r="K129" s="330"/>
      <c r="L129" s="330"/>
      <c r="O129" s="295" t="s">
        <v>231</v>
      </c>
      <c r="P129" s="287" t="s">
        <v>27</v>
      </c>
      <c r="Q129" s="283">
        <v>0</v>
      </c>
      <c r="R129" s="285">
        <v>0</v>
      </c>
    </row>
    <row r="130" spans="2:18" ht="16.5" thickBot="1">
      <c r="B130" s="9" t="s">
        <v>242</v>
      </c>
      <c r="C130" s="121" t="e">
        <f>C128-C129</f>
        <v>#VALUE!</v>
      </c>
      <c r="D130" s="330"/>
      <c r="E130" s="330"/>
      <c r="F130" s="330"/>
      <c r="G130" s="330"/>
      <c r="H130" s="330"/>
      <c r="I130" s="330"/>
      <c r="J130" s="330"/>
      <c r="K130" s="330"/>
      <c r="L130" s="330"/>
      <c r="O130" s="282" t="s">
        <v>79</v>
      </c>
      <c r="P130" s="287" t="s">
        <v>17</v>
      </c>
      <c r="Q130" s="283">
        <f>IF((-C123+C134)&gt;0,(-C123+C134),0)</f>
        <v>0</v>
      </c>
      <c r="R130" s="285">
        <v>-4133742.32</v>
      </c>
    </row>
    <row r="131" spans="2:18" ht="15.75" thickTop="1">
      <c r="D131" s="330"/>
      <c r="E131" s="330"/>
      <c r="F131" s="330"/>
      <c r="G131" s="330"/>
      <c r="H131" s="330"/>
      <c r="I131" s="330"/>
      <c r="J131" s="330"/>
      <c r="K131" s="330"/>
      <c r="L131" s="330"/>
      <c r="O131" s="288" t="s">
        <v>80</v>
      </c>
      <c r="P131" s="287" t="s">
        <v>20</v>
      </c>
      <c r="Q131" s="80">
        <v>4128061.51</v>
      </c>
      <c r="R131" s="285" t="e">
        <f>IF((C128+C129)&gt;0,(-C128-C129),0)</f>
        <v>#VALUE!</v>
      </c>
    </row>
    <row r="132" spans="2:18">
      <c r="D132" s="330"/>
      <c r="E132" s="330"/>
      <c r="F132" s="330"/>
      <c r="G132" s="330"/>
      <c r="H132" s="330"/>
      <c r="I132" s="330"/>
      <c r="J132" s="330"/>
      <c r="K132" s="330"/>
      <c r="L132" s="330"/>
      <c r="O132" s="290" t="s">
        <v>82</v>
      </c>
      <c r="P132" s="287" t="s">
        <v>75</v>
      </c>
      <c r="Q132" s="292">
        <v>0</v>
      </c>
      <c r="R132" s="285">
        <f>IF(C133&gt;0,-C133,0)</f>
        <v>0</v>
      </c>
    </row>
    <row r="133" spans="2:18" ht="15.75" thickBot="1">
      <c r="O133" s="291" t="s">
        <v>83</v>
      </c>
      <c r="P133" s="289" t="s">
        <v>76</v>
      </c>
      <c r="Q133" s="84">
        <v>5680.81</v>
      </c>
      <c r="R133" s="84">
        <f>IF(C133&gt;0,0,0)</f>
        <v>0</v>
      </c>
    </row>
    <row r="134" spans="2:18">
      <c r="B134" s="330"/>
      <c r="C134" s="330"/>
      <c r="D134" s="330"/>
      <c r="E134" s="330"/>
      <c r="F134" s="330"/>
      <c r="G134" s="330"/>
      <c r="H134" s="330"/>
      <c r="I134" s="330"/>
      <c r="J134" s="330"/>
      <c r="K134" s="330"/>
      <c r="L134" s="330"/>
      <c r="O134" s="331"/>
      <c r="P134" s="331"/>
      <c r="Q134" s="41"/>
      <c r="R134" s="286" t="e">
        <f>ROUND(SUM(Q129:R133),2)</f>
        <v>#VALUE!</v>
      </c>
    </row>
    <row r="135" spans="2:18" ht="15.75" thickBot="1">
      <c r="B135" s="330"/>
      <c r="C135" s="330"/>
      <c r="D135" s="330"/>
      <c r="E135" s="330"/>
      <c r="F135" s="330"/>
      <c r="G135" s="330"/>
      <c r="H135" s="330"/>
      <c r="I135" s="330"/>
      <c r="J135" s="330"/>
      <c r="K135" s="330"/>
      <c r="L135" s="330"/>
    </row>
    <row r="136" spans="2:18" ht="15.75" thickBot="1">
      <c r="O136" s="284" t="s">
        <v>236</v>
      </c>
      <c r="P136" s="63"/>
      <c r="Q136" s="63"/>
      <c r="R136" s="64"/>
    </row>
    <row r="137" spans="2:18">
      <c r="O137" s="295" t="s">
        <v>231</v>
      </c>
      <c r="P137" s="287" t="s">
        <v>27</v>
      </c>
      <c r="Q137" s="283">
        <v>0</v>
      </c>
      <c r="R137" s="285">
        <v>0</v>
      </c>
    </row>
    <row r="138" spans="2:18">
      <c r="O138" s="282" t="s">
        <v>79</v>
      </c>
      <c r="P138" s="287" t="s">
        <v>17</v>
      </c>
      <c r="Q138" s="283">
        <f>R122-R130</f>
        <v>3672440.8547780002</v>
      </c>
      <c r="R138" s="285">
        <v>0</v>
      </c>
    </row>
    <row r="139" spans="2:18">
      <c r="O139" s="288" t="s">
        <v>80</v>
      </c>
      <c r="P139" s="287" t="s">
        <v>20</v>
      </c>
      <c r="Q139" s="80">
        <v>0</v>
      </c>
      <c r="R139" s="285">
        <f>Q123-Q131</f>
        <v>-3667474.484778</v>
      </c>
    </row>
    <row r="140" spans="2:18">
      <c r="O140" s="290" t="s">
        <v>82</v>
      </c>
      <c r="P140" s="287" t="s">
        <v>75</v>
      </c>
      <c r="Q140" s="292">
        <v>0</v>
      </c>
      <c r="R140" s="285">
        <f>IF(C141&gt;0,-C141,0)</f>
        <v>0</v>
      </c>
    </row>
    <row r="141" spans="2:18" ht="15.75" thickBot="1">
      <c r="O141" s="291" t="s">
        <v>83</v>
      </c>
      <c r="P141" s="289" t="s">
        <v>76</v>
      </c>
      <c r="Q141" s="84">
        <f>IF(-C141&gt;0,-C141,0)</f>
        <v>0</v>
      </c>
      <c r="R141" s="84">
        <f>Q125-Q133</f>
        <v>-4966.3700000000008</v>
      </c>
    </row>
    <row r="142" spans="2:18">
      <c r="O142" s="331"/>
      <c r="P142" s="331"/>
      <c r="Q142" s="41"/>
      <c r="R142" s="286">
        <f>ROUND(SUM(Q137:R141),2)</f>
        <v>0</v>
      </c>
    </row>
    <row r="1002" spans="3:3">
      <c r="C1002" s="1">
        <v>-2130</v>
      </c>
    </row>
    <row r="1010" spans="3:3">
      <c r="C1010" s="1">
        <f>7004298-2130</f>
        <v>7002168</v>
      </c>
    </row>
  </sheetData>
  <phoneticPr fontId="0" type="noConversion"/>
  <conditionalFormatting sqref="R19 R27 R43 R35 R51 R59 R67 R75 R83 R91 R99 R107 R118 R126">
    <cfRule type="cellIs" dxfId="115" priority="183" stopIfTrue="1" operator="equal">
      <formula>0</formula>
    </cfRule>
    <cfRule type="cellIs" dxfId="114" priority="184" stopIfTrue="1" operator="notEqual">
      <formula>0</formula>
    </cfRule>
  </conditionalFormatting>
  <conditionalFormatting sqref="R134">
    <cfRule type="cellIs" dxfId="113" priority="3" stopIfTrue="1" operator="equal">
      <formula>0</formula>
    </cfRule>
    <cfRule type="cellIs" dxfId="112" priority="4" stopIfTrue="1" operator="notEqual">
      <formula>0</formula>
    </cfRule>
  </conditionalFormatting>
  <conditionalFormatting sqref="R142">
    <cfRule type="cellIs" dxfId="111" priority="1" stopIfTrue="1" operator="equal">
      <formula>0</formula>
    </cfRule>
    <cfRule type="cellIs" dxfId="110" priority="2" stopIfTrue="1" operator="notEqual">
      <formula>0</formula>
    </cfRule>
  </conditionalFormatting>
  <printOptions gridLinesSet="0"/>
  <pageMargins left="0.18" right="0.18" top="0.5" bottom="0.55000000000000004" header="0.5" footer="0.5"/>
  <pageSetup scale="23" orientation="landscape" horizontalDpi="300" verticalDpi="300" r:id="rId1"/>
  <headerFooter alignWithMargins="0">
    <oddFooter>&amp;L&amp;F&amp;C&amp;A&amp;R&amp;D &amp;T</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4">
    <tabColor rgb="FFFFFF00"/>
    <pageSetUpPr fitToPage="1"/>
  </sheetPr>
  <dimension ref="A1:U1066"/>
  <sheetViews>
    <sheetView showGridLines="0" view="pageBreakPreview" zoomScaleNormal="100" zoomScaleSheetLayoutView="100" workbookViewId="0">
      <pane ySplit="7" topLeftCell="A126" activePane="bottomLeft" state="frozen"/>
      <selection activeCell="G51" sqref="G51:J55"/>
      <selection pane="bottomLeft" activeCell="A51" sqref="A51"/>
    </sheetView>
  </sheetViews>
  <sheetFormatPr defaultColWidth="9.7109375" defaultRowHeight="15"/>
  <cols>
    <col min="1" max="1" width="11.42578125" style="29" customWidth="1"/>
    <col min="2" max="2" width="40.140625" style="1" bestFit="1" customWidth="1"/>
    <col min="3" max="3" width="18.42578125" style="1" customWidth="1"/>
    <col min="4" max="4" width="19.140625" style="1" bestFit="1" customWidth="1"/>
    <col min="5" max="5" width="19.42578125" style="1" bestFit="1" customWidth="1"/>
    <col min="6" max="7" width="13.140625" style="1" customWidth="1"/>
    <col min="8" max="8" width="16.7109375" style="1" bestFit="1" customWidth="1"/>
    <col min="9" max="9" width="14.42578125" style="1" hidden="1" customWidth="1"/>
    <col min="10" max="10" width="13.28515625" style="1" hidden="1" customWidth="1"/>
    <col min="11" max="11" width="15.140625" style="1" hidden="1" customWidth="1"/>
    <col min="12" max="12" width="18.140625" style="1" hidden="1" customWidth="1"/>
    <col min="13" max="13" width="15.7109375" style="1" bestFit="1" customWidth="1"/>
    <col min="14" max="14" width="12.5703125" style="1" customWidth="1"/>
    <col min="15" max="15" width="11.28515625" style="1" customWidth="1"/>
    <col min="16" max="16" width="2.28515625" style="1" customWidth="1"/>
    <col min="17" max="17" width="26.85546875" style="1" customWidth="1"/>
    <col min="18" max="18" width="16.42578125" style="1" customWidth="1"/>
    <col min="19" max="19" width="17" style="1" customWidth="1"/>
    <col min="20" max="20" width="22.5703125" style="1" customWidth="1"/>
    <col min="21" max="16384" width="9.7109375" style="1"/>
  </cols>
  <sheetData>
    <row r="1" spans="1:21" ht="15.75">
      <c r="A1" s="27" t="s">
        <v>13</v>
      </c>
      <c r="M1" s="22"/>
    </row>
    <row r="2" spans="1:21" ht="15.75">
      <c r="A2" s="27" t="s">
        <v>46</v>
      </c>
    </row>
    <row r="3" spans="1:21" ht="15.75">
      <c r="A3" s="27" t="s">
        <v>47</v>
      </c>
    </row>
    <row r="4" spans="1:21" ht="15.75">
      <c r="A4" s="27" t="s">
        <v>104</v>
      </c>
    </row>
    <row r="5" spans="1:21">
      <c r="Q5" s="221"/>
      <c r="R5" s="5"/>
      <c r="S5" s="5"/>
      <c r="T5" s="5"/>
    </row>
    <row r="6" spans="1:21" s="31" customFormat="1" ht="15.75" customHeight="1">
      <c r="A6" s="30"/>
      <c r="C6" s="31" t="s">
        <v>21</v>
      </c>
      <c r="D6" s="31" t="s">
        <v>2</v>
      </c>
      <c r="E6" s="31" t="s">
        <v>3</v>
      </c>
      <c r="F6" s="31" t="s">
        <v>48</v>
      </c>
      <c r="G6" s="31" t="s">
        <v>144</v>
      </c>
      <c r="H6" s="31" t="s">
        <v>4</v>
      </c>
      <c r="I6" s="31" t="s">
        <v>5</v>
      </c>
      <c r="J6" s="31" t="s">
        <v>50</v>
      </c>
      <c r="K6" s="31" t="s">
        <v>51</v>
      </c>
      <c r="L6" s="31" t="s">
        <v>6</v>
      </c>
      <c r="M6" s="31" t="s">
        <v>52</v>
      </c>
      <c r="N6" s="31" t="s">
        <v>14</v>
      </c>
      <c r="O6" s="31" t="s">
        <v>85</v>
      </c>
    </row>
    <row r="7" spans="1:21" s="31" customFormat="1" ht="15.75" customHeight="1">
      <c r="A7" s="30"/>
      <c r="C7" s="31" t="s">
        <v>16</v>
      </c>
      <c r="D7" s="31" t="s">
        <v>7</v>
      </c>
      <c r="E7" s="31" t="s">
        <v>7</v>
      </c>
      <c r="F7" s="31" t="s">
        <v>7</v>
      </c>
      <c r="G7" s="31" t="s">
        <v>34</v>
      </c>
      <c r="I7" s="31" t="s">
        <v>8</v>
      </c>
      <c r="J7" s="31" t="s">
        <v>53</v>
      </c>
      <c r="K7" s="31" t="s">
        <v>54</v>
      </c>
      <c r="L7" s="31" t="s">
        <v>55</v>
      </c>
      <c r="M7" s="31" t="s">
        <v>7</v>
      </c>
      <c r="N7" s="31" t="s">
        <v>9</v>
      </c>
    </row>
    <row r="8" spans="1:21" s="279" customFormat="1" ht="16.5" thickBot="1">
      <c r="A8" s="72">
        <v>41153</v>
      </c>
      <c r="B8" s="26" t="s">
        <v>56</v>
      </c>
      <c r="C8" s="121">
        <v>-3561203.4705467741</v>
      </c>
      <c r="D8" s="121">
        <v>-3313366.0104997735</v>
      </c>
      <c r="E8" s="121">
        <v>-222352.0300469994</v>
      </c>
      <c r="F8" s="121">
        <v>0</v>
      </c>
      <c r="G8" s="121">
        <v>0</v>
      </c>
      <c r="H8" s="121">
        <v>-25485.43</v>
      </c>
      <c r="I8" s="121">
        <v>0</v>
      </c>
      <c r="J8" s="121">
        <v>0</v>
      </c>
      <c r="K8" s="121">
        <v>0</v>
      </c>
      <c r="L8" s="121">
        <v>0</v>
      </c>
      <c r="M8" s="121">
        <v>0</v>
      </c>
      <c r="N8" s="121">
        <v>0</v>
      </c>
      <c r="O8" s="26"/>
      <c r="P8" s="26"/>
      <c r="Q8" s="330"/>
      <c r="R8" s="330"/>
      <c r="S8" s="330"/>
      <c r="T8" s="330"/>
      <c r="U8" s="330"/>
    </row>
    <row r="9" spans="1:21" ht="15.75" thickTop="1">
      <c r="S9" s="330"/>
      <c r="T9" s="330"/>
      <c r="U9" s="330"/>
    </row>
    <row r="10" spans="1:21" s="165" customFormat="1" ht="15.75">
      <c r="A10" s="212"/>
      <c r="B10" s="124" t="s">
        <v>205</v>
      </c>
      <c r="C10" s="180">
        <v>1550000</v>
      </c>
      <c r="D10" s="180">
        <f>887740.8-((887740.8/1550000)*H10)</f>
        <v>883736.20005990437</v>
      </c>
      <c r="E10" s="180">
        <f>662259.2-((662259.2/1550000)*H10)</f>
        <v>659271.7478600872</v>
      </c>
      <c r="F10" s="180"/>
      <c r="G10" s="180"/>
      <c r="H10" s="180">
        <f>16564.81*(C10/(C10+C11))</f>
        <v>6992.0520800084523</v>
      </c>
      <c r="I10" s="180"/>
      <c r="J10" s="180"/>
      <c r="K10" s="180"/>
      <c r="L10" s="180"/>
      <c r="M10" s="180"/>
      <c r="N10" s="180"/>
      <c r="T10" s="213"/>
    </row>
    <row r="11" spans="1:21" s="165" customFormat="1" ht="15.75">
      <c r="A11" s="212"/>
      <c r="B11" s="124" t="s">
        <v>206</v>
      </c>
      <c r="C11" s="180">
        <v>2122091.5699999998</v>
      </c>
      <c r="D11" s="180">
        <f>1215398.23-((1215398.23/2122091.57)*H11)</f>
        <v>1209915.5669534774</v>
      </c>
      <c r="E11" s="180">
        <f>906693.34-((906693.34/2122091.57)*H11)</f>
        <v>902603.24512653111</v>
      </c>
      <c r="F11" s="180"/>
      <c r="G11" s="180"/>
      <c r="H11" s="332">
        <f>16564.81*(C11/(C10+C11))</f>
        <v>9572.757919991549</v>
      </c>
      <c r="I11" s="180"/>
      <c r="J11" s="180"/>
      <c r="K11" s="180"/>
      <c r="L11" s="180"/>
      <c r="M11" s="180"/>
      <c r="N11" s="180"/>
      <c r="T11" s="213"/>
    </row>
    <row r="12" spans="1:21" s="165" customFormat="1" ht="16.5" thickBot="1">
      <c r="A12" s="212"/>
      <c r="B12" s="124" t="s">
        <v>204</v>
      </c>
      <c r="C12" s="334">
        <f t="shared" ref="C12:H12" si="0">SUM(C8:C11)</f>
        <v>110888.09945322573</v>
      </c>
      <c r="D12" s="214">
        <f t="shared" si="0"/>
        <v>-1219714.2434863918</v>
      </c>
      <c r="E12" s="334">
        <f t="shared" si="0"/>
        <v>1339522.9629396189</v>
      </c>
      <c r="F12" s="334">
        <f t="shared" si="0"/>
        <v>0</v>
      </c>
      <c r="G12" s="334">
        <f t="shared" si="0"/>
        <v>0</v>
      </c>
      <c r="H12" s="334">
        <f t="shared" si="0"/>
        <v>-8920.619999999999</v>
      </c>
      <c r="I12" s="214">
        <v>0</v>
      </c>
      <c r="J12" s="214">
        <v>0</v>
      </c>
      <c r="K12" s="214">
        <v>0</v>
      </c>
      <c r="L12" s="214">
        <v>0</v>
      </c>
      <c r="M12" s="334">
        <f>SUM(M8:M11)</f>
        <v>0</v>
      </c>
      <c r="N12" s="334">
        <f>SUM(N8:N11)</f>
        <v>0</v>
      </c>
      <c r="T12" s="213"/>
    </row>
    <row r="13" spans="1:21" s="279" customFormat="1" ht="15.75" thickTop="1">
      <c r="A13" s="29"/>
      <c r="T13" s="330"/>
    </row>
    <row r="14" spans="1:21" s="279" customFormat="1" ht="15.75" thickBot="1">
      <c r="A14" s="29"/>
      <c r="T14" s="330"/>
    </row>
    <row r="15" spans="1:21" s="279" customFormat="1" ht="16.5" thickBot="1">
      <c r="A15" s="34"/>
      <c r="Q15" s="284" t="s">
        <v>107</v>
      </c>
      <c r="R15" s="280"/>
      <c r="S15" s="280"/>
      <c r="T15" s="187"/>
    </row>
    <row r="16" spans="1:21" s="279" customFormat="1" ht="15.75">
      <c r="A16" s="34">
        <v>41213</v>
      </c>
      <c r="B16" s="35" t="s">
        <v>84</v>
      </c>
      <c r="C16" s="26">
        <f>SUM(D16:N16)</f>
        <v>114978.85263290035</v>
      </c>
      <c r="D16" s="197">
        <v>-28954.004801100353</v>
      </c>
      <c r="E16" s="197">
        <v>143932.8574340007</v>
      </c>
      <c r="F16" s="198">
        <v>0</v>
      </c>
      <c r="G16" s="198">
        <v>0</v>
      </c>
      <c r="H16" s="26">
        <v>0</v>
      </c>
      <c r="I16" s="26"/>
      <c r="J16" s="26"/>
      <c r="K16" s="26"/>
      <c r="L16" s="26"/>
      <c r="M16" s="26"/>
      <c r="N16" s="26">
        <v>0</v>
      </c>
      <c r="O16" s="74"/>
      <c r="P16" s="26"/>
      <c r="Q16" s="293" t="s">
        <v>81</v>
      </c>
      <c r="R16" s="294" t="s">
        <v>58</v>
      </c>
      <c r="S16" s="80">
        <f>C10+C11+C16+C19+C17</f>
        <v>3781223.9826329001</v>
      </c>
      <c r="T16" s="85">
        <f>IF((-C12+C20)&lt;0,(-C8+C20),0)</f>
        <v>0</v>
      </c>
    </row>
    <row r="17" spans="1:20" s="279" customFormat="1" ht="15.75">
      <c r="A17" s="38"/>
      <c r="B17" s="35" t="s">
        <v>148</v>
      </c>
      <c r="C17" s="26">
        <f>SUM(D17:N17)</f>
        <v>-5986.75</v>
      </c>
      <c r="D17" s="198">
        <v>-5986.75</v>
      </c>
      <c r="E17" s="198">
        <v>0</v>
      </c>
      <c r="F17" s="198"/>
      <c r="G17" s="199"/>
      <c r="H17" s="36"/>
      <c r="I17" s="26"/>
      <c r="J17" s="57"/>
      <c r="K17" s="57"/>
      <c r="L17" s="26"/>
      <c r="M17" s="26"/>
      <c r="N17" s="26"/>
      <c r="O17" s="74"/>
      <c r="P17" s="26"/>
      <c r="Q17" s="295" t="s">
        <v>11</v>
      </c>
      <c r="R17" s="296" t="s">
        <v>62</v>
      </c>
      <c r="S17" s="80">
        <v>0</v>
      </c>
      <c r="T17" s="186">
        <f>-C11</f>
        <v>-2122091.5699999998</v>
      </c>
    </row>
    <row r="18" spans="1:20" s="279" customFormat="1" ht="15.75">
      <c r="A18" s="38"/>
      <c r="B18" s="35" t="s">
        <v>144</v>
      </c>
      <c r="C18" s="26">
        <f>SUM(D18:N18)</f>
        <v>0</v>
      </c>
      <c r="D18" s="124">
        <v>0</v>
      </c>
      <c r="E18" s="124"/>
      <c r="F18" s="124"/>
      <c r="G18" s="198">
        <v>0</v>
      </c>
      <c r="H18" s="73"/>
      <c r="I18" s="26"/>
      <c r="J18" s="57"/>
      <c r="K18" s="26"/>
      <c r="L18" s="26"/>
      <c r="M18" s="26"/>
      <c r="N18" s="26"/>
      <c r="O18" s="74"/>
      <c r="P18" s="26"/>
      <c r="Q18" s="295" t="s">
        <v>11</v>
      </c>
      <c r="R18" s="296" t="s">
        <v>207</v>
      </c>
      <c r="S18" s="80">
        <v>0</v>
      </c>
      <c r="T18" s="186">
        <f>-C10</f>
        <v>-1550000</v>
      </c>
    </row>
    <row r="19" spans="1:20" s="279" customFormat="1" ht="15.75">
      <c r="A19" s="38"/>
      <c r="B19" s="35" t="s">
        <v>57</v>
      </c>
      <c r="C19" s="39">
        <f>SUM(D19:N19)</f>
        <v>140.31</v>
      </c>
      <c r="D19" s="39"/>
      <c r="E19" s="39"/>
      <c r="F19" s="39"/>
      <c r="G19" s="39"/>
      <c r="H19" s="39">
        <v>140.31</v>
      </c>
      <c r="I19" s="39"/>
      <c r="J19" s="39"/>
      <c r="K19" s="39"/>
      <c r="L19" s="39"/>
      <c r="M19" s="39"/>
      <c r="N19" s="39"/>
      <c r="O19" s="68">
        <v>0.01</v>
      </c>
      <c r="P19" s="26"/>
      <c r="Q19" s="288" t="s">
        <v>80</v>
      </c>
      <c r="R19" s="287" t="s">
        <v>59</v>
      </c>
      <c r="S19" s="58">
        <f>IF((-C16-C17-C18)&gt;0,(-C16-C17-C18),0)</f>
        <v>0</v>
      </c>
      <c r="T19" s="59">
        <f>IF((-C16-C17-C18)&lt;0,(-C16-C17-C18),0)</f>
        <v>-108992.10263290035</v>
      </c>
    </row>
    <row r="20" spans="1:20" s="279" customFormat="1" ht="16.5" thickBot="1">
      <c r="A20" s="72">
        <f>A16</f>
        <v>41213</v>
      </c>
      <c r="B20" s="26" t="s">
        <v>56</v>
      </c>
      <c r="C20" s="121">
        <f>SUM(C12:C19)</f>
        <v>220020.51208612608</v>
      </c>
      <c r="D20" s="121">
        <f>SUM(D12:D19)</f>
        <v>-1254654.9982874922</v>
      </c>
      <c r="E20" s="121">
        <f>SUM(E12:E19)</f>
        <v>1483455.8203736194</v>
      </c>
      <c r="F20" s="121">
        <f t="shared" ref="F20:G20" si="1">SUM(F12:F19)</f>
        <v>0</v>
      </c>
      <c r="G20" s="121">
        <f t="shared" si="1"/>
        <v>0</v>
      </c>
      <c r="H20" s="121">
        <f>SUM(H12:H19)</f>
        <v>-8780.31</v>
      </c>
      <c r="I20" s="121">
        <f>SUM(I8:I19)</f>
        <v>0</v>
      </c>
      <c r="J20" s="121">
        <f>SUM(J8:J19)</f>
        <v>0</v>
      </c>
      <c r="K20" s="121">
        <f>SUM(K8:K19)</f>
        <v>0</v>
      </c>
      <c r="L20" s="121">
        <f>SUM(L8:L19)</f>
        <v>0</v>
      </c>
      <c r="M20" s="121">
        <f>SUM(M12:M19)</f>
        <v>0</v>
      </c>
      <c r="N20" s="121">
        <f>SUM(N12:N19)</f>
        <v>0</v>
      </c>
      <c r="O20" s="26"/>
      <c r="P20" s="26"/>
      <c r="Q20" s="290" t="s">
        <v>154</v>
      </c>
      <c r="R20" s="287" t="s">
        <v>77</v>
      </c>
      <c r="S20" s="58">
        <f>IF(C19&lt;0,C19,0)</f>
        <v>0</v>
      </c>
      <c r="T20" s="59">
        <f>IF(-C19&lt;0,-C19,0)</f>
        <v>-140.31</v>
      </c>
    </row>
    <row r="21" spans="1:20" s="279" customFormat="1" ht="16.5" thickTop="1" thickBot="1">
      <c r="A21" s="29"/>
      <c r="Q21" s="291" t="s">
        <v>83</v>
      </c>
      <c r="R21" s="289" t="s">
        <v>78</v>
      </c>
      <c r="S21" s="86">
        <f>IF(-C19&gt;0,-C19,0)</f>
        <v>0</v>
      </c>
      <c r="T21" s="79"/>
    </row>
    <row r="22" spans="1:20">
      <c r="Q22" s="279"/>
      <c r="R22" s="279"/>
      <c r="S22" s="279"/>
      <c r="T22" s="286">
        <f>ROUND(SUM(S16:T21),2)</f>
        <v>0</v>
      </c>
    </row>
    <row r="23" spans="1:20" ht="15.75" thickBot="1"/>
    <row r="24" spans="1:20" s="330" customFormat="1" ht="16.5" thickBot="1">
      <c r="A24" s="34"/>
      <c r="Q24" s="284" t="s">
        <v>216</v>
      </c>
      <c r="R24" s="280"/>
      <c r="S24" s="280"/>
      <c r="T24" s="187"/>
    </row>
    <row r="25" spans="1:20" s="330" customFormat="1" ht="15.75">
      <c r="A25" s="34">
        <v>41243</v>
      </c>
      <c r="B25" s="35" t="s">
        <v>84</v>
      </c>
      <c r="C25" s="26">
        <f>SUM(D25:N25)</f>
        <v>873005.70846981579</v>
      </c>
      <c r="D25" s="197">
        <v>893965.62064781552</v>
      </c>
      <c r="E25" s="197">
        <v>-20959.912177999737</v>
      </c>
      <c r="F25" s="198">
        <v>0</v>
      </c>
      <c r="G25" s="198">
        <v>0</v>
      </c>
      <c r="H25" s="26">
        <v>0</v>
      </c>
      <c r="I25" s="26"/>
      <c r="J25" s="26"/>
      <c r="K25" s="26"/>
      <c r="L25" s="26"/>
      <c r="M25" s="26"/>
      <c r="N25" s="26">
        <v>0</v>
      </c>
      <c r="O25" s="74"/>
      <c r="P25" s="26"/>
      <c r="Q25" s="293" t="s">
        <v>81</v>
      </c>
      <c r="R25" s="294" t="s">
        <v>58</v>
      </c>
      <c r="S25" s="80">
        <v>873552.80846981588</v>
      </c>
      <c r="T25" s="85">
        <v>0</v>
      </c>
    </row>
    <row r="26" spans="1:20" s="330" customFormat="1" ht="15.75">
      <c r="A26" s="38"/>
      <c r="B26" s="35" t="s">
        <v>148</v>
      </c>
      <c r="C26" s="26">
        <v>0</v>
      </c>
      <c r="D26" s="198">
        <v>0</v>
      </c>
      <c r="E26" s="198">
        <v>0</v>
      </c>
      <c r="F26" s="198"/>
      <c r="G26" s="199"/>
      <c r="H26" s="36"/>
      <c r="I26" s="26"/>
      <c r="J26" s="57"/>
      <c r="K26" s="57"/>
      <c r="L26" s="26"/>
      <c r="M26" s="26"/>
      <c r="N26" s="26"/>
      <c r="O26" s="74"/>
      <c r="P26" s="26"/>
      <c r="Q26" s="295" t="s">
        <v>11</v>
      </c>
      <c r="R26" s="296" t="s">
        <v>62</v>
      </c>
      <c r="S26" s="80">
        <v>0</v>
      </c>
      <c r="T26" s="186">
        <v>0</v>
      </c>
    </row>
    <row r="27" spans="1:20" s="330" customFormat="1" ht="15.75">
      <c r="A27" s="38"/>
      <c r="B27" s="35" t="s">
        <v>144</v>
      </c>
      <c r="C27" s="26">
        <f>SUM(D27:N27)</f>
        <v>0</v>
      </c>
      <c r="D27" s="124">
        <v>0</v>
      </c>
      <c r="E27" s="124"/>
      <c r="F27" s="124"/>
      <c r="G27" s="198">
        <v>0</v>
      </c>
      <c r="H27" s="73"/>
      <c r="I27" s="26"/>
      <c r="J27" s="57"/>
      <c r="K27" s="26"/>
      <c r="L27" s="26"/>
      <c r="M27" s="26"/>
      <c r="N27" s="26"/>
      <c r="O27" s="74"/>
      <c r="P27" s="26"/>
      <c r="Q27" s="295" t="s">
        <v>11</v>
      </c>
      <c r="R27" s="296" t="s">
        <v>207</v>
      </c>
      <c r="S27" s="80">
        <v>0</v>
      </c>
      <c r="T27" s="186">
        <v>0</v>
      </c>
    </row>
    <row r="28" spans="1:20" s="330" customFormat="1" ht="15.75">
      <c r="A28" s="38"/>
      <c r="B28" s="35" t="s">
        <v>57</v>
      </c>
      <c r="C28" s="39">
        <f>SUM(D28:N28)</f>
        <v>547.1</v>
      </c>
      <c r="D28" s="39"/>
      <c r="E28" s="39"/>
      <c r="F28" s="39"/>
      <c r="G28" s="39"/>
      <c r="H28" s="39">
        <v>547.1</v>
      </c>
      <c r="I28" s="39"/>
      <c r="J28" s="39"/>
      <c r="K28" s="39"/>
      <c r="L28" s="39"/>
      <c r="M28" s="39"/>
      <c r="N28" s="39"/>
      <c r="O28" s="68">
        <v>0.01</v>
      </c>
      <c r="P28" s="26"/>
      <c r="Q28" s="288" t="s">
        <v>80</v>
      </c>
      <c r="R28" s="287" t="s">
        <v>59</v>
      </c>
      <c r="S28" s="58">
        <v>0</v>
      </c>
      <c r="T28" s="59">
        <v>-873005.70846981579</v>
      </c>
    </row>
    <row r="29" spans="1:20" s="330" customFormat="1" ht="16.5" thickBot="1">
      <c r="A29" s="72">
        <f>A25</f>
        <v>41243</v>
      </c>
      <c r="B29" s="26" t="s">
        <v>56</v>
      </c>
      <c r="C29" s="121">
        <f t="shared" ref="C29:H29" si="2">SUM(C20:C28)</f>
        <v>1093573.3205559419</v>
      </c>
      <c r="D29" s="121">
        <f t="shared" si="2"/>
        <v>-360689.37763967668</v>
      </c>
      <c r="E29" s="121">
        <f t="shared" si="2"/>
        <v>1462495.9081956197</v>
      </c>
      <c r="F29" s="121">
        <f t="shared" si="2"/>
        <v>0</v>
      </c>
      <c r="G29" s="121">
        <f t="shared" si="2"/>
        <v>0</v>
      </c>
      <c r="H29" s="121">
        <f t="shared" si="2"/>
        <v>-8233.2099999999991</v>
      </c>
      <c r="I29" s="121">
        <f t="shared" ref="I29:L29" si="3">SUM(I13:I28)</f>
        <v>0</v>
      </c>
      <c r="J29" s="121">
        <f t="shared" si="3"/>
        <v>0</v>
      </c>
      <c r="K29" s="121">
        <f t="shared" si="3"/>
        <v>0</v>
      </c>
      <c r="L29" s="121">
        <f t="shared" si="3"/>
        <v>0</v>
      </c>
      <c r="M29" s="121">
        <f>SUM(M20:M28)</f>
        <v>0</v>
      </c>
      <c r="N29" s="121">
        <f>SUM(N20:N28)</f>
        <v>0</v>
      </c>
      <c r="O29" s="26"/>
      <c r="P29" s="26"/>
      <c r="Q29" s="290" t="s">
        <v>154</v>
      </c>
      <c r="R29" s="287" t="s">
        <v>77</v>
      </c>
      <c r="S29" s="58">
        <v>0</v>
      </c>
      <c r="T29" s="59">
        <v>-547.1</v>
      </c>
    </row>
    <row r="30" spans="1:20" s="330" customFormat="1" ht="16.5" thickTop="1" thickBot="1">
      <c r="A30" s="29"/>
      <c r="Q30" s="291" t="s">
        <v>83</v>
      </c>
      <c r="R30" s="289" t="s">
        <v>78</v>
      </c>
      <c r="S30" s="86">
        <v>0</v>
      </c>
      <c r="T30" s="79"/>
    </row>
    <row r="31" spans="1:20" s="330" customFormat="1">
      <c r="A31" s="29"/>
      <c r="T31" s="286">
        <f>ROUND(SUM(S25:T30),2)</f>
        <v>0</v>
      </c>
    </row>
    <row r="32" spans="1:20" ht="16.5" thickBot="1">
      <c r="A32" s="532" t="s">
        <v>213</v>
      </c>
      <c r="B32" s="532"/>
      <c r="C32" s="532"/>
      <c r="D32" s="532"/>
      <c r="E32" s="532"/>
      <c r="F32" s="532"/>
      <c r="G32" s="532"/>
      <c r="H32" s="532"/>
      <c r="I32" s="532"/>
      <c r="J32" s="532"/>
      <c r="K32" s="532"/>
      <c r="L32" s="532"/>
      <c r="M32" s="532"/>
      <c r="N32" s="532"/>
      <c r="O32" s="532"/>
      <c r="P32" s="165"/>
      <c r="Q32" s="165"/>
      <c r="R32" s="165"/>
      <c r="S32" s="165"/>
      <c r="T32" s="165"/>
    </row>
    <row r="33" spans="1:20" ht="15.75" thickBot="1">
      <c r="A33" s="212"/>
      <c r="B33" s="165"/>
      <c r="C33" s="165"/>
      <c r="D33" s="165"/>
      <c r="E33" s="165"/>
      <c r="F33" s="165"/>
      <c r="G33" s="165"/>
      <c r="H33" s="165"/>
      <c r="I33" s="165"/>
      <c r="J33" s="165"/>
      <c r="K33" s="165"/>
      <c r="L33" s="165"/>
      <c r="M33" s="165"/>
      <c r="N33" s="165"/>
      <c r="O33" s="165"/>
      <c r="P33" s="165"/>
      <c r="Q33" s="361" t="s">
        <v>217</v>
      </c>
      <c r="R33" s="345"/>
      <c r="S33" s="345"/>
      <c r="T33" s="362"/>
    </row>
    <row r="34" spans="1:20" ht="15.75">
      <c r="A34" s="363">
        <v>41243</v>
      </c>
      <c r="B34" s="364" t="s">
        <v>84</v>
      </c>
      <c r="C34" s="124">
        <f>SUM(D34:N34)</f>
        <v>700985.36846981547</v>
      </c>
      <c r="D34" s="197">
        <v>760588.19064781535</v>
      </c>
      <c r="E34" s="197">
        <v>-59602.822177999886</v>
      </c>
      <c r="F34" s="198">
        <v>0</v>
      </c>
      <c r="G34" s="198">
        <v>0</v>
      </c>
      <c r="H34" s="124">
        <v>0</v>
      </c>
      <c r="I34" s="124"/>
      <c r="J34" s="124"/>
      <c r="K34" s="124"/>
      <c r="L34" s="124"/>
      <c r="M34" s="124"/>
      <c r="N34" s="124">
        <v>0</v>
      </c>
      <c r="O34" s="365"/>
      <c r="P34" s="165"/>
      <c r="Q34" s="366" t="s">
        <v>81</v>
      </c>
      <c r="R34" s="367" t="s">
        <v>58</v>
      </c>
      <c r="S34" s="368">
        <v>0</v>
      </c>
      <c r="T34" s="369">
        <f>C34+C37-S25</f>
        <v>-172092.01000000036</v>
      </c>
    </row>
    <row r="35" spans="1:20" ht="15.75">
      <c r="A35" s="370"/>
      <c r="B35" s="364" t="s">
        <v>148</v>
      </c>
      <c r="C35" s="124">
        <v>0</v>
      </c>
      <c r="D35" s="198">
        <v>0</v>
      </c>
      <c r="E35" s="198">
        <v>0</v>
      </c>
      <c r="F35" s="198"/>
      <c r="G35" s="199"/>
      <c r="H35" s="198"/>
      <c r="I35" s="124"/>
      <c r="J35" s="199"/>
      <c r="K35" s="199"/>
      <c r="L35" s="124"/>
      <c r="M35" s="124"/>
      <c r="N35" s="124"/>
      <c r="O35" s="365"/>
      <c r="P35" s="165"/>
      <c r="Q35" s="371" t="s">
        <v>11</v>
      </c>
      <c r="R35" s="372" t="s">
        <v>62</v>
      </c>
      <c r="S35" s="368">
        <v>0</v>
      </c>
      <c r="T35" s="373">
        <v>0</v>
      </c>
    </row>
    <row r="36" spans="1:20" ht="15.75">
      <c r="A36" s="370"/>
      <c r="B36" s="364" t="s">
        <v>144</v>
      </c>
      <c r="C36" s="124">
        <f>SUM(D36:N36)</f>
        <v>0</v>
      </c>
      <c r="D36" s="124">
        <v>0</v>
      </c>
      <c r="E36" s="124"/>
      <c r="F36" s="124"/>
      <c r="G36" s="198">
        <v>0</v>
      </c>
      <c r="H36" s="374"/>
      <c r="I36" s="124"/>
      <c r="J36" s="199"/>
      <c r="K36" s="124"/>
      <c r="L36" s="124"/>
      <c r="M36" s="124"/>
      <c r="N36" s="124"/>
      <c r="O36" s="365"/>
      <c r="P36" s="165"/>
      <c r="Q36" s="371" t="s">
        <v>11</v>
      </c>
      <c r="R36" s="372" t="s">
        <v>207</v>
      </c>
      <c r="S36" s="368">
        <v>0</v>
      </c>
      <c r="T36" s="373">
        <v>0</v>
      </c>
    </row>
    <row r="37" spans="1:20" ht="15.75">
      <c r="A37" s="370"/>
      <c r="B37" s="364" t="s">
        <v>57</v>
      </c>
      <c r="C37" s="166">
        <f>SUM(D37:N37)</f>
        <v>475.43</v>
      </c>
      <c r="D37" s="166"/>
      <c r="E37" s="166"/>
      <c r="F37" s="166"/>
      <c r="G37" s="166"/>
      <c r="H37" s="166">
        <v>475.43</v>
      </c>
      <c r="I37" s="166"/>
      <c r="J37" s="166"/>
      <c r="K37" s="166"/>
      <c r="L37" s="166"/>
      <c r="M37" s="166"/>
      <c r="N37" s="166"/>
      <c r="O37" s="375">
        <v>0.01</v>
      </c>
      <c r="P37" s="165"/>
      <c r="Q37" s="376" t="s">
        <v>80</v>
      </c>
      <c r="R37" s="377" t="s">
        <v>59</v>
      </c>
      <c r="S37" s="378">
        <f>-T28-C34</f>
        <v>172020.34000000032</v>
      </c>
      <c r="T37" s="379">
        <v>0</v>
      </c>
    </row>
    <row r="38" spans="1:20" ht="16.5" thickBot="1">
      <c r="A38" s="380">
        <f>A34</f>
        <v>41243</v>
      </c>
      <c r="B38" s="124" t="s">
        <v>56</v>
      </c>
      <c r="C38" s="334">
        <f t="shared" ref="C38:H38" si="4">SUM(C34:C37,C20)</f>
        <v>921481.31055594166</v>
      </c>
      <c r="D38" s="334">
        <f t="shared" si="4"/>
        <v>-494066.80763967684</v>
      </c>
      <c r="E38" s="334">
        <f t="shared" si="4"/>
        <v>1423852.9981956196</v>
      </c>
      <c r="F38" s="334">
        <f t="shared" si="4"/>
        <v>0</v>
      </c>
      <c r="G38" s="334">
        <f t="shared" si="4"/>
        <v>0</v>
      </c>
      <c r="H38" s="334">
        <f t="shared" si="4"/>
        <v>-8304.8799999999992</v>
      </c>
      <c r="I38" s="334">
        <f t="shared" ref="I38:L38" si="5">SUM(I29:I37)</f>
        <v>0</v>
      </c>
      <c r="J38" s="334">
        <f t="shared" si="5"/>
        <v>0</v>
      </c>
      <c r="K38" s="334">
        <f t="shared" si="5"/>
        <v>0</v>
      </c>
      <c r="L38" s="334">
        <f t="shared" si="5"/>
        <v>0</v>
      </c>
      <c r="M38" s="334">
        <f>SUM(M32:M37)</f>
        <v>0</v>
      </c>
      <c r="N38" s="334">
        <f>SUM(N32:N37)</f>
        <v>0</v>
      </c>
      <c r="O38" s="124"/>
      <c r="P38" s="165"/>
      <c r="Q38" s="381" t="s">
        <v>154</v>
      </c>
      <c r="R38" s="377" t="s">
        <v>77</v>
      </c>
      <c r="S38" s="378">
        <f>C28-C37</f>
        <v>71.670000000000016</v>
      </c>
      <c r="T38" s="379">
        <v>0</v>
      </c>
    </row>
    <row r="39" spans="1:20" ht="16.5" thickTop="1" thickBot="1">
      <c r="A39" s="212"/>
      <c r="B39" s="165"/>
      <c r="C39" s="165"/>
      <c r="D39" s="165"/>
      <c r="E39" s="165"/>
      <c r="F39" s="165"/>
      <c r="G39" s="165"/>
      <c r="H39" s="165"/>
      <c r="I39" s="165"/>
      <c r="J39" s="165"/>
      <c r="K39" s="165"/>
      <c r="L39" s="165"/>
      <c r="M39" s="165"/>
      <c r="N39" s="165"/>
      <c r="O39" s="165"/>
      <c r="P39" s="165"/>
      <c r="Q39" s="382" t="s">
        <v>83</v>
      </c>
      <c r="R39" s="383" t="s">
        <v>78</v>
      </c>
      <c r="S39" s="384">
        <v>0</v>
      </c>
      <c r="T39" s="385">
        <v>0</v>
      </c>
    </row>
    <row r="40" spans="1:20">
      <c r="A40" s="212"/>
      <c r="B40" s="165"/>
      <c r="C40" s="165"/>
      <c r="D40" s="165"/>
      <c r="E40" s="165"/>
      <c r="F40" s="165"/>
      <c r="G40" s="165"/>
      <c r="H40" s="165"/>
      <c r="I40" s="165"/>
      <c r="J40" s="165"/>
      <c r="K40" s="165"/>
      <c r="L40" s="165"/>
      <c r="M40" s="165"/>
      <c r="N40" s="165"/>
      <c r="O40" s="165"/>
      <c r="P40" s="165"/>
      <c r="Q40" s="165"/>
      <c r="R40" s="165"/>
      <c r="S40" s="165"/>
      <c r="T40" s="286">
        <f>ROUND(SUM(S34:T39),2)</f>
        <v>0</v>
      </c>
    </row>
    <row r="41" spans="1:20" s="330" customFormat="1" ht="15.75" thickBot="1">
      <c r="A41" s="29"/>
    </row>
    <row r="42" spans="1:20" s="330" customFormat="1" ht="16.5" thickBot="1">
      <c r="A42" s="34"/>
      <c r="Q42" s="284" t="s">
        <v>107</v>
      </c>
      <c r="R42" s="280"/>
      <c r="S42" s="280"/>
      <c r="T42" s="187"/>
    </row>
    <row r="43" spans="1:20" s="330" customFormat="1" ht="15.75">
      <c r="A43" s="34">
        <v>41274</v>
      </c>
      <c r="B43" s="35" t="s">
        <v>84</v>
      </c>
      <c r="C43" s="26">
        <f>SUM(D43:N43)</f>
        <v>134368.12753900047</v>
      </c>
      <c r="D43" s="197">
        <v>505847.59770200029</v>
      </c>
      <c r="E43" s="197">
        <v>-371479.47016299982</v>
      </c>
      <c r="F43" s="198">
        <v>0</v>
      </c>
      <c r="G43" s="198">
        <v>0</v>
      </c>
      <c r="H43" s="26">
        <v>0</v>
      </c>
      <c r="I43" s="26"/>
      <c r="J43" s="26"/>
      <c r="K43" s="26"/>
      <c r="L43" s="26"/>
      <c r="M43" s="26"/>
      <c r="N43" s="26">
        <v>0</v>
      </c>
      <c r="O43" s="74"/>
      <c r="P43" s="26"/>
      <c r="Q43" s="293" t="s">
        <v>81</v>
      </c>
      <c r="R43" s="294" t="s">
        <v>58</v>
      </c>
      <c r="S43" s="80">
        <f>IF((-C38+C47)&gt;0,(-C38+C47),0)</f>
        <v>135192.01753900037</v>
      </c>
      <c r="T43" s="85">
        <f>IF((-C38+C47)&lt;0,(-C38+C47),0)</f>
        <v>0</v>
      </c>
    </row>
    <row r="44" spans="1:20" s="330" customFormat="1" ht="15.75">
      <c r="A44" s="38"/>
      <c r="B44" s="35" t="s">
        <v>148</v>
      </c>
      <c r="C44" s="26">
        <v>0</v>
      </c>
      <c r="D44" s="198">
        <v>0</v>
      </c>
      <c r="E44" s="198">
        <v>0</v>
      </c>
      <c r="F44" s="198"/>
      <c r="G44" s="199"/>
      <c r="H44" s="36"/>
      <c r="I44" s="26"/>
      <c r="J44" s="57"/>
      <c r="K44" s="57"/>
      <c r="L44" s="26"/>
      <c r="M44" s="26"/>
      <c r="N44" s="26"/>
      <c r="O44" s="74"/>
      <c r="P44" s="26"/>
      <c r="Q44" s="295" t="s">
        <v>11</v>
      </c>
      <c r="R44" s="296" t="s">
        <v>62</v>
      </c>
      <c r="S44" s="80">
        <v>0</v>
      </c>
      <c r="T44" s="186">
        <v>0</v>
      </c>
    </row>
    <row r="45" spans="1:20" s="330" customFormat="1" ht="15.75">
      <c r="A45" s="38"/>
      <c r="B45" s="35" t="s">
        <v>144</v>
      </c>
      <c r="C45" s="26">
        <f>SUM(D45:N45)</f>
        <v>0</v>
      </c>
      <c r="D45" s="124">
        <v>0</v>
      </c>
      <c r="E45" s="124"/>
      <c r="F45" s="124"/>
      <c r="G45" s="198">
        <v>0</v>
      </c>
      <c r="H45" s="73"/>
      <c r="I45" s="26"/>
      <c r="J45" s="57"/>
      <c r="K45" s="26"/>
      <c r="L45" s="26"/>
      <c r="M45" s="26"/>
      <c r="N45" s="26"/>
      <c r="O45" s="74"/>
      <c r="P45" s="26"/>
      <c r="Q45" s="295" t="s">
        <v>11</v>
      </c>
      <c r="R45" s="296" t="s">
        <v>207</v>
      </c>
      <c r="S45" s="80">
        <v>0</v>
      </c>
      <c r="T45" s="186">
        <v>0</v>
      </c>
    </row>
    <row r="46" spans="1:20" s="330" customFormat="1" ht="15.75">
      <c r="A46" s="38"/>
      <c r="B46" s="35" t="s">
        <v>57</v>
      </c>
      <c r="C46" s="39">
        <f>SUM(D46:N46)</f>
        <v>823.89</v>
      </c>
      <c r="D46" s="39"/>
      <c r="E46" s="39"/>
      <c r="F46" s="39"/>
      <c r="G46" s="39"/>
      <c r="H46" s="39">
        <f>ROUND(((C38)+(C43)/2)*(O46/12),2)</f>
        <v>823.89</v>
      </c>
      <c r="I46" s="39"/>
      <c r="J46" s="39"/>
      <c r="K46" s="39"/>
      <c r="L46" s="39"/>
      <c r="M46" s="39"/>
      <c r="N46" s="39"/>
      <c r="O46" s="68">
        <v>0.01</v>
      </c>
      <c r="P46" s="26"/>
      <c r="Q46" s="288" t="s">
        <v>80</v>
      </c>
      <c r="R46" s="287" t="s">
        <v>59</v>
      </c>
      <c r="S46" s="58">
        <f>IF((-C43-C44-C45)&gt;0,(-C43-C44-C45),0)</f>
        <v>0</v>
      </c>
      <c r="T46" s="59">
        <f>IF((-C43-C44-C45)&lt;0,(-C43-C44-C45),0)</f>
        <v>-134368.12753900047</v>
      </c>
    </row>
    <row r="47" spans="1:20" s="330" customFormat="1" ht="16.5" thickBot="1">
      <c r="A47" s="72">
        <f>A43</f>
        <v>41274</v>
      </c>
      <c r="B47" s="26" t="s">
        <v>56</v>
      </c>
      <c r="C47" s="121">
        <f>SUM(C38:C46)</f>
        <v>1056673.328094942</v>
      </c>
      <c r="D47" s="121">
        <f>SUM(D38:D46)</f>
        <v>11780.790062323445</v>
      </c>
      <c r="E47" s="121">
        <f>SUM(E38:E46)</f>
        <v>1052373.5280326197</v>
      </c>
      <c r="F47" s="121">
        <f t="shared" ref="F47:G47" si="6">SUM(F38:F46)</f>
        <v>0</v>
      </c>
      <c r="G47" s="121">
        <f t="shared" si="6"/>
        <v>0</v>
      </c>
      <c r="H47" s="121">
        <f>SUM(H38:H46)</f>
        <v>-7480.9899999999989</v>
      </c>
      <c r="I47" s="121">
        <f>SUM(I32:I46)</f>
        <v>0</v>
      </c>
      <c r="J47" s="121">
        <f>SUM(J32:J46)</f>
        <v>0</v>
      </c>
      <c r="K47" s="121">
        <f>SUM(K32:K46)</f>
        <v>0</v>
      </c>
      <c r="L47" s="121">
        <f>SUM(L32:L46)</f>
        <v>0</v>
      </c>
      <c r="M47" s="121">
        <f>SUM(M38:M46)</f>
        <v>0</v>
      </c>
      <c r="N47" s="121">
        <f>SUM(N38:N46)</f>
        <v>0</v>
      </c>
      <c r="O47" s="26"/>
      <c r="P47" s="26"/>
      <c r="Q47" s="290" t="s">
        <v>154</v>
      </c>
      <c r="R47" s="287" t="s">
        <v>77</v>
      </c>
      <c r="S47" s="58">
        <f>IF(C46&lt;0,C46,0)</f>
        <v>0</v>
      </c>
      <c r="T47" s="59">
        <f>IF(-C46&lt;0,-C46,0)</f>
        <v>-823.89</v>
      </c>
    </row>
    <row r="48" spans="1:20" s="330" customFormat="1" ht="16.5" thickTop="1" thickBot="1">
      <c r="A48" s="29"/>
      <c r="Q48" s="291" t="s">
        <v>83</v>
      </c>
      <c r="R48" s="289" t="s">
        <v>78</v>
      </c>
      <c r="S48" s="86">
        <f>IF(-C46&gt;0,-C46,0)</f>
        <v>0</v>
      </c>
      <c r="T48" s="79"/>
    </row>
    <row r="49" spans="1:20" s="330" customFormat="1">
      <c r="A49" s="29"/>
      <c r="T49" s="286">
        <f>ROUND(SUM(S43:T48),2)</f>
        <v>0</v>
      </c>
    </row>
    <row r="50" spans="1:20" ht="15.75" thickBot="1"/>
    <row r="51" spans="1:20" s="330" customFormat="1" ht="16.5" thickBot="1">
      <c r="A51" s="34"/>
      <c r="Q51" s="284" t="s">
        <v>107</v>
      </c>
      <c r="R51" s="280"/>
      <c r="S51" s="280"/>
      <c r="T51" s="187"/>
    </row>
    <row r="52" spans="1:20" s="330" customFormat="1" ht="15.75">
      <c r="A52" s="34">
        <v>41275</v>
      </c>
      <c r="B52" s="35" t="s">
        <v>84</v>
      </c>
      <c r="C52" s="26">
        <f>SUM(D52:N52)</f>
        <v>-1358486.1640380016</v>
      </c>
      <c r="D52" s="197">
        <v>-794093.61202800181</v>
      </c>
      <c r="E52" s="197">
        <v>-564392.55200999975</v>
      </c>
      <c r="F52" s="198">
        <v>0</v>
      </c>
      <c r="G52" s="198">
        <v>0</v>
      </c>
      <c r="H52" s="26">
        <v>0</v>
      </c>
      <c r="I52" s="26"/>
      <c r="J52" s="26"/>
      <c r="K52" s="26"/>
      <c r="L52" s="26"/>
      <c r="M52" s="26"/>
      <c r="N52" s="26">
        <v>0</v>
      </c>
      <c r="O52" s="74"/>
      <c r="P52" s="26"/>
      <c r="Q52" s="293" t="s">
        <v>81</v>
      </c>
      <c r="R52" s="294" t="s">
        <v>58</v>
      </c>
      <c r="S52" s="80">
        <f>IF((-C47+C56)&gt;0,(-C47+C56),0)</f>
        <v>0</v>
      </c>
      <c r="T52" s="85">
        <f>IF((-C47+C56)&lt;0,(-C47+C56),0)</f>
        <v>-1358171.6340380015</v>
      </c>
    </row>
    <row r="53" spans="1:20" s="330" customFormat="1" ht="15.75">
      <c r="A53" s="38"/>
      <c r="B53" s="35" t="s">
        <v>148</v>
      </c>
      <c r="C53" s="26">
        <v>0</v>
      </c>
      <c r="D53" s="198">
        <v>0</v>
      </c>
      <c r="E53" s="198">
        <v>0</v>
      </c>
      <c r="F53" s="198"/>
      <c r="G53" s="199"/>
      <c r="H53" s="36"/>
      <c r="I53" s="26"/>
      <c r="J53" s="57"/>
      <c r="K53" s="57"/>
      <c r="L53" s="26"/>
      <c r="M53" s="26"/>
      <c r="N53" s="26"/>
      <c r="O53" s="74"/>
      <c r="P53" s="26"/>
      <c r="Q53" s="295" t="s">
        <v>11</v>
      </c>
      <c r="R53" s="296" t="s">
        <v>62</v>
      </c>
      <c r="S53" s="80">
        <v>0</v>
      </c>
      <c r="T53" s="186">
        <v>0</v>
      </c>
    </row>
    <row r="54" spans="1:20" s="330" customFormat="1" ht="15.75">
      <c r="A54" s="38"/>
      <c r="B54" s="35" t="s">
        <v>144</v>
      </c>
      <c r="C54" s="26">
        <f>SUM(D54:N54)</f>
        <v>0</v>
      </c>
      <c r="D54" s="124">
        <v>0</v>
      </c>
      <c r="E54" s="124"/>
      <c r="F54" s="124"/>
      <c r="G54" s="198">
        <v>0</v>
      </c>
      <c r="H54" s="73"/>
      <c r="I54" s="26"/>
      <c r="J54" s="57"/>
      <c r="K54" s="26"/>
      <c r="L54" s="26"/>
      <c r="M54" s="26"/>
      <c r="N54" s="26"/>
      <c r="O54" s="74"/>
      <c r="P54" s="26"/>
      <c r="Q54" s="295" t="s">
        <v>11</v>
      </c>
      <c r="R54" s="296" t="s">
        <v>207</v>
      </c>
      <c r="S54" s="80">
        <v>0</v>
      </c>
      <c r="T54" s="186">
        <v>0</v>
      </c>
    </row>
    <row r="55" spans="1:20" s="330" customFormat="1" ht="15.75">
      <c r="A55" s="38"/>
      <c r="B55" s="35" t="s">
        <v>57</v>
      </c>
      <c r="C55" s="39">
        <f>SUM(D55:N55)</f>
        <v>314.52999999999997</v>
      </c>
      <c r="D55" s="39"/>
      <c r="E55" s="39"/>
      <c r="F55" s="39"/>
      <c r="G55" s="39"/>
      <c r="H55" s="39">
        <f>ROUND(((C47)+(C52)/2)*(O55/12),2)</f>
        <v>314.52999999999997</v>
      </c>
      <c r="I55" s="39"/>
      <c r="J55" s="39"/>
      <c r="K55" s="39"/>
      <c r="L55" s="39"/>
      <c r="M55" s="39"/>
      <c r="N55" s="39"/>
      <c r="O55" s="68">
        <v>0.01</v>
      </c>
      <c r="P55" s="26"/>
      <c r="Q55" s="288" t="s">
        <v>80</v>
      </c>
      <c r="R55" s="287" t="s">
        <v>59</v>
      </c>
      <c r="S55" s="58">
        <f>IF((-C52-C53-C54)&gt;0,(-C52-C53-C54),0)</f>
        <v>1358486.1640380016</v>
      </c>
      <c r="T55" s="59">
        <f>IF((-C52-C53-C54)&lt;0,(-C52-C53-C54),0)</f>
        <v>0</v>
      </c>
    </row>
    <row r="56" spans="1:20" s="330" customFormat="1" ht="16.5" thickBot="1">
      <c r="A56" s="72">
        <f>A52</f>
        <v>41275</v>
      </c>
      <c r="B56" s="26" t="s">
        <v>56</v>
      </c>
      <c r="C56" s="121">
        <f t="shared" ref="C56:H56" si="7">SUM(C47:C55)</f>
        <v>-301498.3059430595</v>
      </c>
      <c r="D56" s="121">
        <f t="shared" si="7"/>
        <v>-782312.82196567836</v>
      </c>
      <c r="E56" s="121">
        <f t="shared" si="7"/>
        <v>487980.97602261999</v>
      </c>
      <c r="F56" s="121">
        <f t="shared" si="7"/>
        <v>0</v>
      </c>
      <c r="G56" s="121">
        <f t="shared" si="7"/>
        <v>0</v>
      </c>
      <c r="H56" s="121">
        <f t="shared" si="7"/>
        <v>-7166.4599999999991</v>
      </c>
      <c r="I56" s="121">
        <f>SUM(I41:I55)</f>
        <v>0</v>
      </c>
      <c r="J56" s="121">
        <f>SUM(J41:J55)</f>
        <v>0</v>
      </c>
      <c r="K56" s="121">
        <f>SUM(K41:K55)</f>
        <v>0</v>
      </c>
      <c r="L56" s="121">
        <f>SUM(L41:L55)</f>
        <v>0</v>
      </c>
      <c r="M56" s="121">
        <f>SUM(M47:M55)</f>
        <v>0</v>
      </c>
      <c r="N56" s="121">
        <f>SUM(N47:N55)</f>
        <v>0</v>
      </c>
      <c r="O56" s="26"/>
      <c r="P56" s="26"/>
      <c r="Q56" s="290" t="s">
        <v>154</v>
      </c>
      <c r="R56" s="287" t="s">
        <v>77</v>
      </c>
      <c r="S56" s="58">
        <f>IF(C55&lt;0,C55,0)</f>
        <v>0</v>
      </c>
      <c r="T56" s="59">
        <f>IF(-C55&lt;0,-C55,0)</f>
        <v>-314.52999999999997</v>
      </c>
    </row>
    <row r="57" spans="1:20" s="330" customFormat="1" ht="16.5" thickTop="1" thickBot="1">
      <c r="A57" s="29"/>
      <c r="Q57" s="291" t="s">
        <v>83</v>
      </c>
      <c r="R57" s="289" t="s">
        <v>78</v>
      </c>
      <c r="S57" s="86">
        <f>IF(-C55&gt;0,-C55,0)</f>
        <v>0</v>
      </c>
      <c r="T57" s="79"/>
    </row>
    <row r="58" spans="1:20" s="330" customFormat="1">
      <c r="A58" s="29"/>
      <c r="T58" s="286">
        <f>ROUND(SUM(S52:T57),2)</f>
        <v>0</v>
      </c>
    </row>
    <row r="59" spans="1:20" s="330" customFormat="1" ht="15.75" thickBot="1">
      <c r="A59" s="29"/>
    </row>
    <row r="60" spans="1:20" s="330" customFormat="1" ht="16.5" thickBot="1">
      <c r="A60" s="34"/>
      <c r="Q60" s="284" t="s">
        <v>107</v>
      </c>
      <c r="R60" s="280"/>
      <c r="S60" s="280"/>
      <c r="T60" s="187"/>
    </row>
    <row r="61" spans="1:20" s="330" customFormat="1" ht="15.75">
      <c r="A61" s="34">
        <v>41333</v>
      </c>
      <c r="B61" s="35" t="s">
        <v>84</v>
      </c>
      <c r="C61" s="26">
        <f>SUM(D61:N61)</f>
        <v>187567.52458600083</v>
      </c>
      <c r="D61" s="197">
        <v>369349.48148000054</v>
      </c>
      <c r="E61" s="197">
        <v>-181781.95689399971</v>
      </c>
      <c r="F61" s="198">
        <v>0</v>
      </c>
      <c r="G61" s="198">
        <v>0</v>
      </c>
      <c r="H61" s="26">
        <v>0</v>
      </c>
      <c r="I61" s="26"/>
      <c r="J61" s="26"/>
      <c r="K61" s="26"/>
      <c r="L61" s="26"/>
      <c r="M61" s="26"/>
      <c r="N61" s="26">
        <v>0</v>
      </c>
      <c r="O61" s="74"/>
      <c r="P61" s="26"/>
      <c r="Q61" s="293" t="s">
        <v>81</v>
      </c>
      <c r="R61" s="294" t="s">
        <v>58</v>
      </c>
      <c r="S61" s="80">
        <f>IF((-C56+C65)&gt;0,(-C56+C65),0)</f>
        <v>187394.42458600082</v>
      </c>
      <c r="T61" s="85">
        <f>IF((-C56+C65)&lt;0,(-C56+C65),0)</f>
        <v>0</v>
      </c>
    </row>
    <row r="62" spans="1:20" s="330" customFormat="1" ht="15.75">
      <c r="A62" s="38"/>
      <c r="B62" s="35" t="s">
        <v>148</v>
      </c>
      <c r="C62" s="26">
        <v>0</v>
      </c>
      <c r="D62" s="198">
        <v>0</v>
      </c>
      <c r="E62" s="198">
        <v>0</v>
      </c>
      <c r="F62" s="198"/>
      <c r="G62" s="199"/>
      <c r="H62" s="36"/>
      <c r="I62" s="26"/>
      <c r="J62" s="57"/>
      <c r="K62" s="57"/>
      <c r="L62" s="26"/>
      <c r="M62" s="26"/>
      <c r="N62" s="26"/>
      <c r="O62" s="74"/>
      <c r="P62" s="26"/>
      <c r="Q62" s="295" t="s">
        <v>11</v>
      </c>
      <c r="R62" s="296" t="s">
        <v>62</v>
      </c>
      <c r="S62" s="80">
        <v>0</v>
      </c>
      <c r="T62" s="186">
        <v>0</v>
      </c>
    </row>
    <row r="63" spans="1:20" s="330" customFormat="1" ht="15.75">
      <c r="A63" s="38"/>
      <c r="B63" s="35" t="s">
        <v>144</v>
      </c>
      <c r="C63" s="26">
        <f>SUM(D63:N63)</f>
        <v>0</v>
      </c>
      <c r="D63" s="124">
        <v>0</v>
      </c>
      <c r="E63" s="124"/>
      <c r="F63" s="124"/>
      <c r="G63" s="198">
        <v>0</v>
      </c>
      <c r="H63" s="73"/>
      <c r="I63" s="26"/>
      <c r="J63" s="57"/>
      <c r="K63" s="26"/>
      <c r="L63" s="26"/>
      <c r="M63" s="26"/>
      <c r="N63" s="26"/>
      <c r="O63" s="74"/>
      <c r="P63" s="26"/>
      <c r="Q63" s="295" t="s">
        <v>11</v>
      </c>
      <c r="R63" s="296" t="s">
        <v>207</v>
      </c>
      <c r="S63" s="80">
        <v>0</v>
      </c>
      <c r="T63" s="186">
        <v>0</v>
      </c>
    </row>
    <row r="64" spans="1:20" s="330" customFormat="1" ht="15.75">
      <c r="A64" s="38"/>
      <c r="B64" s="35" t="s">
        <v>57</v>
      </c>
      <c r="C64" s="39">
        <f>SUM(D64:N64)</f>
        <v>-173.1</v>
      </c>
      <c r="D64" s="39"/>
      <c r="E64" s="39"/>
      <c r="F64" s="39"/>
      <c r="G64" s="39"/>
      <c r="H64" s="39">
        <f>ROUND(((C56)+(C61)/2)*(O64/12),2)</f>
        <v>-173.1</v>
      </c>
      <c r="I64" s="39"/>
      <c r="J64" s="39"/>
      <c r="K64" s="39"/>
      <c r="L64" s="39"/>
      <c r="M64" s="39"/>
      <c r="N64" s="39"/>
      <c r="O64" s="68">
        <v>0.01</v>
      </c>
      <c r="P64" s="26"/>
      <c r="Q64" s="288" t="s">
        <v>80</v>
      </c>
      <c r="R64" s="287" t="s">
        <v>59</v>
      </c>
      <c r="S64" s="58">
        <f>IF((-C61-C62-C63)&gt;0,(-C61-C62-C63),0)</f>
        <v>0</v>
      </c>
      <c r="T64" s="59">
        <f>IF((-C61-C62-C63)&lt;0,(-C61-C62-C63),0)</f>
        <v>-187567.52458600083</v>
      </c>
    </row>
    <row r="65" spans="1:20" s="330" customFormat="1" ht="16.5" thickBot="1">
      <c r="A65" s="72">
        <f>A61</f>
        <v>41333</v>
      </c>
      <c r="B65" s="26" t="s">
        <v>56</v>
      </c>
      <c r="C65" s="121">
        <f>SUM(C56:C64)</f>
        <v>-114103.88135705868</v>
      </c>
      <c r="D65" s="121">
        <f>SUM(D56:D64)</f>
        <v>-412963.34048567782</v>
      </c>
      <c r="E65" s="121">
        <f>SUM(E56:E64)</f>
        <v>306199.01912862028</v>
      </c>
      <c r="F65" s="121">
        <f t="shared" ref="F65" si="8">SUM(F56:F64)</f>
        <v>0</v>
      </c>
      <c r="G65" s="121">
        <f t="shared" ref="G65" si="9">SUM(G56:G64)</f>
        <v>0</v>
      </c>
      <c r="H65" s="121">
        <f>SUM(H56:H64)</f>
        <v>-7339.5599999999995</v>
      </c>
      <c r="I65" s="121">
        <f>SUM(I50:I64)</f>
        <v>0</v>
      </c>
      <c r="J65" s="121">
        <f>SUM(J50:J64)</f>
        <v>0</v>
      </c>
      <c r="K65" s="121">
        <f>SUM(K50:K64)</f>
        <v>0</v>
      </c>
      <c r="L65" s="121">
        <f>SUM(L50:L64)</f>
        <v>0</v>
      </c>
      <c r="M65" s="121">
        <f>SUM(M56:M64)</f>
        <v>0</v>
      </c>
      <c r="N65" s="121">
        <f>SUM(N56:N64)</f>
        <v>0</v>
      </c>
      <c r="O65" s="26"/>
      <c r="P65" s="26"/>
      <c r="Q65" s="290" t="s">
        <v>154</v>
      </c>
      <c r="R65" s="287" t="s">
        <v>77</v>
      </c>
      <c r="S65" s="58">
        <f>IF(-C64&lt;0,C64,0)</f>
        <v>0</v>
      </c>
      <c r="T65" s="59">
        <f>IF(-C64&lt;0,-C64,0)</f>
        <v>0</v>
      </c>
    </row>
    <row r="66" spans="1:20" s="330" customFormat="1" ht="16.5" thickTop="1" thickBot="1">
      <c r="A66" s="29"/>
      <c r="Q66" s="291" t="s">
        <v>83</v>
      </c>
      <c r="R66" s="289" t="s">
        <v>78</v>
      </c>
      <c r="S66" s="86">
        <f>IF(-C64&gt;0,-C64,0)</f>
        <v>173.1</v>
      </c>
      <c r="T66" s="79">
        <f>IF(-C64&lt;0,-C64,0)</f>
        <v>0</v>
      </c>
    </row>
    <row r="67" spans="1:20" s="330" customFormat="1">
      <c r="A67" s="29"/>
      <c r="T67" s="286">
        <f>ROUND(SUM(S61:T66),2)</f>
        <v>0</v>
      </c>
    </row>
    <row r="68" spans="1:20" s="330" customFormat="1" ht="15.75" thickBot="1">
      <c r="A68" s="29"/>
    </row>
    <row r="69" spans="1:20" s="330" customFormat="1" ht="16.5" thickBot="1">
      <c r="A69" s="34"/>
      <c r="Q69" s="284" t="s">
        <v>107</v>
      </c>
      <c r="R69" s="280"/>
      <c r="S69" s="280"/>
      <c r="T69" s="187"/>
    </row>
    <row r="70" spans="1:20" s="330" customFormat="1" ht="15.75">
      <c r="A70" s="34">
        <v>41364</v>
      </c>
      <c r="B70" s="35" t="s">
        <v>84</v>
      </c>
      <c r="C70" s="26">
        <f>SUM(D70:N70)</f>
        <v>-70192.864177000942</v>
      </c>
      <c r="D70" s="197">
        <v>140554.57549299859</v>
      </c>
      <c r="E70" s="197">
        <v>-210747.43966999953</v>
      </c>
      <c r="F70" s="198">
        <v>0</v>
      </c>
      <c r="G70" s="198">
        <v>0</v>
      </c>
      <c r="H70" s="26">
        <v>0</v>
      </c>
      <c r="I70" s="26"/>
      <c r="J70" s="26"/>
      <c r="K70" s="26"/>
      <c r="L70" s="26"/>
      <c r="M70" s="26"/>
      <c r="N70" s="26">
        <v>0</v>
      </c>
      <c r="O70" s="74"/>
      <c r="P70" s="26"/>
      <c r="Q70" s="293" t="s">
        <v>81</v>
      </c>
      <c r="R70" s="294" t="s">
        <v>58</v>
      </c>
      <c r="S70" s="80">
        <f>IF((-C65+C74)&gt;0,(-C65+C74),0)</f>
        <v>0</v>
      </c>
      <c r="T70" s="85">
        <f>IF((-C65+C74)&lt;0,(-C65+C74),0)</f>
        <v>-70317.194177000929</v>
      </c>
    </row>
    <row r="71" spans="1:20" s="330" customFormat="1" ht="15.75">
      <c r="A71" s="38"/>
      <c r="B71" s="35" t="s">
        <v>148</v>
      </c>
      <c r="C71" s="26">
        <v>0</v>
      </c>
      <c r="D71" s="198">
        <v>0</v>
      </c>
      <c r="E71" s="198">
        <v>0</v>
      </c>
      <c r="F71" s="198"/>
      <c r="G71" s="199"/>
      <c r="H71" s="36"/>
      <c r="I71" s="26"/>
      <c r="J71" s="57"/>
      <c r="K71" s="57"/>
      <c r="L71" s="26"/>
      <c r="M71" s="26"/>
      <c r="N71" s="26"/>
      <c r="O71" s="74"/>
      <c r="P71" s="26"/>
      <c r="Q71" s="295" t="s">
        <v>11</v>
      </c>
      <c r="R71" s="296" t="s">
        <v>62</v>
      </c>
      <c r="S71" s="80">
        <v>0</v>
      </c>
      <c r="T71" s="186">
        <v>0</v>
      </c>
    </row>
    <row r="72" spans="1:20" s="330" customFormat="1" ht="15.75">
      <c r="A72" s="38"/>
      <c r="B72" s="35" t="s">
        <v>144</v>
      </c>
      <c r="C72" s="26">
        <f>SUM(D72:N72)</f>
        <v>0</v>
      </c>
      <c r="D72" s="124">
        <v>0</v>
      </c>
      <c r="E72" s="124"/>
      <c r="F72" s="124"/>
      <c r="G72" s="198">
        <v>0</v>
      </c>
      <c r="H72" s="73"/>
      <c r="I72" s="26"/>
      <c r="J72" s="57"/>
      <c r="K72" s="26"/>
      <c r="L72" s="26"/>
      <c r="M72" s="26"/>
      <c r="N72" s="26"/>
      <c r="O72" s="74"/>
      <c r="P72" s="26"/>
      <c r="Q72" s="295" t="s">
        <v>11</v>
      </c>
      <c r="R72" s="296" t="s">
        <v>207</v>
      </c>
      <c r="S72" s="80">
        <v>0</v>
      </c>
      <c r="T72" s="186">
        <v>0</v>
      </c>
    </row>
    <row r="73" spans="1:20" s="330" customFormat="1" ht="15.75">
      <c r="A73" s="38"/>
      <c r="B73" s="35" t="s">
        <v>57</v>
      </c>
      <c r="C73" s="39">
        <f>SUM(D73:N73)</f>
        <v>-124.33</v>
      </c>
      <c r="D73" s="39"/>
      <c r="E73" s="39"/>
      <c r="F73" s="39"/>
      <c r="G73" s="39"/>
      <c r="H73" s="39">
        <v>-124.33</v>
      </c>
      <c r="I73" s="39"/>
      <c r="J73" s="39"/>
      <c r="K73" s="39"/>
      <c r="L73" s="39"/>
      <c r="M73" s="39"/>
      <c r="N73" s="39"/>
      <c r="O73" s="68">
        <v>0.01</v>
      </c>
      <c r="P73" s="26"/>
      <c r="Q73" s="288" t="s">
        <v>80</v>
      </c>
      <c r="R73" s="287" t="s">
        <v>59</v>
      </c>
      <c r="S73" s="58">
        <f>IF((-C70-C71-C72)&gt;0,(-C70-C71-C72),0)</f>
        <v>70192.864177000942</v>
      </c>
      <c r="T73" s="59">
        <f>IF((-C70-C71-C72)&lt;0,(-C70-C71-C72),0)</f>
        <v>0</v>
      </c>
    </row>
    <row r="74" spans="1:20" s="330" customFormat="1" ht="16.5" thickBot="1">
      <c r="A74" s="72">
        <f>A70</f>
        <v>41364</v>
      </c>
      <c r="B74" s="26" t="s">
        <v>56</v>
      </c>
      <c r="C74" s="121">
        <f>SUM(C65:C73)</f>
        <v>-184421.07553405961</v>
      </c>
      <c r="D74" s="121">
        <f>SUM(D65:D73)</f>
        <v>-272408.76499267924</v>
      </c>
      <c r="E74" s="121">
        <f>SUM(E65:E73)</f>
        <v>95451.579458620748</v>
      </c>
      <c r="F74" s="121">
        <f t="shared" ref="F74:G74" si="10">SUM(F65:F73)</f>
        <v>0</v>
      </c>
      <c r="G74" s="121">
        <f t="shared" si="10"/>
        <v>0</v>
      </c>
      <c r="H74" s="121">
        <f>SUM(H65:H73)</f>
        <v>-7463.8899999999994</v>
      </c>
      <c r="I74" s="121">
        <f>SUM(I59:I73)</f>
        <v>0</v>
      </c>
      <c r="J74" s="121">
        <f>SUM(J59:J73)</f>
        <v>0</v>
      </c>
      <c r="K74" s="121">
        <f>SUM(K59:K73)</f>
        <v>0</v>
      </c>
      <c r="L74" s="121">
        <f>SUM(L59:L73)</f>
        <v>0</v>
      </c>
      <c r="M74" s="121">
        <f>SUM(M65:M73)</f>
        <v>0</v>
      </c>
      <c r="N74" s="121">
        <f>SUM(N65:N73)</f>
        <v>0</v>
      </c>
      <c r="O74" s="26"/>
      <c r="P74" s="26"/>
      <c r="Q74" s="290" t="s">
        <v>154</v>
      </c>
      <c r="R74" s="287" t="s">
        <v>77</v>
      </c>
      <c r="S74" s="58">
        <f>IF(-C73&lt;0,C73,0)</f>
        <v>0</v>
      </c>
      <c r="T74" s="59">
        <f>IF(-C73&lt;0,-C73,0)</f>
        <v>0</v>
      </c>
    </row>
    <row r="75" spans="1:20" s="330" customFormat="1" ht="16.5" thickTop="1" thickBot="1">
      <c r="A75" s="29"/>
      <c r="Q75" s="291" t="s">
        <v>83</v>
      </c>
      <c r="R75" s="289" t="s">
        <v>78</v>
      </c>
      <c r="S75" s="86">
        <f>IF(-C73&gt;0,-C73,0)</f>
        <v>124.33</v>
      </c>
      <c r="T75" s="79">
        <f>IF(-C73&lt;0,-C73,0)</f>
        <v>0</v>
      </c>
    </row>
    <row r="76" spans="1:20" s="330" customFormat="1">
      <c r="A76" s="29"/>
      <c r="T76" s="286">
        <f>ROUND(SUM(S70:T75),2)</f>
        <v>0</v>
      </c>
    </row>
    <row r="77" spans="1:20" s="330" customFormat="1" ht="15.75" thickBot="1">
      <c r="A77" s="29"/>
    </row>
    <row r="78" spans="1:20" s="330" customFormat="1" ht="16.5" thickBot="1">
      <c r="A78" s="34"/>
      <c r="Q78" s="284" t="s">
        <v>107</v>
      </c>
      <c r="R78" s="280"/>
      <c r="S78" s="280"/>
      <c r="T78" s="187"/>
    </row>
    <row r="79" spans="1:20" s="330" customFormat="1" ht="15.75">
      <c r="A79" s="34">
        <v>41394</v>
      </c>
      <c r="B79" s="35" t="s">
        <v>84</v>
      </c>
      <c r="C79" s="26">
        <f>SUM(D79:N79)</f>
        <v>-119237.76640399999</v>
      </c>
      <c r="D79" s="197">
        <v>-143506.72479399992</v>
      </c>
      <c r="E79" s="197">
        <v>24268.958389999927</v>
      </c>
      <c r="F79" s="198">
        <v>0</v>
      </c>
      <c r="G79" s="198">
        <v>0</v>
      </c>
      <c r="H79" s="26">
        <v>0</v>
      </c>
      <c r="I79" s="26"/>
      <c r="J79" s="26"/>
      <c r="K79" s="26"/>
      <c r="L79" s="26"/>
      <c r="M79" s="26"/>
      <c r="N79" s="26">
        <v>0</v>
      </c>
      <c r="O79" s="74"/>
      <c r="P79" s="26"/>
      <c r="Q79" s="293" t="s">
        <v>81</v>
      </c>
      <c r="R79" s="294" t="s">
        <v>58</v>
      </c>
      <c r="S79" s="80">
        <f>IF((-C74+C83)&gt;0,(-C74+C83),0)</f>
        <v>0</v>
      </c>
      <c r="T79" s="85">
        <f>IF((-C74+C83)&lt;0,(-C74+C83),0)</f>
        <v>-119441.13640399999</v>
      </c>
    </row>
    <row r="80" spans="1:20" s="330" customFormat="1" ht="15.75">
      <c r="A80" s="38"/>
      <c r="B80" s="35" t="s">
        <v>148</v>
      </c>
      <c r="C80" s="26">
        <v>0</v>
      </c>
      <c r="D80" s="198">
        <v>0</v>
      </c>
      <c r="E80" s="198">
        <v>0</v>
      </c>
      <c r="F80" s="198"/>
      <c r="G80" s="199"/>
      <c r="H80" s="36"/>
      <c r="I80" s="26"/>
      <c r="J80" s="57"/>
      <c r="K80" s="57"/>
      <c r="L80" s="26"/>
      <c r="M80" s="26"/>
      <c r="N80" s="26"/>
      <c r="O80" s="74"/>
      <c r="P80" s="26"/>
      <c r="Q80" s="295" t="s">
        <v>11</v>
      </c>
      <c r="R80" s="296" t="s">
        <v>62</v>
      </c>
      <c r="S80" s="80">
        <v>0</v>
      </c>
      <c r="T80" s="186">
        <v>0</v>
      </c>
    </row>
    <row r="81" spans="1:20" s="330" customFormat="1" ht="15.75">
      <c r="A81" s="38"/>
      <c r="B81" s="35" t="s">
        <v>144</v>
      </c>
      <c r="C81" s="26">
        <f>SUM(D81:N81)</f>
        <v>0</v>
      </c>
      <c r="D81" s="124">
        <v>0</v>
      </c>
      <c r="E81" s="124"/>
      <c r="F81" s="124"/>
      <c r="G81" s="198">
        <v>0</v>
      </c>
      <c r="H81" s="73"/>
      <c r="I81" s="26"/>
      <c r="J81" s="57"/>
      <c r="K81" s="26"/>
      <c r="L81" s="26"/>
      <c r="M81" s="26"/>
      <c r="N81" s="26"/>
      <c r="O81" s="74"/>
      <c r="P81" s="26"/>
      <c r="Q81" s="295" t="s">
        <v>11</v>
      </c>
      <c r="R81" s="296" t="s">
        <v>207</v>
      </c>
      <c r="S81" s="80">
        <v>0</v>
      </c>
      <c r="T81" s="186">
        <v>0</v>
      </c>
    </row>
    <row r="82" spans="1:20" s="330" customFormat="1" ht="15.75">
      <c r="A82" s="38"/>
      <c r="B82" s="35" t="s">
        <v>57</v>
      </c>
      <c r="C82" s="39">
        <f>SUM(D82:N82)</f>
        <v>-203.37</v>
      </c>
      <c r="D82" s="39"/>
      <c r="E82" s="39"/>
      <c r="F82" s="39"/>
      <c r="G82" s="39"/>
      <c r="H82" s="39">
        <v>-203.37</v>
      </c>
      <c r="I82" s="39"/>
      <c r="J82" s="39"/>
      <c r="K82" s="39"/>
      <c r="L82" s="39"/>
      <c r="M82" s="39"/>
      <c r="N82" s="39"/>
      <c r="O82" s="68">
        <v>0.01</v>
      </c>
      <c r="P82" s="26"/>
      <c r="Q82" s="288" t="s">
        <v>80</v>
      </c>
      <c r="R82" s="287" t="s">
        <v>59</v>
      </c>
      <c r="S82" s="58">
        <f>IF((-C79-C80-C81)&gt;0,(-C79-C80-C81),0)</f>
        <v>119237.76640399999</v>
      </c>
      <c r="T82" s="59">
        <f>IF((-C79-C80-C81)&lt;0,(-C79-C80-C81),0)</f>
        <v>0</v>
      </c>
    </row>
    <row r="83" spans="1:20" s="330" customFormat="1" ht="16.5" thickBot="1">
      <c r="A83" s="72">
        <f>A79</f>
        <v>41394</v>
      </c>
      <c r="B83" s="26" t="s">
        <v>56</v>
      </c>
      <c r="C83" s="121">
        <f>SUM(C74:C82)</f>
        <v>-303862.2119380596</v>
      </c>
      <c r="D83" s="121">
        <f>SUM(D74:D82)</f>
        <v>-415915.48978667916</v>
      </c>
      <c r="E83" s="121">
        <f>SUM(E74:E82)</f>
        <v>119720.53784862068</v>
      </c>
      <c r="F83" s="121">
        <f t="shared" ref="F83:G83" si="11">SUM(F74:F82)</f>
        <v>0</v>
      </c>
      <c r="G83" s="121">
        <f t="shared" si="11"/>
        <v>0</v>
      </c>
      <c r="H83" s="121">
        <f>SUM(H74:H82)</f>
        <v>-7667.2599999999993</v>
      </c>
      <c r="I83" s="121">
        <f>SUM(I68:I82)</f>
        <v>0</v>
      </c>
      <c r="J83" s="121">
        <f>SUM(J68:J82)</f>
        <v>0</v>
      </c>
      <c r="K83" s="121">
        <f>SUM(K68:K82)</f>
        <v>0</v>
      </c>
      <c r="L83" s="121">
        <f>SUM(L68:L82)</f>
        <v>0</v>
      </c>
      <c r="M83" s="121">
        <f>SUM(M74:M82)</f>
        <v>0</v>
      </c>
      <c r="N83" s="121">
        <f>SUM(N74:N82)</f>
        <v>0</v>
      </c>
      <c r="O83" s="26"/>
      <c r="P83" s="26"/>
      <c r="Q83" s="290" t="s">
        <v>154</v>
      </c>
      <c r="R83" s="287" t="s">
        <v>77</v>
      </c>
      <c r="S83" s="58">
        <f>IF(-C82&lt;0,C82,0)</f>
        <v>0</v>
      </c>
      <c r="T83" s="59">
        <f>IF(-C82&lt;0,-C82,0)</f>
        <v>0</v>
      </c>
    </row>
    <row r="84" spans="1:20" s="330" customFormat="1" ht="16.5" thickTop="1" thickBot="1">
      <c r="A84" s="29"/>
      <c r="C84" s="331"/>
      <c r="Q84" s="291" t="s">
        <v>83</v>
      </c>
      <c r="R84" s="289" t="s">
        <v>78</v>
      </c>
      <c r="S84" s="86">
        <f>IF(-C82&gt;0,-C82,0)</f>
        <v>203.37</v>
      </c>
      <c r="T84" s="79">
        <f>IF(-C82&lt;0,-C82,0)</f>
        <v>0</v>
      </c>
    </row>
    <row r="85" spans="1:20" s="330" customFormat="1">
      <c r="A85" s="29"/>
      <c r="T85" s="286">
        <f>ROUND(SUM(S79:T84),2)</f>
        <v>0</v>
      </c>
    </row>
    <row r="86" spans="1:20" s="330" customFormat="1" ht="15.75" thickBot="1">
      <c r="A86" s="29"/>
    </row>
    <row r="87" spans="1:20" s="330" customFormat="1" ht="16.5" thickBot="1">
      <c r="A87" s="34"/>
      <c r="Q87" s="284" t="s">
        <v>107</v>
      </c>
      <c r="R87" s="280"/>
      <c r="S87" s="280"/>
      <c r="T87" s="187"/>
    </row>
    <row r="88" spans="1:20" s="330" customFormat="1" ht="15.75">
      <c r="A88" s="34">
        <v>41425</v>
      </c>
      <c r="B88" s="35" t="s">
        <v>84</v>
      </c>
      <c r="C88" s="26">
        <f>SUM(D88:N88)</f>
        <v>96129.565981999214</v>
      </c>
      <c r="D88" s="197">
        <v>-261363.31669000082</v>
      </c>
      <c r="E88" s="197">
        <v>357492.88267200004</v>
      </c>
      <c r="F88" s="198">
        <v>0</v>
      </c>
      <c r="G88" s="198">
        <v>0</v>
      </c>
      <c r="H88" s="26">
        <v>0</v>
      </c>
      <c r="I88" s="26"/>
      <c r="J88" s="26"/>
      <c r="K88" s="26"/>
      <c r="L88" s="26"/>
      <c r="M88" s="26"/>
      <c r="N88" s="26">
        <v>0</v>
      </c>
      <c r="O88" s="74"/>
      <c r="P88" s="26"/>
      <c r="Q88" s="293" t="s">
        <v>81</v>
      </c>
      <c r="R88" s="294" t="s">
        <v>58</v>
      </c>
      <c r="S88" s="80">
        <f>IF((-C83+C92)&gt;0,(-C83+C92),0)</f>
        <v>95916.405981999211</v>
      </c>
      <c r="T88" s="85">
        <f>IF((-C83+C92)&lt;0,(-C83+C92),0)</f>
        <v>0</v>
      </c>
    </row>
    <row r="89" spans="1:20" s="330" customFormat="1" ht="15.75">
      <c r="A89" s="38"/>
      <c r="B89" s="35" t="s">
        <v>148</v>
      </c>
      <c r="C89" s="26">
        <v>0</v>
      </c>
      <c r="D89" s="198">
        <v>0</v>
      </c>
      <c r="E89" s="198">
        <v>0</v>
      </c>
      <c r="F89" s="198"/>
      <c r="G89" s="199"/>
      <c r="H89" s="36"/>
      <c r="I89" s="26"/>
      <c r="J89" s="57"/>
      <c r="K89" s="57"/>
      <c r="L89" s="26"/>
      <c r="M89" s="26"/>
      <c r="N89" s="26"/>
      <c r="O89" s="74"/>
      <c r="P89" s="26"/>
      <c r="Q89" s="295" t="s">
        <v>11</v>
      </c>
      <c r="R89" s="296" t="s">
        <v>62</v>
      </c>
      <c r="S89" s="80">
        <v>0</v>
      </c>
      <c r="T89" s="186">
        <v>0</v>
      </c>
    </row>
    <row r="90" spans="1:20" s="330" customFormat="1" ht="15.75">
      <c r="A90" s="38"/>
      <c r="B90" s="35" t="s">
        <v>144</v>
      </c>
      <c r="C90" s="26">
        <f>SUM(D90:N90)</f>
        <v>0</v>
      </c>
      <c r="D90" s="124">
        <v>0</v>
      </c>
      <c r="E90" s="124"/>
      <c r="F90" s="124"/>
      <c r="G90" s="198">
        <v>0</v>
      </c>
      <c r="H90" s="73"/>
      <c r="I90" s="26"/>
      <c r="J90" s="57"/>
      <c r="K90" s="26"/>
      <c r="L90" s="26"/>
      <c r="M90" s="26"/>
      <c r="N90" s="26"/>
      <c r="O90" s="74"/>
      <c r="P90" s="26"/>
      <c r="Q90" s="295" t="s">
        <v>11</v>
      </c>
      <c r="R90" s="296" t="s">
        <v>207</v>
      </c>
      <c r="S90" s="80">
        <v>0</v>
      </c>
      <c r="T90" s="186">
        <v>0</v>
      </c>
    </row>
    <row r="91" spans="1:20" s="330" customFormat="1" ht="15.75">
      <c r="A91" s="38"/>
      <c r="B91" s="35" t="s">
        <v>57</v>
      </c>
      <c r="C91" s="39">
        <f>SUM(D91:N91)</f>
        <v>-213.16</v>
      </c>
      <c r="D91" s="39"/>
      <c r="E91" s="39"/>
      <c r="F91" s="39"/>
      <c r="G91" s="39"/>
      <c r="H91" s="39">
        <v>-213.16</v>
      </c>
      <c r="I91" s="39"/>
      <c r="J91" s="39"/>
      <c r="K91" s="39"/>
      <c r="L91" s="39"/>
      <c r="M91" s="39"/>
      <c r="N91" s="39"/>
      <c r="O91" s="68">
        <v>0.01</v>
      </c>
      <c r="P91" s="26"/>
      <c r="Q91" s="288" t="s">
        <v>80</v>
      </c>
      <c r="R91" s="287" t="s">
        <v>59</v>
      </c>
      <c r="S91" s="58">
        <f>IF((-C88-C89-C90)&gt;0,(-C88-C89-C90),0)</f>
        <v>0</v>
      </c>
      <c r="T91" s="59">
        <f>IF((-C88-C89-C90)&lt;0,(-C88-C89-C90),0)</f>
        <v>-96129.565981999214</v>
      </c>
    </row>
    <row r="92" spans="1:20" s="330" customFormat="1" ht="16.5" thickBot="1">
      <c r="A92" s="72">
        <f>A88</f>
        <v>41425</v>
      </c>
      <c r="B92" s="26" t="s">
        <v>56</v>
      </c>
      <c r="C92" s="121">
        <f t="shared" ref="C92:H92" si="12">SUM(C83:C91)</f>
        <v>-207945.80595606039</v>
      </c>
      <c r="D92" s="121">
        <f t="shared" si="12"/>
        <v>-677278.80647667998</v>
      </c>
      <c r="E92" s="121">
        <f t="shared" si="12"/>
        <v>477213.42052062071</v>
      </c>
      <c r="F92" s="121">
        <f t="shared" si="12"/>
        <v>0</v>
      </c>
      <c r="G92" s="121">
        <f t="shared" si="12"/>
        <v>0</v>
      </c>
      <c r="H92" s="121">
        <f t="shared" si="12"/>
        <v>-7880.4199999999992</v>
      </c>
      <c r="I92" s="121">
        <f>SUM(I77:I91)</f>
        <v>0</v>
      </c>
      <c r="J92" s="121">
        <f>SUM(J77:J91)</f>
        <v>0</v>
      </c>
      <c r="K92" s="121">
        <f>SUM(K77:K91)</f>
        <v>0</v>
      </c>
      <c r="L92" s="121">
        <f>SUM(L77:L91)</f>
        <v>0</v>
      </c>
      <c r="M92" s="121">
        <f>SUM(M83:M91)</f>
        <v>0</v>
      </c>
      <c r="N92" s="121">
        <f>SUM(N83:N91)</f>
        <v>0</v>
      </c>
      <c r="O92" s="26"/>
      <c r="P92" s="26"/>
      <c r="Q92" s="290" t="s">
        <v>154</v>
      </c>
      <c r="R92" s="287" t="s">
        <v>77</v>
      </c>
      <c r="S92" s="58">
        <f>IF(-C91&lt;0,C91,0)</f>
        <v>0</v>
      </c>
      <c r="T92" s="59">
        <f>IF(-C91&lt;0,-C91,0)</f>
        <v>0</v>
      </c>
    </row>
    <row r="93" spans="1:20" s="330" customFormat="1" ht="16.5" thickTop="1" thickBot="1">
      <c r="A93" s="29"/>
      <c r="Q93" s="291" t="s">
        <v>83</v>
      </c>
      <c r="R93" s="289" t="s">
        <v>78</v>
      </c>
      <c r="S93" s="86">
        <f>IF(-C91&gt;0,-C91,0)</f>
        <v>213.16</v>
      </c>
      <c r="T93" s="79">
        <f>IF(-C91&lt;0,-C91,0)</f>
        <v>0</v>
      </c>
    </row>
    <row r="94" spans="1:20" s="330" customFormat="1">
      <c r="A94" s="29"/>
      <c r="T94" s="286">
        <f>ROUND(SUM(S88:T93),2)</f>
        <v>0</v>
      </c>
    </row>
    <row r="95" spans="1:20" s="330" customFormat="1" ht="15.75" thickBot="1">
      <c r="A95" s="29"/>
    </row>
    <row r="96" spans="1:20" s="330" customFormat="1" ht="16.5" thickBot="1">
      <c r="A96" s="34"/>
      <c r="Q96" s="284" t="s">
        <v>107</v>
      </c>
      <c r="R96" s="280"/>
      <c r="S96" s="280"/>
      <c r="T96" s="187"/>
    </row>
    <row r="97" spans="1:20" s="330" customFormat="1" ht="15.75">
      <c r="A97" s="34">
        <v>41426</v>
      </c>
      <c r="B97" s="35" t="s">
        <v>84</v>
      </c>
      <c r="C97" s="26">
        <f>SUM(D97:N97)</f>
        <v>316646.56350300065</v>
      </c>
      <c r="D97" s="197">
        <v>-87258.97678599949</v>
      </c>
      <c r="E97" s="197">
        <v>403905.54028900014</v>
      </c>
      <c r="F97" s="198">
        <v>0</v>
      </c>
      <c r="G97" s="198">
        <v>0</v>
      </c>
      <c r="H97" s="26">
        <v>0</v>
      </c>
      <c r="I97" s="26"/>
      <c r="J97" s="26"/>
      <c r="K97" s="26"/>
      <c r="L97" s="26"/>
      <c r="M97" s="26"/>
      <c r="N97" s="26">
        <v>0</v>
      </c>
      <c r="O97" s="74"/>
      <c r="P97" s="26"/>
      <c r="Q97" s="293" t="s">
        <v>81</v>
      </c>
      <c r="R97" s="294" t="s">
        <v>58</v>
      </c>
      <c r="S97" s="80">
        <f>IF((-C92+C101)&gt;0,(-C92+C101),0)</f>
        <v>316605.21350300068</v>
      </c>
      <c r="T97" s="85">
        <f>IF((-C92+C101)&lt;0,(-C92+C101),0)</f>
        <v>0</v>
      </c>
    </row>
    <row r="98" spans="1:20" s="330" customFormat="1" ht="15.75">
      <c r="A98" s="38"/>
      <c r="B98" s="35" t="s">
        <v>148</v>
      </c>
      <c r="C98" s="26">
        <v>0</v>
      </c>
      <c r="D98" s="198">
        <v>0</v>
      </c>
      <c r="E98" s="198">
        <v>0</v>
      </c>
      <c r="F98" s="198"/>
      <c r="G98" s="199"/>
      <c r="H98" s="36"/>
      <c r="I98" s="26"/>
      <c r="J98" s="57"/>
      <c r="K98" s="57"/>
      <c r="L98" s="26"/>
      <c r="M98" s="26"/>
      <c r="N98" s="26"/>
      <c r="O98" s="74"/>
      <c r="P98" s="26"/>
      <c r="Q98" s="295" t="s">
        <v>11</v>
      </c>
      <c r="R98" s="296" t="s">
        <v>62</v>
      </c>
      <c r="S98" s="80">
        <v>0</v>
      </c>
      <c r="T98" s="186">
        <v>0</v>
      </c>
    </row>
    <row r="99" spans="1:20" s="330" customFormat="1" ht="15.75">
      <c r="A99" s="38"/>
      <c r="B99" s="35" t="s">
        <v>144</v>
      </c>
      <c r="C99" s="26">
        <f>SUM(D99:N99)</f>
        <v>0</v>
      </c>
      <c r="D99" s="124">
        <v>0</v>
      </c>
      <c r="E99" s="124"/>
      <c r="F99" s="124"/>
      <c r="G99" s="198">
        <v>0</v>
      </c>
      <c r="H99" s="73"/>
      <c r="I99" s="26"/>
      <c r="J99" s="57"/>
      <c r="K99" s="26"/>
      <c r="L99" s="26"/>
      <c r="M99" s="26"/>
      <c r="N99" s="26"/>
      <c r="O99" s="74"/>
      <c r="P99" s="26"/>
      <c r="Q99" s="295" t="s">
        <v>11</v>
      </c>
      <c r="R99" s="296" t="s">
        <v>207</v>
      </c>
      <c r="S99" s="80">
        <v>0</v>
      </c>
      <c r="T99" s="186">
        <v>0</v>
      </c>
    </row>
    <row r="100" spans="1:20" s="330" customFormat="1" ht="15.75">
      <c r="A100" s="38"/>
      <c r="B100" s="35" t="s">
        <v>57</v>
      </c>
      <c r="C100" s="39">
        <f>SUM(D100:N100)</f>
        <v>-41.35</v>
      </c>
      <c r="D100" s="39"/>
      <c r="E100" s="39"/>
      <c r="F100" s="39"/>
      <c r="G100" s="39"/>
      <c r="H100" s="39">
        <f>ROUND(((C92)+(C97)/2)*(O100/12),2)</f>
        <v>-41.35</v>
      </c>
      <c r="I100" s="39"/>
      <c r="J100" s="39"/>
      <c r="K100" s="39"/>
      <c r="L100" s="39"/>
      <c r="M100" s="39"/>
      <c r="N100" s="39"/>
      <c r="O100" s="68">
        <v>0.01</v>
      </c>
      <c r="P100" s="26"/>
      <c r="Q100" s="288" t="s">
        <v>80</v>
      </c>
      <c r="R100" s="287" t="s">
        <v>59</v>
      </c>
      <c r="S100" s="58">
        <f>IF((-C97-C98-C99)&gt;0,(-C97-C98-C99),0)</f>
        <v>0</v>
      </c>
      <c r="T100" s="59">
        <f>IF((-C97-C98-C99)&lt;0,(-C97-C98-C99),0)</f>
        <v>-316646.56350300065</v>
      </c>
    </row>
    <row r="101" spans="1:20" s="330" customFormat="1" ht="16.5" thickBot="1">
      <c r="A101" s="72">
        <f>A97</f>
        <v>41426</v>
      </c>
      <c r="B101" s="26" t="s">
        <v>56</v>
      </c>
      <c r="C101" s="121">
        <f>SUM(C92:C100)</f>
        <v>108659.40754694026</v>
      </c>
      <c r="D101" s="121">
        <f>SUM(D92:D100)</f>
        <v>-764537.78326267947</v>
      </c>
      <c r="E101" s="121">
        <f>SUM(E92:E100)</f>
        <v>881118.9608096208</v>
      </c>
      <c r="F101" s="121">
        <f t="shared" ref="F101" si="13">SUM(F92:F100)</f>
        <v>0</v>
      </c>
      <c r="G101" s="121">
        <f t="shared" ref="G101" si="14">SUM(G92:G100)</f>
        <v>0</v>
      </c>
      <c r="H101" s="121">
        <f t="shared" ref="H101" si="15">SUM(H92:H100)</f>
        <v>-7921.7699999999995</v>
      </c>
      <c r="I101" s="121">
        <f>SUM(I86:I100)</f>
        <v>0</v>
      </c>
      <c r="J101" s="121">
        <f>SUM(J86:J100)</f>
        <v>0</v>
      </c>
      <c r="K101" s="121">
        <f>SUM(K86:K100)</f>
        <v>0</v>
      </c>
      <c r="L101" s="121">
        <f>SUM(L86:L100)</f>
        <v>0</v>
      </c>
      <c r="M101" s="121">
        <f>SUM(M92:M100)</f>
        <v>0</v>
      </c>
      <c r="N101" s="121">
        <f>SUM(N92:N100)</f>
        <v>0</v>
      </c>
      <c r="O101" s="26"/>
      <c r="P101" s="26"/>
      <c r="Q101" s="290" t="s">
        <v>154</v>
      </c>
      <c r="R101" s="287" t="s">
        <v>77</v>
      </c>
      <c r="S101" s="58">
        <f>IF(-C100&lt;0,C100,0)</f>
        <v>0</v>
      </c>
      <c r="T101" s="59">
        <f>IF(-C100&lt;0,-C100,0)</f>
        <v>0</v>
      </c>
    </row>
    <row r="102" spans="1:20" s="330" customFormat="1" ht="16.5" thickTop="1" thickBot="1">
      <c r="A102" s="29"/>
      <c r="Q102" s="291" t="s">
        <v>83</v>
      </c>
      <c r="R102" s="289" t="s">
        <v>78</v>
      </c>
      <c r="S102" s="86">
        <f>IF(-C100&gt;0,-C100,0)</f>
        <v>41.35</v>
      </c>
      <c r="T102" s="79">
        <f>IF(-C100&lt;0,-C100,0)</f>
        <v>0</v>
      </c>
    </row>
    <row r="103" spans="1:20" s="330" customFormat="1">
      <c r="A103" s="29"/>
      <c r="T103" s="286">
        <f>ROUND(SUM(S97:T102),2)</f>
        <v>0</v>
      </c>
    </row>
    <row r="104" spans="1:20" ht="15.75" thickBot="1"/>
    <row r="105" spans="1:20" s="330" customFormat="1" ht="16.5" thickBot="1">
      <c r="A105" s="34"/>
      <c r="Q105" s="284" t="s">
        <v>107</v>
      </c>
      <c r="R105" s="280"/>
      <c r="S105" s="280"/>
      <c r="T105" s="187"/>
    </row>
    <row r="106" spans="1:20" s="330" customFormat="1" ht="15.75">
      <c r="A106" s="34">
        <v>41456</v>
      </c>
      <c r="B106" s="35" t="s">
        <v>84</v>
      </c>
      <c r="C106" s="26">
        <f>SUM(D106:N106)</f>
        <v>269453.32351300115</v>
      </c>
      <c r="D106" s="197">
        <v>-247183.18822599918</v>
      </c>
      <c r="E106" s="197">
        <v>516636.51173900033</v>
      </c>
      <c r="F106" s="198">
        <v>0</v>
      </c>
      <c r="G106" s="198">
        <v>0</v>
      </c>
      <c r="H106" s="26">
        <v>0</v>
      </c>
      <c r="I106" s="26"/>
      <c r="J106" s="26"/>
      <c r="K106" s="26"/>
      <c r="L106" s="26"/>
      <c r="M106" s="26"/>
      <c r="N106" s="26">
        <v>0</v>
      </c>
      <c r="O106" s="74"/>
      <c r="P106" s="26"/>
      <c r="Q106" s="293" t="s">
        <v>81</v>
      </c>
      <c r="R106" s="294" t="s">
        <v>58</v>
      </c>
      <c r="S106" s="80">
        <f>IF((-C101+C110)&gt;0,(-C101+C110),0)</f>
        <v>269656.14351300115</v>
      </c>
      <c r="T106" s="85">
        <f>IF((-C101+C110)&lt;0,(-C101+C110),0)</f>
        <v>0</v>
      </c>
    </row>
    <row r="107" spans="1:20" s="330" customFormat="1" ht="15.75">
      <c r="A107" s="38"/>
      <c r="B107" s="35" t="s">
        <v>148</v>
      </c>
      <c r="C107" s="26">
        <v>0</v>
      </c>
      <c r="D107" s="198">
        <v>0</v>
      </c>
      <c r="E107" s="198">
        <v>0</v>
      </c>
      <c r="F107" s="198"/>
      <c r="G107" s="199"/>
      <c r="H107" s="36"/>
      <c r="I107" s="26"/>
      <c r="J107" s="57"/>
      <c r="K107" s="57"/>
      <c r="L107" s="26"/>
      <c r="M107" s="26"/>
      <c r="N107" s="26"/>
      <c r="O107" s="74"/>
      <c r="P107" s="26"/>
      <c r="Q107" s="295" t="s">
        <v>11</v>
      </c>
      <c r="R107" s="296" t="s">
        <v>62</v>
      </c>
      <c r="S107" s="80">
        <v>0</v>
      </c>
      <c r="T107" s="186">
        <v>0</v>
      </c>
    </row>
    <row r="108" spans="1:20" s="330" customFormat="1" ht="15.75">
      <c r="A108" s="38"/>
      <c r="B108" s="35" t="s">
        <v>144</v>
      </c>
      <c r="C108" s="26">
        <f>SUM(D108:N108)</f>
        <v>0</v>
      </c>
      <c r="D108" s="124">
        <v>0</v>
      </c>
      <c r="E108" s="124"/>
      <c r="F108" s="124"/>
      <c r="G108" s="198">
        <v>0</v>
      </c>
      <c r="H108" s="73"/>
      <c r="I108" s="26"/>
      <c r="J108" s="57"/>
      <c r="K108" s="26"/>
      <c r="L108" s="26"/>
      <c r="M108" s="26"/>
      <c r="N108" s="26"/>
      <c r="O108" s="74"/>
      <c r="P108" s="26"/>
      <c r="Q108" s="295" t="s">
        <v>11</v>
      </c>
      <c r="R108" s="296" t="s">
        <v>207</v>
      </c>
      <c r="S108" s="80">
        <v>0</v>
      </c>
      <c r="T108" s="186">
        <v>0</v>
      </c>
    </row>
    <row r="109" spans="1:20" s="330" customFormat="1" ht="15.75">
      <c r="A109" s="38"/>
      <c r="B109" s="35" t="s">
        <v>57</v>
      </c>
      <c r="C109" s="39">
        <f>SUM(D109:N109)</f>
        <v>202.82</v>
      </c>
      <c r="D109" s="39"/>
      <c r="E109" s="39"/>
      <c r="F109" s="39"/>
      <c r="G109" s="39"/>
      <c r="H109" s="39">
        <v>202.82</v>
      </c>
      <c r="I109" s="39"/>
      <c r="J109" s="39"/>
      <c r="K109" s="39"/>
      <c r="L109" s="39"/>
      <c r="M109" s="39"/>
      <c r="N109" s="39"/>
      <c r="O109" s="68">
        <v>0.01</v>
      </c>
      <c r="P109" s="26"/>
      <c r="Q109" s="288" t="s">
        <v>80</v>
      </c>
      <c r="R109" s="287" t="s">
        <v>59</v>
      </c>
      <c r="S109" s="58">
        <f>IF((-C106-C107-C108)&gt;0,(-C106-C107-C108),0)</f>
        <v>0</v>
      </c>
      <c r="T109" s="59">
        <f>IF((-C106-C107-C108)&lt;0,(-C106-C107-C108),0)</f>
        <v>-269453.32351300115</v>
      </c>
    </row>
    <row r="110" spans="1:20" s="330" customFormat="1" ht="16.5" thickBot="1">
      <c r="A110" s="72">
        <f>A106</f>
        <v>41456</v>
      </c>
      <c r="B110" s="26" t="s">
        <v>56</v>
      </c>
      <c r="C110" s="121">
        <f>SUM(C101:C109)</f>
        <v>378315.55105994141</v>
      </c>
      <c r="D110" s="121">
        <f>SUM(D101:D109)</f>
        <v>-1011720.9714886786</v>
      </c>
      <c r="E110" s="121">
        <f>SUM(E101:E109)</f>
        <v>1397755.4725486212</v>
      </c>
      <c r="F110" s="121">
        <f t="shared" ref="F110:H110" si="16">SUM(F101:F109)</f>
        <v>0</v>
      </c>
      <c r="G110" s="121">
        <f t="shared" si="16"/>
        <v>0</v>
      </c>
      <c r="H110" s="121">
        <f t="shared" si="16"/>
        <v>-7718.95</v>
      </c>
      <c r="I110" s="121">
        <f>SUM(I95:I109)</f>
        <v>0</v>
      </c>
      <c r="J110" s="121">
        <f>SUM(J95:J109)</f>
        <v>0</v>
      </c>
      <c r="K110" s="121">
        <f>SUM(K95:K109)</f>
        <v>0</v>
      </c>
      <c r="L110" s="121">
        <f>SUM(L95:L109)</f>
        <v>0</v>
      </c>
      <c r="M110" s="121">
        <f>SUM(M101:M109)</f>
        <v>0</v>
      </c>
      <c r="N110" s="121">
        <f>SUM(N101:N109)</f>
        <v>0</v>
      </c>
      <c r="O110" s="26"/>
      <c r="P110" s="26"/>
      <c r="Q110" s="290" t="s">
        <v>154</v>
      </c>
      <c r="R110" s="287" t="s">
        <v>77</v>
      </c>
      <c r="S110" s="58">
        <v>0</v>
      </c>
      <c r="T110" s="59">
        <f>IF(-C109&lt;0,-C109,0)</f>
        <v>-202.82</v>
      </c>
    </row>
    <row r="111" spans="1:20" s="330" customFormat="1" ht="16.5" thickTop="1" thickBot="1">
      <c r="A111" s="29"/>
      <c r="Q111" s="291" t="s">
        <v>83</v>
      </c>
      <c r="R111" s="289" t="s">
        <v>78</v>
      </c>
      <c r="S111" s="86">
        <f>IF(-C109&gt;0,-C109,0)</f>
        <v>0</v>
      </c>
      <c r="T111" s="79">
        <v>0</v>
      </c>
    </row>
    <row r="112" spans="1:20" s="330" customFormat="1">
      <c r="A112" s="29"/>
      <c r="T112" s="286">
        <f>ROUND(SUM(S106:T111),2)</f>
        <v>0</v>
      </c>
    </row>
    <row r="113" spans="1:20" ht="15.75" thickBot="1"/>
    <row r="114" spans="1:20" s="330" customFormat="1" ht="16.5" thickBot="1">
      <c r="A114" s="34"/>
      <c r="Q114" s="284" t="s">
        <v>107</v>
      </c>
      <c r="R114" s="280"/>
      <c r="S114" s="280"/>
      <c r="T114" s="187"/>
    </row>
    <row r="115" spans="1:20" s="330" customFormat="1" ht="15.75">
      <c r="A115" s="34">
        <v>41487</v>
      </c>
      <c r="B115" s="35" t="s">
        <v>84</v>
      </c>
      <c r="C115" s="26">
        <f>SUM(D115:N115)</f>
        <v>112699.18364000041</v>
      </c>
      <c r="D115" s="197">
        <v>-357404.51535499981</v>
      </c>
      <c r="E115" s="197">
        <v>470103.69899500022</v>
      </c>
      <c r="F115" s="198">
        <v>0</v>
      </c>
      <c r="G115" s="198">
        <v>0</v>
      </c>
      <c r="H115" s="26">
        <v>0</v>
      </c>
      <c r="I115" s="26"/>
      <c r="J115" s="26"/>
      <c r="K115" s="26"/>
      <c r="L115" s="26"/>
      <c r="M115" s="26"/>
      <c r="N115" s="26">
        <v>0</v>
      </c>
      <c r="O115" s="74"/>
      <c r="P115" s="26"/>
      <c r="Q115" s="293" t="s">
        <v>81</v>
      </c>
      <c r="R115" s="294" t="s">
        <v>58</v>
      </c>
      <c r="S115" s="80">
        <f>IF((-C110+C119)&gt;0,(-C110+C119),0)</f>
        <v>113061.40364000038</v>
      </c>
      <c r="T115" s="85">
        <f>IF((-C110+C119)&lt;0,(-C110+C119),0)</f>
        <v>0</v>
      </c>
    </row>
    <row r="116" spans="1:20" s="330" customFormat="1" ht="15.75">
      <c r="A116" s="38"/>
      <c r="B116" s="35" t="s">
        <v>148</v>
      </c>
      <c r="C116" s="26">
        <v>0</v>
      </c>
      <c r="D116" s="198">
        <v>0</v>
      </c>
      <c r="E116" s="198">
        <v>0</v>
      </c>
      <c r="F116" s="198"/>
      <c r="G116" s="199"/>
      <c r="H116" s="36"/>
      <c r="I116" s="26"/>
      <c r="J116" s="57"/>
      <c r="K116" s="57"/>
      <c r="L116" s="26"/>
      <c r="M116" s="26"/>
      <c r="N116" s="26"/>
      <c r="O116" s="74"/>
      <c r="P116" s="26"/>
      <c r="Q116" s="295" t="s">
        <v>11</v>
      </c>
      <c r="R116" s="296" t="s">
        <v>62</v>
      </c>
      <c r="S116" s="80">
        <v>0</v>
      </c>
      <c r="T116" s="186">
        <v>0</v>
      </c>
    </row>
    <row r="117" spans="1:20" s="330" customFormat="1" ht="15.75">
      <c r="A117" s="38"/>
      <c r="B117" s="35" t="s">
        <v>144</v>
      </c>
      <c r="C117" s="26">
        <f>SUM(D117:N117)</f>
        <v>0</v>
      </c>
      <c r="D117" s="124">
        <v>0</v>
      </c>
      <c r="E117" s="124"/>
      <c r="F117" s="124"/>
      <c r="G117" s="198">
        <v>0</v>
      </c>
      <c r="H117" s="73"/>
      <c r="I117" s="26"/>
      <c r="J117" s="57"/>
      <c r="K117" s="26"/>
      <c r="L117" s="26"/>
      <c r="M117" s="26"/>
      <c r="N117" s="26"/>
      <c r="O117" s="74"/>
      <c r="P117" s="26"/>
      <c r="Q117" s="295" t="s">
        <v>11</v>
      </c>
      <c r="R117" s="296" t="s">
        <v>207</v>
      </c>
      <c r="S117" s="80">
        <v>0</v>
      </c>
      <c r="T117" s="186">
        <v>0</v>
      </c>
    </row>
    <row r="118" spans="1:20" s="330" customFormat="1" ht="15.75">
      <c r="A118" s="38"/>
      <c r="B118" s="35" t="s">
        <v>57</v>
      </c>
      <c r="C118" s="39">
        <f>SUM(D118:N118)</f>
        <v>362.22</v>
      </c>
      <c r="D118" s="39"/>
      <c r="E118" s="39"/>
      <c r="F118" s="39"/>
      <c r="G118" s="39"/>
      <c r="H118" s="39">
        <v>362.22</v>
      </c>
      <c r="I118" s="39"/>
      <c r="J118" s="39"/>
      <c r="K118" s="39"/>
      <c r="L118" s="39"/>
      <c r="M118" s="39"/>
      <c r="N118" s="39"/>
      <c r="O118" s="68">
        <v>0.01</v>
      </c>
      <c r="P118" s="26"/>
      <c r="Q118" s="288" t="s">
        <v>80</v>
      </c>
      <c r="R118" s="287" t="s">
        <v>59</v>
      </c>
      <c r="S118" s="58">
        <f>IF((-C115-C116-C117)&gt;0,(-C115-C116-C117),0)</f>
        <v>0</v>
      </c>
      <c r="T118" s="59">
        <f>IF((-C115-C116-C117)&lt;0,(-C115-C116-C117),0)</f>
        <v>-112699.18364000041</v>
      </c>
    </row>
    <row r="119" spans="1:20" s="330" customFormat="1" ht="16.5" thickBot="1">
      <c r="A119" s="72">
        <f>A115</f>
        <v>41487</v>
      </c>
      <c r="B119" s="26" t="s">
        <v>56</v>
      </c>
      <c r="C119" s="121">
        <f>SUM(C110:C118)</f>
        <v>491376.95469994179</v>
      </c>
      <c r="D119" s="121">
        <f>SUM(D110:D118)</f>
        <v>-1369125.4868436784</v>
      </c>
      <c r="E119" s="121">
        <f>SUM(E110:E118)</f>
        <v>1867859.1715436215</v>
      </c>
      <c r="F119" s="121">
        <f t="shared" ref="F119:H119" si="17">SUM(F110:F118)</f>
        <v>0</v>
      </c>
      <c r="G119" s="121">
        <f t="shared" si="17"/>
        <v>0</v>
      </c>
      <c r="H119" s="121">
        <f t="shared" si="17"/>
        <v>-7356.73</v>
      </c>
      <c r="I119" s="121">
        <f>SUM(I104:I118)</f>
        <v>0</v>
      </c>
      <c r="J119" s="121">
        <f>SUM(J104:J118)</f>
        <v>0</v>
      </c>
      <c r="K119" s="121">
        <f>SUM(K104:K118)</f>
        <v>0</v>
      </c>
      <c r="L119" s="121">
        <f>SUM(L104:L118)</f>
        <v>0</v>
      </c>
      <c r="M119" s="121">
        <f>SUM(M110:M118)</f>
        <v>0</v>
      </c>
      <c r="N119" s="121">
        <f>SUM(N110:N118)</f>
        <v>0</v>
      </c>
      <c r="O119" s="26"/>
      <c r="P119" s="26"/>
      <c r="Q119" s="290" t="s">
        <v>154</v>
      </c>
      <c r="R119" s="287" t="s">
        <v>77</v>
      </c>
      <c r="S119" s="58">
        <v>0</v>
      </c>
      <c r="T119" s="59">
        <f>IF(-C118&lt;0,-C118,0)</f>
        <v>-362.22</v>
      </c>
    </row>
    <row r="120" spans="1:20" s="330" customFormat="1" ht="16.5" thickTop="1" thickBot="1">
      <c r="A120" s="29"/>
      <c r="Q120" s="291" t="s">
        <v>83</v>
      </c>
      <c r="R120" s="289" t="s">
        <v>78</v>
      </c>
      <c r="S120" s="86">
        <f>IF(-C118&gt;0,-C118,0)</f>
        <v>0</v>
      </c>
      <c r="T120" s="79">
        <v>0</v>
      </c>
    </row>
    <row r="121" spans="1:20" s="330" customFormat="1">
      <c r="A121" s="29"/>
      <c r="T121" s="286">
        <f>ROUND(SUM(S115:T120),2)</f>
        <v>0</v>
      </c>
    </row>
    <row r="122" spans="1:20" ht="15.75" thickBot="1"/>
    <row r="123" spans="1:20" s="330" customFormat="1" ht="16.5" thickBot="1">
      <c r="A123" s="34"/>
      <c r="Q123" s="284" t="s">
        <v>107</v>
      </c>
      <c r="R123" s="280"/>
      <c r="S123" s="280"/>
      <c r="T123" s="187"/>
    </row>
    <row r="124" spans="1:20" s="330" customFormat="1" ht="15.75">
      <c r="A124" s="34">
        <v>41518</v>
      </c>
      <c r="B124" s="35" t="s">
        <v>84</v>
      </c>
      <c r="C124" s="26">
        <f>SUM(D124:N124)</f>
        <v>-78276.439306000422</v>
      </c>
      <c r="D124" s="197">
        <v>-455176.44495200075</v>
      </c>
      <c r="E124" s="197">
        <v>376900.00564600033</v>
      </c>
      <c r="F124" s="198">
        <v>0</v>
      </c>
      <c r="G124" s="198">
        <v>0</v>
      </c>
      <c r="H124" s="26">
        <v>0</v>
      </c>
      <c r="I124" s="26"/>
      <c r="J124" s="26"/>
      <c r="K124" s="26"/>
      <c r="L124" s="26"/>
      <c r="M124" s="26"/>
      <c r="N124" s="26">
        <v>0</v>
      </c>
      <c r="O124" s="74"/>
      <c r="P124" s="26"/>
      <c r="Q124" s="293" t="s">
        <v>81</v>
      </c>
      <c r="R124" s="294" t="s">
        <v>58</v>
      </c>
      <c r="S124" s="80">
        <f>IF((-C119+C128)&gt;0,(-C119+C128),0)</f>
        <v>0</v>
      </c>
      <c r="T124" s="85">
        <f>IF((-C119+C128)&lt;0,(-C119+C128),0)</f>
        <v>-77899.569306000427</v>
      </c>
    </row>
    <row r="125" spans="1:20" s="330" customFormat="1" ht="15.75">
      <c r="A125" s="38"/>
      <c r="B125" s="35" t="s">
        <v>148</v>
      </c>
      <c r="C125" s="26">
        <v>0</v>
      </c>
      <c r="D125" s="198">
        <v>0</v>
      </c>
      <c r="E125" s="198">
        <v>0</v>
      </c>
      <c r="F125" s="198"/>
      <c r="G125" s="199"/>
      <c r="H125" s="36"/>
      <c r="I125" s="26"/>
      <c r="J125" s="57"/>
      <c r="K125" s="57"/>
      <c r="L125" s="26"/>
      <c r="M125" s="26"/>
      <c r="N125" s="26"/>
      <c r="O125" s="74"/>
      <c r="P125" s="26"/>
      <c r="Q125" s="295" t="s">
        <v>11</v>
      </c>
      <c r="R125" s="296" t="s">
        <v>62</v>
      </c>
      <c r="S125" s="80">
        <v>0</v>
      </c>
      <c r="T125" s="186">
        <v>0</v>
      </c>
    </row>
    <row r="126" spans="1:20" s="330" customFormat="1" ht="15.75">
      <c r="A126" s="38"/>
      <c r="B126" s="35" t="s">
        <v>144</v>
      </c>
      <c r="C126" s="26">
        <f>SUM(D126:N126)</f>
        <v>0</v>
      </c>
      <c r="D126" s="124">
        <v>0</v>
      </c>
      <c r="E126" s="124"/>
      <c r="F126" s="124"/>
      <c r="G126" s="198">
        <v>0</v>
      </c>
      <c r="H126" s="73"/>
      <c r="I126" s="26"/>
      <c r="J126" s="57"/>
      <c r="K126" s="26"/>
      <c r="L126" s="26"/>
      <c r="M126" s="26"/>
      <c r="N126" s="26"/>
      <c r="O126" s="74"/>
      <c r="P126" s="26"/>
      <c r="Q126" s="295" t="s">
        <v>11</v>
      </c>
      <c r="R126" s="296" t="s">
        <v>207</v>
      </c>
      <c r="S126" s="80">
        <v>0</v>
      </c>
      <c r="T126" s="186">
        <v>0</v>
      </c>
    </row>
    <row r="127" spans="1:20" s="330" customFormat="1" ht="15.75">
      <c r="A127" s="38"/>
      <c r="B127" s="35" t="s">
        <v>57</v>
      </c>
      <c r="C127" s="39">
        <f>SUM(D127:N127)</f>
        <v>376.87</v>
      </c>
      <c r="D127" s="39"/>
      <c r="E127" s="39"/>
      <c r="F127" s="39"/>
      <c r="G127" s="39"/>
      <c r="H127" s="39">
        <f>ROUND(((C119)+(C124)/2)*(O127/12),2)</f>
        <v>376.87</v>
      </c>
      <c r="I127" s="39"/>
      <c r="J127" s="39"/>
      <c r="K127" s="39"/>
      <c r="L127" s="39"/>
      <c r="M127" s="39"/>
      <c r="N127" s="39"/>
      <c r="O127" s="68">
        <v>0.01</v>
      </c>
      <c r="P127" s="26"/>
      <c r="Q127" s="288" t="s">
        <v>80</v>
      </c>
      <c r="R127" s="287" t="s">
        <v>59</v>
      </c>
      <c r="S127" s="58">
        <f>IF((-C124-C125-C126)&gt;0,(-C124-C125-C126),0)</f>
        <v>78276.439306000422</v>
      </c>
      <c r="T127" s="59">
        <f>IF((-C124-C125-C126)&lt;0,(-C124-C125-C126),0)</f>
        <v>0</v>
      </c>
    </row>
    <row r="128" spans="1:20" s="330" customFormat="1" ht="16.5" thickBot="1">
      <c r="A128" s="72">
        <f>A124</f>
        <v>41518</v>
      </c>
      <c r="B128" s="26" t="s">
        <v>56</v>
      </c>
      <c r="C128" s="121">
        <f>SUM(C119:C127)</f>
        <v>413477.38539394137</v>
      </c>
      <c r="D128" s="121">
        <f>SUM(D119:D127)</f>
        <v>-1824301.931795679</v>
      </c>
      <c r="E128" s="121">
        <f>SUM(E119:E127)</f>
        <v>2244759.1771896216</v>
      </c>
      <c r="F128" s="121">
        <f t="shared" ref="F128:H128" si="18">SUM(F119:F127)</f>
        <v>0</v>
      </c>
      <c r="G128" s="121">
        <f t="shared" si="18"/>
        <v>0</v>
      </c>
      <c r="H128" s="121">
        <f t="shared" si="18"/>
        <v>-6979.86</v>
      </c>
      <c r="I128" s="121">
        <f>SUM(I113:I127)</f>
        <v>0</v>
      </c>
      <c r="J128" s="121">
        <f>SUM(J113:J127)</f>
        <v>0</v>
      </c>
      <c r="K128" s="121">
        <f>SUM(K113:K127)</f>
        <v>0</v>
      </c>
      <c r="L128" s="121">
        <f>SUM(L113:L127)</f>
        <v>0</v>
      </c>
      <c r="M128" s="121">
        <f>SUM(M119:M127)</f>
        <v>0</v>
      </c>
      <c r="N128" s="121">
        <f>SUM(N119:N127)</f>
        <v>0</v>
      </c>
      <c r="O128" s="26"/>
      <c r="P128" s="26"/>
      <c r="Q128" s="290" t="s">
        <v>154</v>
      </c>
      <c r="R128" s="287" t="s">
        <v>77</v>
      </c>
      <c r="S128" s="58">
        <v>0</v>
      </c>
      <c r="T128" s="59">
        <f>IF(-C127&lt;0,-C127,0)</f>
        <v>-376.87</v>
      </c>
    </row>
    <row r="129" spans="1:20" s="330" customFormat="1" ht="16.5" thickTop="1" thickBot="1">
      <c r="A129" s="29"/>
      <c r="Q129" s="291" t="s">
        <v>83</v>
      </c>
      <c r="R129" s="289" t="s">
        <v>78</v>
      </c>
      <c r="S129" s="86">
        <f>IF(-C127&gt;0,-C127,0)</f>
        <v>0</v>
      </c>
      <c r="T129" s="79">
        <v>0</v>
      </c>
    </row>
    <row r="130" spans="1:20" s="330" customFormat="1">
      <c r="A130" s="29"/>
      <c r="T130" s="286">
        <f>ROUND(SUM(S124:T129),2)</f>
        <v>0</v>
      </c>
    </row>
    <row r="131" spans="1:20" ht="15.75">
      <c r="B131" s="2" t="s">
        <v>11</v>
      </c>
      <c r="C131" s="26">
        <f>SUM(D131:H131)</f>
        <v>-108659.43754694135</v>
      </c>
      <c r="D131" s="198">
        <f>-D101</f>
        <v>764537.78326267947</v>
      </c>
      <c r="E131" s="198">
        <f>-E101-0.03</f>
        <v>-881118.99080962082</v>
      </c>
      <c r="F131" s="198"/>
      <c r="G131" s="199"/>
      <c r="H131" s="36">
        <f>-H101</f>
        <v>7921.7699999999995</v>
      </c>
      <c r="I131" s="26"/>
      <c r="J131" s="57"/>
      <c r="K131" s="57"/>
      <c r="L131" s="26"/>
      <c r="M131" s="26"/>
      <c r="N131" s="26"/>
    </row>
    <row r="132" spans="1:20" s="330" customFormat="1" ht="16.5" thickBot="1">
      <c r="A132" s="29"/>
      <c r="B132" s="2" t="s">
        <v>226</v>
      </c>
      <c r="C132" s="121">
        <f t="shared" ref="C132:H132" si="19">SUM(C128:C131)</f>
        <v>304817.94784700003</v>
      </c>
      <c r="D132" s="121">
        <f t="shared" si="19"/>
        <v>-1059764.1485329997</v>
      </c>
      <c r="E132" s="121">
        <f t="shared" si="19"/>
        <v>1363640.1863800008</v>
      </c>
      <c r="F132" s="121">
        <f t="shared" si="19"/>
        <v>0</v>
      </c>
      <c r="G132" s="121">
        <f t="shared" si="19"/>
        <v>0</v>
      </c>
      <c r="H132" s="121">
        <f t="shared" si="19"/>
        <v>941.90999999999985</v>
      </c>
      <c r="I132" s="121">
        <f>SUM(I117:I131)</f>
        <v>0</v>
      </c>
      <c r="J132" s="121">
        <f>SUM(J117:J131)</f>
        <v>0</v>
      </c>
      <c r="K132" s="121">
        <f>SUM(K117:K131)</f>
        <v>0</v>
      </c>
      <c r="L132" s="121">
        <f>SUM(L117:L131)</f>
        <v>0</v>
      </c>
      <c r="M132" s="121">
        <f>SUM(M123:M131)</f>
        <v>0</v>
      </c>
      <c r="N132" s="121">
        <f>SUM(N123:N131)</f>
        <v>0</v>
      </c>
    </row>
    <row r="133" spans="1:20" s="330" customFormat="1" ht="15.75" thickTop="1">
      <c r="A133" s="29"/>
    </row>
    <row r="134" spans="1:20" s="330" customFormat="1">
      <c r="A134" s="29"/>
    </row>
    <row r="135" spans="1:20" s="330" customFormat="1" ht="15.75" thickBot="1">
      <c r="A135" s="29"/>
    </row>
    <row r="136" spans="1:20" s="330" customFormat="1" ht="16.5" thickBot="1">
      <c r="A136" s="34"/>
      <c r="Q136" s="284" t="s">
        <v>107</v>
      </c>
      <c r="R136" s="280"/>
      <c r="S136" s="280"/>
      <c r="T136" s="187"/>
    </row>
    <row r="137" spans="1:20" s="330" customFormat="1" ht="15.75">
      <c r="A137" s="34">
        <v>41578</v>
      </c>
      <c r="B137" s="35" t="s">
        <v>84</v>
      </c>
      <c r="C137" s="26">
        <f>SUM(D137:N137)</f>
        <v>-484520.52738299966</v>
      </c>
      <c r="D137" s="197">
        <v>-566000.77746000001</v>
      </c>
      <c r="E137" s="197">
        <v>81480.250077000353</v>
      </c>
      <c r="F137" s="198">
        <v>0</v>
      </c>
      <c r="G137" s="198">
        <v>0</v>
      </c>
      <c r="H137" s="26">
        <v>0</v>
      </c>
      <c r="I137" s="26"/>
      <c r="J137" s="26"/>
      <c r="K137" s="26"/>
      <c r="L137" s="26"/>
      <c r="M137" s="26"/>
      <c r="N137" s="26">
        <v>0</v>
      </c>
      <c r="O137" s="74"/>
      <c r="P137" s="26"/>
      <c r="Q137" s="293" t="s">
        <v>81</v>
      </c>
      <c r="R137" s="294" t="s">
        <v>58</v>
      </c>
      <c r="S137" s="80">
        <f>IF((-C128+C141)&gt;0,(-C128+C141),0)</f>
        <v>0</v>
      </c>
      <c r="T137" s="85">
        <f>IF((-C128+C141)&lt;0,(-C128+C141),0)</f>
        <v>-593127.83492994099</v>
      </c>
    </row>
    <row r="138" spans="1:20" s="330" customFormat="1" ht="15.75">
      <c r="A138" s="38"/>
      <c r="B138" s="35" t="s">
        <v>148</v>
      </c>
      <c r="C138" s="26">
        <f>SUM(D138:H138)</f>
        <v>0</v>
      </c>
      <c r="D138" s="198">
        <v>0</v>
      </c>
      <c r="E138" s="198">
        <v>0</v>
      </c>
      <c r="F138" s="198"/>
      <c r="G138" s="199"/>
      <c r="H138" s="36">
        <v>0</v>
      </c>
      <c r="I138" s="26"/>
      <c r="J138" s="57"/>
      <c r="K138" s="57"/>
      <c r="L138" s="26"/>
      <c r="M138" s="26"/>
      <c r="N138" s="26"/>
      <c r="O138" s="74"/>
      <c r="P138" s="26"/>
      <c r="Q138" s="295" t="s">
        <v>11</v>
      </c>
      <c r="R138" s="296" t="s">
        <v>62</v>
      </c>
      <c r="S138" s="80">
        <f>-C131</f>
        <v>108659.43754694135</v>
      </c>
      <c r="T138" s="186">
        <v>0</v>
      </c>
    </row>
    <row r="139" spans="1:20" s="330" customFormat="1" ht="15.75">
      <c r="A139" s="38"/>
      <c r="B139" s="35" t="s">
        <v>144</v>
      </c>
      <c r="C139" s="26">
        <f>SUM(D139:N139)</f>
        <v>0</v>
      </c>
      <c r="D139" s="124"/>
      <c r="E139" s="124"/>
      <c r="F139" s="124"/>
      <c r="G139" s="198">
        <v>0</v>
      </c>
      <c r="H139" s="73"/>
      <c r="I139" s="26"/>
      <c r="J139" s="57"/>
      <c r="K139" s="26"/>
      <c r="L139" s="26"/>
      <c r="M139" s="26"/>
      <c r="N139" s="26"/>
      <c r="O139" s="74"/>
      <c r="P139" s="26"/>
      <c r="Q139" s="295" t="s">
        <v>11</v>
      </c>
      <c r="R139" s="296" t="s">
        <v>207</v>
      </c>
      <c r="S139" s="80">
        <v>0</v>
      </c>
      <c r="T139" s="186">
        <v>0</v>
      </c>
    </row>
    <row r="140" spans="1:20" s="330" customFormat="1" ht="15.75">
      <c r="A140" s="38"/>
      <c r="B140" s="35" t="s">
        <v>57</v>
      </c>
      <c r="C140" s="39">
        <f>SUM(D140:N140)</f>
        <v>52.13</v>
      </c>
      <c r="D140" s="39"/>
      <c r="E140" s="39"/>
      <c r="F140" s="39"/>
      <c r="G140" s="39"/>
      <c r="H140" s="39">
        <v>52.13</v>
      </c>
      <c r="I140" s="39"/>
      <c r="J140" s="39"/>
      <c r="K140" s="39"/>
      <c r="L140" s="39"/>
      <c r="M140" s="39"/>
      <c r="N140" s="39"/>
      <c r="O140" s="68">
        <v>0.01</v>
      </c>
      <c r="P140" s="26"/>
      <c r="Q140" s="288" t="s">
        <v>80</v>
      </c>
      <c r="R140" s="287" t="s">
        <v>59</v>
      </c>
      <c r="S140" s="58">
        <f>IF((-C137-C138-C139)&gt;0,(-C137-C138-C139),0)</f>
        <v>484520.52738299966</v>
      </c>
      <c r="T140" s="59">
        <f>IF((-C137-C138-C139)&lt;0,(-C137-C138-C139),0)</f>
        <v>0</v>
      </c>
    </row>
    <row r="141" spans="1:20" s="330" customFormat="1" ht="16.5" thickBot="1">
      <c r="A141" s="72">
        <f>A137</f>
        <v>41578</v>
      </c>
      <c r="B141" s="26" t="s">
        <v>56</v>
      </c>
      <c r="C141" s="121">
        <f t="shared" ref="C141:H141" si="20">SUM(C132:C140)</f>
        <v>-179650.44953599962</v>
      </c>
      <c r="D141" s="121">
        <f t="shared" si="20"/>
        <v>-1625764.9259929997</v>
      </c>
      <c r="E141" s="121">
        <f t="shared" si="20"/>
        <v>1445120.4364570011</v>
      </c>
      <c r="F141" s="121">
        <f t="shared" si="20"/>
        <v>0</v>
      </c>
      <c r="G141" s="121">
        <f t="shared" si="20"/>
        <v>0</v>
      </c>
      <c r="H141" s="121">
        <f t="shared" si="20"/>
        <v>994.03999999999985</v>
      </c>
      <c r="I141" s="121">
        <f>SUM(I122:I140)</f>
        <v>0</v>
      </c>
      <c r="J141" s="121">
        <f>SUM(J122:J140)</f>
        <v>0</v>
      </c>
      <c r="K141" s="121">
        <f>SUM(K122:K140)</f>
        <v>0</v>
      </c>
      <c r="L141" s="121">
        <f>SUM(L122:L140)</f>
        <v>0</v>
      </c>
      <c r="M141" s="121">
        <f>SUM(M128:M140)</f>
        <v>0</v>
      </c>
      <c r="N141" s="121">
        <f>SUM(N128:N140)</f>
        <v>0</v>
      </c>
      <c r="O141" s="26"/>
      <c r="P141" s="26"/>
      <c r="Q141" s="290" t="s">
        <v>154</v>
      </c>
      <c r="R141" s="287" t="s">
        <v>77</v>
      </c>
      <c r="S141" s="58">
        <v>0</v>
      </c>
      <c r="T141" s="59">
        <f>IF(-C140&lt;0,-C140,0)</f>
        <v>-52.13</v>
      </c>
    </row>
    <row r="142" spans="1:20" s="330" customFormat="1" ht="16.5" thickTop="1" thickBot="1">
      <c r="A142" s="29"/>
      <c r="Q142" s="291" t="s">
        <v>83</v>
      </c>
      <c r="R142" s="289" t="s">
        <v>78</v>
      </c>
      <c r="S142" s="86">
        <f>IF(-C140&gt;0,-C140,0)</f>
        <v>0</v>
      </c>
      <c r="T142" s="79">
        <v>0</v>
      </c>
    </row>
    <row r="143" spans="1:20" s="330" customFormat="1">
      <c r="A143" s="29"/>
      <c r="T143" s="286">
        <f>ROUND(SUM(S137:T142),2)</f>
        <v>0</v>
      </c>
    </row>
    <row r="144" spans="1:20" s="330" customFormat="1" ht="15.75" thickBot="1">
      <c r="A144" s="29"/>
    </row>
    <row r="145" spans="1:20" s="330" customFormat="1" ht="16.5" thickBot="1">
      <c r="A145" s="34"/>
      <c r="Q145" s="284" t="s">
        <v>107</v>
      </c>
      <c r="R145" s="280"/>
      <c r="S145" s="280"/>
      <c r="T145" s="187"/>
    </row>
    <row r="146" spans="1:20" s="330" customFormat="1" ht="15.75">
      <c r="A146" s="34">
        <f>EOMONTH(A141,1)</f>
        <v>41608</v>
      </c>
      <c r="B146" s="35" t="s">
        <v>84</v>
      </c>
      <c r="C146" s="26">
        <f>SUM(D146:N146)</f>
        <v>-593071.07474399754</v>
      </c>
      <c r="D146" s="197">
        <v>-244467.20447699772</v>
      </c>
      <c r="E146" s="197">
        <v>-348603.87026699982</v>
      </c>
      <c r="F146" s="198">
        <v>0</v>
      </c>
      <c r="G146" s="198">
        <v>0</v>
      </c>
      <c r="H146" s="26">
        <v>0</v>
      </c>
      <c r="I146" s="26"/>
      <c r="J146" s="26"/>
      <c r="K146" s="26"/>
      <c r="L146" s="26"/>
      <c r="M146" s="26"/>
      <c r="N146" s="26">
        <v>0</v>
      </c>
      <c r="O146" s="74"/>
      <c r="P146" s="26"/>
      <c r="Q146" s="293" t="s">
        <v>81</v>
      </c>
      <c r="R146" s="294" t="s">
        <v>58</v>
      </c>
      <c r="S146" s="80">
        <f>IF((-C141+C150)&gt;0,(-C141+C150),0)</f>
        <v>0</v>
      </c>
      <c r="T146" s="85">
        <f>IF((-C141+C150)&lt;0,(-C141+C150),0)</f>
        <v>-591098.89221899747</v>
      </c>
    </row>
    <row r="147" spans="1:20" s="330" customFormat="1" ht="15.75">
      <c r="A147" s="38"/>
      <c r="B147" s="35" t="s">
        <v>148</v>
      </c>
      <c r="C147" s="26">
        <f>SUM(D147:H147)</f>
        <v>2369.0025250000003</v>
      </c>
      <c r="D147" s="198">
        <v>2367.0300000000002</v>
      </c>
      <c r="E147" s="198">
        <v>0</v>
      </c>
      <c r="F147" s="198"/>
      <c r="G147" s="199"/>
      <c r="H147" s="36">
        <v>1.9725250000000001</v>
      </c>
      <c r="I147" s="26"/>
      <c r="J147" s="57"/>
      <c r="K147" s="57"/>
      <c r="L147" s="26"/>
      <c r="M147" s="26"/>
      <c r="N147" s="26"/>
      <c r="O147" s="74"/>
      <c r="P147" s="26"/>
      <c r="Q147" s="295" t="s">
        <v>11</v>
      </c>
      <c r="R147" s="296" t="s">
        <v>62</v>
      </c>
      <c r="S147" s="80">
        <v>0</v>
      </c>
      <c r="T147" s="186">
        <v>0</v>
      </c>
    </row>
    <row r="148" spans="1:20" s="330" customFormat="1" ht="15.75">
      <c r="A148" s="38"/>
      <c r="B148" s="35" t="s">
        <v>144</v>
      </c>
      <c r="C148" s="26">
        <f>SUM(D148:N148)</f>
        <v>0</v>
      </c>
      <c r="D148" s="124"/>
      <c r="E148" s="124"/>
      <c r="F148" s="124"/>
      <c r="G148" s="198">
        <v>0</v>
      </c>
      <c r="H148" s="73"/>
      <c r="I148" s="26"/>
      <c r="J148" s="57"/>
      <c r="K148" s="26"/>
      <c r="L148" s="26"/>
      <c r="M148" s="26"/>
      <c r="N148" s="26"/>
      <c r="O148" s="74"/>
      <c r="P148" s="26"/>
      <c r="Q148" s="295" t="s">
        <v>11</v>
      </c>
      <c r="R148" s="296" t="s">
        <v>207</v>
      </c>
      <c r="S148" s="80">
        <v>0</v>
      </c>
      <c r="T148" s="186">
        <v>0</v>
      </c>
    </row>
    <row r="149" spans="1:20" s="330" customFormat="1" ht="15.75">
      <c r="A149" s="38"/>
      <c r="B149" s="35" t="s">
        <v>57</v>
      </c>
      <c r="C149" s="39">
        <f>SUM(D149:N149)</f>
        <v>-396.82</v>
      </c>
      <c r="D149" s="39"/>
      <c r="E149" s="39"/>
      <c r="F149" s="39"/>
      <c r="G149" s="39"/>
      <c r="H149" s="39">
        <v>-396.82</v>
      </c>
      <c r="I149" s="39"/>
      <c r="J149" s="39"/>
      <c r="K149" s="39"/>
      <c r="L149" s="39"/>
      <c r="M149" s="39"/>
      <c r="N149" s="39"/>
      <c r="O149" s="68">
        <v>0.01</v>
      </c>
      <c r="P149" s="26"/>
      <c r="Q149" s="288" t="s">
        <v>80</v>
      </c>
      <c r="R149" s="287" t="s">
        <v>59</v>
      </c>
      <c r="S149" s="58">
        <f>IF((-C146-C147-C148)&gt;0,(-C146-C147-C148),0)</f>
        <v>590702.07221899752</v>
      </c>
      <c r="T149" s="59">
        <f>IF((-C146-C147-C148)&lt;0,(-C146-C147-C148),0)</f>
        <v>0</v>
      </c>
    </row>
    <row r="150" spans="1:20" s="330" customFormat="1" ht="16.5" thickBot="1">
      <c r="A150" s="72">
        <f>A146</f>
        <v>41608</v>
      </c>
      <c r="B150" s="26" t="s">
        <v>56</v>
      </c>
      <c r="C150" s="121">
        <f t="shared" ref="C150:H150" si="21">SUM(C141:C149)</f>
        <v>-770749.34175499715</v>
      </c>
      <c r="D150" s="121">
        <f t="shared" si="21"/>
        <v>-1867865.1004699974</v>
      </c>
      <c r="E150" s="121">
        <f t="shared" si="21"/>
        <v>1096516.5661900013</v>
      </c>
      <c r="F150" s="121">
        <f t="shared" si="21"/>
        <v>0</v>
      </c>
      <c r="G150" s="121">
        <f t="shared" si="21"/>
        <v>0</v>
      </c>
      <c r="H150" s="121">
        <f t="shared" si="21"/>
        <v>599.19252499999993</v>
      </c>
      <c r="I150" s="121">
        <f>SUM(I131:I149)</f>
        <v>0</v>
      </c>
      <c r="J150" s="121">
        <f>SUM(J131:J149)</f>
        <v>0</v>
      </c>
      <c r="K150" s="121">
        <f>SUM(K131:K149)</f>
        <v>0</v>
      </c>
      <c r="L150" s="121">
        <f>SUM(L131:L149)</f>
        <v>0</v>
      </c>
      <c r="M150" s="121">
        <f>SUM(M137:M149)</f>
        <v>0</v>
      </c>
      <c r="N150" s="121">
        <f>SUM(N137:N149)</f>
        <v>0</v>
      </c>
      <c r="O150" s="26"/>
      <c r="P150" s="26"/>
      <c r="Q150" s="290" t="s">
        <v>154</v>
      </c>
      <c r="R150" s="287" t="s">
        <v>77</v>
      </c>
      <c r="S150" s="58">
        <v>0</v>
      </c>
      <c r="T150" s="59">
        <f>IF(-C149&lt;0,-C149,0)</f>
        <v>0</v>
      </c>
    </row>
    <row r="151" spans="1:20" s="330" customFormat="1" ht="16.5" thickTop="1" thickBot="1">
      <c r="A151" s="29"/>
      <c r="Q151" s="291" t="s">
        <v>83</v>
      </c>
      <c r="R151" s="289" t="s">
        <v>78</v>
      </c>
      <c r="S151" s="86">
        <f>IF(-C149&gt;0,-C149,0)</f>
        <v>396.82</v>
      </c>
      <c r="T151" s="79">
        <v>0</v>
      </c>
    </row>
    <row r="152" spans="1:20" s="330" customFormat="1">
      <c r="A152" s="29"/>
      <c r="T152" s="286">
        <f>ROUND(SUM(S146:T151),2)</f>
        <v>0</v>
      </c>
    </row>
    <row r="153" spans="1:20" s="330" customFormat="1" ht="15.75" thickBot="1">
      <c r="A153" s="29"/>
    </row>
    <row r="154" spans="1:20" s="330" customFormat="1" ht="16.5" thickBot="1">
      <c r="A154" s="34"/>
      <c r="Q154" s="284" t="s">
        <v>237</v>
      </c>
      <c r="R154" s="280"/>
      <c r="S154" s="280"/>
      <c r="T154" s="187"/>
    </row>
    <row r="155" spans="1:20" s="330" customFormat="1" ht="15.75">
      <c r="A155" s="34">
        <f>EOMONTH(A150,1)</f>
        <v>41639</v>
      </c>
      <c r="B155" s="35" t="s">
        <v>84</v>
      </c>
      <c r="C155" s="26">
        <f>SUM(D155:N155)</f>
        <v>-129091.61911799945</v>
      </c>
      <c r="D155" s="197">
        <f>Jan!$J$55</f>
        <v>407415.8115520007</v>
      </c>
      <c r="E155" s="197">
        <f>Jan!$K$55</f>
        <v>-536507.43067000015</v>
      </c>
      <c r="F155" s="198">
        <v>0</v>
      </c>
      <c r="G155" s="198">
        <v>0</v>
      </c>
      <c r="H155" s="26">
        <v>0</v>
      </c>
      <c r="I155" s="26"/>
      <c r="J155" s="26"/>
      <c r="K155" s="26"/>
      <c r="L155" s="26"/>
      <c r="M155" s="26"/>
      <c r="N155" s="26">
        <v>0</v>
      </c>
      <c r="O155" s="74"/>
      <c r="P155" s="26"/>
      <c r="Q155" s="293" t="s">
        <v>81</v>
      </c>
      <c r="R155" s="294" t="s">
        <v>58</v>
      </c>
      <c r="S155" s="80">
        <f>IF((-C150+C159)&gt;0,(-C150+C159),0)</f>
        <v>0</v>
      </c>
      <c r="T155" s="85">
        <f>IF((-C150+C159)&lt;0,(-C150+C159),0)</f>
        <v>-129787.69911799941</v>
      </c>
    </row>
    <row r="156" spans="1:20" s="330" customFormat="1" ht="15.75">
      <c r="A156" s="38"/>
      <c r="B156" s="35" t="s">
        <v>233</v>
      </c>
      <c r="C156" s="26">
        <f>SUM(D156:H156)</f>
        <v>0</v>
      </c>
      <c r="D156" s="198">
        <v>0</v>
      </c>
      <c r="E156" s="198">
        <v>0</v>
      </c>
      <c r="F156" s="198"/>
      <c r="G156" s="199"/>
      <c r="H156" s="73">
        <v>0</v>
      </c>
      <c r="I156" s="26"/>
      <c r="J156" s="57"/>
      <c r="K156" s="57"/>
      <c r="L156" s="26"/>
      <c r="M156" s="26"/>
      <c r="N156" s="26"/>
      <c r="O156" s="74"/>
      <c r="P156" s="26"/>
      <c r="Q156" s="295" t="s">
        <v>11</v>
      </c>
      <c r="R156" s="296" t="s">
        <v>62</v>
      </c>
      <c r="S156" s="80">
        <v>0</v>
      </c>
      <c r="T156" s="186">
        <v>0</v>
      </c>
    </row>
    <row r="157" spans="1:20" s="330" customFormat="1" ht="15.75">
      <c r="A157" s="38"/>
      <c r="B157" s="35" t="s">
        <v>144</v>
      </c>
      <c r="C157" s="26">
        <f>SUM(D157:N157)</f>
        <v>0</v>
      </c>
      <c r="D157" s="124"/>
      <c r="E157" s="124"/>
      <c r="F157" s="124"/>
      <c r="G157" s="198">
        <v>0</v>
      </c>
      <c r="H157" s="73">
        <v>0</v>
      </c>
      <c r="I157" s="26"/>
      <c r="J157" s="57"/>
      <c r="K157" s="26"/>
      <c r="L157" s="26"/>
      <c r="M157" s="26"/>
      <c r="N157" s="26"/>
      <c r="O157" s="74"/>
      <c r="P157" s="26"/>
      <c r="Q157" s="295" t="s">
        <v>11</v>
      </c>
      <c r="R157" s="296" t="s">
        <v>207</v>
      </c>
      <c r="S157" s="80">
        <v>0</v>
      </c>
      <c r="T157" s="186">
        <v>0</v>
      </c>
    </row>
    <row r="158" spans="1:20" s="330" customFormat="1" ht="15.75">
      <c r="A158" s="38"/>
      <c r="B158" s="35" t="s">
        <v>57</v>
      </c>
      <c r="C158" s="39">
        <f>SUM(D158:N158)</f>
        <v>-696.08</v>
      </c>
      <c r="D158" s="39"/>
      <c r="E158" s="39"/>
      <c r="F158" s="39"/>
      <c r="G158" s="39"/>
      <c r="H158" s="39">
        <f>ROUND(((C150)+(C155)/2)*(O158/12),2)</f>
        <v>-696.08</v>
      </c>
      <c r="I158" s="39"/>
      <c r="J158" s="39"/>
      <c r="K158" s="39"/>
      <c r="L158" s="39"/>
      <c r="M158" s="39"/>
      <c r="N158" s="39"/>
      <c r="O158" s="68">
        <v>0.01</v>
      </c>
      <c r="P158" s="26"/>
      <c r="Q158" s="288" t="s">
        <v>80</v>
      </c>
      <c r="R158" s="287" t="s">
        <v>59</v>
      </c>
      <c r="S158" s="58">
        <f>IF((-C155-C157)&gt;0,(-C155-C157),0)</f>
        <v>129091.61911799945</v>
      </c>
      <c r="T158" s="59">
        <f>IF((-C155-C156-C157)&lt;0,(-C155-C156-C157),0)</f>
        <v>0</v>
      </c>
    </row>
    <row r="159" spans="1:20" s="330" customFormat="1" ht="16.5" thickBot="1">
      <c r="A159" s="72">
        <f>A155</f>
        <v>41639</v>
      </c>
      <c r="B159" s="26" t="s">
        <v>56</v>
      </c>
      <c r="C159" s="121">
        <f>SUM(C150:C158)</f>
        <v>-900537.04087299656</v>
      </c>
      <c r="D159" s="121">
        <f t="shared" ref="D159" si="22">SUM(D150:D158)</f>
        <v>-1460449.2889179967</v>
      </c>
      <c r="E159" s="121">
        <f t="shared" ref="E159" si="23">SUM(E150:E158)</f>
        <v>560009.13552000117</v>
      </c>
      <c r="F159" s="121">
        <f t="shared" ref="F159" si="24">SUM(F150:F158)</f>
        <v>0</v>
      </c>
      <c r="G159" s="121">
        <f t="shared" ref="G159" si="25">SUM(G150:G158)</f>
        <v>0</v>
      </c>
      <c r="H159" s="121">
        <f t="shared" ref="H159" si="26">SUM(H150:H158)</f>
        <v>-96.887475000000109</v>
      </c>
      <c r="I159" s="121">
        <f>SUM(I140:I158)</f>
        <v>0</v>
      </c>
      <c r="J159" s="121">
        <f>SUM(J140:J158)</f>
        <v>0</v>
      </c>
      <c r="K159" s="121">
        <f>SUM(K140:K158)</f>
        <v>0</v>
      </c>
      <c r="L159" s="121">
        <f>SUM(L140:L158)</f>
        <v>0</v>
      </c>
      <c r="M159" s="121">
        <f>SUM(M146:M158)</f>
        <v>0</v>
      </c>
      <c r="N159" s="121">
        <f>SUM(N146:N158)</f>
        <v>0</v>
      </c>
      <c r="O159" s="26"/>
      <c r="P159" s="26"/>
      <c r="Q159" s="290" t="s">
        <v>154</v>
      </c>
      <c r="R159" s="287" t="s">
        <v>77</v>
      </c>
      <c r="S159" s="58">
        <v>0</v>
      </c>
      <c r="T159" s="59">
        <f>IF(-C158&lt;0,-C158,0)</f>
        <v>0</v>
      </c>
    </row>
    <row r="160" spans="1:20" s="330" customFormat="1" ht="17.25" thickTop="1" thickBot="1">
      <c r="A160" s="29"/>
      <c r="B160" s="9" t="s">
        <v>246</v>
      </c>
      <c r="C160" s="330">
        <f>SUM(D160:H160)</f>
        <v>-487553.62</v>
      </c>
      <c r="D160" s="197"/>
      <c r="E160" s="197">
        <v>-481637.67</v>
      </c>
      <c r="F160" s="198"/>
      <c r="G160" s="198"/>
      <c r="H160" s="26">
        <v>-5915.95</v>
      </c>
      <c r="Q160" s="291" t="s">
        <v>83</v>
      </c>
      <c r="R160" s="289" t="s">
        <v>78</v>
      </c>
      <c r="S160" s="86">
        <f>IF(-C158&gt;0,-C158,0)</f>
        <v>696.08</v>
      </c>
      <c r="T160" s="79">
        <v>0</v>
      </c>
    </row>
    <row r="161" spans="1:20" s="330" customFormat="1" ht="15.75">
      <c r="A161" s="29"/>
      <c r="B161" s="9" t="s">
        <v>240</v>
      </c>
      <c r="C161" s="415">
        <f>SUM(C159:C160)</f>
        <v>-1388090.6608729966</v>
      </c>
      <c r="D161" s="415">
        <f>D160+D159</f>
        <v>-1460449.2889179967</v>
      </c>
      <c r="E161" s="415">
        <f>E160+E159</f>
        <v>78371.465520001191</v>
      </c>
      <c r="F161" s="415">
        <f>F160+F159</f>
        <v>0</v>
      </c>
      <c r="G161" s="415">
        <f>G160+G159</f>
        <v>0</v>
      </c>
      <c r="H161" s="415">
        <f>H160+H159</f>
        <v>-6012.8374750000003</v>
      </c>
      <c r="I161" s="415"/>
      <c r="J161" s="415"/>
      <c r="K161" s="415"/>
      <c r="L161" s="415"/>
      <c r="M161" s="415">
        <f>M160+M159</f>
        <v>0</v>
      </c>
      <c r="N161" s="415">
        <f>N160+N159</f>
        <v>0</v>
      </c>
      <c r="S161" s="41"/>
      <c r="T161" s="286">
        <f>ROUND(SUM(S155:T160),2)</f>
        <v>0</v>
      </c>
    </row>
    <row r="162" spans="1:20" ht="16.5" thickBot="1">
      <c r="B162" s="9" t="s">
        <v>241</v>
      </c>
      <c r="C162" s="330" t="e">
        <f>_xll.Get_Balance("201312","YTD","USD","Total","A","","001","191010","GD","ID","DL")</f>
        <v>#VALUE!</v>
      </c>
      <c r="D162" s="330"/>
      <c r="E162" s="330"/>
      <c r="F162" s="330"/>
      <c r="G162" s="330"/>
      <c r="H162" s="330"/>
      <c r="M162" s="330"/>
      <c r="N162" s="330"/>
    </row>
    <row r="163" spans="1:20" ht="16.5" thickBot="1">
      <c r="B163" s="9" t="s">
        <v>242</v>
      </c>
      <c r="C163" s="121" t="e">
        <f>C161-C162</f>
        <v>#VALUE!</v>
      </c>
      <c r="D163" s="330"/>
      <c r="E163" s="330"/>
      <c r="F163" s="330"/>
      <c r="G163" s="330"/>
      <c r="H163" s="330"/>
      <c r="I163" s="330"/>
      <c r="J163" s="330"/>
      <c r="K163" s="330"/>
      <c r="L163" s="330"/>
      <c r="M163" s="330"/>
      <c r="N163" s="330"/>
      <c r="Q163" s="284" t="s">
        <v>238</v>
      </c>
      <c r="R163" s="280"/>
      <c r="S163" s="280"/>
      <c r="T163" s="187"/>
    </row>
    <row r="164" spans="1:20" ht="15.75" thickTop="1">
      <c r="D164" s="330"/>
      <c r="E164" s="330"/>
      <c r="F164" s="330"/>
      <c r="G164" s="330"/>
      <c r="H164" s="330"/>
      <c r="I164" s="330"/>
      <c r="J164" s="330"/>
      <c r="K164" s="330"/>
      <c r="L164" s="330"/>
      <c r="M164" s="330"/>
      <c r="N164" s="330"/>
      <c r="Q164" s="293" t="s">
        <v>81</v>
      </c>
      <c r="R164" s="294" t="s">
        <v>58</v>
      </c>
      <c r="S164" s="80">
        <v>0</v>
      </c>
      <c r="T164" s="85">
        <v>-1943728.32</v>
      </c>
    </row>
    <row r="165" spans="1:20">
      <c r="Q165" s="295" t="s">
        <v>11</v>
      </c>
      <c r="R165" s="296" t="s">
        <v>62</v>
      </c>
      <c r="S165" s="80">
        <v>0</v>
      </c>
      <c r="T165" s="186">
        <v>0</v>
      </c>
    </row>
    <row r="166" spans="1:20">
      <c r="Q166" s="295" t="s">
        <v>11</v>
      </c>
      <c r="R166" s="296" t="s">
        <v>207</v>
      </c>
      <c r="S166" s="80">
        <v>0</v>
      </c>
      <c r="T166" s="186">
        <v>0</v>
      </c>
    </row>
    <row r="167" spans="1:20">
      <c r="Q167" s="288" t="s">
        <v>80</v>
      </c>
      <c r="R167" s="287" t="s">
        <v>59</v>
      </c>
      <c r="S167" s="58">
        <v>1942276.75</v>
      </c>
      <c r="T167" s="59">
        <f>IF((-C164-C165-C166)&lt;0,(-C164-C165-C166),0)</f>
        <v>0</v>
      </c>
    </row>
    <row r="168" spans="1:20">
      <c r="Q168" s="290" t="s">
        <v>154</v>
      </c>
      <c r="R168" s="287" t="s">
        <v>77</v>
      </c>
      <c r="S168" s="58">
        <v>0</v>
      </c>
      <c r="T168" s="59">
        <f>IF(-C167&lt;0,-C167,0)</f>
        <v>0</v>
      </c>
    </row>
    <row r="169" spans="1:20" ht="15.75" thickBot="1">
      <c r="Q169" s="291" t="s">
        <v>83</v>
      </c>
      <c r="R169" s="289" t="s">
        <v>78</v>
      </c>
      <c r="S169" s="86">
        <v>1451.57</v>
      </c>
      <c r="T169" s="79">
        <v>0</v>
      </c>
    </row>
    <row r="170" spans="1:20">
      <c r="Q170" s="330"/>
      <c r="R170" s="330"/>
      <c r="S170" s="41"/>
      <c r="T170" s="286">
        <f>ROUND(SUM(S164:T169),2)</f>
        <v>0</v>
      </c>
    </row>
    <row r="171" spans="1:20" ht="15.75" thickBot="1"/>
    <row r="172" spans="1:20" ht="15.75" thickBot="1">
      <c r="Q172" s="284" t="s">
        <v>239</v>
      </c>
      <c r="R172" s="280"/>
      <c r="S172" s="280"/>
      <c r="T172" s="187"/>
    </row>
    <row r="173" spans="1:20">
      <c r="Q173" s="293" t="s">
        <v>81</v>
      </c>
      <c r="R173" s="294" t="s">
        <v>58</v>
      </c>
      <c r="S173" s="80">
        <f>T155-T164</f>
        <v>1813940.6208820008</v>
      </c>
      <c r="T173" s="85">
        <f>IF((-C168+C177)&lt;0,(-C168+C177),0)</f>
        <v>0</v>
      </c>
    </row>
    <row r="174" spans="1:20">
      <c r="Q174" s="295" t="s">
        <v>11</v>
      </c>
      <c r="R174" s="296" t="s">
        <v>62</v>
      </c>
      <c r="S174" s="80">
        <v>0</v>
      </c>
      <c r="T174" s="186">
        <v>0</v>
      </c>
    </row>
    <row r="175" spans="1:20">
      <c r="Q175" s="295" t="s">
        <v>11</v>
      </c>
      <c r="R175" s="296" t="s">
        <v>207</v>
      </c>
      <c r="S175" s="80">
        <v>0</v>
      </c>
      <c r="T175" s="186">
        <v>0</v>
      </c>
    </row>
    <row r="176" spans="1:20">
      <c r="Q176" s="288" t="s">
        <v>80</v>
      </c>
      <c r="R176" s="287" t="s">
        <v>59</v>
      </c>
      <c r="S176" s="58">
        <f>IF((-C173-C175)&gt;0,(-C173-C175),0)</f>
        <v>0</v>
      </c>
      <c r="T176" s="59">
        <f>S158-S167</f>
        <v>-1813185.1308820006</v>
      </c>
    </row>
    <row r="177" spans="17:20">
      <c r="Q177" s="290" t="s">
        <v>154</v>
      </c>
      <c r="R177" s="287" t="s">
        <v>77</v>
      </c>
      <c r="S177" s="58">
        <v>0</v>
      </c>
      <c r="T177" s="59">
        <f>IF(-C176&lt;0,-C176,0)</f>
        <v>0</v>
      </c>
    </row>
    <row r="178" spans="17:20" ht="15.75" thickBot="1">
      <c r="Q178" s="291" t="s">
        <v>83</v>
      </c>
      <c r="R178" s="289" t="s">
        <v>78</v>
      </c>
      <c r="S178" s="86">
        <f>IF(-C176&gt;0,-C176,0)</f>
        <v>0</v>
      </c>
      <c r="T178" s="79">
        <f>S160-S169</f>
        <v>-755.4899999999999</v>
      </c>
    </row>
    <row r="179" spans="17:20">
      <c r="Q179" s="330"/>
      <c r="R179" s="330"/>
      <c r="S179" s="41"/>
      <c r="T179" s="286">
        <f>ROUND(SUM(S173:T178),2)</f>
        <v>0</v>
      </c>
    </row>
    <row r="1058" spans="3:3">
      <c r="C1058" s="1">
        <v>-2130</v>
      </c>
    </row>
    <row r="1066" spans="3:3">
      <c r="C1066" s="1">
        <f>7004298-2130</f>
        <v>7002168</v>
      </c>
    </row>
  </sheetData>
  <mergeCells count="1">
    <mergeCell ref="A32:O32"/>
  </mergeCells>
  <phoneticPr fontId="0" type="noConversion"/>
  <conditionalFormatting sqref="T31 T22 T49 T40 T58">
    <cfRule type="cellIs" dxfId="109" priority="258" stopIfTrue="1" operator="equal">
      <formula>0</formula>
    </cfRule>
    <cfRule type="cellIs" dxfId="108" priority="259" stopIfTrue="1" operator="notEqual">
      <formula>0</formula>
    </cfRule>
  </conditionalFormatting>
  <conditionalFormatting sqref="T31 T22 T49 T40 T58">
    <cfRule type="cellIs" dxfId="107" priority="236" stopIfTrue="1" operator="equal">
      <formula>0</formula>
    </cfRule>
  </conditionalFormatting>
  <printOptions gridLinesSet="0"/>
  <pageMargins left="0.18" right="0" top="0.5" bottom="0.5" header="0.5" footer="0.25"/>
  <pageSetup scale="18" orientation="landscape" horizontalDpi="300" verticalDpi="300" r:id="rId1"/>
  <headerFooter alignWithMargins="0">
    <oddFooter>&amp;L&amp;F&amp;C&amp;A&amp;R&amp;D  &amp;T</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41">
    <pageSetUpPr fitToPage="1"/>
  </sheetPr>
  <dimension ref="A1:T1153"/>
  <sheetViews>
    <sheetView showGridLines="0" view="pageBreakPreview" zoomScaleNormal="100" zoomScaleSheetLayoutView="100" workbookViewId="0">
      <pane ySplit="7" topLeftCell="A86" activePane="bottomLeft" state="frozen"/>
      <selection activeCell="G51" sqref="G51:J55"/>
      <selection pane="bottomLeft" activeCell="G51" sqref="G51:J55"/>
    </sheetView>
  </sheetViews>
  <sheetFormatPr defaultColWidth="9.7109375" defaultRowHeight="15"/>
  <cols>
    <col min="1" max="1" width="11.42578125" style="29" customWidth="1"/>
    <col min="2" max="2" width="27.140625" style="279" customWidth="1"/>
    <col min="3" max="3" width="18.42578125" style="279" customWidth="1"/>
    <col min="4" max="4" width="19.140625" style="279" bestFit="1" customWidth="1"/>
    <col min="5" max="5" width="19.42578125" style="279" bestFit="1" customWidth="1"/>
    <col min="6" max="7" width="13.140625" style="279" customWidth="1"/>
    <col min="8" max="8" width="16.7109375" style="279" bestFit="1" customWidth="1"/>
    <col min="9" max="9" width="14.42578125" style="279" hidden="1" customWidth="1"/>
    <col min="10" max="10" width="13.28515625" style="279" hidden="1" customWidth="1"/>
    <col min="11" max="11" width="15.140625" style="279" hidden="1" customWidth="1"/>
    <col min="12" max="12" width="18.140625" style="279" hidden="1" customWidth="1"/>
    <col min="13" max="14" width="12.5703125" style="279" customWidth="1"/>
    <col min="15" max="15" width="11.28515625" style="279" customWidth="1"/>
    <col min="16" max="16" width="2.28515625" style="279" customWidth="1"/>
    <col min="17" max="17" width="26.85546875" style="279" customWidth="1"/>
    <col min="18" max="18" width="16.42578125" style="279" customWidth="1"/>
    <col min="19" max="19" width="17" style="279" customWidth="1"/>
    <col min="20" max="20" width="19.7109375" style="279" customWidth="1"/>
    <col min="21" max="16384" width="9.7109375" style="279"/>
  </cols>
  <sheetData>
    <row r="1" spans="1:20" ht="15.75">
      <c r="A1" s="27" t="s">
        <v>13</v>
      </c>
      <c r="M1" s="22"/>
    </row>
    <row r="2" spans="1:20" ht="15.75">
      <c r="A2" s="27" t="s">
        <v>46</v>
      </c>
    </row>
    <row r="3" spans="1:20" ht="15.75">
      <c r="A3" s="27" t="s">
        <v>201</v>
      </c>
    </row>
    <row r="4" spans="1:20" ht="15.75">
      <c r="A4" s="27" t="s">
        <v>202</v>
      </c>
    </row>
    <row r="5" spans="1:20">
      <c r="Q5" s="221"/>
      <c r="R5" s="5"/>
      <c r="S5" s="5"/>
      <c r="T5" s="5"/>
    </row>
    <row r="6" spans="1:20" s="31" customFormat="1" ht="15.75" customHeight="1">
      <c r="A6" s="30"/>
      <c r="C6" s="31" t="s">
        <v>21</v>
      </c>
      <c r="D6" s="31" t="s">
        <v>2</v>
      </c>
      <c r="E6" s="31" t="s">
        <v>3</v>
      </c>
      <c r="F6" s="31" t="s">
        <v>48</v>
      </c>
      <c r="G6" s="31" t="s">
        <v>144</v>
      </c>
      <c r="H6" s="31" t="s">
        <v>4</v>
      </c>
      <c r="I6" s="31" t="s">
        <v>5</v>
      </c>
      <c r="J6" s="31" t="s">
        <v>50</v>
      </c>
      <c r="K6" s="31" t="s">
        <v>51</v>
      </c>
      <c r="L6" s="31" t="s">
        <v>6</v>
      </c>
      <c r="M6" s="31" t="s">
        <v>52</v>
      </c>
      <c r="N6" s="31" t="s">
        <v>14</v>
      </c>
      <c r="O6" s="31" t="s">
        <v>85</v>
      </c>
    </row>
    <row r="7" spans="1:20" s="31" customFormat="1" ht="15.75" customHeight="1">
      <c r="A7" s="30"/>
      <c r="C7" s="31" t="s">
        <v>203</v>
      </c>
      <c r="D7" s="31" t="s">
        <v>7</v>
      </c>
      <c r="E7" s="31" t="s">
        <v>7</v>
      </c>
      <c r="F7" s="31" t="s">
        <v>7</v>
      </c>
      <c r="G7" s="31" t="s">
        <v>34</v>
      </c>
      <c r="I7" s="31" t="s">
        <v>8</v>
      </c>
      <c r="J7" s="31" t="s">
        <v>53</v>
      </c>
      <c r="K7" s="31" t="s">
        <v>54</v>
      </c>
      <c r="L7" s="31" t="s">
        <v>55</v>
      </c>
      <c r="M7" s="31" t="s">
        <v>7</v>
      </c>
      <c r="N7" s="31" t="s">
        <v>9</v>
      </c>
    </row>
    <row r="8" spans="1:20" s="328" customFormat="1" ht="15.75" hidden="1" customHeight="1">
      <c r="A8" s="326"/>
      <c r="B8" s="203" t="s">
        <v>11</v>
      </c>
      <c r="C8" s="327"/>
      <c r="D8" s="327"/>
      <c r="E8" s="327"/>
      <c r="F8" s="327"/>
      <c r="G8" s="327"/>
      <c r="H8" s="327"/>
      <c r="I8" s="327"/>
      <c r="J8" s="327"/>
      <c r="K8" s="327"/>
      <c r="L8" s="327"/>
      <c r="M8" s="327"/>
      <c r="N8" s="327"/>
      <c r="T8" s="320"/>
    </row>
    <row r="9" spans="1:20" s="328" customFormat="1" ht="16.5" hidden="1" customHeight="1" thickBot="1">
      <c r="A9" s="326"/>
      <c r="B9" s="203" t="s">
        <v>204</v>
      </c>
      <c r="C9" s="329">
        <v>-1550000</v>
      </c>
      <c r="D9" s="329">
        <f>-'ID Def 191010'!D10</f>
        <v>-883736.20005990437</v>
      </c>
      <c r="E9" s="329">
        <f>-'ID Def 191010'!E10</f>
        <v>-659271.7478600872</v>
      </c>
      <c r="F9" s="329">
        <v>0</v>
      </c>
      <c r="G9" s="329">
        <v>0</v>
      </c>
      <c r="H9" s="329">
        <f>-'ID Def 191010'!H10</f>
        <v>-6992.0520800084523</v>
      </c>
      <c r="I9" s="329">
        <v>0</v>
      </c>
      <c r="J9" s="329">
        <v>0</v>
      </c>
      <c r="K9" s="329">
        <v>0</v>
      </c>
      <c r="L9" s="329">
        <v>0</v>
      </c>
      <c r="M9" s="329">
        <v>0</v>
      </c>
      <c r="N9" s="329">
        <v>0</v>
      </c>
      <c r="T9" s="320"/>
    </row>
    <row r="10" spans="1:20" s="31" customFormat="1" ht="15.75" hidden="1" customHeight="1" thickTop="1" thickBot="1">
      <c r="A10" s="30"/>
    </row>
    <row r="11" spans="1:20" ht="15.75" hidden="1" customHeight="1" thickBot="1">
      <c r="Q11" s="284" t="s">
        <v>107</v>
      </c>
      <c r="R11" s="280"/>
      <c r="S11" s="280"/>
      <c r="T11" s="187"/>
    </row>
    <row r="12" spans="1:20" ht="15.75" hidden="1" customHeight="1">
      <c r="A12" s="34">
        <v>41183</v>
      </c>
      <c r="B12" s="35" t="s">
        <v>84</v>
      </c>
      <c r="C12" s="11">
        <v>0</v>
      </c>
      <c r="D12" s="204">
        <v>0</v>
      </c>
      <c r="E12" s="204">
        <v>0</v>
      </c>
      <c r="F12" s="205">
        <v>0</v>
      </c>
      <c r="G12" s="205">
        <v>0</v>
      </c>
      <c r="H12" s="26">
        <v>0</v>
      </c>
      <c r="I12" s="26"/>
      <c r="J12" s="26"/>
      <c r="K12" s="26"/>
      <c r="L12" s="26"/>
      <c r="M12" s="26"/>
      <c r="N12" s="26">
        <v>0</v>
      </c>
      <c r="O12" s="74"/>
      <c r="P12" s="26"/>
      <c r="Q12" s="336" t="s">
        <v>209</v>
      </c>
      <c r="R12" s="337" t="s">
        <v>207</v>
      </c>
      <c r="S12" s="283">
        <f>IF(SUM(C12:C15)&gt;0,C12+C13+C15+C14,0)</f>
        <v>0</v>
      </c>
      <c r="T12" s="285">
        <f>IF(SUM(C12:C15)&lt;0,C12+C13+C15+C14,0)</f>
        <v>-1291.67</v>
      </c>
    </row>
    <row r="13" spans="1:20" ht="15.75" hidden="1" customHeight="1">
      <c r="A13" s="38"/>
      <c r="B13" s="35" t="s">
        <v>148</v>
      </c>
      <c r="C13" s="11">
        <v>0</v>
      </c>
      <c r="D13" s="205"/>
      <c r="E13" s="205">
        <v>0</v>
      </c>
      <c r="F13" s="205"/>
      <c r="G13" s="206"/>
      <c r="H13" s="36"/>
      <c r="I13" s="26"/>
      <c r="J13" s="57"/>
      <c r="K13" s="57"/>
      <c r="L13" s="26"/>
      <c r="M13" s="26"/>
      <c r="N13" s="26"/>
      <c r="O13" s="74"/>
      <c r="P13" s="26"/>
      <c r="Q13" s="295" t="s">
        <v>11</v>
      </c>
      <c r="R13" s="296" t="s">
        <v>62</v>
      </c>
      <c r="S13" s="283">
        <v>0</v>
      </c>
      <c r="T13" s="285">
        <v>0</v>
      </c>
    </row>
    <row r="14" spans="1:20" ht="15.75" hidden="1" customHeight="1">
      <c r="A14" s="38"/>
      <c r="B14" s="35" t="s">
        <v>144</v>
      </c>
      <c r="C14" s="11">
        <v>0</v>
      </c>
      <c r="D14" s="203">
        <v>0</v>
      </c>
      <c r="E14" s="203"/>
      <c r="F14" s="203"/>
      <c r="G14" s="205">
        <v>0</v>
      </c>
      <c r="H14" s="73"/>
      <c r="I14" s="26"/>
      <c r="J14" s="57"/>
      <c r="K14" s="26"/>
      <c r="L14" s="26"/>
      <c r="M14" s="26"/>
      <c r="N14" s="26"/>
      <c r="O14" s="74"/>
      <c r="P14" s="26"/>
      <c r="Q14" s="288" t="s">
        <v>80</v>
      </c>
      <c r="R14" s="287" t="s">
        <v>59</v>
      </c>
      <c r="S14" s="80">
        <f>IF(SUM(C12)&lt;0,-C12,0)</f>
        <v>0</v>
      </c>
      <c r="T14" s="285">
        <f>IF(SUM(C12)&gt;0,-C12,0)</f>
        <v>0</v>
      </c>
    </row>
    <row r="15" spans="1:20" ht="15.75" hidden="1" customHeight="1">
      <c r="A15" s="38"/>
      <c r="B15" s="35" t="s">
        <v>57</v>
      </c>
      <c r="C15" s="39">
        <v>-1291.67</v>
      </c>
      <c r="D15" s="39"/>
      <c r="E15" s="39"/>
      <c r="F15" s="39"/>
      <c r="G15" s="39"/>
      <c r="H15" s="39">
        <v>-1291.67</v>
      </c>
      <c r="I15" s="39"/>
      <c r="J15" s="39"/>
      <c r="K15" s="39"/>
      <c r="L15" s="39"/>
      <c r="M15" s="39"/>
      <c r="N15" s="39"/>
      <c r="O15" s="68">
        <v>0.01</v>
      </c>
      <c r="P15" s="26"/>
      <c r="Q15" s="290" t="s">
        <v>154</v>
      </c>
      <c r="R15" s="287" t="s">
        <v>77</v>
      </c>
      <c r="S15" s="292">
        <v>0</v>
      </c>
      <c r="T15" s="285">
        <f>IF(SUM(C15)&gt;0,-C15,0)</f>
        <v>0</v>
      </c>
    </row>
    <row r="16" spans="1:20" ht="16.5" hidden="1" customHeight="1" thickBot="1">
      <c r="A16" s="72">
        <f>A12</f>
        <v>41183</v>
      </c>
      <c r="B16" s="26" t="s">
        <v>56</v>
      </c>
      <c r="C16" s="121">
        <f>SUM(C9:C15)</f>
        <v>-1551291.67</v>
      </c>
      <c r="D16" s="121">
        <f t="shared" ref="D16:N16" si="0">SUM(D9:D15)</f>
        <v>-883736.20005990437</v>
      </c>
      <c r="E16" s="121">
        <f t="shared" si="0"/>
        <v>-659271.7478600872</v>
      </c>
      <c r="F16" s="121">
        <f t="shared" si="0"/>
        <v>0</v>
      </c>
      <c r="G16" s="121">
        <f t="shared" si="0"/>
        <v>0</v>
      </c>
      <c r="H16" s="121">
        <f t="shared" si="0"/>
        <v>-8283.7220800084524</v>
      </c>
      <c r="I16" s="121">
        <f t="shared" si="0"/>
        <v>0</v>
      </c>
      <c r="J16" s="121">
        <f t="shared" si="0"/>
        <v>0</v>
      </c>
      <c r="K16" s="121">
        <f t="shared" si="0"/>
        <v>0</v>
      </c>
      <c r="L16" s="121">
        <f t="shared" si="0"/>
        <v>0</v>
      </c>
      <c r="M16" s="121">
        <f t="shared" si="0"/>
        <v>0</v>
      </c>
      <c r="N16" s="121">
        <f t="shared" si="0"/>
        <v>0</v>
      </c>
      <c r="O16" s="26"/>
      <c r="P16" s="26"/>
      <c r="Q16" s="291" t="s">
        <v>83</v>
      </c>
      <c r="R16" s="289" t="s">
        <v>78</v>
      </c>
      <c r="S16" s="84">
        <f>IF(SUM(C15)&lt;0,-C15,0)</f>
        <v>1291.67</v>
      </c>
      <c r="T16" s="335">
        <v>0</v>
      </c>
    </row>
    <row r="17" spans="1:20" ht="16.5" hidden="1" customHeight="1" thickTop="1" thickBot="1">
      <c r="T17" s="286">
        <v>0</v>
      </c>
    </row>
    <row r="18" spans="1:20" s="330" customFormat="1" ht="15.75" hidden="1" customHeight="1" thickBot="1">
      <c r="A18" s="29"/>
      <c r="Q18" s="284" t="s">
        <v>107</v>
      </c>
      <c r="R18" s="280"/>
      <c r="S18" s="280"/>
      <c r="T18" s="187"/>
    </row>
    <row r="19" spans="1:20" s="330" customFormat="1" ht="15.75" hidden="1" customHeight="1">
      <c r="A19" s="34">
        <v>41214</v>
      </c>
      <c r="B19" s="35" t="s">
        <v>84</v>
      </c>
      <c r="C19" s="11">
        <f>SUM(D19:N19)</f>
        <v>0</v>
      </c>
      <c r="D19" s="204">
        <v>0</v>
      </c>
      <c r="E19" s="204">
        <v>0</v>
      </c>
      <c r="F19" s="205">
        <v>0</v>
      </c>
      <c r="G19" s="205">
        <v>0</v>
      </c>
      <c r="H19" s="26">
        <v>0</v>
      </c>
      <c r="I19" s="26"/>
      <c r="J19" s="26"/>
      <c r="K19" s="26"/>
      <c r="L19" s="26"/>
      <c r="M19" s="26"/>
      <c r="N19" s="26">
        <v>0</v>
      </c>
      <c r="O19" s="74"/>
      <c r="P19" s="26"/>
      <c r="Q19" s="336" t="s">
        <v>209</v>
      </c>
      <c r="R19" s="337" t="s">
        <v>207</v>
      </c>
      <c r="S19" s="283">
        <f>IF(SUM(C19:C22)&gt;0,C19+C20+C22+C21,0)</f>
        <v>0</v>
      </c>
      <c r="T19" s="285">
        <f>IF(SUM(C19:C22)&lt;0,C19+C20+C22+C21,0)</f>
        <v>-1292.74</v>
      </c>
    </row>
    <row r="20" spans="1:20" s="330" customFormat="1" ht="15.75" hidden="1" customHeight="1">
      <c r="A20" s="38"/>
      <c r="B20" s="35" t="s">
        <v>148</v>
      </c>
      <c r="C20" s="11">
        <f>SUM(D20:N20)</f>
        <v>0</v>
      </c>
      <c r="D20" s="205"/>
      <c r="E20" s="205">
        <v>0</v>
      </c>
      <c r="F20" s="205"/>
      <c r="G20" s="206"/>
      <c r="H20" s="36"/>
      <c r="I20" s="26"/>
      <c r="J20" s="57"/>
      <c r="K20" s="57"/>
      <c r="L20" s="26"/>
      <c r="M20" s="26"/>
      <c r="N20" s="26"/>
      <c r="O20" s="74"/>
      <c r="P20" s="26"/>
      <c r="Q20" s="295" t="s">
        <v>11</v>
      </c>
      <c r="R20" s="296" t="s">
        <v>62</v>
      </c>
      <c r="S20" s="283">
        <v>0</v>
      </c>
      <c r="T20" s="285">
        <v>0</v>
      </c>
    </row>
    <row r="21" spans="1:20" s="330" customFormat="1" ht="15.75" hidden="1" customHeight="1">
      <c r="A21" s="38"/>
      <c r="B21" s="35" t="s">
        <v>144</v>
      </c>
      <c r="C21" s="11">
        <f>SUM(D21:N21)</f>
        <v>0</v>
      </c>
      <c r="D21" s="203">
        <v>0</v>
      </c>
      <c r="E21" s="203"/>
      <c r="F21" s="203"/>
      <c r="G21" s="205">
        <v>0</v>
      </c>
      <c r="H21" s="73"/>
      <c r="I21" s="26"/>
      <c r="J21" s="57"/>
      <c r="K21" s="26"/>
      <c r="L21" s="26"/>
      <c r="M21" s="26"/>
      <c r="N21" s="26"/>
      <c r="O21" s="74"/>
      <c r="P21" s="26"/>
      <c r="Q21" s="288" t="s">
        <v>80</v>
      </c>
      <c r="R21" s="287" t="s">
        <v>59</v>
      </c>
      <c r="S21" s="80">
        <f>IF(SUM(C19)&lt;0,-C19,0)</f>
        <v>0</v>
      </c>
      <c r="T21" s="285">
        <f>IF(SUM(C19)&gt;0,-C19,0)</f>
        <v>0</v>
      </c>
    </row>
    <row r="22" spans="1:20" s="330" customFormat="1" ht="15.75" hidden="1" customHeight="1">
      <c r="A22" s="38"/>
      <c r="B22" s="35" t="s">
        <v>57</v>
      </c>
      <c r="C22" s="39">
        <f>SUM(D22:N22)</f>
        <v>-1292.74</v>
      </c>
      <c r="D22" s="39"/>
      <c r="E22" s="39"/>
      <c r="F22" s="39"/>
      <c r="G22" s="39"/>
      <c r="H22" s="39">
        <f>ROUND(((C16)+(C19)/2)*(O22/12),2)</f>
        <v>-1292.74</v>
      </c>
      <c r="I22" s="39"/>
      <c r="J22" s="39"/>
      <c r="K22" s="39"/>
      <c r="L22" s="39"/>
      <c r="M22" s="39"/>
      <c r="N22" s="39"/>
      <c r="O22" s="68">
        <v>0.01</v>
      </c>
      <c r="P22" s="26"/>
      <c r="Q22" s="290" t="s">
        <v>154</v>
      </c>
      <c r="R22" s="287" t="s">
        <v>77</v>
      </c>
      <c r="S22" s="292">
        <v>0</v>
      </c>
      <c r="T22" s="285">
        <f>IF(SUM(C22)&gt;0,-C22,0)</f>
        <v>0</v>
      </c>
    </row>
    <row r="23" spans="1:20" s="330" customFormat="1" ht="16.5" hidden="1" customHeight="1" thickBot="1">
      <c r="A23" s="72">
        <f>A19</f>
        <v>41214</v>
      </c>
      <c r="B23" s="26" t="s">
        <v>56</v>
      </c>
      <c r="C23" s="121">
        <f>SUM(C16:C22)</f>
        <v>-1552584.41</v>
      </c>
      <c r="D23" s="121">
        <f>SUM(D16:D22)</f>
        <v>-883736.20005990437</v>
      </c>
      <c r="E23" s="121">
        <f t="shared" ref="E23:N23" si="1">SUM(E16:E22)</f>
        <v>-659271.7478600872</v>
      </c>
      <c r="F23" s="121">
        <f t="shared" si="1"/>
        <v>0</v>
      </c>
      <c r="G23" s="121">
        <f t="shared" si="1"/>
        <v>0</v>
      </c>
      <c r="H23" s="121">
        <f>SUM(H16:H22)</f>
        <v>-9576.4620800084522</v>
      </c>
      <c r="I23" s="121">
        <f t="shared" si="1"/>
        <v>0</v>
      </c>
      <c r="J23" s="121">
        <f t="shared" si="1"/>
        <v>0</v>
      </c>
      <c r="K23" s="121">
        <f t="shared" si="1"/>
        <v>0</v>
      </c>
      <c r="L23" s="121">
        <f t="shared" si="1"/>
        <v>0</v>
      </c>
      <c r="M23" s="121">
        <f t="shared" si="1"/>
        <v>0</v>
      </c>
      <c r="N23" s="121">
        <f t="shared" si="1"/>
        <v>0</v>
      </c>
      <c r="O23" s="26"/>
      <c r="P23" s="26"/>
      <c r="Q23" s="291" t="s">
        <v>83</v>
      </c>
      <c r="R23" s="289" t="s">
        <v>78</v>
      </c>
      <c r="S23" s="84">
        <f>IF(SUM(C22)&lt;0,-C22,0)</f>
        <v>1292.74</v>
      </c>
      <c r="T23" s="335">
        <v>0</v>
      </c>
    </row>
    <row r="24" spans="1:20" s="330" customFormat="1" ht="16.5" hidden="1" customHeight="1" thickTop="1" thickBot="1">
      <c r="A24" s="29"/>
      <c r="T24" s="286">
        <v>0</v>
      </c>
    </row>
    <row r="25" spans="1:20" s="330" customFormat="1" ht="15.75" hidden="1" customHeight="1" thickBot="1">
      <c r="A25" s="29"/>
      <c r="Q25" s="284" t="s">
        <v>107</v>
      </c>
      <c r="R25" s="280"/>
      <c r="S25" s="280"/>
      <c r="T25" s="187"/>
    </row>
    <row r="26" spans="1:20" s="330" customFormat="1" ht="15.75" hidden="1" customHeight="1">
      <c r="A26" s="34">
        <v>41244</v>
      </c>
      <c r="B26" s="35" t="s">
        <v>84</v>
      </c>
      <c r="C26" s="11">
        <f>SUM(D26:N26)</f>
        <v>0</v>
      </c>
      <c r="D26" s="204">
        <v>0</v>
      </c>
      <c r="E26" s="204">
        <v>0</v>
      </c>
      <c r="F26" s="205">
        <v>0</v>
      </c>
      <c r="G26" s="205">
        <v>0</v>
      </c>
      <c r="H26" s="26">
        <v>0</v>
      </c>
      <c r="I26" s="26"/>
      <c r="J26" s="26"/>
      <c r="K26" s="26"/>
      <c r="L26" s="26"/>
      <c r="M26" s="26"/>
      <c r="N26" s="26">
        <v>0</v>
      </c>
      <c r="O26" s="74"/>
      <c r="P26" s="26"/>
      <c r="Q26" s="336" t="s">
        <v>209</v>
      </c>
      <c r="R26" s="337" t="s">
        <v>207</v>
      </c>
      <c r="S26" s="283">
        <f>IF(SUM(C26:C29)&gt;0,C26+C27+C29+C28,0)</f>
        <v>0</v>
      </c>
      <c r="T26" s="285">
        <f>IF(SUM(C26:C29)&lt;0,C26+C27+C29+C28,0)</f>
        <v>-1293.82</v>
      </c>
    </row>
    <row r="27" spans="1:20" s="330" customFormat="1" ht="15.75" hidden="1" customHeight="1">
      <c r="A27" s="38"/>
      <c r="B27" s="35" t="s">
        <v>148</v>
      </c>
      <c r="C27" s="11">
        <f>SUM(D27:N27)</f>
        <v>0</v>
      </c>
      <c r="D27" s="205"/>
      <c r="E27" s="205">
        <v>0</v>
      </c>
      <c r="F27" s="205"/>
      <c r="G27" s="206"/>
      <c r="H27" s="36"/>
      <c r="I27" s="26"/>
      <c r="J27" s="57"/>
      <c r="K27" s="57"/>
      <c r="L27" s="26"/>
      <c r="M27" s="26"/>
      <c r="N27" s="26"/>
      <c r="O27" s="74"/>
      <c r="P27" s="26"/>
      <c r="Q27" s="295" t="s">
        <v>11</v>
      </c>
      <c r="R27" s="296" t="s">
        <v>62</v>
      </c>
      <c r="S27" s="283">
        <v>0</v>
      </c>
      <c r="T27" s="285">
        <v>0</v>
      </c>
    </row>
    <row r="28" spans="1:20" s="330" customFormat="1" ht="15.75" hidden="1" customHeight="1">
      <c r="A28" s="38"/>
      <c r="B28" s="35" t="s">
        <v>144</v>
      </c>
      <c r="C28" s="11">
        <f>SUM(D28:N28)</f>
        <v>0</v>
      </c>
      <c r="D28" s="203">
        <v>0</v>
      </c>
      <c r="E28" s="203"/>
      <c r="F28" s="203"/>
      <c r="G28" s="205">
        <v>0</v>
      </c>
      <c r="H28" s="73"/>
      <c r="I28" s="26"/>
      <c r="J28" s="57"/>
      <c r="K28" s="26"/>
      <c r="L28" s="26"/>
      <c r="M28" s="26"/>
      <c r="N28" s="26"/>
      <c r="O28" s="74"/>
      <c r="P28" s="26"/>
      <c r="Q28" s="288" t="s">
        <v>80</v>
      </c>
      <c r="R28" s="287" t="s">
        <v>59</v>
      </c>
      <c r="S28" s="80">
        <f>IF(SUM(C26)&lt;0,-C26,0)</f>
        <v>0</v>
      </c>
      <c r="T28" s="285">
        <f>IF(SUM(C26)&gt;0,-C26,0)</f>
        <v>0</v>
      </c>
    </row>
    <row r="29" spans="1:20" s="330" customFormat="1" ht="15.75" hidden="1" customHeight="1">
      <c r="A29" s="38"/>
      <c r="B29" s="35" t="s">
        <v>57</v>
      </c>
      <c r="C29" s="39">
        <f>SUM(D29:N29)</f>
        <v>-1293.82</v>
      </c>
      <c r="D29" s="39"/>
      <c r="E29" s="39"/>
      <c r="F29" s="39"/>
      <c r="G29" s="39"/>
      <c r="H29" s="39">
        <f>ROUND(((C23)+(C26)/2)*(O29/12),2)</f>
        <v>-1293.82</v>
      </c>
      <c r="I29" s="39"/>
      <c r="J29" s="39"/>
      <c r="K29" s="39"/>
      <c r="L29" s="39"/>
      <c r="M29" s="39"/>
      <c r="N29" s="39"/>
      <c r="O29" s="68">
        <v>0.01</v>
      </c>
      <c r="P29" s="26"/>
      <c r="Q29" s="290" t="s">
        <v>154</v>
      </c>
      <c r="R29" s="287" t="s">
        <v>77</v>
      </c>
      <c r="S29" s="292">
        <v>0</v>
      </c>
      <c r="T29" s="285">
        <f>IF(SUM(C29)&gt;0,-C29,0)</f>
        <v>0</v>
      </c>
    </row>
    <row r="30" spans="1:20" s="330" customFormat="1" ht="16.5" hidden="1" thickBot="1">
      <c r="A30" s="72">
        <f>A26</f>
        <v>41244</v>
      </c>
      <c r="B30" s="26" t="s">
        <v>56</v>
      </c>
      <c r="C30" s="121">
        <f>SUM(C23:C29)</f>
        <v>-1553878.23</v>
      </c>
      <c r="D30" s="121">
        <f>SUM(D23:D29)</f>
        <v>-883736.20005990437</v>
      </c>
      <c r="E30" s="121">
        <f t="shared" ref="E30:G30" si="2">SUM(E23:E29)</f>
        <v>-659271.7478600872</v>
      </c>
      <c r="F30" s="121">
        <f t="shared" si="2"/>
        <v>0</v>
      </c>
      <c r="G30" s="121">
        <f t="shared" si="2"/>
        <v>0</v>
      </c>
      <c r="H30" s="121">
        <f>SUM(H23:H29)</f>
        <v>-10870.282080008452</v>
      </c>
      <c r="I30" s="121">
        <f t="shared" ref="I30:N30" si="3">SUM(I23:I29)</f>
        <v>0</v>
      </c>
      <c r="J30" s="121">
        <f t="shared" si="3"/>
        <v>0</v>
      </c>
      <c r="K30" s="121">
        <f t="shared" si="3"/>
        <v>0</v>
      </c>
      <c r="L30" s="121">
        <f t="shared" si="3"/>
        <v>0</v>
      </c>
      <c r="M30" s="121">
        <f t="shared" si="3"/>
        <v>0</v>
      </c>
      <c r="N30" s="121">
        <f t="shared" si="3"/>
        <v>0</v>
      </c>
      <c r="O30" s="26"/>
      <c r="P30" s="26"/>
      <c r="Q30" s="291" t="s">
        <v>83</v>
      </c>
      <c r="R30" s="289" t="s">
        <v>78</v>
      </c>
      <c r="S30" s="84">
        <f>IF(SUM(C29)&lt;0,-C29,0)</f>
        <v>1293.82</v>
      </c>
      <c r="T30" s="335">
        <v>0</v>
      </c>
    </row>
    <row r="31" spans="1:20" s="330" customFormat="1" ht="16.5" hidden="1" thickTop="1" thickBot="1">
      <c r="A31" s="29"/>
      <c r="T31" s="286">
        <v>0</v>
      </c>
    </row>
    <row r="32" spans="1:20" s="302" customFormat="1" ht="15.75" hidden="1" thickBot="1">
      <c r="A32" s="29"/>
      <c r="B32" s="330"/>
      <c r="C32" s="330"/>
      <c r="D32" s="330"/>
      <c r="E32" s="330"/>
      <c r="F32" s="330"/>
      <c r="G32" s="330"/>
      <c r="H32" s="330"/>
      <c r="I32" s="330"/>
      <c r="J32" s="330"/>
      <c r="K32" s="330"/>
      <c r="L32" s="330"/>
      <c r="M32" s="330"/>
      <c r="N32" s="330"/>
      <c r="O32" s="330"/>
      <c r="P32" s="330"/>
      <c r="Q32" s="284" t="s">
        <v>107</v>
      </c>
      <c r="R32" s="280"/>
      <c r="S32" s="280"/>
      <c r="T32" s="187"/>
    </row>
    <row r="33" spans="1:20" s="302" customFormat="1" ht="15.75" hidden="1">
      <c r="A33" s="34">
        <v>41305</v>
      </c>
      <c r="B33" s="35" t="s">
        <v>84</v>
      </c>
      <c r="C33" s="11">
        <f>SUM(D33:N33)</f>
        <v>0</v>
      </c>
      <c r="D33" s="204">
        <v>0</v>
      </c>
      <c r="E33" s="204">
        <v>0</v>
      </c>
      <c r="F33" s="205">
        <v>0</v>
      </c>
      <c r="G33" s="205">
        <v>0</v>
      </c>
      <c r="H33" s="26">
        <v>0</v>
      </c>
      <c r="I33" s="26"/>
      <c r="J33" s="26"/>
      <c r="K33" s="26"/>
      <c r="L33" s="26"/>
      <c r="M33" s="26"/>
      <c r="N33" s="26">
        <v>0</v>
      </c>
      <c r="O33" s="74"/>
      <c r="P33" s="26"/>
      <c r="Q33" s="336" t="s">
        <v>209</v>
      </c>
      <c r="R33" s="337" t="s">
        <v>207</v>
      </c>
      <c r="S33" s="283">
        <f>IF(SUM(C33:C36)&gt;0,C33+C34+C36+C35,0)</f>
        <v>0</v>
      </c>
      <c r="T33" s="285">
        <f>IF(SUM(C33:C36)&lt;0,C33+C34+C36+C35,0)</f>
        <v>-1294.9000000000001</v>
      </c>
    </row>
    <row r="34" spans="1:20" s="302" customFormat="1" ht="15.75" hidden="1">
      <c r="A34" s="38"/>
      <c r="B34" s="35" t="s">
        <v>148</v>
      </c>
      <c r="C34" s="11">
        <f>SUM(D34:N34)</f>
        <v>0</v>
      </c>
      <c r="D34" s="205"/>
      <c r="E34" s="205">
        <v>0</v>
      </c>
      <c r="F34" s="205"/>
      <c r="G34" s="206"/>
      <c r="H34" s="36"/>
      <c r="I34" s="26"/>
      <c r="J34" s="57"/>
      <c r="K34" s="57"/>
      <c r="L34" s="26"/>
      <c r="M34" s="26"/>
      <c r="N34" s="26"/>
      <c r="O34" s="74"/>
      <c r="P34" s="26"/>
      <c r="Q34" s="295" t="s">
        <v>11</v>
      </c>
      <c r="R34" s="296" t="s">
        <v>62</v>
      </c>
      <c r="S34" s="283">
        <v>0</v>
      </c>
      <c r="T34" s="285">
        <v>0</v>
      </c>
    </row>
    <row r="35" spans="1:20" s="302" customFormat="1" ht="15.75" hidden="1">
      <c r="A35" s="38"/>
      <c r="B35" s="35" t="s">
        <v>144</v>
      </c>
      <c r="C35" s="11">
        <f>SUM(D35:N35)</f>
        <v>0</v>
      </c>
      <c r="D35" s="203">
        <v>0</v>
      </c>
      <c r="E35" s="203"/>
      <c r="F35" s="203"/>
      <c r="G35" s="205">
        <v>0</v>
      </c>
      <c r="H35" s="73"/>
      <c r="I35" s="26"/>
      <c r="J35" s="57"/>
      <c r="K35" s="26"/>
      <c r="L35" s="26"/>
      <c r="M35" s="26"/>
      <c r="N35" s="26"/>
      <c r="O35" s="74"/>
      <c r="P35" s="26"/>
      <c r="Q35" s="288" t="s">
        <v>80</v>
      </c>
      <c r="R35" s="287" t="s">
        <v>59</v>
      </c>
      <c r="S35" s="80">
        <f>IF(SUM(C33)&lt;0,-C33,0)</f>
        <v>0</v>
      </c>
      <c r="T35" s="285">
        <f>IF(SUM(C33)&gt;0,-C33,0)</f>
        <v>0</v>
      </c>
    </row>
    <row r="36" spans="1:20" s="302" customFormat="1" ht="15.75" hidden="1">
      <c r="A36" s="38"/>
      <c r="B36" s="35" t="s">
        <v>57</v>
      </c>
      <c r="C36" s="39">
        <f>SUM(D36:N36)</f>
        <v>-1294.9000000000001</v>
      </c>
      <c r="D36" s="39"/>
      <c r="E36" s="39"/>
      <c r="F36" s="39"/>
      <c r="G36" s="39"/>
      <c r="H36" s="39">
        <f>ROUND(((C30)+(C33)/2)*(O36/12),2)</f>
        <v>-1294.9000000000001</v>
      </c>
      <c r="I36" s="39"/>
      <c r="J36" s="39"/>
      <c r="K36" s="39"/>
      <c r="L36" s="39"/>
      <c r="M36" s="39"/>
      <c r="N36" s="39"/>
      <c r="O36" s="68">
        <v>0.01</v>
      </c>
      <c r="P36" s="26"/>
      <c r="Q36" s="290" t="s">
        <v>154</v>
      </c>
      <c r="R36" s="287" t="s">
        <v>77</v>
      </c>
      <c r="S36" s="292">
        <v>0</v>
      </c>
      <c r="T36" s="285">
        <f>IF(SUM(C36)&gt;0,-C36,0)</f>
        <v>0</v>
      </c>
    </row>
    <row r="37" spans="1:20" s="302" customFormat="1" ht="16.5" hidden="1" thickBot="1">
      <c r="A37" s="72">
        <f>A33</f>
        <v>41305</v>
      </c>
      <c r="B37" s="26" t="s">
        <v>56</v>
      </c>
      <c r="C37" s="121">
        <f>SUM(C30:C36)</f>
        <v>-1555173.13</v>
      </c>
      <c r="D37" s="121">
        <f>SUM(D30:D36)</f>
        <v>-883736.20005990437</v>
      </c>
      <c r="E37" s="121">
        <f t="shared" ref="E37:G37" si="4">SUM(E30:E36)</f>
        <v>-659271.7478600872</v>
      </c>
      <c r="F37" s="121">
        <f t="shared" si="4"/>
        <v>0</v>
      </c>
      <c r="G37" s="121">
        <f t="shared" si="4"/>
        <v>0</v>
      </c>
      <c r="H37" s="121">
        <f>SUM(H30:H36)</f>
        <v>-12165.182080008452</v>
      </c>
      <c r="I37" s="121">
        <f t="shared" ref="I37:N37" si="5">SUM(I30:I36)</f>
        <v>0</v>
      </c>
      <c r="J37" s="121">
        <f t="shared" si="5"/>
        <v>0</v>
      </c>
      <c r="K37" s="121">
        <f t="shared" si="5"/>
        <v>0</v>
      </c>
      <c r="L37" s="121">
        <f t="shared" si="5"/>
        <v>0</v>
      </c>
      <c r="M37" s="121">
        <f t="shared" si="5"/>
        <v>0</v>
      </c>
      <c r="N37" s="121">
        <f t="shared" si="5"/>
        <v>0</v>
      </c>
      <c r="O37" s="26"/>
      <c r="P37" s="26"/>
      <c r="Q37" s="291" t="s">
        <v>83</v>
      </c>
      <c r="R37" s="289" t="s">
        <v>78</v>
      </c>
      <c r="S37" s="84">
        <f>IF(SUM(C36)&lt;0,-C36,0)</f>
        <v>1294.9000000000001</v>
      </c>
      <c r="T37" s="335">
        <v>0</v>
      </c>
    </row>
    <row r="38" spans="1:20" s="302" customFormat="1" ht="15.75" hidden="1" thickTop="1">
      <c r="A38" s="29"/>
      <c r="B38" s="330"/>
      <c r="C38" s="330"/>
      <c r="D38" s="330"/>
      <c r="E38" s="330"/>
      <c r="F38" s="330"/>
      <c r="G38" s="330"/>
      <c r="H38" s="330"/>
      <c r="I38" s="330"/>
      <c r="J38" s="330"/>
      <c r="K38" s="330"/>
      <c r="L38" s="330"/>
      <c r="M38" s="330"/>
      <c r="N38" s="330"/>
      <c r="O38" s="330"/>
      <c r="P38" s="330"/>
      <c r="Q38" s="330"/>
      <c r="R38" s="330"/>
      <c r="S38" s="330"/>
      <c r="T38" s="286">
        <v>0</v>
      </c>
    </row>
    <row r="39" spans="1:20" s="302" customFormat="1" ht="15.75" hidden="1" thickBot="1">
      <c r="A39" s="29"/>
      <c r="B39" s="330"/>
      <c r="C39" s="330"/>
      <c r="D39" s="330"/>
      <c r="E39" s="330"/>
      <c r="F39" s="330"/>
      <c r="G39" s="330"/>
      <c r="H39" s="330"/>
      <c r="I39" s="330"/>
      <c r="J39" s="330"/>
      <c r="K39" s="330"/>
      <c r="L39" s="330"/>
      <c r="M39" s="330"/>
      <c r="N39" s="330"/>
      <c r="O39" s="330"/>
      <c r="P39" s="330"/>
      <c r="Q39" s="330"/>
      <c r="R39" s="330"/>
      <c r="S39" s="330"/>
      <c r="T39" s="330"/>
    </row>
    <row r="40" spans="1:20" s="302" customFormat="1" ht="15.75" hidden="1" thickBot="1">
      <c r="A40" s="29"/>
      <c r="B40" s="330"/>
      <c r="C40" s="330"/>
      <c r="D40" s="330"/>
      <c r="E40" s="330"/>
      <c r="F40" s="330"/>
      <c r="G40" s="330"/>
      <c r="H40" s="330"/>
      <c r="I40" s="330"/>
      <c r="J40" s="330"/>
      <c r="K40" s="330"/>
      <c r="L40" s="330"/>
      <c r="M40" s="330"/>
      <c r="N40" s="330"/>
      <c r="O40" s="330"/>
      <c r="P40" s="330"/>
      <c r="Q40" s="284" t="s">
        <v>107</v>
      </c>
      <c r="R40" s="280"/>
      <c r="S40" s="280"/>
      <c r="T40" s="187"/>
    </row>
    <row r="41" spans="1:20" s="302" customFormat="1" ht="15.75" hidden="1">
      <c r="A41" s="34">
        <v>41333</v>
      </c>
      <c r="B41" s="35" t="s">
        <v>84</v>
      </c>
      <c r="C41" s="11">
        <f>SUM(D41:N41)</f>
        <v>0</v>
      </c>
      <c r="D41" s="204">
        <v>0</v>
      </c>
      <c r="E41" s="204">
        <v>0</v>
      </c>
      <c r="F41" s="205">
        <v>0</v>
      </c>
      <c r="G41" s="205">
        <v>0</v>
      </c>
      <c r="H41" s="26">
        <v>0</v>
      </c>
      <c r="I41" s="26"/>
      <c r="J41" s="26"/>
      <c r="K41" s="26"/>
      <c r="L41" s="26"/>
      <c r="M41" s="26"/>
      <c r="N41" s="26">
        <v>0</v>
      </c>
      <c r="O41" s="74"/>
      <c r="P41" s="26"/>
      <c r="Q41" s="336" t="s">
        <v>209</v>
      </c>
      <c r="R41" s="337" t="s">
        <v>207</v>
      </c>
      <c r="S41" s="283">
        <f>IF(SUM(C41:C44)&gt;0,C41+C42+C44+C43,0)</f>
        <v>0</v>
      </c>
      <c r="T41" s="285">
        <f>IF(SUM(C41:C44)&lt;0,C41+C42+C44+C43,0)</f>
        <v>-1295.98</v>
      </c>
    </row>
    <row r="42" spans="1:20" s="302" customFormat="1" ht="15.75" hidden="1">
      <c r="A42" s="38"/>
      <c r="B42" s="35" t="s">
        <v>148</v>
      </c>
      <c r="C42" s="11">
        <f>SUM(D42:N42)</f>
        <v>0</v>
      </c>
      <c r="D42" s="205"/>
      <c r="E42" s="205">
        <v>0</v>
      </c>
      <c r="F42" s="205"/>
      <c r="G42" s="206"/>
      <c r="H42" s="36"/>
      <c r="I42" s="26"/>
      <c r="J42" s="57"/>
      <c r="K42" s="57"/>
      <c r="L42" s="26"/>
      <c r="M42" s="26"/>
      <c r="N42" s="26"/>
      <c r="O42" s="74"/>
      <c r="P42" s="26"/>
      <c r="Q42" s="295" t="s">
        <v>11</v>
      </c>
      <c r="R42" s="296" t="s">
        <v>62</v>
      </c>
      <c r="S42" s="283">
        <v>0</v>
      </c>
      <c r="T42" s="285">
        <v>0</v>
      </c>
    </row>
    <row r="43" spans="1:20" s="302" customFormat="1" ht="15.75" hidden="1">
      <c r="A43" s="38"/>
      <c r="B43" s="35" t="s">
        <v>144</v>
      </c>
      <c r="C43" s="11">
        <f>SUM(D43:N43)</f>
        <v>0</v>
      </c>
      <c r="D43" s="203">
        <v>0</v>
      </c>
      <c r="E43" s="203"/>
      <c r="F43" s="203"/>
      <c r="G43" s="205">
        <v>0</v>
      </c>
      <c r="H43" s="73"/>
      <c r="I43" s="26"/>
      <c r="J43" s="57"/>
      <c r="K43" s="26"/>
      <c r="L43" s="26"/>
      <c r="M43" s="26"/>
      <c r="N43" s="26"/>
      <c r="O43" s="74"/>
      <c r="P43" s="26"/>
      <c r="Q43" s="288" t="s">
        <v>80</v>
      </c>
      <c r="R43" s="287" t="s">
        <v>59</v>
      </c>
      <c r="S43" s="80">
        <f>IF(SUM(C41)&lt;0,-C41,0)</f>
        <v>0</v>
      </c>
      <c r="T43" s="285">
        <f>IF(SUM(C41)&gt;0,-C41,0)</f>
        <v>0</v>
      </c>
    </row>
    <row r="44" spans="1:20" s="302" customFormat="1" ht="15.75" hidden="1">
      <c r="A44" s="38"/>
      <c r="B44" s="35" t="s">
        <v>57</v>
      </c>
      <c r="C44" s="39">
        <f>SUM(D44:N44)</f>
        <v>-1295.98</v>
      </c>
      <c r="D44" s="39"/>
      <c r="E44" s="39"/>
      <c r="F44" s="39"/>
      <c r="G44" s="39"/>
      <c r="H44" s="39">
        <v>-1295.98</v>
      </c>
      <c r="I44" s="39"/>
      <c r="J44" s="39"/>
      <c r="K44" s="39"/>
      <c r="L44" s="39"/>
      <c r="M44" s="39"/>
      <c r="N44" s="39"/>
      <c r="O44" s="68">
        <v>0.01</v>
      </c>
      <c r="P44" s="26"/>
      <c r="Q44" s="290" t="s">
        <v>154</v>
      </c>
      <c r="R44" s="287" t="s">
        <v>77</v>
      </c>
      <c r="S44" s="292">
        <v>0</v>
      </c>
      <c r="T44" s="285">
        <f>IF(SUM(C44)&gt;0,-C44,0)</f>
        <v>0</v>
      </c>
    </row>
    <row r="45" spans="1:20" s="302" customFormat="1" ht="16.5" hidden="1" thickBot="1">
      <c r="A45" s="72">
        <f>A41</f>
        <v>41333</v>
      </c>
      <c r="B45" s="26" t="s">
        <v>56</v>
      </c>
      <c r="C45" s="121">
        <f>SUM(C37:C44)</f>
        <v>-1556469.1099999999</v>
      </c>
      <c r="D45" s="121">
        <f>SUM(D37:D44)</f>
        <v>-883736.20005990437</v>
      </c>
      <c r="E45" s="121">
        <f>SUM(E37:E44)</f>
        <v>-659271.7478600872</v>
      </c>
      <c r="F45" s="121">
        <f t="shared" ref="F45:G45" si="6">SUM(F37:F44)</f>
        <v>0</v>
      </c>
      <c r="G45" s="121">
        <f t="shared" si="6"/>
        <v>0</v>
      </c>
      <c r="H45" s="121">
        <f>SUM(H37:H44)</f>
        <v>-13461.162080008451</v>
      </c>
      <c r="I45" s="121">
        <f t="shared" ref="I45:N45" si="7">SUM(I37:I44)</f>
        <v>0</v>
      </c>
      <c r="J45" s="121">
        <f t="shared" si="7"/>
        <v>0</v>
      </c>
      <c r="K45" s="121">
        <f t="shared" si="7"/>
        <v>0</v>
      </c>
      <c r="L45" s="121">
        <f t="shared" si="7"/>
        <v>0</v>
      </c>
      <c r="M45" s="121">
        <f t="shared" si="7"/>
        <v>0</v>
      </c>
      <c r="N45" s="121">
        <f t="shared" si="7"/>
        <v>0</v>
      </c>
      <c r="O45" s="26"/>
      <c r="P45" s="26"/>
      <c r="Q45" s="291" t="s">
        <v>83</v>
      </c>
      <c r="R45" s="289" t="s">
        <v>78</v>
      </c>
      <c r="S45" s="84">
        <f>IF(SUM(C44)&lt;0,-C44,0)</f>
        <v>1295.98</v>
      </c>
      <c r="T45" s="335">
        <v>0</v>
      </c>
    </row>
    <row r="46" spans="1:20" s="302" customFormat="1" ht="15.75" hidden="1" thickTop="1">
      <c r="A46" s="29"/>
      <c r="B46" s="330"/>
      <c r="C46" s="330"/>
      <c r="D46" s="330"/>
      <c r="E46" s="330"/>
      <c r="F46" s="330"/>
      <c r="G46" s="330"/>
      <c r="H46" s="330"/>
      <c r="I46" s="330"/>
      <c r="J46" s="330"/>
      <c r="K46" s="330"/>
      <c r="L46" s="330"/>
      <c r="M46" s="330"/>
      <c r="N46" s="330"/>
      <c r="O46" s="330"/>
      <c r="P46" s="330"/>
      <c r="Q46" s="330"/>
      <c r="R46" s="330"/>
      <c r="S46" s="330"/>
      <c r="T46" s="286">
        <v>0</v>
      </c>
    </row>
    <row r="47" spans="1:20" s="302" customFormat="1" ht="15.75" hidden="1" thickBot="1">
      <c r="A47" s="29"/>
      <c r="B47" s="330"/>
      <c r="C47" s="330"/>
      <c r="D47" s="330"/>
      <c r="E47" s="330"/>
      <c r="F47" s="330"/>
      <c r="G47" s="330"/>
      <c r="H47" s="330"/>
      <c r="I47" s="330"/>
      <c r="J47" s="330"/>
      <c r="K47" s="330"/>
      <c r="L47" s="330"/>
      <c r="M47" s="330"/>
      <c r="N47" s="330"/>
      <c r="O47" s="330"/>
      <c r="P47" s="330"/>
      <c r="Q47" s="330"/>
      <c r="R47" s="330"/>
      <c r="S47" s="330"/>
      <c r="T47" s="330"/>
    </row>
    <row r="48" spans="1:20" s="302" customFormat="1" ht="15.75" hidden="1" thickBot="1">
      <c r="A48" s="29"/>
      <c r="B48" s="330"/>
      <c r="C48" s="330"/>
      <c r="D48" s="330"/>
      <c r="E48" s="330"/>
      <c r="F48" s="330"/>
      <c r="G48" s="330"/>
      <c r="H48" s="330"/>
      <c r="I48" s="330"/>
      <c r="J48" s="330"/>
      <c r="K48" s="330"/>
      <c r="L48" s="330"/>
      <c r="M48" s="330"/>
      <c r="N48" s="330"/>
      <c r="O48" s="330"/>
      <c r="P48" s="330"/>
      <c r="Q48" s="284" t="s">
        <v>107</v>
      </c>
      <c r="R48" s="280"/>
      <c r="S48" s="280"/>
      <c r="T48" s="187"/>
    </row>
    <row r="49" spans="1:20" s="302" customFormat="1" ht="15.75" hidden="1">
      <c r="A49" s="34">
        <v>41364</v>
      </c>
      <c r="B49" s="35" t="s">
        <v>84</v>
      </c>
      <c r="C49" s="11">
        <f>SUM(D49:N49)</f>
        <v>0</v>
      </c>
      <c r="D49" s="204">
        <v>0</v>
      </c>
      <c r="E49" s="204">
        <v>0</v>
      </c>
      <c r="F49" s="205">
        <v>0</v>
      </c>
      <c r="G49" s="205">
        <v>0</v>
      </c>
      <c r="H49" s="26">
        <v>0</v>
      </c>
      <c r="I49" s="26"/>
      <c r="J49" s="26"/>
      <c r="K49" s="26"/>
      <c r="L49" s="26"/>
      <c r="M49" s="26"/>
      <c r="N49" s="26">
        <v>0</v>
      </c>
      <c r="O49" s="74"/>
      <c r="P49" s="26"/>
      <c r="Q49" s="336" t="s">
        <v>209</v>
      </c>
      <c r="R49" s="337" t="s">
        <v>207</v>
      </c>
      <c r="S49" s="283">
        <f>IF(SUM(C49:C52)&gt;0,C49+C50+C52+C51,0)</f>
        <v>0</v>
      </c>
      <c r="T49" s="285">
        <f>IF(SUM(C49:C52)&lt;0,C49+C50+C52+C51,0)</f>
        <v>-1297.06</v>
      </c>
    </row>
    <row r="50" spans="1:20" s="302" customFormat="1" ht="15.75" hidden="1">
      <c r="A50" s="38"/>
      <c r="B50" s="35" t="s">
        <v>148</v>
      </c>
      <c r="C50" s="11">
        <f>SUM(D50:N50)</f>
        <v>0</v>
      </c>
      <c r="D50" s="205"/>
      <c r="E50" s="205">
        <v>0</v>
      </c>
      <c r="F50" s="205"/>
      <c r="G50" s="206"/>
      <c r="H50" s="36"/>
      <c r="I50" s="26"/>
      <c r="J50" s="57"/>
      <c r="K50" s="57"/>
      <c r="L50" s="26"/>
      <c r="M50" s="26"/>
      <c r="N50" s="26"/>
      <c r="O50" s="74"/>
      <c r="P50" s="26"/>
      <c r="Q50" s="295" t="s">
        <v>11</v>
      </c>
      <c r="R50" s="296" t="s">
        <v>62</v>
      </c>
      <c r="S50" s="283">
        <v>0</v>
      </c>
      <c r="T50" s="285">
        <v>0</v>
      </c>
    </row>
    <row r="51" spans="1:20" s="302" customFormat="1" ht="15.75" hidden="1">
      <c r="A51" s="38"/>
      <c r="B51" s="35" t="s">
        <v>144</v>
      </c>
      <c r="C51" s="11">
        <f>SUM(D51:N51)</f>
        <v>0</v>
      </c>
      <c r="D51" s="203">
        <v>0</v>
      </c>
      <c r="E51" s="203"/>
      <c r="F51" s="203"/>
      <c r="G51" s="205">
        <v>0</v>
      </c>
      <c r="H51" s="73"/>
      <c r="I51" s="26"/>
      <c r="J51" s="57"/>
      <c r="K51" s="26"/>
      <c r="L51" s="26"/>
      <c r="M51" s="26"/>
      <c r="N51" s="26"/>
      <c r="O51" s="74"/>
      <c r="P51" s="26"/>
      <c r="Q51" s="288" t="s">
        <v>80</v>
      </c>
      <c r="R51" s="287" t="s">
        <v>59</v>
      </c>
      <c r="S51" s="80">
        <f>IF(SUM(C49)&lt;0,-C49,0)</f>
        <v>0</v>
      </c>
      <c r="T51" s="285">
        <f>IF(SUM(C49)&gt;0,-C49,0)</f>
        <v>0</v>
      </c>
    </row>
    <row r="52" spans="1:20" s="302" customFormat="1" ht="15.75" hidden="1">
      <c r="A52" s="38"/>
      <c r="B52" s="35" t="s">
        <v>57</v>
      </c>
      <c r="C52" s="39">
        <f>SUM(D52:N52)</f>
        <v>-1297.06</v>
      </c>
      <c r="D52" s="39"/>
      <c r="E52" s="39"/>
      <c r="F52" s="39"/>
      <c r="G52" s="39"/>
      <c r="H52" s="39">
        <v>-1297.06</v>
      </c>
      <c r="I52" s="39"/>
      <c r="J52" s="39"/>
      <c r="K52" s="39"/>
      <c r="L52" s="39"/>
      <c r="M52" s="39"/>
      <c r="N52" s="39"/>
      <c r="O52" s="68">
        <v>0.01</v>
      </c>
      <c r="P52" s="26"/>
      <c r="Q52" s="290" t="s">
        <v>154</v>
      </c>
      <c r="R52" s="287" t="s">
        <v>77</v>
      </c>
      <c r="S52" s="292">
        <v>0</v>
      </c>
      <c r="T52" s="285">
        <f>IF(SUM(C52)&gt;0,-C52,0)</f>
        <v>0</v>
      </c>
    </row>
    <row r="53" spans="1:20" s="302" customFormat="1" ht="16.5" hidden="1" thickBot="1">
      <c r="A53" s="72">
        <f>A49</f>
        <v>41364</v>
      </c>
      <c r="B53" s="26" t="s">
        <v>56</v>
      </c>
      <c r="C53" s="121">
        <f>SUM(C45:C52)</f>
        <v>-1557766.17</v>
      </c>
      <c r="D53" s="121">
        <f>SUM(D45:D52)</f>
        <v>-883736.20005990437</v>
      </c>
      <c r="E53" s="121">
        <f>SUM(E45:E52)</f>
        <v>-659271.7478600872</v>
      </c>
      <c r="F53" s="121">
        <f t="shared" ref="F53:G53" si="8">SUM(F45:F52)</f>
        <v>0</v>
      </c>
      <c r="G53" s="121">
        <f t="shared" si="8"/>
        <v>0</v>
      </c>
      <c r="H53" s="121">
        <f>SUM(H45:H52)</f>
        <v>-14758.222080008451</v>
      </c>
      <c r="I53" s="121">
        <f t="shared" ref="I53:N53" si="9">SUM(I45:I52)</f>
        <v>0</v>
      </c>
      <c r="J53" s="121">
        <f t="shared" si="9"/>
        <v>0</v>
      </c>
      <c r="K53" s="121">
        <f t="shared" si="9"/>
        <v>0</v>
      </c>
      <c r="L53" s="121">
        <f t="shared" si="9"/>
        <v>0</v>
      </c>
      <c r="M53" s="121">
        <f t="shared" si="9"/>
        <v>0</v>
      </c>
      <c r="N53" s="121">
        <f t="shared" si="9"/>
        <v>0</v>
      </c>
      <c r="O53" s="26"/>
      <c r="P53" s="26"/>
      <c r="Q53" s="291" t="s">
        <v>83</v>
      </c>
      <c r="R53" s="289" t="s">
        <v>78</v>
      </c>
      <c r="S53" s="84">
        <f>IF(SUM(C52)&lt;0,-C52,0)</f>
        <v>1297.06</v>
      </c>
      <c r="T53" s="335">
        <v>0</v>
      </c>
    </row>
    <row r="54" spans="1:20" s="302" customFormat="1" ht="15.75" hidden="1" thickTop="1">
      <c r="A54" s="29"/>
      <c r="B54" s="330"/>
      <c r="C54" s="330"/>
      <c r="D54" s="330"/>
      <c r="E54" s="330"/>
      <c r="F54" s="330"/>
      <c r="G54" s="330"/>
      <c r="H54" s="330"/>
      <c r="I54" s="330"/>
      <c r="J54" s="330"/>
      <c r="K54" s="330"/>
      <c r="L54" s="330"/>
      <c r="M54" s="330"/>
      <c r="N54" s="330"/>
      <c r="O54" s="330"/>
      <c r="P54" s="330"/>
      <c r="Q54" s="330"/>
      <c r="R54" s="330"/>
      <c r="S54" s="330"/>
      <c r="T54" s="286">
        <v>0</v>
      </c>
    </row>
    <row r="55" spans="1:20" s="302" customFormat="1" ht="15.75" hidden="1" thickBot="1">
      <c r="A55" s="29"/>
      <c r="B55" s="330"/>
      <c r="C55" s="330"/>
      <c r="D55" s="330"/>
      <c r="E55" s="330"/>
      <c r="F55" s="330"/>
      <c r="G55" s="330"/>
      <c r="H55" s="330"/>
      <c r="I55" s="330"/>
      <c r="J55" s="330"/>
      <c r="K55" s="330"/>
      <c r="L55" s="330"/>
      <c r="M55" s="330"/>
      <c r="N55" s="330"/>
      <c r="O55" s="330"/>
      <c r="P55" s="330"/>
      <c r="Q55" s="330"/>
      <c r="R55" s="330"/>
      <c r="S55" s="330"/>
      <c r="T55" s="330"/>
    </row>
    <row r="56" spans="1:20" s="302" customFormat="1" ht="15.75" hidden="1" thickBot="1">
      <c r="A56" s="29"/>
      <c r="B56" s="330"/>
      <c r="C56" s="330"/>
      <c r="D56" s="330"/>
      <c r="E56" s="330"/>
      <c r="F56" s="330"/>
      <c r="G56" s="330"/>
      <c r="H56" s="330"/>
      <c r="I56" s="330"/>
      <c r="J56" s="330"/>
      <c r="K56" s="330"/>
      <c r="L56" s="330"/>
      <c r="M56" s="330"/>
      <c r="N56" s="330"/>
      <c r="O56" s="330"/>
      <c r="P56" s="330"/>
      <c r="Q56" s="284" t="s">
        <v>107</v>
      </c>
      <c r="R56" s="280"/>
      <c r="S56" s="280"/>
      <c r="T56" s="187"/>
    </row>
    <row r="57" spans="1:20" s="302" customFormat="1" ht="15.75" hidden="1">
      <c r="A57" s="34">
        <v>41394</v>
      </c>
      <c r="B57" s="35" t="s">
        <v>84</v>
      </c>
      <c r="C57" s="11">
        <f>SUM(D57:N57)</f>
        <v>0</v>
      </c>
      <c r="D57" s="204">
        <v>0</v>
      </c>
      <c r="E57" s="204">
        <v>0</v>
      </c>
      <c r="F57" s="205">
        <v>0</v>
      </c>
      <c r="G57" s="205">
        <v>0</v>
      </c>
      <c r="H57" s="26">
        <v>0</v>
      </c>
      <c r="I57" s="26"/>
      <c r="J57" s="26"/>
      <c r="K57" s="26"/>
      <c r="L57" s="26"/>
      <c r="M57" s="26"/>
      <c r="N57" s="26">
        <v>0</v>
      </c>
      <c r="O57" s="74"/>
      <c r="P57" s="26"/>
      <c r="Q57" s="336" t="s">
        <v>209</v>
      </c>
      <c r="R57" s="337" t="s">
        <v>207</v>
      </c>
      <c r="S57" s="283">
        <f>IF(SUM(C57:C60)&gt;0,C57+C58+C60+C59,0)</f>
        <v>0</v>
      </c>
      <c r="T57" s="285">
        <f>IF(SUM(C57:C60)&lt;0,C57+C58+C60+C59,0)</f>
        <v>-1298.1400000000001</v>
      </c>
    </row>
    <row r="58" spans="1:20" s="302" customFormat="1" ht="15.75" hidden="1">
      <c r="A58" s="38"/>
      <c r="B58" s="35" t="s">
        <v>148</v>
      </c>
      <c r="C58" s="11">
        <f>SUM(D58:N58)</f>
        <v>0</v>
      </c>
      <c r="D58" s="205"/>
      <c r="E58" s="205">
        <v>0</v>
      </c>
      <c r="F58" s="205"/>
      <c r="G58" s="206"/>
      <c r="H58" s="36"/>
      <c r="I58" s="26"/>
      <c r="J58" s="57"/>
      <c r="K58" s="57"/>
      <c r="L58" s="26"/>
      <c r="M58" s="26"/>
      <c r="N58" s="26"/>
      <c r="O58" s="74"/>
      <c r="P58" s="26"/>
      <c r="Q58" s="295" t="s">
        <v>11</v>
      </c>
      <c r="R58" s="296" t="s">
        <v>62</v>
      </c>
      <c r="S58" s="283">
        <v>0</v>
      </c>
      <c r="T58" s="285">
        <v>0</v>
      </c>
    </row>
    <row r="59" spans="1:20" s="302" customFormat="1" ht="15.75" hidden="1">
      <c r="A59" s="38"/>
      <c r="B59" s="35" t="s">
        <v>144</v>
      </c>
      <c r="C59" s="11">
        <f>SUM(D59:N59)</f>
        <v>0</v>
      </c>
      <c r="D59" s="203">
        <v>0</v>
      </c>
      <c r="E59" s="203"/>
      <c r="F59" s="203"/>
      <c r="G59" s="205">
        <v>0</v>
      </c>
      <c r="H59" s="73"/>
      <c r="I59" s="26"/>
      <c r="J59" s="57"/>
      <c r="K59" s="26"/>
      <c r="L59" s="26"/>
      <c r="M59" s="26"/>
      <c r="N59" s="26"/>
      <c r="O59" s="74"/>
      <c r="P59" s="26"/>
      <c r="Q59" s="288" t="s">
        <v>80</v>
      </c>
      <c r="R59" s="287" t="s">
        <v>59</v>
      </c>
      <c r="S59" s="80">
        <f>IF(SUM(C57)&lt;0,-C57,0)</f>
        <v>0</v>
      </c>
      <c r="T59" s="285">
        <f>IF(SUM(C57)&gt;0,-C57,0)</f>
        <v>0</v>
      </c>
    </row>
    <row r="60" spans="1:20" s="302" customFormat="1" ht="15.75" hidden="1">
      <c r="A60" s="38"/>
      <c r="B60" s="35" t="s">
        <v>57</v>
      </c>
      <c r="C60" s="39">
        <f>SUM(D60:N60)</f>
        <v>-1298.1400000000001</v>
      </c>
      <c r="D60" s="39"/>
      <c r="E60" s="39"/>
      <c r="F60" s="39"/>
      <c r="G60" s="39"/>
      <c r="H60" s="39">
        <v>-1298.1400000000001</v>
      </c>
      <c r="I60" s="39"/>
      <c r="J60" s="39"/>
      <c r="K60" s="39"/>
      <c r="L60" s="39"/>
      <c r="M60" s="39"/>
      <c r="N60" s="39"/>
      <c r="O60" s="68">
        <v>0.01</v>
      </c>
      <c r="P60" s="26"/>
      <c r="Q60" s="290" t="s">
        <v>154</v>
      </c>
      <c r="R60" s="287" t="s">
        <v>77</v>
      </c>
      <c r="S60" s="292">
        <v>0</v>
      </c>
      <c r="T60" s="285">
        <f>IF(SUM(C60)&gt;0,-C60,0)</f>
        <v>0</v>
      </c>
    </row>
    <row r="61" spans="1:20" s="302" customFormat="1" ht="16.5" hidden="1" thickBot="1">
      <c r="A61" s="72">
        <f>A57</f>
        <v>41394</v>
      </c>
      <c r="B61" s="26" t="s">
        <v>56</v>
      </c>
      <c r="C61" s="121">
        <f>SUM(C53:C60)</f>
        <v>-1559064.3099999998</v>
      </c>
      <c r="D61" s="121">
        <f>SUM(D53:D60)</f>
        <v>-883736.20005990437</v>
      </c>
      <c r="E61" s="121">
        <f>SUM(E53:E60)</f>
        <v>-659271.7478600872</v>
      </c>
      <c r="F61" s="121">
        <f t="shared" ref="F61:G61" si="10">SUM(F53:F60)</f>
        <v>0</v>
      </c>
      <c r="G61" s="121">
        <f t="shared" si="10"/>
        <v>0</v>
      </c>
      <c r="H61" s="121">
        <f>SUM(H53:H60)</f>
        <v>-16056.36208000845</v>
      </c>
      <c r="I61" s="121">
        <f t="shared" ref="I61:N61" si="11">SUM(I53:I60)</f>
        <v>0</v>
      </c>
      <c r="J61" s="121">
        <f t="shared" si="11"/>
        <v>0</v>
      </c>
      <c r="K61" s="121">
        <f t="shared" si="11"/>
        <v>0</v>
      </c>
      <c r="L61" s="121">
        <f t="shared" si="11"/>
        <v>0</v>
      </c>
      <c r="M61" s="121">
        <f t="shared" si="11"/>
        <v>0</v>
      </c>
      <c r="N61" s="121">
        <f t="shared" si="11"/>
        <v>0</v>
      </c>
      <c r="O61" s="26"/>
      <c r="P61" s="26"/>
      <c r="Q61" s="291" t="s">
        <v>83</v>
      </c>
      <c r="R61" s="289" t="s">
        <v>78</v>
      </c>
      <c r="S61" s="84">
        <f>IF(SUM(C60)&lt;0,-C60,0)</f>
        <v>1298.1400000000001</v>
      </c>
      <c r="T61" s="335">
        <v>0</v>
      </c>
    </row>
    <row r="62" spans="1:20" s="302" customFormat="1" ht="15.75" hidden="1" thickTop="1">
      <c r="A62" s="29"/>
      <c r="B62" s="330"/>
      <c r="C62" s="331"/>
      <c r="D62" s="330"/>
      <c r="E62" s="330"/>
      <c r="F62" s="330"/>
      <c r="G62" s="330"/>
      <c r="H62" s="330"/>
      <c r="I62" s="330"/>
      <c r="J62" s="330"/>
      <c r="K62" s="330"/>
      <c r="L62" s="330"/>
      <c r="M62" s="330"/>
      <c r="N62" s="330"/>
      <c r="O62" s="330"/>
      <c r="P62" s="330"/>
      <c r="Q62" s="330"/>
      <c r="R62" s="330"/>
      <c r="S62" s="330"/>
      <c r="T62" s="286">
        <v>0</v>
      </c>
    </row>
    <row r="63" spans="1:20" s="302" customFormat="1" ht="15.75" hidden="1" thickBot="1">
      <c r="A63" s="29"/>
      <c r="B63" s="330"/>
      <c r="C63" s="330"/>
      <c r="D63" s="330"/>
      <c r="E63" s="330"/>
      <c r="F63" s="330"/>
      <c r="G63" s="330"/>
      <c r="H63" s="330"/>
      <c r="I63" s="330"/>
      <c r="J63" s="330"/>
      <c r="K63" s="330"/>
      <c r="L63" s="330"/>
      <c r="M63" s="330"/>
      <c r="N63" s="330"/>
      <c r="O63" s="330"/>
      <c r="P63" s="330"/>
      <c r="Q63" s="330"/>
      <c r="R63" s="330"/>
      <c r="S63" s="330"/>
      <c r="T63" s="330"/>
    </row>
    <row r="64" spans="1:20" s="302" customFormat="1" ht="15.75" hidden="1" thickBot="1">
      <c r="A64" s="29"/>
      <c r="B64" s="330"/>
      <c r="C64" s="330"/>
      <c r="D64" s="330"/>
      <c r="E64" s="330"/>
      <c r="F64" s="330"/>
      <c r="G64" s="330"/>
      <c r="H64" s="330"/>
      <c r="I64" s="330"/>
      <c r="J64" s="330"/>
      <c r="K64" s="330"/>
      <c r="L64" s="330"/>
      <c r="M64" s="330"/>
      <c r="N64" s="330"/>
      <c r="O64" s="330"/>
      <c r="P64" s="330"/>
      <c r="Q64" s="284" t="s">
        <v>107</v>
      </c>
      <c r="R64" s="280"/>
      <c r="S64" s="280"/>
      <c r="T64" s="187"/>
    </row>
    <row r="65" spans="1:20" s="302" customFormat="1" ht="15.75" hidden="1">
      <c r="A65" s="34">
        <v>41425</v>
      </c>
      <c r="B65" s="35" t="s">
        <v>84</v>
      </c>
      <c r="C65" s="11">
        <f>SUM(D65:N65)</f>
        <v>0</v>
      </c>
      <c r="D65" s="204">
        <v>0</v>
      </c>
      <c r="E65" s="204">
        <v>0</v>
      </c>
      <c r="F65" s="205">
        <v>0</v>
      </c>
      <c r="G65" s="205">
        <v>0</v>
      </c>
      <c r="H65" s="26">
        <v>0</v>
      </c>
      <c r="I65" s="26"/>
      <c r="J65" s="26"/>
      <c r="K65" s="26"/>
      <c r="L65" s="26"/>
      <c r="M65" s="26"/>
      <c r="N65" s="26">
        <v>0</v>
      </c>
      <c r="O65" s="74"/>
      <c r="P65" s="26"/>
      <c r="Q65" s="336" t="s">
        <v>209</v>
      </c>
      <c r="R65" s="337" t="s">
        <v>207</v>
      </c>
      <c r="S65" s="283">
        <f>IF(SUM(C65:C68)&gt;0,C65+C66+C68+C67,0)</f>
        <v>0</v>
      </c>
      <c r="T65" s="285">
        <f>IF(SUM(C65:C68)&lt;0,C65+C66+C68+C67,0)</f>
        <v>-1299.22</v>
      </c>
    </row>
    <row r="66" spans="1:20" s="302" customFormat="1" ht="15.75" hidden="1">
      <c r="A66" s="38"/>
      <c r="B66" s="35" t="s">
        <v>148</v>
      </c>
      <c r="C66" s="11">
        <f>SUM(D66:N66)</f>
        <v>0</v>
      </c>
      <c r="D66" s="205"/>
      <c r="E66" s="205">
        <v>0</v>
      </c>
      <c r="F66" s="205"/>
      <c r="G66" s="206"/>
      <c r="H66" s="36"/>
      <c r="I66" s="26"/>
      <c r="J66" s="57"/>
      <c r="K66" s="57"/>
      <c r="L66" s="26"/>
      <c r="M66" s="26"/>
      <c r="N66" s="26"/>
      <c r="O66" s="74"/>
      <c r="P66" s="26"/>
      <c r="Q66" s="295" t="s">
        <v>11</v>
      </c>
      <c r="R66" s="296" t="s">
        <v>62</v>
      </c>
      <c r="S66" s="283">
        <v>0</v>
      </c>
      <c r="T66" s="285">
        <v>0</v>
      </c>
    </row>
    <row r="67" spans="1:20" s="302" customFormat="1" ht="15.75" hidden="1">
      <c r="A67" s="38"/>
      <c r="B67" s="35" t="s">
        <v>144</v>
      </c>
      <c r="C67" s="11">
        <f>SUM(D67:N67)</f>
        <v>0</v>
      </c>
      <c r="D67" s="203">
        <v>0</v>
      </c>
      <c r="E67" s="203"/>
      <c r="F67" s="203"/>
      <c r="G67" s="205">
        <v>0</v>
      </c>
      <c r="H67" s="73"/>
      <c r="I67" s="26"/>
      <c r="J67" s="57"/>
      <c r="K67" s="26"/>
      <c r="L67" s="26"/>
      <c r="M67" s="26"/>
      <c r="N67" s="26"/>
      <c r="O67" s="74"/>
      <c r="P67" s="26"/>
      <c r="Q67" s="288" t="s">
        <v>80</v>
      </c>
      <c r="R67" s="287" t="s">
        <v>59</v>
      </c>
      <c r="S67" s="80">
        <f>IF(SUM(C65)&lt;0,-C65,0)</f>
        <v>0</v>
      </c>
      <c r="T67" s="285">
        <f>IF(SUM(C65)&gt;0,-C65,0)</f>
        <v>0</v>
      </c>
    </row>
    <row r="68" spans="1:20" s="302" customFormat="1" ht="15.75" hidden="1">
      <c r="A68" s="38"/>
      <c r="B68" s="35" t="s">
        <v>57</v>
      </c>
      <c r="C68" s="39">
        <f>SUM(D68:N68)</f>
        <v>-1299.22</v>
      </c>
      <c r="D68" s="39"/>
      <c r="E68" s="39"/>
      <c r="F68" s="39"/>
      <c r="G68" s="39"/>
      <c r="H68" s="39">
        <v>-1299.22</v>
      </c>
      <c r="I68" s="39"/>
      <c r="J68" s="39"/>
      <c r="K68" s="39"/>
      <c r="L68" s="39"/>
      <c r="M68" s="39"/>
      <c r="N68" s="39"/>
      <c r="O68" s="68">
        <v>0.01</v>
      </c>
      <c r="P68" s="26"/>
      <c r="Q68" s="290" t="s">
        <v>154</v>
      </c>
      <c r="R68" s="287" t="s">
        <v>77</v>
      </c>
      <c r="S68" s="292">
        <v>0</v>
      </c>
      <c r="T68" s="285">
        <f>IF(SUM(C68)&gt;0,-C68,0)</f>
        <v>0</v>
      </c>
    </row>
    <row r="69" spans="1:20" s="302" customFormat="1" ht="16.5" hidden="1" thickBot="1">
      <c r="A69" s="72">
        <f>A65</f>
        <v>41425</v>
      </c>
      <c r="B69" s="26" t="s">
        <v>56</v>
      </c>
      <c r="C69" s="121">
        <f>SUM(C61:C68)</f>
        <v>-1560363.5299999998</v>
      </c>
      <c r="D69" s="121">
        <f>SUM(D61:D68)</f>
        <v>-883736.20005990437</v>
      </c>
      <c r="E69" s="121">
        <f>SUM(E61:E68)</f>
        <v>-659271.7478600872</v>
      </c>
      <c r="F69" s="121">
        <f t="shared" ref="F69:G69" si="12">SUM(F61:F68)</f>
        <v>0</v>
      </c>
      <c r="G69" s="121">
        <f t="shared" si="12"/>
        <v>0</v>
      </c>
      <c r="H69" s="121">
        <f>SUM(H61:H68)</f>
        <v>-17355.582080008451</v>
      </c>
      <c r="I69" s="121">
        <f t="shared" ref="I69:N69" si="13">SUM(I61:I68)</f>
        <v>0</v>
      </c>
      <c r="J69" s="121">
        <f t="shared" si="13"/>
        <v>0</v>
      </c>
      <c r="K69" s="121">
        <f t="shared" si="13"/>
        <v>0</v>
      </c>
      <c r="L69" s="121">
        <f t="shared" si="13"/>
        <v>0</v>
      </c>
      <c r="M69" s="121">
        <f t="shared" si="13"/>
        <v>0</v>
      </c>
      <c r="N69" s="121">
        <f t="shared" si="13"/>
        <v>0</v>
      </c>
      <c r="O69" s="26"/>
      <c r="P69" s="26"/>
      <c r="Q69" s="291" t="s">
        <v>83</v>
      </c>
      <c r="R69" s="289" t="s">
        <v>78</v>
      </c>
      <c r="S69" s="84">
        <f>IF(SUM(C68)&lt;0,-C68,0)</f>
        <v>1299.22</v>
      </c>
      <c r="T69" s="335">
        <v>0</v>
      </c>
    </row>
    <row r="70" spans="1:20" s="302" customFormat="1" ht="15.75" hidden="1" thickTop="1">
      <c r="A70" s="29"/>
      <c r="B70" s="330"/>
      <c r="C70" s="330"/>
      <c r="D70" s="330"/>
      <c r="E70" s="330"/>
      <c r="F70" s="330"/>
      <c r="G70" s="330"/>
      <c r="H70" s="330"/>
      <c r="I70" s="330"/>
      <c r="J70" s="330"/>
      <c r="K70" s="330"/>
      <c r="L70" s="330"/>
      <c r="M70" s="330"/>
      <c r="N70" s="330"/>
      <c r="O70" s="330"/>
      <c r="P70" s="330"/>
      <c r="Q70" s="330"/>
      <c r="R70" s="330"/>
      <c r="S70" s="330"/>
      <c r="T70" s="286">
        <v>0</v>
      </c>
    </row>
    <row r="71" spans="1:20" s="302" customFormat="1" ht="15.75" hidden="1" thickBot="1">
      <c r="A71" s="29"/>
      <c r="B71" s="330"/>
      <c r="C71" s="330"/>
      <c r="D71" s="330"/>
      <c r="E71" s="330"/>
      <c r="F71" s="330"/>
      <c r="G71" s="330"/>
      <c r="H71" s="330"/>
      <c r="I71" s="330"/>
      <c r="J71" s="330"/>
      <c r="K71" s="330"/>
      <c r="L71" s="330"/>
      <c r="M71" s="330"/>
      <c r="N71" s="330"/>
      <c r="O71" s="330"/>
      <c r="P71" s="330"/>
      <c r="Q71" s="330"/>
      <c r="R71" s="330"/>
      <c r="S71" s="330"/>
      <c r="T71" s="330"/>
    </row>
    <row r="72" spans="1:20" s="302" customFormat="1" ht="15.75" hidden="1" thickBot="1">
      <c r="A72" s="29"/>
      <c r="B72" s="330"/>
      <c r="C72" s="330"/>
      <c r="D72" s="330"/>
      <c r="E72" s="330"/>
      <c r="F72" s="330"/>
      <c r="G72" s="330"/>
      <c r="H72" s="330"/>
      <c r="I72" s="330"/>
      <c r="J72" s="330"/>
      <c r="K72" s="330"/>
      <c r="L72" s="330"/>
      <c r="M72" s="330"/>
      <c r="N72" s="330"/>
      <c r="O72" s="330"/>
      <c r="P72" s="330"/>
      <c r="Q72" s="284" t="s">
        <v>107</v>
      </c>
      <c r="R72" s="280"/>
      <c r="S72" s="280"/>
      <c r="T72" s="187"/>
    </row>
    <row r="73" spans="1:20" s="302" customFormat="1" ht="15.75" hidden="1">
      <c r="A73" s="34">
        <v>41426</v>
      </c>
      <c r="B73" s="35" t="s">
        <v>84</v>
      </c>
      <c r="C73" s="11">
        <f>SUM(D73:N73)</f>
        <v>0</v>
      </c>
      <c r="D73" s="204">
        <v>0</v>
      </c>
      <c r="E73" s="204">
        <v>0</v>
      </c>
      <c r="F73" s="205">
        <v>0</v>
      </c>
      <c r="G73" s="205">
        <v>0</v>
      </c>
      <c r="H73" s="26">
        <v>0</v>
      </c>
      <c r="I73" s="26"/>
      <c r="J73" s="26"/>
      <c r="K73" s="26"/>
      <c r="L73" s="26"/>
      <c r="M73" s="26"/>
      <c r="N73" s="26">
        <v>0</v>
      </c>
      <c r="O73" s="74"/>
      <c r="P73" s="26"/>
      <c r="Q73" s="336" t="s">
        <v>209</v>
      </c>
      <c r="R73" s="337" t="s">
        <v>207</v>
      </c>
      <c r="S73" s="283">
        <f>IF(SUM(C73:C76)&gt;0,C73+C74+C76+C75,0)</f>
        <v>0</v>
      </c>
      <c r="T73" s="285">
        <f>IF(SUM(C73:C76)&lt;0,C73+C74+C76+C75,0)</f>
        <v>-1300.3</v>
      </c>
    </row>
    <row r="74" spans="1:20" s="302" customFormat="1" ht="15.75" hidden="1">
      <c r="A74" s="38"/>
      <c r="B74" s="35" t="s">
        <v>148</v>
      </c>
      <c r="C74" s="11">
        <f>SUM(D74:N74)</f>
        <v>0</v>
      </c>
      <c r="D74" s="205"/>
      <c r="E74" s="205">
        <v>0</v>
      </c>
      <c r="F74" s="205"/>
      <c r="G74" s="206"/>
      <c r="H74" s="36"/>
      <c r="I74" s="26"/>
      <c r="J74" s="57"/>
      <c r="K74" s="57"/>
      <c r="L74" s="26"/>
      <c r="M74" s="26"/>
      <c r="N74" s="26"/>
      <c r="O74" s="74"/>
      <c r="P74" s="26"/>
      <c r="Q74" s="295" t="s">
        <v>11</v>
      </c>
      <c r="R74" s="296" t="s">
        <v>62</v>
      </c>
      <c r="S74" s="283">
        <v>0</v>
      </c>
      <c r="T74" s="285">
        <v>0</v>
      </c>
    </row>
    <row r="75" spans="1:20" s="302" customFormat="1" ht="15.75" hidden="1">
      <c r="A75" s="38"/>
      <c r="B75" s="35" t="s">
        <v>144</v>
      </c>
      <c r="C75" s="11">
        <f>SUM(D75:N75)</f>
        <v>0</v>
      </c>
      <c r="D75" s="203">
        <v>0</v>
      </c>
      <c r="E75" s="203"/>
      <c r="F75" s="203"/>
      <c r="G75" s="205">
        <v>0</v>
      </c>
      <c r="H75" s="73"/>
      <c r="I75" s="26"/>
      <c r="J75" s="57"/>
      <c r="K75" s="26"/>
      <c r="L75" s="26"/>
      <c r="M75" s="26"/>
      <c r="N75" s="26"/>
      <c r="O75" s="74"/>
      <c r="P75" s="26"/>
      <c r="Q75" s="288" t="s">
        <v>80</v>
      </c>
      <c r="R75" s="287" t="s">
        <v>59</v>
      </c>
      <c r="S75" s="80">
        <f>IF(SUM(C73)&lt;0,-C73,0)</f>
        <v>0</v>
      </c>
      <c r="T75" s="285">
        <f>IF(SUM(C73)&gt;0,-C73,0)</f>
        <v>0</v>
      </c>
    </row>
    <row r="76" spans="1:20" s="302" customFormat="1" ht="15.75" hidden="1">
      <c r="A76" s="38"/>
      <c r="B76" s="35" t="s">
        <v>57</v>
      </c>
      <c r="C76" s="39">
        <f>SUM(D76:N76)</f>
        <v>-1300.3</v>
      </c>
      <c r="D76" s="39"/>
      <c r="E76" s="39"/>
      <c r="F76" s="39"/>
      <c r="G76" s="39"/>
      <c r="H76" s="39">
        <f>ROUND(((C69)+(C73)/2)*(O76/12),2)</f>
        <v>-1300.3</v>
      </c>
      <c r="I76" s="39"/>
      <c r="J76" s="39"/>
      <c r="K76" s="39"/>
      <c r="L76" s="39"/>
      <c r="M76" s="39"/>
      <c r="N76" s="39"/>
      <c r="O76" s="68">
        <v>0.01</v>
      </c>
      <c r="P76" s="26"/>
      <c r="Q76" s="290" t="s">
        <v>154</v>
      </c>
      <c r="R76" s="287" t="s">
        <v>77</v>
      </c>
      <c r="S76" s="292">
        <v>0</v>
      </c>
      <c r="T76" s="285">
        <f>IF(SUM(C76)&gt;0,-C76,0)</f>
        <v>0</v>
      </c>
    </row>
    <row r="77" spans="1:20" s="302" customFormat="1" ht="16.5" thickBot="1">
      <c r="A77" s="72">
        <f>A73</f>
        <v>41426</v>
      </c>
      <c r="B77" s="26" t="s">
        <v>56</v>
      </c>
      <c r="C77" s="121">
        <f>SUM(C69:C76)</f>
        <v>-1561663.8299999998</v>
      </c>
      <c r="D77" s="121">
        <f>SUM(D69:D76)</f>
        <v>-883736.20005990437</v>
      </c>
      <c r="E77" s="121">
        <f>SUM(E69:E76)</f>
        <v>-659271.7478600872</v>
      </c>
      <c r="F77" s="121">
        <f t="shared" ref="F77:G77" si="14">SUM(F69:F76)</f>
        <v>0</v>
      </c>
      <c r="G77" s="121">
        <f t="shared" si="14"/>
        <v>0</v>
      </c>
      <c r="H77" s="121">
        <f>SUM(H69:H76)</f>
        <v>-18655.88208000845</v>
      </c>
      <c r="I77" s="121">
        <f t="shared" ref="I77:N77" si="15">SUM(I69:I76)</f>
        <v>0</v>
      </c>
      <c r="J77" s="121">
        <f t="shared" si="15"/>
        <v>0</v>
      </c>
      <c r="K77" s="121">
        <f t="shared" si="15"/>
        <v>0</v>
      </c>
      <c r="L77" s="121">
        <f t="shared" si="15"/>
        <v>0</v>
      </c>
      <c r="M77" s="121">
        <f t="shared" si="15"/>
        <v>0</v>
      </c>
      <c r="N77" s="121">
        <f t="shared" si="15"/>
        <v>0</v>
      </c>
      <c r="O77" s="26"/>
      <c r="P77" s="26"/>
      <c r="Q77" s="291" t="s">
        <v>83</v>
      </c>
      <c r="R77" s="289" t="s">
        <v>78</v>
      </c>
      <c r="S77" s="84">
        <f>IF(SUM(C76)&lt;0,-C76,0)</f>
        <v>1300.3</v>
      </c>
      <c r="T77" s="335">
        <v>0</v>
      </c>
    </row>
    <row r="78" spans="1:20" s="302" customFormat="1" ht="15.75" thickTop="1">
      <c r="A78" s="29"/>
      <c r="B78" s="330"/>
      <c r="C78" s="330"/>
      <c r="D78" s="330"/>
      <c r="E78" s="330"/>
      <c r="F78" s="330"/>
      <c r="G78" s="330"/>
      <c r="H78" s="330"/>
      <c r="I78" s="330"/>
      <c r="J78" s="330"/>
      <c r="K78" s="330"/>
      <c r="L78" s="330"/>
      <c r="M78" s="330"/>
      <c r="N78" s="330"/>
      <c r="O78" s="330"/>
      <c r="P78" s="330"/>
      <c r="Q78" s="330"/>
      <c r="R78" s="330"/>
      <c r="S78" s="330"/>
      <c r="T78" s="286">
        <v>0</v>
      </c>
    </row>
    <row r="79" spans="1:20" s="302" customFormat="1" ht="16.5" thickBot="1">
      <c r="A79" s="310"/>
      <c r="B79" s="305"/>
      <c r="C79" s="266"/>
      <c r="D79" s="266"/>
      <c r="E79" s="266"/>
      <c r="F79" s="266"/>
      <c r="G79" s="266"/>
      <c r="H79" s="266"/>
      <c r="I79" s="266"/>
      <c r="J79" s="266"/>
      <c r="K79" s="266"/>
      <c r="L79" s="266"/>
      <c r="M79" s="266"/>
      <c r="N79" s="266"/>
      <c r="O79" s="316"/>
      <c r="P79" s="266"/>
      <c r="Q79" s="317"/>
      <c r="R79" s="308"/>
      <c r="S79" s="315"/>
      <c r="T79" s="315"/>
    </row>
    <row r="80" spans="1:20" s="302" customFormat="1" ht="15.75" thickBot="1">
      <c r="A80" s="29"/>
      <c r="B80" s="330"/>
      <c r="C80" s="330"/>
      <c r="D80" s="330"/>
      <c r="E80" s="330"/>
      <c r="F80" s="330"/>
      <c r="G80" s="330"/>
      <c r="H80" s="330"/>
      <c r="I80" s="330"/>
      <c r="J80" s="330"/>
      <c r="K80" s="330"/>
      <c r="L80" s="330"/>
      <c r="M80" s="330"/>
      <c r="N80" s="330"/>
      <c r="O80" s="330"/>
      <c r="P80" s="330"/>
      <c r="Q80" s="284" t="s">
        <v>107</v>
      </c>
      <c r="R80" s="280"/>
      <c r="S80" s="280"/>
      <c r="T80" s="187"/>
    </row>
    <row r="81" spans="1:20" s="302" customFormat="1" ht="15.75">
      <c r="A81" s="34">
        <v>41456</v>
      </c>
      <c r="B81" s="35" t="s">
        <v>84</v>
      </c>
      <c r="C81" s="11">
        <f>SUM(D81:N81)</f>
        <v>0</v>
      </c>
      <c r="D81" s="204">
        <v>0</v>
      </c>
      <c r="E81" s="204">
        <v>0</v>
      </c>
      <c r="F81" s="205">
        <v>0</v>
      </c>
      <c r="G81" s="205">
        <v>0</v>
      </c>
      <c r="H81" s="26">
        <v>0</v>
      </c>
      <c r="I81" s="26"/>
      <c r="J81" s="26"/>
      <c r="K81" s="26"/>
      <c r="L81" s="26"/>
      <c r="M81" s="26"/>
      <c r="N81" s="26">
        <v>0</v>
      </c>
      <c r="O81" s="74"/>
      <c r="P81" s="26"/>
      <c r="Q81" s="336" t="s">
        <v>209</v>
      </c>
      <c r="R81" s="337" t="s">
        <v>207</v>
      </c>
      <c r="S81" s="283">
        <f>IF(SUM(C81:C84)&gt;0,C81+C82+C84+C83,0)</f>
        <v>0</v>
      </c>
      <c r="T81" s="285">
        <f>IF(SUM(C81:C84)&lt;0,C81+C82+C84+C83,0)</f>
        <v>-1301.3900000000001</v>
      </c>
    </row>
    <row r="82" spans="1:20" s="302" customFormat="1" ht="15.75">
      <c r="A82" s="38"/>
      <c r="B82" s="35" t="s">
        <v>148</v>
      </c>
      <c r="C82" s="11">
        <f>SUM(D82:N82)</f>
        <v>0</v>
      </c>
      <c r="D82" s="205"/>
      <c r="E82" s="205">
        <v>0</v>
      </c>
      <c r="F82" s="205"/>
      <c r="G82" s="206"/>
      <c r="H82" s="36"/>
      <c r="I82" s="26"/>
      <c r="J82" s="57"/>
      <c r="K82" s="57"/>
      <c r="L82" s="26"/>
      <c r="M82" s="26"/>
      <c r="N82" s="26"/>
      <c r="O82" s="74"/>
      <c r="P82" s="26"/>
      <c r="Q82" s="295" t="s">
        <v>11</v>
      </c>
      <c r="R82" s="296" t="s">
        <v>62</v>
      </c>
      <c r="S82" s="283">
        <v>0</v>
      </c>
      <c r="T82" s="285">
        <v>0</v>
      </c>
    </row>
    <row r="83" spans="1:20" s="302" customFormat="1" ht="15.75">
      <c r="A83" s="38"/>
      <c r="B83" s="35" t="s">
        <v>144</v>
      </c>
      <c r="C83" s="11">
        <f>SUM(D83:N83)</f>
        <v>0</v>
      </c>
      <c r="D83" s="203">
        <v>0</v>
      </c>
      <c r="E83" s="203"/>
      <c r="F83" s="203"/>
      <c r="G83" s="205">
        <v>0</v>
      </c>
      <c r="H83" s="73"/>
      <c r="I83" s="26"/>
      <c r="J83" s="57"/>
      <c r="K83" s="26"/>
      <c r="L83" s="26"/>
      <c r="M83" s="26"/>
      <c r="N83" s="26"/>
      <c r="O83" s="74"/>
      <c r="P83" s="26"/>
      <c r="Q83" s="288" t="s">
        <v>80</v>
      </c>
      <c r="R83" s="287" t="s">
        <v>59</v>
      </c>
      <c r="S83" s="80">
        <f>IF(SUM(C81)&lt;0,-C81,0)</f>
        <v>0</v>
      </c>
      <c r="T83" s="285">
        <f>IF(SUM(C81)&gt;0,-C81,0)</f>
        <v>0</v>
      </c>
    </row>
    <row r="84" spans="1:20" s="302" customFormat="1" ht="15.75">
      <c r="A84" s="38"/>
      <c r="B84" s="35" t="s">
        <v>57</v>
      </c>
      <c r="C84" s="39">
        <f>SUM(D84:N84)</f>
        <v>-1301.3900000000001</v>
      </c>
      <c r="D84" s="39"/>
      <c r="E84" s="39"/>
      <c r="F84" s="39"/>
      <c r="G84" s="39"/>
      <c r="H84" s="39">
        <f>ROUND(((C77)+(C81)/2)*(O84/12),2)</f>
        <v>-1301.3900000000001</v>
      </c>
      <c r="I84" s="39"/>
      <c r="J84" s="39"/>
      <c r="K84" s="39"/>
      <c r="L84" s="39"/>
      <c r="M84" s="39"/>
      <c r="N84" s="39"/>
      <c r="O84" s="68">
        <v>0.01</v>
      </c>
      <c r="P84" s="26"/>
      <c r="Q84" s="290" t="s">
        <v>154</v>
      </c>
      <c r="R84" s="287" t="s">
        <v>77</v>
      </c>
      <c r="S84" s="292">
        <v>0</v>
      </c>
      <c r="T84" s="285">
        <f>IF(SUM(C84)&gt;0,-C84,0)</f>
        <v>0</v>
      </c>
    </row>
    <row r="85" spans="1:20" s="302" customFormat="1" ht="16.5" thickBot="1">
      <c r="A85" s="72">
        <f>A81</f>
        <v>41456</v>
      </c>
      <c r="B85" s="26" t="s">
        <v>56</v>
      </c>
      <c r="C85" s="121">
        <f>SUM(C77:C84)</f>
        <v>-1562965.2199999997</v>
      </c>
      <c r="D85" s="121">
        <f>SUM(D77:D84)</f>
        <v>-883736.20005990437</v>
      </c>
      <c r="E85" s="121">
        <f>SUM(E77:E84)</f>
        <v>-659271.7478600872</v>
      </c>
      <c r="F85" s="121">
        <f t="shared" ref="F85:G85" si="16">SUM(F77:F84)</f>
        <v>0</v>
      </c>
      <c r="G85" s="121">
        <f t="shared" si="16"/>
        <v>0</v>
      </c>
      <c r="H85" s="121">
        <f>SUM(H77:H84)</f>
        <v>-19957.27208000845</v>
      </c>
      <c r="I85" s="121">
        <f t="shared" ref="I85:N85" si="17">SUM(I77:I84)</f>
        <v>0</v>
      </c>
      <c r="J85" s="121">
        <f t="shared" si="17"/>
        <v>0</v>
      </c>
      <c r="K85" s="121">
        <f t="shared" si="17"/>
        <v>0</v>
      </c>
      <c r="L85" s="121">
        <f t="shared" si="17"/>
        <v>0</v>
      </c>
      <c r="M85" s="121">
        <f t="shared" si="17"/>
        <v>0</v>
      </c>
      <c r="N85" s="121">
        <f t="shared" si="17"/>
        <v>0</v>
      </c>
      <c r="O85" s="26"/>
      <c r="P85" s="26"/>
      <c r="Q85" s="291" t="s">
        <v>83</v>
      </c>
      <c r="R85" s="289" t="s">
        <v>78</v>
      </c>
      <c r="S85" s="84">
        <f>IF(SUM(C84)&lt;0,-C84,0)</f>
        <v>1301.3900000000001</v>
      </c>
      <c r="T85" s="335">
        <v>0</v>
      </c>
    </row>
    <row r="86" spans="1:20" s="302" customFormat="1" ht="15.75" thickTop="1">
      <c r="A86" s="29"/>
      <c r="B86" s="330"/>
      <c r="C86" s="330"/>
      <c r="D86" s="330"/>
      <c r="E86" s="330"/>
      <c r="F86" s="330"/>
      <c r="G86" s="330"/>
      <c r="H86" s="330"/>
      <c r="I86" s="330"/>
      <c r="J86" s="330"/>
      <c r="K86" s="330"/>
      <c r="L86" s="330"/>
      <c r="M86" s="330"/>
      <c r="N86" s="330"/>
      <c r="O86" s="330"/>
      <c r="P86" s="330"/>
      <c r="Q86" s="330"/>
      <c r="R86" s="330"/>
      <c r="S86" s="330"/>
      <c r="T86" s="286">
        <v>0</v>
      </c>
    </row>
    <row r="87" spans="1:20" s="302" customFormat="1" ht="16.5" thickBot="1">
      <c r="A87" s="310"/>
      <c r="B87" s="305"/>
      <c r="C87" s="266"/>
      <c r="D87" s="266"/>
      <c r="E87" s="266"/>
      <c r="F87" s="266"/>
      <c r="G87" s="266"/>
      <c r="H87" s="266"/>
      <c r="I87" s="266"/>
      <c r="J87" s="266"/>
      <c r="K87" s="266"/>
      <c r="L87" s="266"/>
      <c r="M87" s="266"/>
      <c r="N87" s="266"/>
      <c r="O87" s="316"/>
      <c r="P87" s="266"/>
      <c r="Q87" s="317"/>
      <c r="R87" s="308"/>
      <c r="S87" s="315"/>
      <c r="T87" s="315"/>
    </row>
    <row r="88" spans="1:20" s="302" customFormat="1" ht="15.75" thickBot="1">
      <c r="A88" s="29"/>
      <c r="B88" s="330"/>
      <c r="C88" s="330"/>
      <c r="D88" s="330"/>
      <c r="E88" s="330"/>
      <c r="F88" s="330"/>
      <c r="G88" s="330"/>
      <c r="H88" s="330"/>
      <c r="I88" s="330"/>
      <c r="J88" s="330"/>
      <c r="K88" s="330"/>
      <c r="L88" s="330"/>
      <c r="M88" s="330"/>
      <c r="N88" s="330"/>
      <c r="O88" s="330"/>
      <c r="P88" s="330"/>
      <c r="Q88" s="284" t="s">
        <v>107</v>
      </c>
      <c r="R88" s="280"/>
      <c r="S88" s="280"/>
      <c r="T88" s="187"/>
    </row>
    <row r="89" spans="1:20" s="302" customFormat="1" ht="15.75">
      <c r="A89" s="34">
        <v>41487</v>
      </c>
      <c r="B89" s="35" t="s">
        <v>84</v>
      </c>
      <c r="C89" s="11">
        <f>SUM(D89:N89)</f>
        <v>0</v>
      </c>
      <c r="D89" s="204">
        <v>0</v>
      </c>
      <c r="E89" s="204">
        <v>0</v>
      </c>
      <c r="F89" s="205">
        <v>0</v>
      </c>
      <c r="G89" s="205">
        <v>0</v>
      </c>
      <c r="H89" s="26">
        <v>0</v>
      </c>
      <c r="I89" s="26"/>
      <c r="J89" s="26"/>
      <c r="K89" s="26"/>
      <c r="L89" s="26"/>
      <c r="M89" s="26"/>
      <c r="N89" s="26">
        <v>0</v>
      </c>
      <c r="O89" s="74"/>
      <c r="P89" s="26"/>
      <c r="Q89" s="336" t="s">
        <v>209</v>
      </c>
      <c r="R89" s="337" t="s">
        <v>207</v>
      </c>
      <c r="S89" s="283">
        <f>IF(SUM(C89:C92)&gt;0,C89+C90+C92+C91,0)</f>
        <v>0</v>
      </c>
      <c r="T89" s="285">
        <f>IF(SUM(C89:C92)&lt;0,C89+C90+C92+C91,0)</f>
        <v>-1302.47</v>
      </c>
    </row>
    <row r="90" spans="1:20" s="302" customFormat="1" ht="15.75">
      <c r="A90" s="38"/>
      <c r="B90" s="35" t="s">
        <v>148</v>
      </c>
      <c r="C90" s="11">
        <f>SUM(D90:N90)</f>
        <v>0</v>
      </c>
      <c r="D90" s="205"/>
      <c r="E90" s="205">
        <v>0</v>
      </c>
      <c r="F90" s="205"/>
      <c r="G90" s="206"/>
      <c r="H90" s="36"/>
      <c r="I90" s="26"/>
      <c r="J90" s="57"/>
      <c r="K90" s="57"/>
      <c r="L90" s="26"/>
      <c r="M90" s="26"/>
      <c r="N90" s="26"/>
      <c r="O90" s="74"/>
      <c r="P90" s="26"/>
      <c r="Q90" s="295" t="s">
        <v>11</v>
      </c>
      <c r="R90" s="296" t="s">
        <v>62</v>
      </c>
      <c r="S90" s="283">
        <v>0</v>
      </c>
      <c r="T90" s="285">
        <v>0</v>
      </c>
    </row>
    <row r="91" spans="1:20" s="302" customFormat="1" ht="15.75">
      <c r="A91" s="38"/>
      <c r="B91" s="35" t="s">
        <v>144</v>
      </c>
      <c r="C91" s="11">
        <f>SUM(D91:N91)</f>
        <v>0</v>
      </c>
      <c r="D91" s="203">
        <v>0</v>
      </c>
      <c r="E91" s="203"/>
      <c r="F91" s="203"/>
      <c r="G91" s="205">
        <v>0</v>
      </c>
      <c r="H91" s="73"/>
      <c r="I91" s="26"/>
      <c r="J91" s="57"/>
      <c r="K91" s="26"/>
      <c r="L91" s="26"/>
      <c r="M91" s="26"/>
      <c r="N91" s="26"/>
      <c r="O91" s="74"/>
      <c r="P91" s="26"/>
      <c r="Q91" s="288" t="s">
        <v>80</v>
      </c>
      <c r="R91" s="287" t="s">
        <v>59</v>
      </c>
      <c r="S91" s="80">
        <f>IF(SUM(C89)&lt;0,-C89,0)</f>
        <v>0</v>
      </c>
      <c r="T91" s="285">
        <f>IF(SUM(C89)&gt;0,-C89,0)</f>
        <v>0</v>
      </c>
    </row>
    <row r="92" spans="1:20" s="302" customFormat="1" ht="15.75">
      <c r="A92" s="38"/>
      <c r="B92" s="35" t="s">
        <v>57</v>
      </c>
      <c r="C92" s="39">
        <f>SUM(D92:N92)</f>
        <v>-1302.47</v>
      </c>
      <c r="D92" s="39"/>
      <c r="E92" s="39"/>
      <c r="F92" s="39"/>
      <c r="G92" s="39"/>
      <c r="H92" s="39">
        <v>-1302.47</v>
      </c>
      <c r="I92" s="39"/>
      <c r="J92" s="39"/>
      <c r="K92" s="39"/>
      <c r="L92" s="39"/>
      <c r="M92" s="39"/>
      <c r="N92" s="39"/>
      <c r="O92" s="68">
        <v>0.01</v>
      </c>
      <c r="P92" s="26"/>
      <c r="Q92" s="290" t="s">
        <v>154</v>
      </c>
      <c r="R92" s="287" t="s">
        <v>77</v>
      </c>
      <c r="S92" s="292">
        <v>0</v>
      </c>
      <c r="T92" s="285">
        <f>IF(SUM(C92)&gt;0,-C92,0)</f>
        <v>0</v>
      </c>
    </row>
    <row r="93" spans="1:20" s="302" customFormat="1" ht="16.5" thickBot="1">
      <c r="A93" s="72">
        <f>A89</f>
        <v>41487</v>
      </c>
      <c r="B93" s="26" t="s">
        <v>56</v>
      </c>
      <c r="C93" s="121">
        <f>SUM(C85:C92)</f>
        <v>-1564267.6899999997</v>
      </c>
      <c r="D93" s="121">
        <f>SUM(D85:D92)</f>
        <v>-883736.20005990437</v>
      </c>
      <c r="E93" s="121">
        <f>SUM(E85:E92)</f>
        <v>-659271.7478600872</v>
      </c>
      <c r="F93" s="121">
        <f t="shared" ref="F93:G93" si="18">SUM(F85:F92)</f>
        <v>0</v>
      </c>
      <c r="G93" s="121">
        <f t="shared" si="18"/>
        <v>0</v>
      </c>
      <c r="H93" s="121">
        <f>SUM(H85:H92)</f>
        <v>-21259.742080008451</v>
      </c>
      <c r="I93" s="121">
        <f t="shared" ref="I93:N93" si="19">SUM(I85:I92)</f>
        <v>0</v>
      </c>
      <c r="J93" s="121">
        <f t="shared" si="19"/>
        <v>0</v>
      </c>
      <c r="K93" s="121">
        <f t="shared" si="19"/>
        <v>0</v>
      </c>
      <c r="L93" s="121">
        <f t="shared" si="19"/>
        <v>0</v>
      </c>
      <c r="M93" s="121">
        <f t="shared" si="19"/>
        <v>0</v>
      </c>
      <c r="N93" s="121">
        <f t="shared" si="19"/>
        <v>0</v>
      </c>
      <c r="O93" s="26"/>
      <c r="P93" s="26"/>
      <c r="Q93" s="291" t="s">
        <v>83</v>
      </c>
      <c r="R93" s="289" t="s">
        <v>78</v>
      </c>
      <c r="S93" s="84">
        <f>IF(SUM(C92)&lt;0,-C92,0)</f>
        <v>1302.47</v>
      </c>
      <c r="T93" s="335">
        <v>0</v>
      </c>
    </row>
    <row r="94" spans="1:20" s="302" customFormat="1" ht="15.75" thickTop="1">
      <c r="A94" s="29"/>
      <c r="B94" s="330"/>
      <c r="C94" s="330"/>
      <c r="D94" s="330"/>
      <c r="E94" s="330"/>
      <c r="F94" s="330"/>
      <c r="G94" s="330"/>
      <c r="H94" s="330"/>
      <c r="I94" s="330"/>
      <c r="J94" s="330"/>
      <c r="K94" s="330"/>
      <c r="L94" s="330"/>
      <c r="M94" s="330"/>
      <c r="N94" s="330"/>
      <c r="O94" s="330"/>
      <c r="P94" s="330"/>
      <c r="Q94" s="330"/>
      <c r="R94" s="330"/>
      <c r="S94" s="330"/>
      <c r="T94" s="286">
        <f>SUM(S89:T93)</f>
        <v>0</v>
      </c>
    </row>
    <row r="95" spans="1:20" s="302" customFormat="1" ht="16.5" thickBot="1">
      <c r="A95" s="318"/>
      <c r="B95" s="266"/>
      <c r="C95" s="266"/>
      <c r="D95" s="266"/>
      <c r="E95" s="266"/>
      <c r="F95" s="266"/>
      <c r="G95" s="266"/>
      <c r="H95" s="266"/>
      <c r="I95" s="266"/>
      <c r="J95" s="266"/>
      <c r="K95" s="266"/>
      <c r="L95" s="266"/>
      <c r="M95" s="266"/>
      <c r="N95" s="266"/>
      <c r="O95" s="266"/>
      <c r="P95" s="266"/>
      <c r="Q95" s="317"/>
      <c r="R95" s="319"/>
      <c r="S95" s="315"/>
      <c r="T95" s="315"/>
    </row>
    <row r="96" spans="1:20" s="302" customFormat="1" ht="15.75" thickBot="1">
      <c r="A96" s="29"/>
      <c r="B96" s="330"/>
      <c r="C96" s="330"/>
      <c r="D96" s="330"/>
      <c r="E96" s="330"/>
      <c r="F96" s="330"/>
      <c r="G96" s="330"/>
      <c r="H96" s="330"/>
      <c r="I96" s="330"/>
      <c r="J96" s="330"/>
      <c r="K96" s="330"/>
      <c r="L96" s="330"/>
      <c r="M96" s="330"/>
      <c r="N96" s="330"/>
      <c r="O96" s="330"/>
      <c r="P96" s="330"/>
      <c r="Q96" s="284" t="s">
        <v>107</v>
      </c>
      <c r="R96" s="280"/>
      <c r="S96" s="280"/>
      <c r="T96" s="187"/>
    </row>
    <row r="97" spans="1:20" s="302" customFormat="1" ht="15.75">
      <c r="A97" s="34">
        <v>41518</v>
      </c>
      <c r="B97" s="35" t="s">
        <v>84</v>
      </c>
      <c r="C97" s="11">
        <f>SUM(D97:N97)</f>
        <v>0</v>
      </c>
      <c r="D97" s="204">
        <v>0</v>
      </c>
      <c r="E97" s="204">
        <v>0</v>
      </c>
      <c r="F97" s="205">
        <v>0</v>
      </c>
      <c r="G97" s="205">
        <v>0</v>
      </c>
      <c r="H97" s="26">
        <v>0</v>
      </c>
      <c r="I97" s="26"/>
      <c r="J97" s="26"/>
      <c r="K97" s="26"/>
      <c r="L97" s="26"/>
      <c r="M97" s="26"/>
      <c r="N97" s="26">
        <v>0</v>
      </c>
      <c r="O97" s="74"/>
      <c r="P97" s="26"/>
      <c r="Q97" s="336" t="s">
        <v>209</v>
      </c>
      <c r="R97" s="337" t="s">
        <v>207</v>
      </c>
      <c r="S97" s="283">
        <f>IF(SUM(C97:C100)&gt;0,C97+C98+C100+C99,0)</f>
        <v>0</v>
      </c>
      <c r="T97" s="285">
        <f>IF(SUM(C97:C100)&lt;0,C97+C98+C100+C99,0)</f>
        <v>-1303.56</v>
      </c>
    </row>
    <row r="98" spans="1:20" s="302" customFormat="1" ht="15.75">
      <c r="A98" s="38"/>
      <c r="B98" s="35" t="s">
        <v>148</v>
      </c>
      <c r="C98" s="11">
        <f>SUM(D98:N98)</f>
        <v>0</v>
      </c>
      <c r="D98" s="205"/>
      <c r="E98" s="205">
        <v>0</v>
      </c>
      <c r="F98" s="205"/>
      <c r="G98" s="206"/>
      <c r="H98" s="36"/>
      <c r="I98" s="26"/>
      <c r="J98" s="57"/>
      <c r="K98" s="57"/>
      <c r="L98" s="26"/>
      <c r="M98" s="26"/>
      <c r="N98" s="26"/>
      <c r="O98" s="74"/>
      <c r="P98" s="26"/>
      <c r="Q98" s="295" t="s">
        <v>11</v>
      </c>
      <c r="R98" s="296" t="s">
        <v>62</v>
      </c>
      <c r="S98" s="283">
        <v>0</v>
      </c>
      <c r="T98" s="285">
        <v>0</v>
      </c>
    </row>
    <row r="99" spans="1:20" s="302" customFormat="1" ht="15.75">
      <c r="A99" s="38"/>
      <c r="B99" s="35" t="s">
        <v>144</v>
      </c>
      <c r="C99" s="11">
        <f>SUM(D99:N99)</f>
        <v>0</v>
      </c>
      <c r="D99" s="203">
        <v>0</v>
      </c>
      <c r="E99" s="203"/>
      <c r="F99" s="203"/>
      <c r="G99" s="205">
        <v>0</v>
      </c>
      <c r="H99" s="73"/>
      <c r="I99" s="26"/>
      <c r="J99" s="57"/>
      <c r="K99" s="26"/>
      <c r="L99" s="26"/>
      <c r="M99" s="26"/>
      <c r="N99" s="26"/>
      <c r="O99" s="74"/>
      <c r="P99" s="26"/>
      <c r="Q99" s="288" t="s">
        <v>80</v>
      </c>
      <c r="R99" s="287" t="s">
        <v>59</v>
      </c>
      <c r="S99" s="80">
        <f>IF(SUM(C97)&lt;0,-C97,0)</f>
        <v>0</v>
      </c>
      <c r="T99" s="285">
        <f>IF(SUM(C97)&gt;0,-C97,0)</f>
        <v>0</v>
      </c>
    </row>
    <row r="100" spans="1:20" s="302" customFormat="1" ht="15.75">
      <c r="A100" s="38"/>
      <c r="B100" s="35" t="s">
        <v>57</v>
      </c>
      <c r="C100" s="39">
        <f>SUM(D100:N100)</f>
        <v>-1303.56</v>
      </c>
      <c r="D100" s="39"/>
      <c r="E100" s="39"/>
      <c r="F100" s="39"/>
      <c r="G100" s="39"/>
      <c r="H100" s="39">
        <f>ROUND(((C93)+(C97)/2)*(O100/12),2)</f>
        <v>-1303.56</v>
      </c>
      <c r="I100" s="39"/>
      <c r="J100" s="39"/>
      <c r="K100" s="39"/>
      <c r="L100" s="39"/>
      <c r="M100" s="39"/>
      <c r="N100" s="39"/>
      <c r="O100" s="68">
        <v>0.01</v>
      </c>
      <c r="P100" s="26"/>
      <c r="Q100" s="290" t="s">
        <v>154</v>
      </c>
      <c r="R100" s="287" t="s">
        <v>77</v>
      </c>
      <c r="S100" s="292">
        <v>0</v>
      </c>
      <c r="T100" s="285">
        <f>IF(SUM(C100)&gt;0,-C100,0)</f>
        <v>0</v>
      </c>
    </row>
    <row r="101" spans="1:20" s="302" customFormat="1" ht="16.5" thickBot="1">
      <c r="A101" s="72">
        <f>A97</f>
        <v>41518</v>
      </c>
      <c r="B101" s="26" t="s">
        <v>56</v>
      </c>
      <c r="C101" s="121">
        <f>SUM(C93:C100)</f>
        <v>-1565571.2499999998</v>
      </c>
      <c r="D101" s="121">
        <f>SUM(D93:D100)</f>
        <v>-883736.20005990437</v>
      </c>
      <c r="E101" s="121">
        <f>SUM(E93:E100)</f>
        <v>-659271.7478600872</v>
      </c>
      <c r="F101" s="121">
        <f t="shared" ref="F101:G101" si="20">SUM(F93:F100)</f>
        <v>0</v>
      </c>
      <c r="G101" s="121">
        <f t="shared" si="20"/>
        <v>0</v>
      </c>
      <c r="H101" s="121">
        <f>SUM(H93:H100)</f>
        <v>-22563.302080008452</v>
      </c>
      <c r="I101" s="121">
        <f t="shared" ref="I101:N101" si="21">SUM(I93:I100)</f>
        <v>0</v>
      </c>
      <c r="J101" s="121">
        <f t="shared" si="21"/>
        <v>0</v>
      </c>
      <c r="K101" s="121">
        <f t="shared" si="21"/>
        <v>0</v>
      </c>
      <c r="L101" s="121">
        <f t="shared" si="21"/>
        <v>0</v>
      </c>
      <c r="M101" s="121">
        <f t="shared" si="21"/>
        <v>0</v>
      </c>
      <c r="N101" s="121">
        <f t="shared" si="21"/>
        <v>0</v>
      </c>
      <c r="O101" s="26"/>
      <c r="P101" s="26"/>
      <c r="Q101" s="291" t="s">
        <v>83</v>
      </c>
      <c r="R101" s="289" t="s">
        <v>78</v>
      </c>
      <c r="S101" s="84">
        <f>IF(SUM(C100)&lt;0,-C100,0)</f>
        <v>1303.56</v>
      </c>
      <c r="T101" s="335">
        <v>0</v>
      </c>
    </row>
    <row r="102" spans="1:20" s="302" customFormat="1" ht="15.75" thickTop="1">
      <c r="A102" s="29"/>
      <c r="B102" s="330"/>
      <c r="C102" s="330"/>
      <c r="D102" s="330"/>
      <c r="E102" s="330"/>
      <c r="F102" s="330"/>
      <c r="G102" s="330"/>
      <c r="H102" s="330"/>
      <c r="I102" s="330"/>
      <c r="J102" s="330"/>
      <c r="K102" s="330"/>
      <c r="L102" s="330"/>
      <c r="M102" s="330"/>
      <c r="N102" s="330"/>
      <c r="O102" s="330"/>
      <c r="P102" s="330"/>
      <c r="Q102" s="330"/>
      <c r="R102" s="330"/>
      <c r="S102" s="330"/>
      <c r="T102" s="286">
        <f>SUM(S97:T101)</f>
        <v>0</v>
      </c>
    </row>
    <row r="103" spans="1:20" s="353" customFormat="1" ht="15.75">
      <c r="A103" s="401"/>
      <c r="B103" s="332" t="s">
        <v>223</v>
      </c>
      <c r="T103" s="378"/>
    </row>
    <row r="104" spans="1:20" s="302" customFormat="1">
      <c r="A104" s="301"/>
      <c r="T104" s="315"/>
    </row>
    <row r="105" spans="1:20" s="302" customFormat="1">
      <c r="A105" s="301"/>
      <c r="Q105" s="303"/>
      <c r="T105" s="315"/>
    </row>
    <row r="106" spans="1:20" s="302" customFormat="1" ht="15.75">
      <c r="A106" s="304"/>
      <c r="B106" s="305"/>
      <c r="C106" s="266"/>
      <c r="D106" s="298"/>
      <c r="E106" s="298"/>
      <c r="F106" s="299"/>
      <c r="G106" s="299"/>
      <c r="H106" s="266"/>
      <c r="I106" s="266"/>
      <c r="J106" s="266"/>
      <c r="K106" s="266"/>
      <c r="L106" s="266"/>
      <c r="M106" s="266"/>
      <c r="N106" s="266"/>
      <c r="O106" s="306"/>
      <c r="P106" s="266"/>
      <c r="Q106" s="307"/>
      <c r="R106" s="308"/>
      <c r="S106" s="309"/>
      <c r="T106" s="315"/>
    </row>
    <row r="107" spans="1:20" s="302" customFormat="1" ht="15.75">
      <c r="A107" s="310"/>
      <c r="B107" s="305"/>
      <c r="C107" s="266"/>
      <c r="D107" s="299"/>
      <c r="E107" s="299"/>
      <c r="F107" s="299"/>
      <c r="G107" s="300"/>
      <c r="H107" s="299"/>
      <c r="I107" s="266"/>
      <c r="J107" s="300"/>
      <c r="K107" s="300"/>
      <c r="L107" s="266"/>
      <c r="M107" s="266"/>
      <c r="N107" s="266"/>
      <c r="O107" s="306"/>
      <c r="P107" s="266"/>
      <c r="Q107" s="311"/>
      <c r="R107" s="312"/>
      <c r="S107" s="309"/>
      <c r="T107" s="315"/>
    </row>
    <row r="108" spans="1:20" s="302" customFormat="1" ht="15.75">
      <c r="A108" s="310"/>
      <c r="B108" s="305"/>
      <c r="C108" s="266"/>
      <c r="D108" s="266"/>
      <c r="E108" s="266"/>
      <c r="F108" s="266"/>
      <c r="G108" s="299"/>
      <c r="H108" s="313"/>
      <c r="I108" s="266"/>
      <c r="J108" s="300"/>
      <c r="K108" s="266"/>
      <c r="L108" s="266"/>
      <c r="M108" s="266"/>
      <c r="N108" s="266"/>
      <c r="O108" s="306"/>
      <c r="P108" s="266"/>
      <c r="Q108" s="314"/>
      <c r="R108" s="308"/>
      <c r="S108" s="315"/>
      <c r="T108" s="315"/>
    </row>
    <row r="109" spans="1:20" s="302" customFormat="1" ht="15.75">
      <c r="A109" s="310"/>
      <c r="B109" s="305"/>
      <c r="C109" s="266"/>
      <c r="D109" s="266"/>
      <c r="E109" s="266"/>
      <c r="F109" s="266"/>
      <c r="G109" s="266"/>
      <c r="H109" s="266"/>
      <c r="I109" s="266"/>
      <c r="J109" s="266"/>
      <c r="K109" s="266"/>
      <c r="L109" s="266"/>
      <c r="M109" s="266"/>
      <c r="N109" s="266"/>
      <c r="O109" s="316"/>
      <c r="P109" s="266"/>
      <c r="Q109" s="317"/>
      <c r="R109" s="308"/>
      <c r="S109" s="315"/>
      <c r="T109" s="315"/>
    </row>
    <row r="110" spans="1:20" s="302" customFormat="1" ht="15.75">
      <c r="A110" s="318"/>
      <c r="B110" s="266"/>
      <c r="C110" s="266"/>
      <c r="D110" s="266"/>
      <c r="E110" s="266"/>
      <c r="F110" s="266"/>
      <c r="G110" s="266"/>
      <c r="H110" s="266"/>
      <c r="I110" s="266"/>
      <c r="J110" s="266"/>
      <c r="K110" s="266"/>
      <c r="L110" s="266"/>
      <c r="M110" s="266"/>
      <c r="N110" s="266"/>
      <c r="O110" s="266"/>
      <c r="P110" s="266"/>
      <c r="Q110" s="317"/>
      <c r="R110" s="319"/>
      <c r="S110" s="315"/>
      <c r="T110" s="315"/>
    </row>
    <row r="111" spans="1:20" s="302" customFormat="1">
      <c r="A111" s="301"/>
      <c r="T111" s="315"/>
    </row>
    <row r="112" spans="1:20" s="302" customFormat="1">
      <c r="A112" s="301"/>
      <c r="T112" s="315"/>
    </row>
    <row r="113" spans="1:20" s="302" customFormat="1">
      <c r="A113" s="301"/>
      <c r="Q113" s="303"/>
      <c r="T113" s="315"/>
    </row>
    <row r="114" spans="1:20" s="302" customFormat="1" ht="15.75">
      <c r="A114" s="304"/>
      <c r="B114" s="305"/>
      <c r="C114" s="266"/>
      <c r="D114" s="298"/>
      <c r="E114" s="298"/>
      <c r="F114" s="299"/>
      <c r="G114" s="299"/>
      <c r="H114" s="266"/>
      <c r="I114" s="266"/>
      <c r="J114" s="266"/>
      <c r="K114" s="266"/>
      <c r="L114" s="266"/>
      <c r="M114" s="266"/>
      <c r="N114" s="266"/>
      <c r="O114" s="306"/>
      <c r="P114" s="266"/>
      <c r="Q114" s="307"/>
      <c r="R114" s="308"/>
      <c r="S114" s="309"/>
      <c r="T114" s="315"/>
    </row>
    <row r="115" spans="1:20" s="302" customFormat="1" ht="15.75">
      <c r="A115" s="310"/>
      <c r="B115" s="305"/>
      <c r="C115" s="266"/>
      <c r="D115" s="299"/>
      <c r="E115" s="299"/>
      <c r="F115" s="299"/>
      <c r="G115" s="300"/>
      <c r="H115" s="299"/>
      <c r="I115" s="266"/>
      <c r="J115" s="300"/>
      <c r="K115" s="300"/>
      <c r="L115" s="266"/>
      <c r="M115" s="266"/>
      <c r="N115" s="266"/>
      <c r="O115" s="306"/>
      <c r="P115" s="266"/>
      <c r="Q115" s="311"/>
      <c r="R115" s="312"/>
      <c r="S115" s="309"/>
      <c r="T115" s="315"/>
    </row>
    <row r="116" spans="1:20" s="302" customFormat="1" ht="15.75">
      <c r="A116" s="310"/>
      <c r="B116" s="305"/>
      <c r="C116" s="266"/>
      <c r="D116" s="266"/>
      <c r="E116" s="266"/>
      <c r="F116" s="266"/>
      <c r="G116" s="299"/>
      <c r="H116" s="313"/>
      <c r="I116" s="266"/>
      <c r="J116" s="300"/>
      <c r="K116" s="266"/>
      <c r="L116" s="266"/>
      <c r="M116" s="266"/>
      <c r="N116" s="266"/>
      <c r="O116" s="306"/>
      <c r="P116" s="266"/>
      <c r="Q116" s="314"/>
      <c r="R116" s="308"/>
      <c r="S116" s="315"/>
      <c r="T116" s="315"/>
    </row>
    <row r="117" spans="1:20" s="302" customFormat="1" ht="15.75">
      <c r="A117" s="310"/>
      <c r="B117" s="305"/>
      <c r="C117" s="266"/>
      <c r="D117" s="266"/>
      <c r="E117" s="266"/>
      <c r="F117" s="266"/>
      <c r="G117" s="266"/>
      <c r="H117" s="266"/>
      <c r="I117" s="266"/>
      <c r="J117" s="266"/>
      <c r="K117" s="266"/>
      <c r="L117" s="266"/>
      <c r="M117" s="266"/>
      <c r="N117" s="266"/>
      <c r="O117" s="316"/>
      <c r="P117" s="266"/>
      <c r="Q117" s="317"/>
      <c r="R117" s="308"/>
      <c r="S117" s="315"/>
      <c r="T117" s="315"/>
    </row>
    <row r="118" spans="1:20" s="302" customFormat="1" ht="15.75">
      <c r="A118" s="318"/>
      <c r="B118" s="266"/>
      <c r="C118" s="266"/>
      <c r="D118" s="266"/>
      <c r="E118" s="266"/>
      <c r="F118" s="266"/>
      <c r="G118" s="266"/>
      <c r="H118" s="266"/>
      <c r="I118" s="266"/>
      <c r="J118" s="266"/>
      <c r="K118" s="266"/>
      <c r="L118" s="266"/>
      <c r="M118" s="266"/>
      <c r="N118" s="266"/>
      <c r="O118" s="266"/>
      <c r="P118" s="266"/>
      <c r="Q118" s="317"/>
      <c r="R118" s="319"/>
      <c r="S118" s="315"/>
      <c r="T118" s="315"/>
    </row>
    <row r="119" spans="1:20" s="302" customFormat="1" ht="15.75">
      <c r="A119" s="318"/>
      <c r="B119" s="266"/>
      <c r="C119" s="266"/>
      <c r="D119" s="266"/>
      <c r="E119" s="266"/>
      <c r="F119" s="266"/>
      <c r="G119" s="266"/>
      <c r="H119" s="266"/>
      <c r="I119" s="266"/>
      <c r="J119" s="266"/>
      <c r="K119" s="266"/>
      <c r="L119" s="266"/>
      <c r="M119" s="266"/>
      <c r="N119" s="266"/>
      <c r="O119" s="266"/>
      <c r="P119" s="266"/>
      <c r="Q119" s="317"/>
      <c r="R119" s="319"/>
      <c r="S119" s="315"/>
      <c r="T119" s="315"/>
    </row>
    <row r="120" spans="1:20" s="302" customFormat="1" ht="15.75">
      <c r="A120" s="318"/>
      <c r="B120" s="266"/>
      <c r="C120" s="266"/>
      <c r="D120" s="266"/>
      <c r="E120" s="266"/>
      <c r="F120" s="266"/>
      <c r="G120" s="266"/>
      <c r="H120" s="266"/>
      <c r="I120" s="266"/>
      <c r="J120" s="266"/>
      <c r="K120" s="266"/>
      <c r="L120" s="266"/>
      <c r="M120" s="266"/>
      <c r="N120" s="266"/>
      <c r="O120" s="266"/>
      <c r="P120" s="266"/>
      <c r="Q120" s="317"/>
      <c r="R120" s="319"/>
      <c r="S120" s="315"/>
      <c r="T120" s="315"/>
    </row>
    <row r="121" spans="1:20" s="302" customFormat="1">
      <c r="A121" s="301"/>
      <c r="Q121" s="303"/>
      <c r="T121" s="315"/>
    </row>
    <row r="122" spans="1:20" s="302" customFormat="1" ht="15.75">
      <c r="A122" s="304"/>
      <c r="B122" s="305"/>
      <c r="C122" s="266"/>
      <c r="D122" s="298"/>
      <c r="E122" s="298"/>
      <c r="F122" s="299"/>
      <c r="G122" s="299"/>
      <c r="H122" s="266"/>
      <c r="I122" s="266"/>
      <c r="J122" s="266"/>
      <c r="K122" s="266"/>
      <c r="L122" s="266"/>
      <c r="M122" s="266"/>
      <c r="N122" s="266"/>
      <c r="O122" s="306"/>
      <c r="P122" s="266"/>
      <c r="Q122" s="307"/>
      <c r="R122" s="308"/>
      <c r="S122" s="309"/>
      <c r="T122" s="315"/>
    </row>
    <row r="123" spans="1:20" s="302" customFormat="1" ht="15.75">
      <c r="A123" s="310"/>
      <c r="B123" s="305"/>
      <c r="C123" s="266"/>
      <c r="D123" s="299"/>
      <c r="E123" s="299"/>
      <c r="F123" s="299"/>
      <c r="G123" s="300"/>
      <c r="H123" s="299"/>
      <c r="I123" s="266"/>
      <c r="J123" s="300"/>
      <c r="K123" s="300"/>
      <c r="L123" s="266"/>
      <c r="M123" s="266"/>
      <c r="N123" s="266"/>
      <c r="O123" s="306"/>
      <c r="P123" s="266"/>
      <c r="Q123" s="311"/>
      <c r="R123" s="312"/>
      <c r="S123" s="309"/>
      <c r="T123" s="315"/>
    </row>
    <row r="124" spans="1:20" s="302" customFormat="1" ht="15.75">
      <c r="A124" s="310"/>
      <c r="B124" s="305"/>
      <c r="C124" s="266"/>
      <c r="D124" s="266"/>
      <c r="E124" s="266"/>
      <c r="F124" s="266"/>
      <c r="G124" s="299"/>
      <c r="H124" s="313"/>
      <c r="I124" s="266"/>
      <c r="J124" s="300"/>
      <c r="K124" s="266"/>
      <c r="L124" s="266"/>
      <c r="M124" s="266"/>
      <c r="N124" s="266"/>
      <c r="O124" s="306"/>
      <c r="P124" s="266"/>
      <c r="Q124" s="314"/>
      <c r="R124" s="308"/>
      <c r="S124" s="315"/>
      <c r="T124" s="315"/>
    </row>
    <row r="125" spans="1:20" s="302" customFormat="1" ht="15.75">
      <c r="A125" s="310"/>
      <c r="B125" s="305"/>
      <c r="C125" s="266"/>
      <c r="D125" s="266"/>
      <c r="E125" s="266"/>
      <c r="F125" s="266"/>
      <c r="G125" s="266"/>
      <c r="H125" s="266"/>
      <c r="I125" s="266"/>
      <c r="J125" s="266"/>
      <c r="K125" s="266"/>
      <c r="L125" s="266"/>
      <c r="M125" s="266"/>
      <c r="N125" s="266"/>
      <c r="O125" s="316"/>
      <c r="P125" s="266"/>
      <c r="Q125" s="317"/>
      <c r="R125" s="308"/>
      <c r="S125" s="315"/>
      <c r="T125" s="315"/>
    </row>
    <row r="126" spans="1:20" s="302" customFormat="1" ht="15.75">
      <c r="A126" s="318"/>
      <c r="B126" s="266"/>
      <c r="C126" s="266"/>
      <c r="D126" s="266"/>
      <c r="E126" s="266"/>
      <c r="F126" s="266"/>
      <c r="G126" s="266"/>
      <c r="H126" s="266"/>
      <c r="I126" s="266"/>
      <c r="J126" s="266"/>
      <c r="K126" s="266"/>
      <c r="L126" s="266"/>
      <c r="M126" s="266"/>
      <c r="N126" s="266"/>
      <c r="O126" s="266"/>
      <c r="P126" s="266"/>
      <c r="Q126" s="317"/>
      <c r="R126" s="319"/>
      <c r="S126" s="315"/>
      <c r="T126" s="315"/>
    </row>
    <row r="127" spans="1:20" s="302" customFormat="1" ht="15.75">
      <c r="A127" s="318"/>
      <c r="B127" s="266"/>
      <c r="C127" s="266"/>
      <c r="D127" s="266"/>
      <c r="E127" s="266"/>
      <c r="F127" s="266"/>
      <c r="G127" s="266"/>
      <c r="H127" s="266"/>
      <c r="I127" s="266"/>
      <c r="J127" s="266"/>
      <c r="K127" s="266"/>
      <c r="L127" s="266"/>
      <c r="M127" s="266"/>
      <c r="N127" s="266"/>
      <c r="O127" s="266"/>
      <c r="P127" s="266"/>
      <c r="Q127" s="317"/>
      <c r="R127" s="319"/>
      <c r="S127" s="315"/>
      <c r="T127" s="315"/>
    </row>
    <row r="128" spans="1:20" s="302" customFormat="1" ht="15.75">
      <c r="A128" s="318"/>
      <c r="B128" s="266"/>
      <c r="C128" s="266"/>
      <c r="D128" s="266"/>
      <c r="E128" s="266"/>
      <c r="F128" s="266"/>
      <c r="G128" s="266"/>
      <c r="H128" s="266"/>
      <c r="I128" s="266"/>
      <c r="J128" s="266"/>
      <c r="K128" s="266"/>
      <c r="L128" s="266"/>
      <c r="M128" s="321"/>
      <c r="N128" s="322"/>
      <c r="O128" s="323"/>
      <c r="P128" s="266"/>
      <c r="Q128" s="317"/>
      <c r="R128" s="319"/>
      <c r="S128" s="315"/>
      <c r="T128" s="315"/>
    </row>
    <row r="129" spans="1:20" s="302" customFormat="1" ht="15.75">
      <c r="A129" s="318"/>
      <c r="B129" s="266"/>
      <c r="C129" s="266"/>
      <c r="D129" s="266"/>
      <c r="E129" s="266"/>
      <c r="F129" s="266"/>
      <c r="G129" s="266"/>
      <c r="H129" s="266"/>
      <c r="I129" s="266"/>
      <c r="J129" s="266"/>
      <c r="K129" s="266"/>
      <c r="L129" s="266"/>
      <c r="M129" s="321"/>
      <c r="N129" s="322"/>
      <c r="P129" s="266"/>
      <c r="Q129" s="317"/>
      <c r="R129" s="319"/>
      <c r="S129" s="315"/>
      <c r="T129" s="315"/>
    </row>
    <row r="130" spans="1:20" s="302" customFormat="1" ht="15.75">
      <c r="A130" s="318"/>
      <c r="B130" s="266"/>
      <c r="C130" s="266"/>
      <c r="D130" s="266"/>
      <c r="E130" s="266"/>
      <c r="F130" s="266"/>
      <c r="G130" s="266"/>
      <c r="H130" s="266"/>
      <c r="I130" s="266"/>
      <c r="J130" s="266"/>
      <c r="K130" s="266"/>
      <c r="L130" s="266"/>
      <c r="M130" s="321"/>
      <c r="N130" s="322"/>
      <c r="P130" s="266"/>
      <c r="Q130" s="317"/>
      <c r="R130" s="319"/>
      <c r="S130" s="315"/>
      <c r="T130" s="315"/>
    </row>
    <row r="131" spans="1:20" s="302" customFormat="1" ht="15.75">
      <c r="A131" s="318"/>
      <c r="B131" s="266"/>
      <c r="C131" s="266"/>
      <c r="D131" s="266"/>
      <c r="E131" s="266"/>
      <c r="F131" s="266"/>
      <c r="G131" s="266"/>
      <c r="H131" s="266"/>
      <c r="I131" s="266"/>
      <c r="J131" s="266"/>
      <c r="K131" s="266"/>
      <c r="L131" s="266"/>
      <c r="M131" s="266"/>
      <c r="N131" s="266"/>
      <c r="O131" s="266"/>
      <c r="P131" s="266"/>
      <c r="Q131" s="317"/>
      <c r="R131" s="319"/>
      <c r="S131" s="315"/>
      <c r="T131" s="315"/>
    </row>
    <row r="132" spans="1:20" s="302" customFormat="1">
      <c r="A132" s="301"/>
      <c r="Q132" s="303"/>
      <c r="T132" s="315"/>
    </row>
    <row r="133" spans="1:20" s="302" customFormat="1" ht="15.75">
      <c r="A133" s="304"/>
      <c r="B133" s="305"/>
      <c r="C133" s="266"/>
      <c r="D133" s="298"/>
      <c r="E133" s="298"/>
      <c r="F133" s="299"/>
      <c r="G133" s="299"/>
      <c r="H133" s="266"/>
      <c r="I133" s="266"/>
      <c r="J133" s="266"/>
      <c r="K133" s="266"/>
      <c r="L133" s="266"/>
      <c r="M133" s="266"/>
      <c r="N133" s="266"/>
      <c r="O133" s="306"/>
      <c r="P133" s="266"/>
      <c r="Q133" s="307"/>
      <c r="R133" s="308"/>
      <c r="S133" s="309"/>
      <c r="T133" s="315"/>
    </row>
    <row r="134" spans="1:20" s="302" customFormat="1" ht="15.75">
      <c r="A134" s="310"/>
      <c r="B134" s="305"/>
      <c r="C134" s="266"/>
      <c r="D134" s="299"/>
      <c r="E134" s="299"/>
      <c r="F134" s="299"/>
      <c r="G134" s="300"/>
      <c r="H134" s="299"/>
      <c r="I134" s="266"/>
      <c r="J134" s="300"/>
      <c r="K134" s="300"/>
      <c r="L134" s="266"/>
      <c r="M134" s="266"/>
      <c r="N134" s="266"/>
      <c r="O134" s="306"/>
      <c r="P134" s="266"/>
      <c r="Q134" s="311"/>
      <c r="R134" s="312"/>
      <c r="S134" s="309"/>
      <c r="T134" s="315"/>
    </row>
    <row r="135" spans="1:20" s="302" customFormat="1" ht="15.75">
      <c r="A135" s="310"/>
      <c r="B135" s="305"/>
      <c r="C135" s="266"/>
      <c r="D135" s="266"/>
      <c r="E135" s="266"/>
      <c r="F135" s="266"/>
      <c r="G135" s="299"/>
      <c r="H135" s="313"/>
      <c r="I135" s="266"/>
      <c r="J135" s="300"/>
      <c r="K135" s="266"/>
      <c r="L135" s="266"/>
      <c r="M135" s="266"/>
      <c r="N135" s="266"/>
      <c r="O135" s="306"/>
      <c r="P135" s="266"/>
      <c r="Q135" s="314"/>
      <c r="R135" s="308"/>
      <c r="S135" s="315"/>
      <c r="T135" s="315"/>
    </row>
    <row r="136" spans="1:20" s="302" customFormat="1" ht="15.75">
      <c r="A136" s="310"/>
      <c r="B136" s="305"/>
      <c r="C136" s="266"/>
      <c r="D136" s="266"/>
      <c r="E136" s="266"/>
      <c r="F136" s="266"/>
      <c r="G136" s="266"/>
      <c r="H136" s="266"/>
      <c r="I136" s="266"/>
      <c r="J136" s="266"/>
      <c r="K136" s="266"/>
      <c r="L136" s="266"/>
      <c r="M136" s="266"/>
      <c r="N136" s="266"/>
      <c r="O136" s="316"/>
      <c r="P136" s="266"/>
      <c r="Q136" s="317"/>
      <c r="R136" s="308"/>
      <c r="S136" s="315"/>
      <c r="T136" s="315"/>
    </row>
    <row r="137" spans="1:20" s="302" customFormat="1" ht="15.75">
      <c r="A137" s="318"/>
      <c r="B137" s="266"/>
      <c r="C137" s="266"/>
      <c r="D137" s="266"/>
      <c r="E137" s="266"/>
      <c r="F137" s="266"/>
      <c r="G137" s="266"/>
      <c r="H137" s="266"/>
      <c r="I137" s="266"/>
      <c r="J137" s="266"/>
      <c r="K137" s="266"/>
      <c r="L137" s="266"/>
      <c r="M137" s="266"/>
      <c r="N137" s="266"/>
      <c r="O137" s="266"/>
      <c r="P137" s="266"/>
      <c r="Q137" s="317"/>
      <c r="R137" s="319"/>
      <c r="S137" s="315"/>
      <c r="T137" s="315"/>
    </row>
    <row r="138" spans="1:20" s="302" customFormat="1">
      <c r="A138" s="301"/>
      <c r="T138" s="315"/>
    </row>
    <row r="139" spans="1:20" s="302" customFormat="1">
      <c r="A139" s="301"/>
      <c r="Q139" s="303"/>
      <c r="T139" s="315"/>
    </row>
    <row r="140" spans="1:20" s="302" customFormat="1">
      <c r="A140" s="301"/>
      <c r="Q140" s="307"/>
      <c r="R140" s="308"/>
      <c r="S140" s="324"/>
      <c r="T140" s="315"/>
    </row>
    <row r="141" spans="1:20" s="302" customFormat="1">
      <c r="A141" s="301"/>
      <c r="Q141" s="311"/>
      <c r="R141" s="312"/>
      <c r="S141" s="324"/>
      <c r="T141" s="315"/>
    </row>
    <row r="142" spans="1:20" s="302" customFormat="1">
      <c r="A142" s="301"/>
      <c r="Q142" s="314"/>
      <c r="R142" s="308"/>
      <c r="S142" s="307"/>
      <c r="T142" s="315"/>
    </row>
    <row r="143" spans="1:20" s="302" customFormat="1">
      <c r="A143" s="301"/>
      <c r="Q143" s="317"/>
      <c r="R143" s="308"/>
      <c r="S143" s="307"/>
      <c r="T143" s="315"/>
    </row>
    <row r="144" spans="1:20" s="302" customFormat="1">
      <c r="A144" s="301"/>
      <c r="Q144" s="317"/>
      <c r="R144" s="319"/>
      <c r="S144" s="307"/>
      <c r="T144" s="315"/>
    </row>
    <row r="145" spans="1:20" s="302" customFormat="1">
      <c r="A145" s="301"/>
      <c r="T145" s="315"/>
    </row>
    <row r="146" spans="1:20" s="302" customFormat="1">
      <c r="A146" s="301"/>
      <c r="Q146" s="303"/>
      <c r="T146" s="315"/>
    </row>
    <row r="147" spans="1:20" s="302" customFormat="1">
      <c r="A147" s="301"/>
      <c r="Q147" s="307"/>
      <c r="R147" s="308"/>
      <c r="S147" s="309"/>
      <c r="T147" s="315"/>
    </row>
    <row r="148" spans="1:20" s="302" customFormat="1">
      <c r="A148" s="301"/>
      <c r="Q148" s="311"/>
      <c r="R148" s="312"/>
      <c r="S148" s="309"/>
      <c r="T148" s="315"/>
    </row>
    <row r="149" spans="1:20" s="302" customFormat="1">
      <c r="A149" s="301"/>
      <c r="Q149" s="314"/>
      <c r="R149" s="308"/>
      <c r="S149" s="315"/>
      <c r="T149" s="315"/>
    </row>
    <row r="150" spans="1:20" s="302" customFormat="1">
      <c r="A150" s="301"/>
      <c r="N150" s="325"/>
      <c r="Q150" s="317"/>
      <c r="R150" s="308"/>
      <c r="S150" s="315"/>
      <c r="T150" s="315"/>
    </row>
    <row r="151" spans="1:20" s="302" customFormat="1">
      <c r="A151" s="301"/>
      <c r="Q151" s="317"/>
      <c r="R151" s="319"/>
      <c r="S151" s="315"/>
      <c r="T151" s="315"/>
    </row>
    <row r="152" spans="1:20" s="302" customFormat="1">
      <c r="A152" s="301"/>
      <c r="T152" s="315"/>
    </row>
    <row r="153" spans="1:20" s="302" customFormat="1">
      <c r="A153" s="301"/>
      <c r="Q153" s="303"/>
      <c r="T153" s="315"/>
    </row>
    <row r="154" spans="1:20" s="302" customFormat="1" ht="15.75">
      <c r="A154" s="304"/>
      <c r="B154" s="305"/>
      <c r="C154" s="266"/>
      <c r="D154" s="298"/>
      <c r="E154" s="298"/>
      <c r="F154" s="299"/>
      <c r="G154" s="299"/>
      <c r="H154" s="266"/>
      <c r="I154" s="266"/>
      <c r="J154" s="266"/>
      <c r="K154" s="266"/>
      <c r="L154" s="266"/>
      <c r="M154" s="266"/>
      <c r="N154" s="266"/>
      <c r="O154" s="306"/>
      <c r="P154" s="266"/>
      <c r="Q154" s="307"/>
      <c r="R154" s="308"/>
      <c r="S154" s="309"/>
      <c r="T154" s="315"/>
    </row>
    <row r="155" spans="1:20" s="302" customFormat="1" ht="15.75">
      <c r="A155" s="310"/>
      <c r="B155" s="305"/>
      <c r="C155" s="266"/>
      <c r="D155" s="299"/>
      <c r="E155" s="299"/>
      <c r="F155" s="299"/>
      <c r="G155" s="300"/>
      <c r="H155" s="299"/>
      <c r="I155" s="266"/>
      <c r="J155" s="300"/>
      <c r="K155" s="300"/>
      <c r="L155" s="266"/>
      <c r="M155" s="266"/>
      <c r="N155" s="266"/>
      <c r="O155" s="306"/>
      <c r="P155" s="266"/>
      <c r="Q155" s="311"/>
      <c r="R155" s="312"/>
      <c r="S155" s="309"/>
      <c r="T155" s="315"/>
    </row>
    <row r="156" spans="1:20" s="302" customFormat="1" ht="15.75">
      <c r="A156" s="310"/>
      <c r="B156" s="305"/>
      <c r="C156" s="266"/>
      <c r="D156" s="266"/>
      <c r="E156" s="266"/>
      <c r="F156" s="266"/>
      <c r="G156" s="299"/>
      <c r="H156" s="313"/>
      <c r="I156" s="266"/>
      <c r="J156" s="300"/>
      <c r="K156" s="266"/>
      <c r="L156" s="266"/>
      <c r="M156" s="266"/>
      <c r="N156" s="266"/>
      <c r="O156" s="306"/>
      <c r="P156" s="266"/>
      <c r="Q156" s="314"/>
      <c r="R156" s="308"/>
      <c r="S156" s="315"/>
      <c r="T156" s="315"/>
    </row>
    <row r="157" spans="1:20" s="302" customFormat="1" ht="15.75">
      <c r="A157" s="310"/>
      <c r="B157" s="305"/>
      <c r="C157" s="266"/>
      <c r="D157" s="266"/>
      <c r="E157" s="266"/>
      <c r="F157" s="266"/>
      <c r="G157" s="266"/>
      <c r="H157" s="266"/>
      <c r="I157" s="266"/>
      <c r="J157" s="266"/>
      <c r="K157" s="266"/>
      <c r="L157" s="266"/>
      <c r="M157" s="266"/>
      <c r="N157" s="266"/>
      <c r="O157" s="316"/>
      <c r="P157" s="266"/>
      <c r="Q157" s="317"/>
      <c r="R157" s="308"/>
      <c r="S157" s="315"/>
      <c r="T157" s="315"/>
    </row>
    <row r="158" spans="1:20" s="302" customFormat="1" ht="15.75">
      <c r="A158" s="318"/>
      <c r="B158" s="266"/>
      <c r="C158" s="266"/>
      <c r="D158" s="266"/>
      <c r="E158" s="266"/>
      <c r="F158" s="266"/>
      <c r="G158" s="266"/>
      <c r="H158" s="266"/>
      <c r="I158" s="266"/>
      <c r="J158" s="266"/>
      <c r="K158" s="266"/>
      <c r="L158" s="266"/>
      <c r="M158" s="266"/>
      <c r="N158" s="266"/>
      <c r="O158" s="266"/>
      <c r="P158" s="266"/>
      <c r="Q158" s="317"/>
      <c r="R158" s="319"/>
      <c r="S158" s="315"/>
      <c r="T158" s="315"/>
    </row>
    <row r="159" spans="1:20" s="302" customFormat="1">
      <c r="A159" s="301"/>
      <c r="T159" s="315"/>
    </row>
    <row r="160" spans="1:20" s="302" customFormat="1">
      <c r="A160" s="301"/>
      <c r="Q160" s="303"/>
      <c r="T160" s="315"/>
    </row>
    <row r="161" spans="1:20" s="302" customFormat="1" ht="15.75">
      <c r="A161" s="304"/>
      <c r="B161" s="305"/>
      <c r="C161" s="266"/>
      <c r="D161" s="298"/>
      <c r="E161" s="298"/>
      <c r="F161" s="299"/>
      <c r="G161" s="299"/>
      <c r="H161" s="266"/>
      <c r="I161" s="266"/>
      <c r="J161" s="266"/>
      <c r="K161" s="266"/>
      <c r="L161" s="266"/>
      <c r="M161" s="266"/>
      <c r="N161" s="266"/>
      <c r="O161" s="306"/>
      <c r="P161" s="266"/>
      <c r="Q161" s="307"/>
      <c r="R161" s="308"/>
      <c r="S161" s="309"/>
      <c r="T161" s="315"/>
    </row>
    <row r="162" spans="1:20" s="302" customFormat="1" ht="15.75">
      <c r="A162" s="310"/>
      <c r="B162" s="305"/>
      <c r="C162" s="266"/>
      <c r="D162" s="299"/>
      <c r="E162" s="299"/>
      <c r="F162" s="299"/>
      <c r="G162" s="300"/>
      <c r="H162" s="299"/>
      <c r="I162" s="266"/>
      <c r="J162" s="300"/>
      <c r="K162" s="300"/>
      <c r="L162" s="266"/>
      <c r="M162" s="266"/>
      <c r="N162" s="266"/>
      <c r="O162" s="306"/>
      <c r="P162" s="266"/>
      <c r="Q162" s="311"/>
      <c r="R162" s="312"/>
      <c r="S162" s="309"/>
      <c r="T162" s="315"/>
    </row>
    <row r="163" spans="1:20" s="302" customFormat="1" ht="15.75">
      <c r="A163" s="310"/>
      <c r="B163" s="305"/>
      <c r="C163" s="266"/>
      <c r="D163" s="266"/>
      <c r="E163" s="266"/>
      <c r="F163" s="266"/>
      <c r="G163" s="299"/>
      <c r="H163" s="313"/>
      <c r="I163" s="266"/>
      <c r="J163" s="300"/>
      <c r="K163" s="266"/>
      <c r="L163" s="266"/>
      <c r="M163" s="266"/>
      <c r="N163" s="266"/>
      <c r="O163" s="306"/>
      <c r="P163" s="266"/>
      <c r="Q163" s="314"/>
      <c r="R163" s="308"/>
      <c r="S163" s="315"/>
      <c r="T163" s="315"/>
    </row>
    <row r="164" spans="1:20" s="302" customFormat="1" ht="15.75">
      <c r="A164" s="310"/>
      <c r="B164" s="305"/>
      <c r="C164" s="266"/>
      <c r="D164" s="266"/>
      <c r="E164" s="266"/>
      <c r="F164" s="266"/>
      <c r="G164" s="266"/>
      <c r="H164" s="266"/>
      <c r="I164" s="266"/>
      <c r="J164" s="266"/>
      <c r="K164" s="266"/>
      <c r="L164" s="266"/>
      <c r="M164" s="266"/>
      <c r="N164" s="266"/>
      <c r="O164" s="316"/>
      <c r="P164" s="266"/>
      <c r="Q164" s="317"/>
      <c r="R164" s="308"/>
      <c r="S164" s="315"/>
      <c r="T164" s="315"/>
    </row>
    <row r="165" spans="1:20" s="302" customFormat="1" ht="15.75">
      <c r="A165" s="318"/>
      <c r="B165" s="266"/>
      <c r="C165" s="266"/>
      <c r="D165" s="266"/>
      <c r="E165" s="266"/>
      <c r="F165" s="266"/>
      <c r="G165" s="266"/>
      <c r="H165" s="266"/>
      <c r="I165" s="266"/>
      <c r="J165" s="266"/>
      <c r="K165" s="266"/>
      <c r="L165" s="266"/>
      <c r="M165" s="266"/>
      <c r="N165" s="266"/>
      <c r="O165" s="266"/>
      <c r="P165" s="266"/>
      <c r="Q165" s="317"/>
      <c r="R165" s="319"/>
      <c r="S165" s="315"/>
      <c r="T165" s="315"/>
    </row>
    <row r="166" spans="1:20" s="302" customFormat="1">
      <c r="A166" s="301"/>
      <c r="T166" s="315"/>
    </row>
    <row r="167" spans="1:20" s="302" customFormat="1" ht="15.75">
      <c r="A167" s="304"/>
      <c r="Q167" s="303"/>
      <c r="T167" s="315"/>
    </row>
    <row r="168" spans="1:20" s="302" customFormat="1" ht="15.75">
      <c r="A168" s="304"/>
      <c r="B168" s="305"/>
      <c r="C168" s="266"/>
      <c r="D168" s="298"/>
      <c r="E168" s="298"/>
      <c r="F168" s="299"/>
      <c r="G168" s="299"/>
      <c r="H168" s="266"/>
      <c r="I168" s="266"/>
      <c r="J168" s="266"/>
      <c r="K168" s="266"/>
      <c r="L168" s="266"/>
      <c r="M168" s="266"/>
      <c r="N168" s="266"/>
      <c r="O168" s="306"/>
      <c r="P168" s="266"/>
      <c r="Q168" s="307"/>
      <c r="R168" s="308"/>
      <c r="S168" s="309"/>
      <c r="T168" s="315"/>
    </row>
    <row r="169" spans="1:20" s="302" customFormat="1" ht="15.75">
      <c r="A169" s="310"/>
      <c r="B169" s="305"/>
      <c r="C169" s="266"/>
      <c r="D169" s="299"/>
      <c r="E169" s="299"/>
      <c r="F169" s="299"/>
      <c r="G169" s="300"/>
      <c r="H169" s="299"/>
      <c r="I169" s="266"/>
      <c r="J169" s="300"/>
      <c r="K169" s="300"/>
      <c r="L169" s="266"/>
      <c r="M169" s="266"/>
      <c r="N169" s="266"/>
      <c r="O169" s="306"/>
      <c r="P169" s="266"/>
      <c r="Q169" s="311"/>
      <c r="R169" s="312"/>
      <c r="S169" s="309"/>
      <c r="T169" s="315"/>
    </row>
    <row r="170" spans="1:20" s="302" customFormat="1" ht="15.75">
      <c r="A170" s="310"/>
      <c r="B170" s="305"/>
      <c r="C170" s="266"/>
      <c r="D170" s="266"/>
      <c r="E170" s="266"/>
      <c r="F170" s="266"/>
      <c r="G170" s="299"/>
      <c r="H170" s="313"/>
      <c r="I170" s="266"/>
      <c r="J170" s="300"/>
      <c r="K170" s="266"/>
      <c r="L170" s="266"/>
      <c r="M170" s="266"/>
      <c r="N170" s="266"/>
      <c r="O170" s="306"/>
      <c r="P170" s="266"/>
      <c r="Q170" s="314"/>
      <c r="R170" s="308"/>
      <c r="S170" s="315"/>
      <c r="T170" s="315"/>
    </row>
    <row r="171" spans="1:20" s="302" customFormat="1" ht="15.75">
      <c r="A171" s="310"/>
      <c r="B171" s="305"/>
      <c r="C171" s="266"/>
      <c r="D171" s="266"/>
      <c r="E171" s="266"/>
      <c r="F171" s="266"/>
      <c r="G171" s="266"/>
      <c r="H171" s="266"/>
      <c r="I171" s="266"/>
      <c r="J171" s="266"/>
      <c r="K171" s="266"/>
      <c r="L171" s="266"/>
      <c r="M171" s="266"/>
      <c r="N171" s="266"/>
      <c r="O171" s="316"/>
      <c r="P171" s="266"/>
      <c r="Q171" s="317"/>
      <c r="R171" s="308"/>
      <c r="S171" s="315"/>
      <c r="T171" s="315"/>
    </row>
    <row r="172" spans="1:20" s="302" customFormat="1" ht="15.75">
      <c r="A172" s="318"/>
      <c r="B172" s="266"/>
      <c r="C172" s="266"/>
      <c r="D172" s="266"/>
      <c r="E172" s="266"/>
      <c r="F172" s="266"/>
      <c r="G172" s="266"/>
      <c r="H172" s="266"/>
      <c r="I172" s="266"/>
      <c r="J172" s="266"/>
      <c r="K172" s="266"/>
      <c r="L172" s="266"/>
      <c r="M172" s="266"/>
      <c r="N172" s="266"/>
      <c r="O172" s="266"/>
      <c r="P172" s="266"/>
      <c r="Q172" s="317"/>
      <c r="R172" s="319"/>
      <c r="S172" s="315"/>
      <c r="T172" s="315"/>
    </row>
    <row r="173" spans="1:20" s="302" customFormat="1">
      <c r="A173" s="301"/>
      <c r="T173" s="315"/>
    </row>
    <row r="174" spans="1:20" s="302" customFormat="1" ht="15.75">
      <c r="A174" s="304"/>
      <c r="Q174" s="303"/>
      <c r="T174" s="315"/>
    </row>
    <row r="175" spans="1:20" s="302" customFormat="1" ht="15.75">
      <c r="A175" s="304"/>
      <c r="B175" s="305"/>
      <c r="C175" s="266"/>
      <c r="D175" s="298"/>
      <c r="E175" s="298"/>
      <c r="F175" s="299"/>
      <c r="G175" s="299"/>
      <c r="H175" s="266"/>
      <c r="I175" s="266"/>
      <c r="J175" s="266"/>
      <c r="K175" s="266"/>
      <c r="L175" s="266"/>
      <c r="M175" s="266"/>
      <c r="N175" s="266"/>
      <c r="O175" s="306"/>
      <c r="P175" s="266"/>
      <c r="Q175" s="307"/>
      <c r="R175" s="308"/>
      <c r="S175" s="309"/>
      <c r="T175" s="315"/>
    </row>
    <row r="176" spans="1:20" s="302" customFormat="1" ht="15.75">
      <c r="A176" s="310"/>
      <c r="B176" s="305"/>
      <c r="C176" s="266"/>
      <c r="D176" s="299"/>
      <c r="E176" s="299"/>
      <c r="F176" s="299"/>
      <c r="G176" s="300"/>
      <c r="H176" s="299"/>
      <c r="I176" s="266"/>
      <c r="J176" s="300"/>
      <c r="K176" s="300"/>
      <c r="L176" s="266"/>
      <c r="M176" s="266"/>
      <c r="N176" s="266"/>
      <c r="O176" s="306"/>
      <c r="P176" s="266"/>
      <c r="Q176" s="311"/>
      <c r="R176" s="312"/>
      <c r="S176" s="309"/>
      <c r="T176" s="315"/>
    </row>
    <row r="177" spans="1:20" s="302" customFormat="1" ht="15.75">
      <c r="A177" s="310"/>
      <c r="B177" s="305"/>
      <c r="C177" s="266"/>
      <c r="D177" s="266"/>
      <c r="E177" s="266"/>
      <c r="F177" s="266"/>
      <c r="G177" s="299"/>
      <c r="H177" s="313"/>
      <c r="I177" s="266"/>
      <c r="J177" s="300"/>
      <c r="K177" s="266"/>
      <c r="L177" s="266"/>
      <c r="M177" s="266"/>
      <c r="N177" s="266"/>
      <c r="O177" s="306"/>
      <c r="P177" s="266"/>
      <c r="Q177" s="314"/>
      <c r="R177" s="308"/>
      <c r="S177" s="315"/>
      <c r="T177" s="315"/>
    </row>
    <row r="178" spans="1:20" s="302" customFormat="1" ht="15.75">
      <c r="A178" s="310"/>
      <c r="B178" s="305"/>
      <c r="C178" s="266"/>
      <c r="D178" s="266"/>
      <c r="E178" s="266"/>
      <c r="F178" s="266"/>
      <c r="G178" s="266"/>
      <c r="H178" s="266"/>
      <c r="I178" s="266"/>
      <c r="J178" s="266"/>
      <c r="K178" s="266"/>
      <c r="L178" s="266"/>
      <c r="M178" s="266"/>
      <c r="N178" s="266"/>
      <c r="O178" s="316"/>
      <c r="P178" s="266"/>
      <c r="Q178" s="317"/>
      <c r="R178" s="308"/>
      <c r="S178" s="315"/>
      <c r="T178" s="315"/>
    </row>
    <row r="179" spans="1:20" s="302" customFormat="1" ht="15.75">
      <c r="A179" s="318"/>
      <c r="B179" s="266"/>
      <c r="C179" s="266"/>
      <c r="D179" s="266"/>
      <c r="E179" s="266"/>
      <c r="F179" s="266"/>
      <c r="G179" s="266"/>
      <c r="H179" s="266"/>
      <c r="I179" s="266"/>
      <c r="J179" s="266"/>
      <c r="K179" s="266"/>
      <c r="L179" s="266"/>
      <c r="M179" s="266"/>
      <c r="N179" s="266"/>
      <c r="O179" s="266"/>
      <c r="P179" s="266"/>
      <c r="Q179" s="317"/>
      <c r="R179" s="319"/>
      <c r="S179" s="315"/>
      <c r="T179" s="315"/>
    </row>
    <row r="180" spans="1:20" s="302" customFormat="1">
      <c r="A180" s="301"/>
      <c r="T180" s="315"/>
    </row>
    <row r="181" spans="1:20" s="302" customFormat="1">
      <c r="A181" s="301"/>
      <c r="T181" s="315"/>
    </row>
    <row r="182" spans="1:20" s="302" customFormat="1">
      <c r="A182" s="301"/>
      <c r="T182" s="315"/>
    </row>
    <row r="183" spans="1:20" s="302" customFormat="1">
      <c r="A183" s="301"/>
      <c r="T183" s="315"/>
    </row>
    <row r="184" spans="1:20" s="302" customFormat="1">
      <c r="A184" s="301"/>
      <c r="T184" s="315"/>
    </row>
    <row r="185" spans="1:20" s="302" customFormat="1">
      <c r="A185" s="301"/>
      <c r="T185" s="315"/>
    </row>
    <row r="186" spans="1:20" s="302" customFormat="1">
      <c r="A186" s="301"/>
      <c r="T186" s="315"/>
    </row>
    <row r="187" spans="1:20" s="302" customFormat="1">
      <c r="A187" s="301"/>
      <c r="T187" s="315"/>
    </row>
    <row r="188" spans="1:20" s="302" customFormat="1">
      <c r="A188" s="301"/>
      <c r="T188" s="315"/>
    </row>
    <row r="189" spans="1:20" s="302" customFormat="1">
      <c r="A189" s="301"/>
      <c r="T189" s="315"/>
    </row>
    <row r="190" spans="1:20" s="302" customFormat="1">
      <c r="A190" s="301"/>
      <c r="T190" s="315"/>
    </row>
    <row r="191" spans="1:20" s="302" customFormat="1">
      <c r="A191" s="301"/>
      <c r="T191" s="315"/>
    </row>
    <row r="192" spans="1:20" s="302" customFormat="1">
      <c r="A192" s="301"/>
      <c r="T192" s="315"/>
    </row>
    <row r="193" spans="1:20" s="302" customFormat="1">
      <c r="A193" s="301"/>
      <c r="T193" s="315"/>
    </row>
    <row r="194" spans="1:20" s="302" customFormat="1">
      <c r="A194" s="301"/>
      <c r="T194" s="315"/>
    </row>
    <row r="195" spans="1:20" s="302" customFormat="1">
      <c r="A195" s="301"/>
      <c r="T195" s="315"/>
    </row>
    <row r="196" spans="1:20" s="302" customFormat="1">
      <c r="A196" s="301"/>
      <c r="T196" s="315"/>
    </row>
    <row r="197" spans="1:20" s="302" customFormat="1">
      <c r="A197" s="301"/>
      <c r="T197" s="315"/>
    </row>
    <row r="198" spans="1:20" s="302" customFormat="1">
      <c r="A198" s="301"/>
      <c r="T198" s="315"/>
    </row>
    <row r="199" spans="1:20" s="302" customFormat="1">
      <c r="A199" s="301"/>
      <c r="T199" s="315"/>
    </row>
    <row r="200" spans="1:20" s="302" customFormat="1">
      <c r="A200" s="301"/>
      <c r="T200" s="315"/>
    </row>
    <row r="201" spans="1:20" s="302" customFormat="1">
      <c r="A201" s="301"/>
      <c r="T201" s="315"/>
    </row>
    <row r="202" spans="1:20" s="302" customFormat="1">
      <c r="A202" s="301"/>
      <c r="T202" s="315"/>
    </row>
    <row r="203" spans="1:20" s="302" customFormat="1">
      <c r="A203" s="301"/>
      <c r="T203" s="315"/>
    </row>
    <row r="204" spans="1:20" s="302" customFormat="1">
      <c r="A204" s="301"/>
      <c r="T204" s="315"/>
    </row>
    <row r="205" spans="1:20" s="302" customFormat="1">
      <c r="A205" s="301"/>
      <c r="T205" s="315"/>
    </row>
    <row r="206" spans="1:20" s="302" customFormat="1">
      <c r="A206" s="301"/>
      <c r="T206" s="315"/>
    </row>
    <row r="207" spans="1:20" s="302" customFormat="1">
      <c r="A207" s="301"/>
      <c r="T207" s="315"/>
    </row>
    <row r="208" spans="1:20" s="302" customFormat="1">
      <c r="A208" s="301"/>
      <c r="T208" s="315"/>
    </row>
    <row r="209" spans="1:20" s="302" customFormat="1">
      <c r="A209" s="301"/>
      <c r="T209" s="315"/>
    </row>
    <row r="210" spans="1:20" s="302" customFormat="1">
      <c r="A210" s="301"/>
      <c r="T210" s="315"/>
    </row>
    <row r="211" spans="1:20" s="302" customFormat="1">
      <c r="A211" s="301"/>
      <c r="T211" s="315"/>
    </row>
    <row r="212" spans="1:20" s="302" customFormat="1">
      <c r="A212" s="301"/>
      <c r="T212" s="315"/>
    </row>
    <row r="213" spans="1:20" s="302" customFormat="1">
      <c r="A213" s="301"/>
      <c r="T213" s="315"/>
    </row>
    <row r="214" spans="1:20" s="302" customFormat="1">
      <c r="A214" s="301"/>
      <c r="T214" s="315"/>
    </row>
    <row r="215" spans="1:20" s="302" customFormat="1">
      <c r="A215" s="301"/>
      <c r="T215" s="315"/>
    </row>
    <row r="216" spans="1:20" s="302" customFormat="1">
      <c r="A216" s="301"/>
      <c r="T216" s="315"/>
    </row>
    <row r="217" spans="1:20" s="302" customFormat="1">
      <c r="A217" s="301"/>
      <c r="T217" s="315"/>
    </row>
    <row r="218" spans="1:20" s="302" customFormat="1">
      <c r="A218" s="301"/>
      <c r="T218" s="315"/>
    </row>
    <row r="219" spans="1:20" s="302" customFormat="1">
      <c r="A219" s="301"/>
      <c r="T219" s="315"/>
    </row>
    <row r="220" spans="1:20" s="302" customFormat="1">
      <c r="A220" s="301"/>
      <c r="T220" s="315"/>
    </row>
    <row r="221" spans="1:20" s="302" customFormat="1">
      <c r="A221" s="301"/>
      <c r="T221" s="315"/>
    </row>
    <row r="222" spans="1:20" s="302" customFormat="1">
      <c r="A222" s="301"/>
      <c r="T222" s="315"/>
    </row>
    <row r="223" spans="1:20" s="302" customFormat="1">
      <c r="A223" s="301"/>
      <c r="T223" s="315"/>
    </row>
    <row r="224" spans="1:20" s="302" customFormat="1">
      <c r="A224" s="301"/>
      <c r="T224" s="315"/>
    </row>
    <row r="225" spans="1:20" s="302" customFormat="1">
      <c r="A225" s="301"/>
      <c r="T225" s="315"/>
    </row>
    <row r="226" spans="1:20" s="302" customFormat="1">
      <c r="A226" s="301"/>
      <c r="T226" s="315"/>
    </row>
    <row r="227" spans="1:20" s="302" customFormat="1">
      <c r="A227" s="301"/>
      <c r="T227" s="315"/>
    </row>
    <row r="228" spans="1:20" s="302" customFormat="1">
      <c r="A228" s="301"/>
      <c r="T228" s="315"/>
    </row>
    <row r="229" spans="1:20" s="302" customFormat="1">
      <c r="A229" s="301"/>
      <c r="T229" s="315"/>
    </row>
    <row r="230" spans="1:20" s="302" customFormat="1">
      <c r="A230" s="301"/>
      <c r="T230" s="315"/>
    </row>
    <row r="231" spans="1:20" s="302" customFormat="1">
      <c r="A231" s="301"/>
      <c r="T231" s="315"/>
    </row>
    <row r="232" spans="1:20" s="302" customFormat="1">
      <c r="A232" s="301"/>
      <c r="T232" s="315"/>
    </row>
    <row r="233" spans="1:20" s="302" customFormat="1">
      <c r="A233" s="301"/>
      <c r="T233" s="315"/>
    </row>
    <row r="234" spans="1:20" s="302" customFormat="1">
      <c r="A234" s="301"/>
      <c r="T234" s="315"/>
    </row>
    <row r="235" spans="1:20" s="302" customFormat="1">
      <c r="A235" s="301"/>
      <c r="T235" s="315"/>
    </row>
    <row r="236" spans="1:20" s="302" customFormat="1">
      <c r="A236" s="301"/>
      <c r="T236" s="315"/>
    </row>
    <row r="237" spans="1:20" s="302" customFormat="1">
      <c r="A237" s="301"/>
      <c r="T237" s="315"/>
    </row>
    <row r="238" spans="1:20" s="302" customFormat="1">
      <c r="A238" s="301"/>
      <c r="T238" s="315"/>
    </row>
    <row r="239" spans="1:20" s="302" customFormat="1">
      <c r="A239" s="301"/>
      <c r="T239" s="315"/>
    </row>
    <row r="240" spans="1:20" s="302" customFormat="1">
      <c r="A240" s="301"/>
      <c r="T240" s="315"/>
    </row>
    <row r="241" spans="1:20" s="302" customFormat="1">
      <c r="A241" s="301"/>
      <c r="T241" s="315"/>
    </row>
    <row r="242" spans="1:20" s="302" customFormat="1">
      <c r="A242" s="301"/>
      <c r="T242" s="315"/>
    </row>
    <row r="243" spans="1:20" s="302" customFormat="1">
      <c r="A243" s="301"/>
      <c r="T243" s="315"/>
    </row>
    <row r="244" spans="1:20" s="302" customFormat="1">
      <c r="A244" s="301"/>
      <c r="T244" s="315"/>
    </row>
    <row r="245" spans="1:20" s="302" customFormat="1">
      <c r="A245" s="301"/>
      <c r="T245" s="315"/>
    </row>
    <row r="246" spans="1:20" s="302" customFormat="1">
      <c r="A246" s="301"/>
      <c r="T246" s="315"/>
    </row>
    <row r="247" spans="1:20" s="302" customFormat="1">
      <c r="A247" s="301"/>
      <c r="T247" s="315"/>
    </row>
    <row r="248" spans="1:20" s="302" customFormat="1">
      <c r="A248" s="301"/>
      <c r="T248" s="315"/>
    </row>
    <row r="249" spans="1:20" s="302" customFormat="1">
      <c r="A249" s="301"/>
      <c r="T249" s="315"/>
    </row>
    <row r="250" spans="1:20" s="302" customFormat="1">
      <c r="A250" s="301"/>
      <c r="T250" s="315"/>
    </row>
    <row r="251" spans="1:20" s="302" customFormat="1">
      <c r="A251" s="301"/>
      <c r="T251" s="315"/>
    </row>
    <row r="252" spans="1:20" s="302" customFormat="1">
      <c r="A252" s="301"/>
      <c r="T252" s="315"/>
    </row>
    <row r="253" spans="1:20" s="302" customFormat="1">
      <c r="A253" s="301"/>
      <c r="T253" s="315"/>
    </row>
    <row r="254" spans="1:20" s="302" customFormat="1">
      <c r="A254" s="301"/>
      <c r="T254" s="315"/>
    </row>
    <row r="255" spans="1:20" s="302" customFormat="1">
      <c r="A255" s="301"/>
      <c r="T255" s="315"/>
    </row>
    <row r="256" spans="1:20" s="302" customFormat="1">
      <c r="A256" s="301"/>
      <c r="T256" s="315"/>
    </row>
    <row r="257" spans="1:20" s="302" customFormat="1">
      <c r="A257" s="301"/>
      <c r="T257" s="315"/>
    </row>
    <row r="258" spans="1:20" s="302" customFormat="1">
      <c r="A258" s="301"/>
      <c r="T258" s="315"/>
    </row>
    <row r="259" spans="1:20" s="302" customFormat="1">
      <c r="A259" s="301"/>
      <c r="T259" s="315"/>
    </row>
    <row r="260" spans="1:20" s="302" customFormat="1">
      <c r="A260" s="301"/>
      <c r="T260" s="315"/>
    </row>
    <row r="261" spans="1:20" s="302" customFormat="1">
      <c r="A261" s="301"/>
      <c r="T261" s="315"/>
    </row>
    <row r="262" spans="1:20" s="302" customFormat="1">
      <c r="A262" s="301"/>
      <c r="T262" s="315"/>
    </row>
    <row r="263" spans="1:20" s="302" customFormat="1">
      <c r="A263" s="301"/>
      <c r="T263" s="315"/>
    </row>
    <row r="264" spans="1:20" s="302" customFormat="1">
      <c r="A264" s="301"/>
      <c r="T264" s="315"/>
    </row>
    <row r="265" spans="1:20" s="302" customFormat="1">
      <c r="A265" s="301"/>
      <c r="T265" s="315"/>
    </row>
    <row r="266" spans="1:20" s="302" customFormat="1">
      <c r="A266" s="301"/>
      <c r="T266" s="315"/>
    </row>
    <row r="267" spans="1:20" s="302" customFormat="1">
      <c r="A267" s="301"/>
      <c r="T267" s="315"/>
    </row>
    <row r="268" spans="1:20" s="302" customFormat="1">
      <c r="A268" s="301"/>
      <c r="T268" s="315"/>
    </row>
    <row r="269" spans="1:20" s="302" customFormat="1">
      <c r="A269" s="301"/>
      <c r="T269" s="315"/>
    </row>
    <row r="270" spans="1:20" s="302" customFormat="1">
      <c r="A270" s="301"/>
      <c r="T270" s="315"/>
    </row>
    <row r="271" spans="1:20" s="302" customFormat="1">
      <c r="A271" s="301"/>
      <c r="T271" s="315"/>
    </row>
    <row r="272" spans="1:20" s="302" customFormat="1">
      <c r="A272" s="301"/>
      <c r="T272" s="315"/>
    </row>
    <row r="273" spans="1:20" s="302" customFormat="1">
      <c r="A273" s="301"/>
      <c r="T273" s="315"/>
    </row>
    <row r="274" spans="1:20" s="302" customFormat="1">
      <c r="A274" s="301"/>
      <c r="T274" s="315"/>
    </row>
    <row r="275" spans="1:20" s="302" customFormat="1">
      <c r="A275" s="301"/>
      <c r="T275" s="315"/>
    </row>
    <row r="276" spans="1:20" s="302" customFormat="1">
      <c r="A276" s="301"/>
      <c r="T276" s="315"/>
    </row>
    <row r="277" spans="1:20" s="302" customFormat="1">
      <c r="A277" s="301"/>
      <c r="T277" s="315"/>
    </row>
    <row r="278" spans="1:20" s="302" customFormat="1">
      <c r="A278" s="301"/>
      <c r="T278" s="315"/>
    </row>
    <row r="279" spans="1:20" s="302" customFormat="1">
      <c r="A279" s="301"/>
      <c r="T279" s="315"/>
    </row>
    <row r="280" spans="1:20" s="302" customFormat="1">
      <c r="A280" s="301"/>
      <c r="T280" s="315"/>
    </row>
    <row r="281" spans="1:20" s="302" customFormat="1">
      <c r="A281" s="301"/>
      <c r="T281" s="315"/>
    </row>
    <row r="282" spans="1:20" s="302" customFormat="1">
      <c r="A282" s="301"/>
      <c r="T282" s="315"/>
    </row>
    <row r="283" spans="1:20" s="302" customFormat="1">
      <c r="A283" s="301"/>
      <c r="T283" s="315"/>
    </row>
    <row r="284" spans="1:20" s="302" customFormat="1">
      <c r="A284" s="301"/>
      <c r="T284" s="315"/>
    </row>
    <row r="285" spans="1:20" s="302" customFormat="1">
      <c r="A285" s="301"/>
      <c r="T285" s="315"/>
    </row>
    <row r="286" spans="1:20" s="302" customFormat="1">
      <c r="A286" s="301"/>
      <c r="T286" s="315"/>
    </row>
    <row r="287" spans="1:20" s="302" customFormat="1">
      <c r="A287" s="301"/>
      <c r="T287" s="315"/>
    </row>
    <row r="288" spans="1:20" s="302" customFormat="1">
      <c r="A288" s="301"/>
      <c r="T288" s="315"/>
    </row>
    <row r="289" spans="1:20" s="302" customFormat="1">
      <c r="A289" s="301"/>
      <c r="T289" s="315"/>
    </row>
    <row r="290" spans="1:20" s="302" customFormat="1">
      <c r="A290" s="301"/>
      <c r="T290" s="315"/>
    </row>
    <row r="291" spans="1:20" s="302" customFormat="1">
      <c r="A291" s="301"/>
      <c r="T291" s="315"/>
    </row>
    <row r="292" spans="1:20" s="302" customFormat="1">
      <c r="A292" s="301"/>
      <c r="T292" s="315"/>
    </row>
    <row r="293" spans="1:20" s="302" customFormat="1">
      <c r="A293" s="301"/>
      <c r="T293" s="315"/>
    </row>
    <row r="294" spans="1:20" s="302" customFormat="1">
      <c r="A294" s="301"/>
      <c r="T294" s="315"/>
    </row>
    <row r="295" spans="1:20" s="302" customFormat="1">
      <c r="A295" s="301"/>
      <c r="T295" s="315"/>
    </row>
    <row r="296" spans="1:20" s="302" customFormat="1">
      <c r="A296" s="301"/>
      <c r="T296" s="315"/>
    </row>
    <row r="297" spans="1:20" s="302" customFormat="1">
      <c r="A297" s="301"/>
      <c r="T297" s="315"/>
    </row>
    <row r="298" spans="1:20" s="302" customFormat="1">
      <c r="A298" s="301"/>
      <c r="T298" s="315"/>
    </row>
    <row r="299" spans="1:20" s="302" customFormat="1">
      <c r="A299" s="301"/>
      <c r="T299" s="315"/>
    </row>
    <row r="300" spans="1:20">
      <c r="T300" s="315"/>
    </row>
    <row r="301" spans="1:20">
      <c r="T301" s="315"/>
    </row>
    <row r="302" spans="1:20">
      <c r="T302" s="315"/>
    </row>
    <row r="303" spans="1:20">
      <c r="T303" s="315"/>
    </row>
    <row r="304" spans="1:20">
      <c r="T304" s="315"/>
    </row>
    <row r="305" spans="20:20">
      <c r="T305" s="315"/>
    </row>
    <row r="306" spans="20:20">
      <c r="T306" s="315"/>
    </row>
    <row r="307" spans="20:20">
      <c r="T307" s="315"/>
    </row>
    <row r="308" spans="20:20">
      <c r="T308" s="315"/>
    </row>
    <row r="309" spans="20:20">
      <c r="T309" s="315"/>
    </row>
    <row r="310" spans="20:20">
      <c r="T310" s="315"/>
    </row>
    <row r="311" spans="20:20">
      <c r="T311" s="315"/>
    </row>
    <row r="312" spans="20:20">
      <c r="T312" s="315"/>
    </row>
    <row r="313" spans="20:20">
      <c r="T313" s="315"/>
    </row>
    <row r="314" spans="20:20">
      <c r="T314" s="315"/>
    </row>
    <row r="315" spans="20:20">
      <c r="T315" s="315"/>
    </row>
    <row r="316" spans="20:20">
      <c r="T316" s="315"/>
    </row>
    <row r="317" spans="20:20">
      <c r="T317" s="315"/>
    </row>
    <row r="318" spans="20:20">
      <c r="T318" s="315"/>
    </row>
    <row r="319" spans="20:20">
      <c r="T319" s="315"/>
    </row>
    <row r="320" spans="20:20">
      <c r="T320" s="315"/>
    </row>
    <row r="321" spans="20:20">
      <c r="T321" s="315"/>
    </row>
    <row r="322" spans="20:20">
      <c r="T322" s="315"/>
    </row>
    <row r="323" spans="20:20">
      <c r="T323" s="315"/>
    </row>
    <row r="324" spans="20:20">
      <c r="T324" s="315"/>
    </row>
    <row r="325" spans="20:20">
      <c r="T325" s="315"/>
    </row>
    <row r="326" spans="20:20">
      <c r="T326" s="315"/>
    </row>
    <row r="327" spans="20:20">
      <c r="T327" s="315"/>
    </row>
    <row r="328" spans="20:20">
      <c r="T328" s="315"/>
    </row>
    <row r="329" spans="20:20">
      <c r="T329" s="315"/>
    </row>
    <row r="330" spans="20:20">
      <c r="T330" s="315"/>
    </row>
    <row r="331" spans="20:20">
      <c r="T331" s="315"/>
    </row>
    <row r="332" spans="20:20">
      <c r="T332" s="315"/>
    </row>
    <row r="333" spans="20:20">
      <c r="T333" s="315"/>
    </row>
    <row r="334" spans="20:20">
      <c r="T334" s="315"/>
    </row>
    <row r="335" spans="20:20">
      <c r="T335" s="315"/>
    </row>
    <row r="336" spans="20:20">
      <c r="T336" s="315"/>
    </row>
    <row r="337" spans="20:20">
      <c r="T337" s="315"/>
    </row>
    <row r="338" spans="20:20">
      <c r="T338" s="315"/>
    </row>
    <row r="339" spans="20:20">
      <c r="T339" s="315"/>
    </row>
    <row r="340" spans="20:20">
      <c r="T340" s="315"/>
    </row>
    <row r="341" spans="20:20">
      <c r="T341" s="315"/>
    </row>
    <row r="342" spans="20:20">
      <c r="T342" s="315"/>
    </row>
    <row r="343" spans="20:20">
      <c r="T343" s="315"/>
    </row>
    <row r="344" spans="20:20">
      <c r="T344" s="315"/>
    </row>
    <row r="345" spans="20:20">
      <c r="T345" s="315"/>
    </row>
    <row r="346" spans="20:20">
      <c r="T346" s="315"/>
    </row>
    <row r="347" spans="20:20">
      <c r="T347" s="315"/>
    </row>
    <row r="348" spans="20:20">
      <c r="T348" s="315"/>
    </row>
    <row r="349" spans="20:20">
      <c r="T349" s="315"/>
    </row>
    <row r="350" spans="20:20">
      <c r="T350" s="315"/>
    </row>
    <row r="351" spans="20:20">
      <c r="T351" s="315"/>
    </row>
    <row r="352" spans="20:20">
      <c r="T352" s="315"/>
    </row>
    <row r="353" spans="20:20">
      <c r="T353" s="315"/>
    </row>
    <row r="354" spans="20:20">
      <c r="T354" s="315"/>
    </row>
    <row r="355" spans="20:20">
      <c r="T355" s="315"/>
    </row>
    <row r="356" spans="20:20">
      <c r="T356" s="315"/>
    </row>
    <row r="357" spans="20:20">
      <c r="T357" s="315"/>
    </row>
    <row r="358" spans="20:20">
      <c r="T358" s="315"/>
    </row>
    <row r="359" spans="20:20">
      <c r="T359" s="315"/>
    </row>
    <row r="360" spans="20:20">
      <c r="T360" s="315"/>
    </row>
    <row r="361" spans="20:20">
      <c r="T361" s="315"/>
    </row>
    <row r="362" spans="20:20">
      <c r="T362" s="315"/>
    </row>
    <row r="363" spans="20:20">
      <c r="T363" s="315"/>
    </row>
    <row r="364" spans="20:20">
      <c r="T364" s="315"/>
    </row>
    <row r="365" spans="20:20">
      <c r="T365" s="315"/>
    </row>
    <row r="366" spans="20:20">
      <c r="T366" s="315"/>
    </row>
    <row r="367" spans="20:20">
      <c r="T367" s="315"/>
    </row>
    <row r="368" spans="20:20">
      <c r="T368" s="315"/>
    </row>
    <row r="369" spans="20:20">
      <c r="T369" s="315"/>
    </row>
    <row r="370" spans="20:20">
      <c r="T370" s="315"/>
    </row>
    <row r="371" spans="20:20">
      <c r="T371" s="315"/>
    </row>
    <row r="372" spans="20:20">
      <c r="T372" s="315"/>
    </row>
    <row r="373" spans="20:20">
      <c r="T373" s="315"/>
    </row>
    <row r="374" spans="20:20">
      <c r="T374" s="315"/>
    </row>
    <row r="375" spans="20:20">
      <c r="T375" s="315"/>
    </row>
    <row r="376" spans="20:20">
      <c r="T376" s="315"/>
    </row>
    <row r="377" spans="20:20">
      <c r="T377" s="315"/>
    </row>
    <row r="378" spans="20:20">
      <c r="T378" s="315"/>
    </row>
    <row r="379" spans="20:20">
      <c r="T379" s="315"/>
    </row>
    <row r="380" spans="20:20">
      <c r="T380" s="315"/>
    </row>
    <row r="381" spans="20:20">
      <c r="T381" s="315"/>
    </row>
    <row r="382" spans="20:20">
      <c r="T382" s="315"/>
    </row>
    <row r="383" spans="20:20">
      <c r="T383" s="315"/>
    </row>
    <row r="384" spans="20:20">
      <c r="T384" s="315"/>
    </row>
    <row r="385" spans="20:20">
      <c r="T385" s="315"/>
    </row>
    <row r="386" spans="20:20">
      <c r="T386" s="315"/>
    </row>
    <row r="387" spans="20:20">
      <c r="T387" s="315"/>
    </row>
    <row r="388" spans="20:20">
      <c r="T388" s="315"/>
    </row>
    <row r="389" spans="20:20">
      <c r="T389" s="315"/>
    </row>
    <row r="390" spans="20:20">
      <c r="T390" s="315"/>
    </row>
    <row r="391" spans="20:20">
      <c r="T391" s="315"/>
    </row>
    <row r="392" spans="20:20">
      <c r="T392" s="315"/>
    </row>
    <row r="393" spans="20:20">
      <c r="T393" s="315"/>
    </row>
    <row r="394" spans="20:20">
      <c r="T394" s="315"/>
    </row>
    <row r="395" spans="20:20">
      <c r="T395" s="315"/>
    </row>
    <row r="396" spans="20:20">
      <c r="T396" s="315"/>
    </row>
    <row r="397" spans="20:20">
      <c r="T397" s="315"/>
    </row>
    <row r="398" spans="20:20">
      <c r="T398" s="315"/>
    </row>
    <row r="399" spans="20:20">
      <c r="T399" s="315"/>
    </row>
    <row r="400" spans="20:20">
      <c r="T400" s="315"/>
    </row>
    <row r="401" spans="20:20">
      <c r="T401" s="315"/>
    </row>
    <row r="402" spans="20:20">
      <c r="T402" s="315"/>
    </row>
    <row r="403" spans="20:20">
      <c r="T403" s="315"/>
    </row>
    <row r="404" spans="20:20">
      <c r="T404" s="315"/>
    </row>
    <row r="405" spans="20:20">
      <c r="T405" s="315"/>
    </row>
    <row r="406" spans="20:20">
      <c r="T406" s="315"/>
    </row>
    <row r="407" spans="20:20">
      <c r="T407" s="315"/>
    </row>
    <row r="408" spans="20:20">
      <c r="T408" s="315"/>
    </row>
    <row r="409" spans="20:20">
      <c r="T409" s="315"/>
    </row>
    <row r="410" spans="20:20">
      <c r="T410" s="315"/>
    </row>
    <row r="411" spans="20:20">
      <c r="T411" s="315"/>
    </row>
    <row r="412" spans="20:20">
      <c r="T412" s="315"/>
    </row>
    <row r="413" spans="20:20">
      <c r="T413" s="315"/>
    </row>
    <row r="414" spans="20:20">
      <c r="T414" s="315"/>
    </row>
    <row r="415" spans="20:20">
      <c r="T415" s="315"/>
    </row>
    <row r="416" spans="20:20">
      <c r="T416" s="315"/>
    </row>
    <row r="417" spans="20:20">
      <c r="T417" s="315"/>
    </row>
    <row r="418" spans="20:20">
      <c r="T418" s="315"/>
    </row>
    <row r="419" spans="20:20">
      <c r="T419" s="315"/>
    </row>
    <row r="420" spans="20:20">
      <c r="T420" s="315"/>
    </row>
    <row r="421" spans="20:20">
      <c r="T421" s="315"/>
    </row>
    <row r="422" spans="20:20">
      <c r="T422" s="315"/>
    </row>
    <row r="423" spans="20:20">
      <c r="T423" s="315"/>
    </row>
    <row r="424" spans="20:20">
      <c r="T424" s="315"/>
    </row>
    <row r="425" spans="20:20">
      <c r="T425" s="315"/>
    </row>
    <row r="426" spans="20:20">
      <c r="T426" s="315"/>
    </row>
    <row r="427" spans="20:20">
      <c r="T427" s="315"/>
    </row>
    <row r="428" spans="20:20">
      <c r="T428" s="315"/>
    </row>
    <row r="429" spans="20:20">
      <c r="T429" s="315"/>
    </row>
    <row r="430" spans="20:20">
      <c r="T430" s="315"/>
    </row>
    <row r="431" spans="20:20">
      <c r="T431" s="315"/>
    </row>
    <row r="432" spans="20:20">
      <c r="T432" s="315"/>
    </row>
    <row r="433" spans="20:20">
      <c r="T433" s="315"/>
    </row>
    <row r="434" spans="20:20">
      <c r="T434" s="315"/>
    </row>
    <row r="435" spans="20:20">
      <c r="T435" s="315"/>
    </row>
    <row r="436" spans="20:20">
      <c r="T436" s="315"/>
    </row>
    <row r="437" spans="20:20">
      <c r="T437" s="315"/>
    </row>
    <row r="438" spans="20:20">
      <c r="T438" s="315"/>
    </row>
    <row r="439" spans="20:20">
      <c r="T439" s="315"/>
    </row>
    <row r="440" spans="20:20">
      <c r="T440" s="315"/>
    </row>
    <row r="441" spans="20:20">
      <c r="T441" s="315"/>
    </row>
    <row r="442" spans="20:20">
      <c r="T442" s="315"/>
    </row>
    <row r="443" spans="20:20">
      <c r="T443" s="315"/>
    </row>
    <row r="444" spans="20:20">
      <c r="T444" s="315"/>
    </row>
    <row r="445" spans="20:20">
      <c r="T445" s="315"/>
    </row>
    <row r="446" spans="20:20">
      <c r="T446" s="315"/>
    </row>
    <row r="447" spans="20:20">
      <c r="T447" s="315"/>
    </row>
    <row r="448" spans="20:20">
      <c r="T448" s="315"/>
    </row>
    <row r="449" spans="20:20">
      <c r="T449" s="315"/>
    </row>
    <row r="1145" spans="3:3">
      <c r="C1145" s="279">
        <v>-2130</v>
      </c>
    </row>
    <row r="1153" spans="3:3">
      <c r="C1153" s="279">
        <f>7004298-2130</f>
        <v>7002168</v>
      </c>
    </row>
  </sheetData>
  <conditionalFormatting sqref="T17 T24 T31 T38 T46 T54 T62 T70 T78 T86 T102 T94">
    <cfRule type="cellIs" dxfId="106" priority="107" stopIfTrue="1" operator="equal">
      <formula>0</formula>
    </cfRule>
    <cfRule type="cellIs" dxfId="105" priority="108" stopIfTrue="1" operator="notEqual">
      <formula>0</formula>
    </cfRule>
  </conditionalFormatting>
  <conditionalFormatting sqref="T17 T24 T31 T38 T46 T54 T62 T70 T78 T86 T102 T94">
    <cfRule type="cellIs" dxfId="104" priority="106" stopIfTrue="1" operator="equal">
      <formula>0</formula>
    </cfRule>
  </conditionalFormatting>
  <printOptions gridLinesSet="0"/>
  <pageMargins left="0.18" right="0" top="0.5" bottom="0.5" header="0.5" footer="0.25"/>
  <pageSetup scale="53" orientation="landscape" horizontalDpi="300" verticalDpi="300" r:id="rId1"/>
  <headerFooter alignWithMargins="0">
    <oddFooter>&amp;L&amp;F&amp;C&amp;A&amp;R&amp;D  &amp;T</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rgb="FF92D050"/>
    <pageSetUpPr fitToPage="1"/>
  </sheetPr>
  <dimension ref="A1:J196"/>
  <sheetViews>
    <sheetView view="pageBreakPreview" topLeftCell="A159" zoomScale="85" zoomScaleNormal="100" zoomScaleSheetLayoutView="85" workbookViewId="0">
      <selection activeCell="G51" sqref="G51:J55"/>
    </sheetView>
  </sheetViews>
  <sheetFormatPr defaultColWidth="9.140625" defaultRowHeight="15"/>
  <cols>
    <col min="1" max="1" width="29.85546875" style="230" customWidth="1"/>
    <col min="2" max="2" width="6.85546875" style="230" bestFit="1" customWidth="1"/>
    <col min="3" max="3" width="15.85546875" style="230" bestFit="1" customWidth="1"/>
    <col min="4" max="4" width="14.85546875" style="230" bestFit="1" customWidth="1"/>
    <col min="5" max="5" width="16.140625" style="230" bestFit="1" customWidth="1"/>
    <col min="6" max="6" width="9.140625" style="230"/>
    <col min="7" max="7" width="36.28515625" style="230" bestFit="1" customWidth="1"/>
    <col min="8" max="8" width="17.5703125" style="230" bestFit="1" customWidth="1"/>
    <col min="9" max="10" width="15.140625" style="230" bestFit="1" customWidth="1"/>
    <col min="11" max="16384" width="9.140625" style="230"/>
  </cols>
  <sheetData>
    <row r="1" spans="1:10" ht="15.75">
      <c r="A1" s="229" t="s">
        <v>200</v>
      </c>
    </row>
    <row r="2" spans="1:10" ht="15.75">
      <c r="A2" s="390"/>
    </row>
    <row r="3" spans="1:10" ht="15.75">
      <c r="A3" s="229"/>
    </row>
    <row r="4" spans="1:10" ht="15.75" hidden="1">
      <c r="A4" s="245"/>
      <c r="B4" s="245"/>
      <c r="C4" s="239" t="s">
        <v>1</v>
      </c>
      <c r="D4" s="263">
        <v>41274</v>
      </c>
      <c r="E4" s="264">
        <v>280640.39010999998</v>
      </c>
    </row>
    <row r="5" spans="1:10" ht="15.75" hidden="1" thickBot="1"/>
    <row r="6" spans="1:10" ht="15.75" hidden="1">
      <c r="A6" s="533" t="s">
        <v>195</v>
      </c>
      <c r="B6" s="534"/>
      <c r="C6" s="534"/>
      <c r="D6" s="534"/>
      <c r="E6" s="535"/>
      <c r="G6" s="245"/>
      <c r="H6" s="245"/>
      <c r="I6" s="245"/>
    </row>
    <row r="7" spans="1:10" ht="15.75" hidden="1">
      <c r="A7" s="178">
        <v>41305</v>
      </c>
      <c r="B7" s="231"/>
      <c r="C7" s="232" t="s">
        <v>101</v>
      </c>
      <c r="D7" s="233"/>
      <c r="E7" s="234"/>
    </row>
    <row r="8" spans="1:10" ht="16.5" hidden="1" thickBot="1">
      <c r="A8" s="235"/>
      <c r="B8" s="236"/>
      <c r="C8" s="237" t="s">
        <v>21</v>
      </c>
      <c r="D8" s="237" t="s">
        <v>22</v>
      </c>
      <c r="E8" s="238" t="s">
        <v>23</v>
      </c>
    </row>
    <row r="9" spans="1:10" ht="15.75" hidden="1">
      <c r="A9" s="239" t="s">
        <v>24</v>
      </c>
      <c r="B9" s="240">
        <v>101</v>
      </c>
      <c r="C9" s="241">
        <v>22136409</v>
      </c>
      <c r="D9" s="242">
        <v>-2.1900000000000001E-3</v>
      </c>
      <c r="E9" s="243">
        <f>C9*D9</f>
        <v>-48478.735710000001</v>
      </c>
    </row>
    <row r="10" spans="1:10" ht="16.5" hidden="1" thickBot="1">
      <c r="A10" s="239" t="s">
        <v>24</v>
      </c>
      <c r="B10" s="240">
        <v>111</v>
      </c>
      <c r="C10" s="241">
        <v>7525225</v>
      </c>
      <c r="D10" s="242">
        <v>-2.1900000000000001E-3</v>
      </c>
      <c r="E10" s="243">
        <f t="shared" ref="E10:E16" si="0">C10*D10</f>
        <v>-16480.242750000001</v>
      </c>
      <c r="G10" s="244">
        <f>A7</f>
        <v>41305</v>
      </c>
      <c r="H10" s="245"/>
      <c r="I10" s="245"/>
      <c r="J10" s="245"/>
    </row>
    <row r="11" spans="1:10" ht="16.5" hidden="1" thickBot="1">
      <c r="A11" s="239" t="s">
        <v>24</v>
      </c>
      <c r="B11" s="240">
        <v>112</v>
      </c>
      <c r="C11" s="241">
        <v>0</v>
      </c>
      <c r="D11" s="242">
        <v>-2.1900000000000001E-3</v>
      </c>
      <c r="E11" s="243">
        <f t="shared" si="0"/>
        <v>0</v>
      </c>
      <c r="G11" s="246" t="s">
        <v>25</v>
      </c>
      <c r="H11" s="247"/>
      <c r="I11" s="248" t="s">
        <v>18</v>
      </c>
      <c r="J11" s="248" t="s">
        <v>19</v>
      </c>
    </row>
    <row r="12" spans="1:10" ht="15.75" hidden="1">
      <c r="A12" s="239" t="s">
        <v>24</v>
      </c>
      <c r="B12" s="240">
        <v>121</v>
      </c>
      <c r="C12" s="241">
        <v>606431</v>
      </c>
      <c r="D12" s="242">
        <v>-2.1900000000000001E-3</v>
      </c>
      <c r="E12" s="243">
        <f t="shared" si="0"/>
        <v>-1328.0838900000001</v>
      </c>
      <c r="G12" s="249" t="s">
        <v>97</v>
      </c>
      <c r="H12" s="250" t="s">
        <v>26</v>
      </c>
      <c r="I12" s="251">
        <f>-E17</f>
        <v>67542.528509999989</v>
      </c>
      <c r="J12" s="252">
        <v>0</v>
      </c>
    </row>
    <row r="13" spans="1:10" ht="16.5" hidden="1" thickBot="1">
      <c r="A13" s="239" t="s">
        <v>24</v>
      </c>
      <c r="B13" s="240">
        <v>122</v>
      </c>
      <c r="C13" s="241">
        <v>85748</v>
      </c>
      <c r="D13" s="242">
        <v>-2.1900000000000001E-3</v>
      </c>
      <c r="E13" s="243">
        <f t="shared" si="0"/>
        <v>-187.78812000000002</v>
      </c>
      <c r="G13" s="253" t="s">
        <v>196</v>
      </c>
      <c r="H13" s="254" t="s">
        <v>197</v>
      </c>
      <c r="I13" s="255">
        <v>0</v>
      </c>
      <c r="J13" s="256">
        <f>-I12</f>
        <v>-67542.528509999989</v>
      </c>
    </row>
    <row r="14" spans="1:10" ht="15.75" hidden="1">
      <c r="A14" s="239" t="s">
        <v>24</v>
      </c>
      <c r="B14" s="240">
        <v>131</v>
      </c>
      <c r="C14" s="241">
        <v>0</v>
      </c>
      <c r="D14" s="242">
        <v>-2.1900000000000001E-3</v>
      </c>
      <c r="E14" s="243">
        <f t="shared" si="0"/>
        <v>0</v>
      </c>
      <c r="G14" s="245"/>
      <c r="H14" s="245"/>
      <c r="I14" s="245"/>
      <c r="J14" s="257">
        <f>SUM(I12:J13)</f>
        <v>0</v>
      </c>
    </row>
    <row r="15" spans="1:10" ht="15.75" hidden="1">
      <c r="A15" s="239" t="s">
        <v>24</v>
      </c>
      <c r="B15" s="240">
        <v>132</v>
      </c>
      <c r="C15" s="241">
        <v>151236</v>
      </c>
      <c r="D15" s="242">
        <v>-2.1900000000000001E-3</v>
      </c>
      <c r="E15" s="243">
        <f t="shared" si="0"/>
        <v>-331.20684</v>
      </c>
    </row>
    <row r="16" spans="1:10" ht="15.75" hidden="1">
      <c r="A16" s="239" t="s">
        <v>24</v>
      </c>
      <c r="B16" s="240">
        <v>146</v>
      </c>
      <c r="C16" s="241">
        <v>3682356</v>
      </c>
      <c r="D16" s="242">
        <v>-2.0000000000000001E-4</v>
      </c>
      <c r="E16" s="258">
        <f t="shared" si="0"/>
        <v>-736.47120000000007</v>
      </c>
    </row>
    <row r="17" spans="1:10" ht="16.5" hidden="1" thickBot="1">
      <c r="A17" s="239" t="s">
        <v>198</v>
      </c>
      <c r="B17" s="240"/>
      <c r="C17" s="259">
        <f>SUM(C9:C16)</f>
        <v>34187405</v>
      </c>
      <c r="D17" s="260"/>
      <c r="E17" s="261">
        <f>SUM(E9:E16)</f>
        <v>-67542.528509999989</v>
      </c>
    </row>
    <row r="18" spans="1:10" ht="16.5" hidden="1" thickTop="1">
      <c r="A18" s="239"/>
      <c r="B18" s="240"/>
      <c r="C18" s="265">
        <v>34187405</v>
      </c>
      <c r="D18" s="260"/>
      <c r="E18" s="261"/>
    </row>
    <row r="19" spans="1:10" ht="15.75" hidden="1">
      <c r="A19" s="239"/>
      <c r="B19" s="240"/>
      <c r="C19" s="262">
        <f>C18-C17</f>
        <v>0</v>
      </c>
      <c r="D19" s="260"/>
      <c r="E19" s="261"/>
    </row>
    <row r="20" spans="1:10" ht="15.75" hidden="1">
      <c r="A20" s="245"/>
      <c r="B20" s="245"/>
      <c r="C20" s="239" t="s">
        <v>1</v>
      </c>
      <c r="D20" s="263">
        <f>A7</f>
        <v>41305</v>
      </c>
      <c r="E20" s="264">
        <f>E4+E17</f>
        <v>213097.8616</v>
      </c>
    </row>
    <row r="21" spans="1:10" ht="15.75" hidden="1" thickBot="1"/>
    <row r="22" spans="1:10" ht="15.75" hidden="1">
      <c r="A22" s="533" t="s">
        <v>195</v>
      </c>
      <c r="B22" s="534"/>
      <c r="C22" s="534"/>
      <c r="D22" s="534"/>
      <c r="E22" s="535"/>
      <c r="G22" s="245"/>
      <c r="H22" s="245"/>
      <c r="I22" s="245"/>
    </row>
    <row r="23" spans="1:10" ht="15.75" hidden="1">
      <c r="A23" s="178">
        <v>41333</v>
      </c>
      <c r="B23" s="231"/>
      <c r="C23" s="232" t="s">
        <v>101</v>
      </c>
      <c r="D23" s="233"/>
      <c r="E23" s="234"/>
    </row>
    <row r="24" spans="1:10" ht="16.5" hidden="1" thickBot="1">
      <c r="A24" s="235"/>
      <c r="B24" s="236"/>
      <c r="C24" s="237" t="s">
        <v>21</v>
      </c>
      <c r="D24" s="237" t="s">
        <v>22</v>
      </c>
      <c r="E24" s="238" t="s">
        <v>23</v>
      </c>
    </row>
    <row r="25" spans="1:10" ht="15.75" hidden="1">
      <c r="A25" s="239" t="s">
        <v>24</v>
      </c>
      <c r="B25" s="240">
        <v>101</v>
      </c>
      <c r="C25" s="241">
        <v>16585315</v>
      </c>
      <c r="D25" s="242">
        <v>-2.1900000000000001E-3</v>
      </c>
      <c r="E25" s="243">
        <v>-36321.839850000004</v>
      </c>
    </row>
    <row r="26" spans="1:10" ht="16.5" hidden="1" thickBot="1">
      <c r="A26" s="239" t="s">
        <v>24</v>
      </c>
      <c r="B26" s="240">
        <v>111</v>
      </c>
      <c r="C26" s="241">
        <v>5716465</v>
      </c>
      <c r="D26" s="242">
        <v>-2.1900000000000001E-3</v>
      </c>
      <c r="E26" s="243">
        <v>-12519.058350000001</v>
      </c>
      <c r="G26" s="244">
        <f>A23</f>
        <v>41333</v>
      </c>
      <c r="H26" s="245"/>
      <c r="I26" s="245"/>
      <c r="J26" s="245"/>
    </row>
    <row r="27" spans="1:10" ht="16.5" hidden="1" thickBot="1">
      <c r="A27" s="239" t="s">
        <v>24</v>
      </c>
      <c r="B27" s="240">
        <v>112</v>
      </c>
      <c r="C27" s="241">
        <v>0</v>
      </c>
      <c r="D27" s="242">
        <v>-2.1900000000000001E-3</v>
      </c>
      <c r="E27" s="243">
        <v>0</v>
      </c>
      <c r="G27" s="246" t="s">
        <v>25</v>
      </c>
      <c r="H27" s="247"/>
      <c r="I27" s="248" t="s">
        <v>18</v>
      </c>
      <c r="J27" s="248" t="s">
        <v>19</v>
      </c>
    </row>
    <row r="28" spans="1:10" ht="15.75" hidden="1">
      <c r="A28" s="239" t="s">
        <v>24</v>
      </c>
      <c r="B28" s="240">
        <v>121</v>
      </c>
      <c r="C28" s="241">
        <v>416479</v>
      </c>
      <c r="D28" s="242">
        <v>-2.1900000000000001E-3</v>
      </c>
      <c r="E28" s="243">
        <v>-912.08901000000003</v>
      </c>
      <c r="G28" s="249" t="s">
        <v>97</v>
      </c>
      <c r="H28" s="250" t="s">
        <v>26</v>
      </c>
      <c r="I28" s="251">
        <f>-E33</f>
        <v>50910.051820000008</v>
      </c>
      <c r="J28" s="252">
        <v>0</v>
      </c>
    </row>
    <row r="29" spans="1:10" ht="16.5" hidden="1" thickBot="1">
      <c r="A29" s="239" t="s">
        <v>24</v>
      </c>
      <c r="B29" s="240">
        <v>122</v>
      </c>
      <c r="C29" s="241">
        <v>94568</v>
      </c>
      <c r="D29" s="242">
        <v>-2.1900000000000001E-3</v>
      </c>
      <c r="E29" s="243">
        <v>-207.10392000000002</v>
      </c>
      <c r="G29" s="253" t="s">
        <v>196</v>
      </c>
      <c r="H29" s="254" t="s">
        <v>197</v>
      </c>
      <c r="I29" s="255">
        <v>0</v>
      </c>
      <c r="J29" s="256">
        <f>-I28</f>
        <v>-50910.051820000008</v>
      </c>
    </row>
    <row r="30" spans="1:10" ht="15.75" hidden="1">
      <c r="A30" s="239" t="s">
        <v>24</v>
      </c>
      <c r="B30" s="240">
        <v>131</v>
      </c>
      <c r="C30" s="241">
        <v>0</v>
      </c>
      <c r="D30" s="242">
        <v>-2.1900000000000001E-3</v>
      </c>
      <c r="E30" s="243">
        <v>0</v>
      </c>
      <c r="G30" s="245"/>
      <c r="H30" s="245"/>
      <c r="I30" s="245"/>
      <c r="J30" s="257">
        <f>SUM(I28:J29)</f>
        <v>0</v>
      </c>
    </row>
    <row r="31" spans="1:10" ht="15.75" hidden="1">
      <c r="A31" s="239" t="s">
        <v>24</v>
      </c>
      <c r="B31" s="240">
        <v>132</v>
      </c>
      <c r="C31" s="241">
        <v>172051</v>
      </c>
      <c r="D31" s="242">
        <v>-2.1900000000000001E-3</v>
      </c>
      <c r="E31" s="243">
        <v>-376.79169000000002</v>
      </c>
    </row>
    <row r="32" spans="1:10" ht="15.75" hidden="1">
      <c r="A32" s="239" t="s">
        <v>24</v>
      </c>
      <c r="B32" s="240">
        <v>146</v>
      </c>
      <c r="C32" s="241">
        <v>2865845</v>
      </c>
      <c r="D32" s="242">
        <v>-2.0000000000000001E-4</v>
      </c>
      <c r="E32" s="258">
        <v>-573.16899999999998</v>
      </c>
    </row>
    <row r="33" spans="1:10" ht="16.5" hidden="1" thickBot="1">
      <c r="A33" s="239" t="s">
        <v>198</v>
      </c>
      <c r="B33" s="240"/>
      <c r="C33" s="259">
        <f>SUM(C25:C32)</f>
        <v>25850723</v>
      </c>
      <c r="D33" s="260"/>
      <c r="E33" s="261">
        <f>SUM(E25:E32)</f>
        <v>-50910.051820000008</v>
      </c>
    </row>
    <row r="34" spans="1:10" ht="16.5" hidden="1" thickTop="1">
      <c r="A34" s="239"/>
      <c r="B34" s="240"/>
      <c r="C34" s="265">
        <v>25850723</v>
      </c>
      <c r="D34" s="260"/>
      <c r="E34" s="261"/>
    </row>
    <row r="35" spans="1:10" ht="15.75" hidden="1">
      <c r="A35" s="239"/>
      <c r="B35" s="240"/>
      <c r="C35" s="262">
        <f>C34-C33</f>
        <v>0</v>
      </c>
      <c r="D35" s="260"/>
      <c r="E35" s="261"/>
    </row>
    <row r="36" spans="1:10" ht="15.75" hidden="1">
      <c r="A36" s="245"/>
      <c r="B36" s="245"/>
      <c r="C36" s="239" t="s">
        <v>1</v>
      </c>
      <c r="D36" s="263">
        <f>A23</f>
        <v>41333</v>
      </c>
      <c r="E36" s="264">
        <f>E20+E33</f>
        <v>162187.80978000001</v>
      </c>
    </row>
    <row r="37" spans="1:10" ht="15.75" hidden="1" thickBot="1"/>
    <row r="38" spans="1:10" ht="15.75" hidden="1">
      <c r="A38" s="533" t="s">
        <v>195</v>
      </c>
      <c r="B38" s="534"/>
      <c r="C38" s="534"/>
      <c r="D38" s="534"/>
      <c r="E38" s="535"/>
      <c r="G38" s="245"/>
      <c r="H38" s="245"/>
      <c r="I38" s="245"/>
    </row>
    <row r="39" spans="1:10" ht="15.75" hidden="1">
      <c r="A39" s="178">
        <v>41364</v>
      </c>
      <c r="B39" s="231"/>
      <c r="C39" s="232" t="s">
        <v>101</v>
      </c>
      <c r="D39" s="233"/>
      <c r="E39" s="234"/>
    </row>
    <row r="40" spans="1:10" ht="16.5" hidden="1" thickBot="1">
      <c r="A40" s="235"/>
      <c r="B40" s="236"/>
      <c r="C40" s="237" t="s">
        <v>21</v>
      </c>
      <c r="D40" s="237" t="s">
        <v>22</v>
      </c>
      <c r="E40" s="238" t="s">
        <v>23</v>
      </c>
    </row>
    <row r="41" spans="1:10" ht="15.75" hidden="1">
      <c r="A41" s="239" t="s">
        <v>24</v>
      </c>
      <c r="B41" s="240">
        <v>101</v>
      </c>
      <c r="C41" s="241">
        <v>12776328</v>
      </c>
      <c r="D41" s="242">
        <v>-2.1900000000000001E-3</v>
      </c>
      <c r="E41" s="243">
        <v>-27980.158320000002</v>
      </c>
    </row>
    <row r="42" spans="1:10" ht="16.5" hidden="1" thickBot="1">
      <c r="A42" s="239" t="s">
        <v>24</v>
      </c>
      <c r="B42" s="240">
        <v>111</v>
      </c>
      <c r="C42" s="241">
        <v>4890087</v>
      </c>
      <c r="D42" s="242">
        <v>-2.1900000000000001E-3</v>
      </c>
      <c r="E42" s="243">
        <v>-10709.29053</v>
      </c>
      <c r="G42" s="244">
        <f>A39</f>
        <v>41364</v>
      </c>
      <c r="H42" s="245"/>
      <c r="I42" s="245"/>
      <c r="J42" s="245"/>
    </row>
    <row r="43" spans="1:10" ht="16.5" hidden="1" thickBot="1">
      <c r="A43" s="239" t="s">
        <v>24</v>
      </c>
      <c r="B43" s="240">
        <v>112</v>
      </c>
      <c r="C43" s="241">
        <v>0</v>
      </c>
      <c r="D43" s="242">
        <v>-2.1900000000000001E-3</v>
      </c>
      <c r="E43" s="243">
        <v>0</v>
      </c>
      <c r="G43" s="246" t="s">
        <v>25</v>
      </c>
      <c r="H43" s="247"/>
      <c r="I43" s="248" t="s">
        <v>18</v>
      </c>
      <c r="J43" s="248" t="s">
        <v>19</v>
      </c>
    </row>
    <row r="44" spans="1:10" ht="15.75" hidden="1">
      <c r="A44" s="239" t="s">
        <v>24</v>
      </c>
      <c r="B44" s="240">
        <v>121</v>
      </c>
      <c r="C44" s="241">
        <v>526218</v>
      </c>
      <c r="D44" s="242">
        <v>-2.1900000000000001E-3</v>
      </c>
      <c r="E44" s="243">
        <v>-1152.41742</v>
      </c>
      <c r="G44" s="249" t="s">
        <v>97</v>
      </c>
      <c r="H44" s="250" t="s">
        <v>26</v>
      </c>
      <c r="I44" s="251">
        <f>-E49</f>
        <v>40849.65926</v>
      </c>
      <c r="J44" s="252">
        <v>0</v>
      </c>
    </row>
    <row r="45" spans="1:10" ht="16.5" hidden="1" thickBot="1">
      <c r="A45" s="239" t="s">
        <v>24</v>
      </c>
      <c r="B45" s="240">
        <v>122</v>
      </c>
      <c r="C45" s="241">
        <v>71767</v>
      </c>
      <c r="D45" s="242">
        <v>-2.1900000000000001E-3</v>
      </c>
      <c r="E45" s="243">
        <v>-157.16973000000002</v>
      </c>
      <c r="G45" s="253" t="s">
        <v>196</v>
      </c>
      <c r="H45" s="254" t="s">
        <v>197</v>
      </c>
      <c r="I45" s="255">
        <v>0</v>
      </c>
      <c r="J45" s="256">
        <f>-I44</f>
        <v>-40849.65926</v>
      </c>
    </row>
    <row r="46" spans="1:10" ht="15.75" hidden="1">
      <c r="A46" s="239" t="s">
        <v>24</v>
      </c>
      <c r="B46" s="240">
        <v>131</v>
      </c>
      <c r="C46" s="241">
        <v>0</v>
      </c>
      <c r="D46" s="242">
        <v>-2.1900000000000001E-3</v>
      </c>
      <c r="E46" s="243">
        <v>0</v>
      </c>
      <c r="G46" s="245"/>
      <c r="H46" s="245"/>
      <c r="I46" s="245"/>
      <c r="J46" s="257">
        <f>SUM(I44:J45)</f>
        <v>0</v>
      </c>
    </row>
    <row r="47" spans="1:10" ht="15.75" hidden="1">
      <c r="A47" s="239" t="s">
        <v>24</v>
      </c>
      <c r="B47" s="240">
        <v>132</v>
      </c>
      <c r="C47" s="241">
        <v>135254</v>
      </c>
      <c r="D47" s="242">
        <v>-2.1900000000000001E-3</v>
      </c>
      <c r="E47" s="243">
        <v>-296.20625999999999</v>
      </c>
    </row>
    <row r="48" spans="1:10" ht="15.75" hidden="1">
      <c r="A48" s="239" t="s">
        <v>24</v>
      </c>
      <c r="B48" s="240">
        <v>146</v>
      </c>
      <c r="C48" s="241">
        <v>2772085</v>
      </c>
      <c r="D48" s="242">
        <v>-2.0000000000000001E-4</v>
      </c>
      <c r="E48" s="258">
        <v>-554.41700000000003</v>
      </c>
    </row>
    <row r="49" spans="1:10" ht="16.5" hidden="1" thickBot="1">
      <c r="A49" s="239" t="s">
        <v>198</v>
      </c>
      <c r="B49" s="240"/>
      <c r="C49" s="259">
        <f>SUM(C41:C48)</f>
        <v>21171739</v>
      </c>
      <c r="D49" s="260"/>
      <c r="E49" s="261">
        <f>SUM(E41:E48)</f>
        <v>-40849.65926</v>
      </c>
    </row>
    <row r="50" spans="1:10" ht="16.5" hidden="1" thickTop="1">
      <c r="A50" s="239"/>
      <c r="B50" s="240"/>
      <c r="C50" s="265">
        <v>21171739</v>
      </c>
      <c r="D50" s="260"/>
      <c r="E50" s="261"/>
    </row>
    <row r="51" spans="1:10" ht="15.75" hidden="1">
      <c r="A51" s="239"/>
      <c r="B51" s="240"/>
      <c r="C51" s="262">
        <f>C50-C49</f>
        <v>0</v>
      </c>
      <c r="D51" s="260"/>
      <c r="E51" s="261"/>
    </row>
    <row r="52" spans="1:10" ht="15.75" hidden="1">
      <c r="A52" s="245"/>
      <c r="B52" s="245"/>
      <c r="C52" s="239" t="s">
        <v>1</v>
      </c>
      <c r="D52" s="263">
        <f>A39</f>
        <v>41364</v>
      </c>
      <c r="E52" s="264">
        <f>E36+E49</f>
        <v>121338.15052000001</v>
      </c>
    </row>
    <row r="53" spans="1:10" ht="15.75" hidden="1" thickBot="1"/>
    <row r="54" spans="1:10" ht="15.75" hidden="1">
      <c r="A54" s="533" t="s">
        <v>195</v>
      </c>
      <c r="B54" s="534"/>
      <c r="C54" s="534"/>
      <c r="D54" s="534"/>
      <c r="E54" s="535"/>
      <c r="G54" s="245"/>
      <c r="H54" s="245"/>
      <c r="I54" s="245"/>
    </row>
    <row r="55" spans="1:10" ht="15.75" hidden="1">
      <c r="A55" s="178">
        <v>41394</v>
      </c>
      <c r="B55" s="231"/>
      <c r="C55" s="232" t="s">
        <v>101</v>
      </c>
      <c r="D55" s="233"/>
      <c r="E55" s="234"/>
    </row>
    <row r="56" spans="1:10" ht="16.5" hidden="1" thickBot="1">
      <c r="A56" s="235"/>
      <c r="B56" s="236"/>
      <c r="C56" s="237" t="s">
        <v>21</v>
      </c>
      <c r="D56" s="237" t="s">
        <v>22</v>
      </c>
      <c r="E56" s="238" t="s">
        <v>23</v>
      </c>
    </row>
    <row r="57" spans="1:10" ht="15.75" hidden="1">
      <c r="A57" s="239" t="s">
        <v>24</v>
      </c>
      <c r="B57" s="240">
        <v>101</v>
      </c>
      <c r="C57" s="241">
        <v>8689955</v>
      </c>
      <c r="D57" s="242">
        <v>-2.1900000000000001E-3</v>
      </c>
      <c r="E57" s="243">
        <v>-19031.00145</v>
      </c>
    </row>
    <row r="58" spans="1:10" ht="16.5" hidden="1" thickBot="1">
      <c r="A58" s="239" t="s">
        <v>24</v>
      </c>
      <c r="B58" s="240">
        <v>111</v>
      </c>
      <c r="C58" s="241">
        <v>3665435</v>
      </c>
      <c r="D58" s="242">
        <v>-2.1900000000000001E-3</v>
      </c>
      <c r="E58" s="243">
        <v>-8027.3026500000005</v>
      </c>
      <c r="G58" s="244">
        <f>A55</f>
        <v>41394</v>
      </c>
      <c r="H58" s="245"/>
      <c r="I58" s="245"/>
      <c r="J58" s="245"/>
    </row>
    <row r="59" spans="1:10" ht="16.5" hidden="1" thickBot="1">
      <c r="A59" s="239" t="s">
        <v>24</v>
      </c>
      <c r="B59" s="240">
        <v>112</v>
      </c>
      <c r="C59" s="241">
        <v>0</v>
      </c>
      <c r="D59" s="242">
        <v>-2.1900000000000001E-3</v>
      </c>
      <c r="E59" s="243">
        <v>0</v>
      </c>
      <c r="G59" s="246" t="s">
        <v>25</v>
      </c>
      <c r="H59" s="247"/>
      <c r="I59" s="248" t="s">
        <v>18</v>
      </c>
      <c r="J59" s="248" t="s">
        <v>19</v>
      </c>
    </row>
    <row r="60" spans="1:10" ht="15.75" hidden="1">
      <c r="A60" s="239" t="s">
        <v>24</v>
      </c>
      <c r="B60" s="240">
        <v>121</v>
      </c>
      <c r="C60" s="241">
        <v>375679</v>
      </c>
      <c r="D60" s="242">
        <v>-2.1900000000000001E-3</v>
      </c>
      <c r="E60" s="243">
        <v>-822.73701000000005</v>
      </c>
      <c r="G60" s="249" t="s">
        <v>97</v>
      </c>
      <c r="H60" s="250" t="s">
        <v>26</v>
      </c>
      <c r="I60" s="251">
        <f>-E65</f>
        <v>28792.572810000001</v>
      </c>
      <c r="J60" s="252">
        <v>0</v>
      </c>
    </row>
    <row r="61" spans="1:10" ht="16.5" hidden="1" thickBot="1">
      <c r="A61" s="239" t="s">
        <v>24</v>
      </c>
      <c r="B61" s="240">
        <v>122</v>
      </c>
      <c r="C61" s="241">
        <v>67054</v>
      </c>
      <c r="D61" s="242">
        <v>-2.1900000000000001E-3</v>
      </c>
      <c r="E61" s="243">
        <v>-146.84826000000001</v>
      </c>
      <c r="G61" s="253" t="s">
        <v>196</v>
      </c>
      <c r="H61" s="254" t="s">
        <v>197</v>
      </c>
      <c r="I61" s="255">
        <v>0</v>
      </c>
      <c r="J61" s="256">
        <f>-I60</f>
        <v>-28792.572810000001</v>
      </c>
    </row>
    <row r="62" spans="1:10" ht="15.75" hidden="1">
      <c r="A62" s="239" t="s">
        <v>24</v>
      </c>
      <c r="B62" s="240">
        <v>131</v>
      </c>
      <c r="C62" s="241">
        <v>0</v>
      </c>
      <c r="D62" s="242">
        <v>-2.1900000000000001E-3</v>
      </c>
      <c r="E62" s="243">
        <v>0</v>
      </c>
      <c r="G62" s="245"/>
      <c r="H62" s="245"/>
      <c r="I62" s="245"/>
      <c r="J62" s="257">
        <f>SUM(I60:J61)</f>
        <v>0</v>
      </c>
    </row>
    <row r="63" spans="1:10" ht="15.75" hidden="1">
      <c r="A63" s="239" t="s">
        <v>24</v>
      </c>
      <c r="B63" s="240">
        <v>132</v>
      </c>
      <c r="C63" s="241">
        <v>126416</v>
      </c>
      <c r="D63" s="242">
        <v>-2.1900000000000001E-3</v>
      </c>
      <c r="E63" s="243">
        <v>-276.85104000000001</v>
      </c>
    </row>
    <row r="64" spans="1:10" ht="15.75" hidden="1">
      <c r="A64" s="239" t="s">
        <v>24</v>
      </c>
      <c r="B64" s="240">
        <v>146</v>
      </c>
      <c r="C64" s="241">
        <v>2439162</v>
      </c>
      <c r="D64" s="242">
        <v>-2.0000000000000001E-4</v>
      </c>
      <c r="E64" s="258">
        <v>-487.83240000000001</v>
      </c>
    </row>
    <row r="65" spans="1:10" ht="16.5" hidden="1" thickBot="1">
      <c r="A65" s="239" t="s">
        <v>198</v>
      </c>
      <c r="B65" s="240"/>
      <c r="C65" s="259">
        <f>SUM(C57:C64)</f>
        <v>15363701</v>
      </c>
      <c r="D65" s="260"/>
      <c r="E65" s="261">
        <f>SUM(E57:E64)</f>
        <v>-28792.572810000001</v>
      </c>
    </row>
    <row r="66" spans="1:10" ht="16.5" hidden="1" thickTop="1">
      <c r="A66" s="239"/>
      <c r="B66" s="240"/>
      <c r="C66" s="265">
        <v>15363701</v>
      </c>
      <c r="D66" s="260"/>
      <c r="E66" s="261"/>
    </row>
    <row r="67" spans="1:10" ht="15.75" hidden="1">
      <c r="A67" s="239"/>
      <c r="B67" s="240"/>
      <c r="C67" s="262">
        <f>C66-C65</f>
        <v>0</v>
      </c>
      <c r="D67" s="260"/>
      <c r="E67" s="261"/>
    </row>
    <row r="68" spans="1:10" ht="15.75" hidden="1">
      <c r="A68" s="245"/>
      <c r="B68" s="245"/>
      <c r="C68" s="239" t="s">
        <v>1</v>
      </c>
      <c r="D68" s="263">
        <f>A55</f>
        <v>41394</v>
      </c>
      <c r="E68" s="264">
        <f>E52+E65</f>
        <v>92545.577710000012</v>
      </c>
      <c r="G68" s="331"/>
    </row>
    <row r="69" spans="1:10" ht="15.75" hidden="1" thickBot="1"/>
    <row r="70" spans="1:10" ht="15.75" hidden="1">
      <c r="A70" s="533" t="s">
        <v>195</v>
      </c>
      <c r="B70" s="534"/>
      <c r="C70" s="534"/>
      <c r="D70" s="534"/>
      <c r="E70" s="535"/>
      <c r="G70" s="245"/>
      <c r="H70" s="245"/>
      <c r="I70" s="245"/>
    </row>
    <row r="71" spans="1:10" ht="15.75" hidden="1">
      <c r="A71" s="178">
        <v>41425</v>
      </c>
      <c r="B71" s="231"/>
      <c r="C71" s="232" t="s">
        <v>101</v>
      </c>
      <c r="D71" s="233"/>
      <c r="E71" s="234"/>
    </row>
    <row r="72" spans="1:10" ht="16.5" hidden="1" thickBot="1">
      <c r="A72" s="235"/>
      <c r="B72" s="236"/>
      <c r="C72" s="237" t="s">
        <v>21</v>
      </c>
      <c r="D72" s="237" t="s">
        <v>22</v>
      </c>
      <c r="E72" s="238" t="s">
        <v>23</v>
      </c>
    </row>
    <row r="73" spans="1:10" ht="15.75" hidden="1">
      <c r="A73" s="239" t="s">
        <v>24</v>
      </c>
      <c r="B73" s="240">
        <v>101</v>
      </c>
      <c r="C73" s="241">
        <v>4182901</v>
      </c>
      <c r="D73" s="242">
        <v>-2.1900000000000001E-3</v>
      </c>
      <c r="E73" s="243">
        <v>-9160.5531900000005</v>
      </c>
    </row>
    <row r="74" spans="1:10" ht="16.5" hidden="1" thickBot="1">
      <c r="A74" s="239" t="s">
        <v>24</v>
      </c>
      <c r="B74" s="240">
        <v>111</v>
      </c>
      <c r="C74" s="241">
        <v>1970725</v>
      </c>
      <c r="D74" s="242">
        <v>-2.1900000000000001E-3</v>
      </c>
      <c r="E74" s="243">
        <v>-4315.8877499999999</v>
      </c>
      <c r="G74" s="244">
        <f>A71</f>
        <v>41425</v>
      </c>
      <c r="H74" s="245"/>
      <c r="I74" s="245"/>
      <c r="J74" s="245"/>
    </row>
    <row r="75" spans="1:10" ht="16.5" hidden="1" thickBot="1">
      <c r="A75" s="239" t="s">
        <v>24</v>
      </c>
      <c r="B75" s="240">
        <v>112</v>
      </c>
      <c r="C75" s="241">
        <v>0</v>
      </c>
      <c r="D75" s="242">
        <v>-2.1900000000000001E-3</v>
      </c>
      <c r="E75" s="243">
        <v>0</v>
      </c>
      <c r="G75" s="246" t="s">
        <v>25</v>
      </c>
      <c r="H75" s="247"/>
      <c r="I75" s="248" t="s">
        <v>18</v>
      </c>
      <c r="J75" s="248" t="s">
        <v>19</v>
      </c>
    </row>
    <row r="76" spans="1:10" ht="15.75" hidden="1">
      <c r="A76" s="239" t="s">
        <v>24</v>
      </c>
      <c r="B76" s="240">
        <v>121</v>
      </c>
      <c r="C76" s="241">
        <v>339319</v>
      </c>
      <c r="D76" s="242">
        <v>-2.1900000000000001E-3</v>
      </c>
      <c r="E76" s="243">
        <v>-743.10861</v>
      </c>
      <c r="G76" s="249" t="s">
        <v>97</v>
      </c>
      <c r="H76" s="250" t="s">
        <v>26</v>
      </c>
      <c r="I76" s="251">
        <f>-E81</f>
        <v>14976.37256</v>
      </c>
      <c r="J76" s="252">
        <v>0</v>
      </c>
    </row>
    <row r="77" spans="1:10" ht="16.5" hidden="1" thickBot="1">
      <c r="A77" s="239" t="s">
        <v>24</v>
      </c>
      <c r="B77" s="240">
        <v>122</v>
      </c>
      <c r="C77" s="241">
        <v>57247</v>
      </c>
      <c r="D77" s="242">
        <v>-2.1900000000000001E-3</v>
      </c>
      <c r="E77" s="243">
        <v>-125.37093</v>
      </c>
      <c r="G77" s="253" t="s">
        <v>196</v>
      </c>
      <c r="H77" s="254" t="s">
        <v>197</v>
      </c>
      <c r="I77" s="255">
        <v>0</v>
      </c>
      <c r="J77" s="256">
        <f>-I76</f>
        <v>-14976.37256</v>
      </c>
    </row>
    <row r="78" spans="1:10" ht="15.75" hidden="1">
      <c r="A78" s="239" t="s">
        <v>24</v>
      </c>
      <c r="B78" s="240">
        <v>131</v>
      </c>
      <c r="C78" s="241">
        <v>0</v>
      </c>
      <c r="D78" s="242">
        <v>-2.1900000000000001E-3</v>
      </c>
      <c r="E78" s="243">
        <v>0</v>
      </c>
      <c r="G78" s="245"/>
      <c r="H78" s="245"/>
      <c r="I78" s="245"/>
      <c r="J78" s="257">
        <f>SUM(I76:J77)</f>
        <v>0</v>
      </c>
    </row>
    <row r="79" spans="1:10" ht="15.75" hidden="1">
      <c r="A79" s="239" t="s">
        <v>24</v>
      </c>
      <c r="B79" s="240">
        <v>132</v>
      </c>
      <c r="C79" s="241">
        <v>107592</v>
      </c>
      <c r="D79" s="242">
        <v>-2.1900000000000001E-3</v>
      </c>
      <c r="E79" s="243">
        <v>-235.62648000000002</v>
      </c>
    </row>
    <row r="80" spans="1:10" ht="15.75" hidden="1">
      <c r="A80" s="239" t="s">
        <v>24</v>
      </c>
      <c r="B80" s="240">
        <v>146</v>
      </c>
      <c r="C80" s="241">
        <v>1979128</v>
      </c>
      <c r="D80" s="242">
        <v>-2.0000000000000001E-4</v>
      </c>
      <c r="E80" s="258">
        <v>-395.82560000000001</v>
      </c>
    </row>
    <row r="81" spans="1:10" ht="16.5" hidden="1" thickBot="1">
      <c r="A81" s="239" t="s">
        <v>198</v>
      </c>
      <c r="B81" s="240"/>
      <c r="C81" s="259">
        <f>SUM(C73:C80)</f>
        <v>8636912</v>
      </c>
      <c r="D81" s="260"/>
      <c r="E81" s="261">
        <f>SUM(E73:E80)</f>
        <v>-14976.37256</v>
      </c>
    </row>
    <row r="82" spans="1:10" ht="16.5" hidden="1" thickTop="1">
      <c r="A82" s="239"/>
      <c r="B82" s="240"/>
      <c r="C82" s="265">
        <v>8636912</v>
      </c>
      <c r="D82" s="260"/>
      <c r="E82" s="261"/>
    </row>
    <row r="83" spans="1:10" ht="15.75" hidden="1">
      <c r="A83" s="239"/>
      <c r="B83" s="240"/>
      <c r="C83" s="262">
        <f>C82-C81</f>
        <v>0</v>
      </c>
      <c r="D83" s="260"/>
      <c r="E83" s="261"/>
    </row>
    <row r="84" spans="1:10" ht="15.75">
      <c r="A84" s="245"/>
      <c r="B84" s="245"/>
      <c r="C84" s="239" t="s">
        <v>1</v>
      </c>
      <c r="D84" s="263">
        <f>EOMONTH(D68,1)</f>
        <v>41425</v>
      </c>
      <c r="E84" s="264">
        <f>E68+E81</f>
        <v>77569.205150000009</v>
      </c>
    </row>
    <row r="85" spans="1:10" ht="15.75" thickBot="1"/>
    <row r="86" spans="1:10" ht="15.75">
      <c r="A86" s="533" t="s">
        <v>195</v>
      </c>
      <c r="B86" s="534"/>
      <c r="C86" s="534"/>
      <c r="D86" s="534"/>
      <c r="E86" s="535"/>
      <c r="G86" s="245"/>
      <c r="H86" s="245"/>
      <c r="I86" s="245"/>
    </row>
    <row r="87" spans="1:10" ht="15.75">
      <c r="A87" s="178">
        <v>41426</v>
      </c>
      <c r="B87" s="231"/>
      <c r="C87" s="232" t="s">
        <v>101</v>
      </c>
      <c r="D87" s="233"/>
      <c r="E87" s="234"/>
    </row>
    <row r="88" spans="1:10" ht="16.5" thickBot="1">
      <c r="A88" s="235"/>
      <c r="B88" s="236"/>
      <c r="C88" s="237" t="s">
        <v>21</v>
      </c>
      <c r="D88" s="237" t="s">
        <v>22</v>
      </c>
      <c r="E88" s="238" t="s">
        <v>23</v>
      </c>
    </row>
    <row r="89" spans="1:10" ht="15.75">
      <c r="A89" s="239" t="s">
        <v>24</v>
      </c>
      <c r="B89" s="240">
        <v>101</v>
      </c>
      <c r="C89" s="241">
        <v>2800295</v>
      </c>
      <c r="D89" s="242">
        <v>-2.1900000000000001E-3</v>
      </c>
      <c r="E89" s="243">
        <v>-6132.6460500000003</v>
      </c>
    </row>
    <row r="90" spans="1:10" ht="16.5" thickBot="1">
      <c r="A90" s="239" t="s">
        <v>24</v>
      </c>
      <c r="B90" s="240">
        <v>111</v>
      </c>
      <c r="C90" s="241">
        <v>1678252</v>
      </c>
      <c r="D90" s="242">
        <v>-2.1900000000000001E-3</v>
      </c>
      <c r="E90" s="243">
        <v>-3675.3718800000001</v>
      </c>
      <c r="G90" s="244">
        <f>A87</f>
        <v>41426</v>
      </c>
      <c r="H90" s="245"/>
      <c r="I90" s="245"/>
      <c r="J90" s="245"/>
    </row>
    <row r="91" spans="1:10" ht="16.5" thickBot="1">
      <c r="A91" s="239" t="s">
        <v>24</v>
      </c>
      <c r="B91" s="240">
        <v>112</v>
      </c>
      <c r="C91" s="241">
        <v>0</v>
      </c>
      <c r="D91" s="242">
        <v>-2.1900000000000001E-3</v>
      </c>
      <c r="E91" s="243">
        <v>0</v>
      </c>
      <c r="G91" s="246" t="s">
        <v>25</v>
      </c>
      <c r="H91" s="247"/>
      <c r="I91" s="248" t="s">
        <v>18</v>
      </c>
      <c r="J91" s="248" t="s">
        <v>19</v>
      </c>
    </row>
    <row r="92" spans="1:10" ht="15.75">
      <c r="A92" s="239" t="s">
        <v>24</v>
      </c>
      <c r="B92" s="240">
        <v>121</v>
      </c>
      <c r="C92" s="241">
        <v>339158</v>
      </c>
      <c r="D92" s="242">
        <v>-2.1900000000000001E-3</v>
      </c>
      <c r="E92" s="243">
        <v>-742.75602000000003</v>
      </c>
      <c r="G92" s="249" t="s">
        <v>97</v>
      </c>
      <c r="H92" s="250" t="s">
        <v>26</v>
      </c>
      <c r="I92" s="251">
        <f>-E97</f>
        <v>11131.53289</v>
      </c>
      <c r="J92" s="252">
        <v>0</v>
      </c>
    </row>
    <row r="93" spans="1:10" ht="16.5" thickBot="1">
      <c r="A93" s="239" t="s">
        <v>24</v>
      </c>
      <c r="B93" s="240">
        <v>122</v>
      </c>
      <c r="C93" s="241">
        <v>42891</v>
      </c>
      <c r="D93" s="242">
        <v>-2.1900000000000001E-3</v>
      </c>
      <c r="E93" s="243">
        <v>-93.931290000000004</v>
      </c>
      <c r="G93" s="253" t="s">
        <v>196</v>
      </c>
      <c r="H93" s="254" t="s">
        <v>197</v>
      </c>
      <c r="I93" s="255">
        <v>0</v>
      </c>
      <c r="J93" s="256">
        <f>-I92</f>
        <v>-11131.53289</v>
      </c>
    </row>
    <row r="94" spans="1:10" ht="15.75">
      <c r="A94" s="239" t="s">
        <v>24</v>
      </c>
      <c r="B94" s="240">
        <v>131</v>
      </c>
      <c r="C94" s="241">
        <v>0</v>
      </c>
      <c r="D94" s="242">
        <v>-2.1900000000000001E-3</v>
      </c>
      <c r="E94" s="243">
        <v>0</v>
      </c>
      <c r="G94" s="245"/>
      <c r="H94" s="245"/>
      <c r="I94" s="245"/>
      <c r="J94" s="257">
        <f>SUM(I92:J93)</f>
        <v>0</v>
      </c>
    </row>
    <row r="95" spans="1:10" ht="15.75">
      <c r="A95" s="239" t="s">
        <v>24</v>
      </c>
      <c r="B95" s="240">
        <v>132</v>
      </c>
      <c r="C95" s="241">
        <v>77535</v>
      </c>
      <c r="D95" s="242">
        <v>-2.1900000000000001E-3</v>
      </c>
      <c r="E95" s="243">
        <v>-169.80165</v>
      </c>
    </row>
    <row r="96" spans="1:10" ht="15.75">
      <c r="A96" s="239" t="s">
        <v>24</v>
      </c>
      <c r="B96" s="240">
        <v>146</v>
      </c>
      <c r="C96" s="241">
        <v>1585130</v>
      </c>
      <c r="D96" s="242">
        <v>-2.0000000000000001E-4</v>
      </c>
      <c r="E96" s="258">
        <v>-317.02600000000001</v>
      </c>
    </row>
    <row r="97" spans="1:10" ht="16.5" thickBot="1">
      <c r="A97" s="239" t="s">
        <v>198</v>
      </c>
      <c r="B97" s="240"/>
      <c r="C97" s="259">
        <f>SUM(C89:C96)</f>
        <v>6523261</v>
      </c>
      <c r="D97" s="260"/>
      <c r="E97" s="261">
        <f>SUM(E89:E96)</f>
        <v>-11131.53289</v>
      </c>
    </row>
    <row r="98" spans="1:10" ht="16.5" thickTop="1">
      <c r="A98" s="239"/>
      <c r="B98" s="240"/>
      <c r="C98" s="265">
        <v>6523261</v>
      </c>
      <c r="D98" s="260"/>
      <c r="E98" s="261"/>
    </row>
    <row r="99" spans="1:10" ht="15.75">
      <c r="A99" s="239"/>
      <c r="B99" s="240"/>
      <c r="C99" s="262">
        <f>C98-C97</f>
        <v>0</v>
      </c>
      <c r="D99" s="260"/>
      <c r="E99" s="261"/>
    </row>
    <row r="100" spans="1:10" ht="15.75">
      <c r="A100" s="245"/>
      <c r="B100" s="245"/>
      <c r="C100" s="239" t="s">
        <v>1</v>
      </c>
      <c r="D100" s="263">
        <f>EOMONTH(D84,1)</f>
        <v>41455</v>
      </c>
      <c r="E100" s="264">
        <f>E84+E97</f>
        <v>66437.672260000007</v>
      </c>
    </row>
    <row r="101" spans="1:10" ht="15.75" thickBot="1"/>
    <row r="102" spans="1:10" ht="15.75">
      <c r="A102" s="533" t="s">
        <v>195</v>
      </c>
      <c r="B102" s="534"/>
      <c r="C102" s="534"/>
      <c r="D102" s="534"/>
      <c r="E102" s="535"/>
      <c r="G102" s="245"/>
      <c r="H102" s="245"/>
      <c r="I102" s="245"/>
    </row>
    <row r="103" spans="1:10" ht="15.75">
      <c r="A103" s="178">
        <v>41456</v>
      </c>
      <c r="B103" s="231"/>
      <c r="C103" s="232" t="s">
        <v>101</v>
      </c>
      <c r="D103" s="233"/>
      <c r="E103" s="234"/>
    </row>
    <row r="104" spans="1:10" ht="16.5" thickBot="1">
      <c r="A104" s="235"/>
      <c r="B104" s="236"/>
      <c r="C104" s="237" t="s">
        <v>21</v>
      </c>
      <c r="D104" s="237" t="s">
        <v>22</v>
      </c>
      <c r="E104" s="238" t="s">
        <v>23</v>
      </c>
    </row>
    <row r="105" spans="1:10" ht="15.75">
      <c r="A105" s="239" t="s">
        <v>24</v>
      </c>
      <c r="B105" s="240">
        <v>101</v>
      </c>
      <c r="C105" s="241">
        <v>2082299</v>
      </c>
      <c r="D105" s="242">
        <v>-2.1900000000000001E-3</v>
      </c>
      <c r="E105" s="243">
        <v>-4560.2348099999999</v>
      </c>
    </row>
    <row r="106" spans="1:10" ht="16.5" thickBot="1">
      <c r="A106" s="239" t="s">
        <v>24</v>
      </c>
      <c r="B106" s="240">
        <v>111</v>
      </c>
      <c r="C106" s="241">
        <v>1140112</v>
      </c>
      <c r="D106" s="242">
        <v>-2.1900000000000001E-3</v>
      </c>
      <c r="E106" s="243">
        <v>-2496.84528</v>
      </c>
      <c r="G106" s="244">
        <f>A103</f>
        <v>41456</v>
      </c>
      <c r="H106" s="245"/>
      <c r="I106" s="245"/>
      <c r="J106" s="245"/>
    </row>
    <row r="107" spans="1:10" ht="16.5" thickBot="1">
      <c r="A107" s="239" t="s">
        <v>24</v>
      </c>
      <c r="B107" s="240">
        <v>112</v>
      </c>
      <c r="C107" s="241">
        <v>0</v>
      </c>
      <c r="D107" s="242">
        <v>-2.1900000000000001E-3</v>
      </c>
      <c r="E107" s="243">
        <v>0</v>
      </c>
      <c r="G107" s="246" t="s">
        <v>25</v>
      </c>
      <c r="H107" s="247"/>
      <c r="I107" s="248" t="s">
        <v>18</v>
      </c>
      <c r="J107" s="248" t="s">
        <v>19</v>
      </c>
    </row>
    <row r="108" spans="1:10" ht="15.75">
      <c r="A108" s="239" t="s">
        <v>24</v>
      </c>
      <c r="B108" s="240">
        <v>121</v>
      </c>
      <c r="C108" s="241">
        <v>304732</v>
      </c>
      <c r="D108" s="242">
        <v>-2.1900000000000001E-3</v>
      </c>
      <c r="E108" s="243">
        <v>-667.36308000000008</v>
      </c>
      <c r="G108" s="249" t="s">
        <v>97</v>
      </c>
      <c r="H108" s="250" t="s">
        <v>26</v>
      </c>
      <c r="I108" s="251">
        <f>-E113</f>
        <v>8287.0303600000007</v>
      </c>
      <c r="J108" s="252">
        <v>0</v>
      </c>
    </row>
    <row r="109" spans="1:10" ht="16.5" thickBot="1">
      <c r="A109" s="239" t="s">
        <v>24</v>
      </c>
      <c r="B109" s="240">
        <v>122</v>
      </c>
      <c r="C109" s="241">
        <v>30928</v>
      </c>
      <c r="D109" s="242">
        <v>-2.1900000000000001E-3</v>
      </c>
      <c r="E109" s="243">
        <v>-67.732320000000001</v>
      </c>
      <c r="G109" s="253" t="s">
        <v>196</v>
      </c>
      <c r="H109" s="254" t="s">
        <v>197</v>
      </c>
      <c r="I109" s="255">
        <v>0</v>
      </c>
      <c r="J109" s="256">
        <f>-I108</f>
        <v>-8287.0303600000007</v>
      </c>
    </row>
    <row r="110" spans="1:10" ht="15.75">
      <c r="A110" s="239" t="s">
        <v>24</v>
      </c>
      <c r="B110" s="240">
        <v>131</v>
      </c>
      <c r="C110" s="241">
        <v>0</v>
      </c>
      <c r="D110" s="242">
        <v>-2.1900000000000001E-3</v>
      </c>
      <c r="E110" s="243">
        <v>0</v>
      </c>
      <c r="G110" s="245"/>
      <c r="H110" s="245"/>
      <c r="I110" s="245"/>
      <c r="J110" s="257">
        <f>SUM(I108:J109)</f>
        <v>0</v>
      </c>
    </row>
    <row r="111" spans="1:10" ht="15.75">
      <c r="A111" s="239" t="s">
        <v>24</v>
      </c>
      <c r="B111" s="240">
        <v>132</v>
      </c>
      <c r="C111" s="241">
        <v>74633</v>
      </c>
      <c r="D111" s="242">
        <v>-2.1900000000000001E-3</v>
      </c>
      <c r="E111" s="243">
        <v>-163.44627</v>
      </c>
    </row>
    <row r="112" spans="1:10" ht="15.75">
      <c r="A112" s="239" t="s">
        <v>24</v>
      </c>
      <c r="B112" s="240">
        <v>146</v>
      </c>
      <c r="C112" s="241">
        <v>1657043</v>
      </c>
      <c r="D112" s="242">
        <v>-2.0000000000000001E-4</v>
      </c>
      <c r="E112" s="258">
        <v>-331.40860000000004</v>
      </c>
    </row>
    <row r="113" spans="1:10" ht="16.5" thickBot="1">
      <c r="A113" s="239" t="s">
        <v>198</v>
      </c>
      <c r="B113" s="240"/>
      <c r="C113" s="259">
        <f>SUM(C105:C112)</f>
        <v>5289747</v>
      </c>
      <c r="D113" s="260"/>
      <c r="E113" s="261">
        <f>SUM(E105:E112)</f>
        <v>-8287.0303600000007</v>
      </c>
    </row>
    <row r="114" spans="1:10" ht="16.5" thickTop="1">
      <c r="A114" s="239"/>
      <c r="B114" s="240"/>
      <c r="C114" s="265">
        <v>5289747</v>
      </c>
      <c r="D114" s="260"/>
      <c r="E114" s="261"/>
    </row>
    <row r="115" spans="1:10" ht="15.75">
      <c r="A115" s="239"/>
      <c r="B115" s="240"/>
      <c r="C115" s="262">
        <f>C114-C113</f>
        <v>0</v>
      </c>
      <c r="D115" s="260"/>
      <c r="E115" s="261"/>
    </row>
    <row r="116" spans="1:10" ht="15.75">
      <c r="A116" s="245"/>
      <c r="B116" s="245"/>
      <c r="C116" s="239" t="s">
        <v>1</v>
      </c>
      <c r="D116" s="263">
        <f>EOMONTH(D100,1)</f>
        <v>41486</v>
      </c>
      <c r="E116" s="264">
        <f>E100+E113</f>
        <v>58150.641900000002</v>
      </c>
    </row>
    <row r="117" spans="1:10" ht="15.75" thickBot="1"/>
    <row r="118" spans="1:10" ht="15.75">
      <c r="A118" s="533" t="s">
        <v>195</v>
      </c>
      <c r="B118" s="534"/>
      <c r="C118" s="534"/>
      <c r="D118" s="534"/>
      <c r="E118" s="535"/>
      <c r="G118" s="245"/>
      <c r="H118" s="245"/>
      <c r="I118" s="245"/>
    </row>
    <row r="119" spans="1:10" ht="15.75">
      <c r="A119" s="178">
        <v>41487</v>
      </c>
      <c r="B119" s="231"/>
      <c r="C119" s="232" t="s">
        <v>101</v>
      </c>
      <c r="D119" s="233"/>
      <c r="E119" s="234"/>
    </row>
    <row r="120" spans="1:10" ht="16.5" thickBot="1">
      <c r="A120" s="235"/>
      <c r="B120" s="236"/>
      <c r="C120" s="237" t="s">
        <v>21</v>
      </c>
      <c r="D120" s="237" t="s">
        <v>22</v>
      </c>
      <c r="E120" s="238" t="s">
        <v>23</v>
      </c>
    </row>
    <row r="121" spans="1:10" ht="15.75">
      <c r="A121" s="239" t="s">
        <v>24</v>
      </c>
      <c r="B121" s="240">
        <v>101</v>
      </c>
      <c r="C121" s="241">
        <v>2046635</v>
      </c>
      <c r="D121" s="242">
        <v>-2.1900000000000001E-3</v>
      </c>
      <c r="E121" s="243">
        <v>-4482.1306500000001</v>
      </c>
    </row>
    <row r="122" spans="1:10" ht="16.5" thickBot="1">
      <c r="A122" s="239" t="s">
        <v>24</v>
      </c>
      <c r="B122" s="240">
        <v>111</v>
      </c>
      <c r="C122" s="241">
        <v>1287109</v>
      </c>
      <c r="D122" s="242">
        <v>-2.1900000000000001E-3</v>
      </c>
      <c r="E122" s="243">
        <v>-2818.7687100000003</v>
      </c>
      <c r="G122" s="244">
        <f>A119</f>
        <v>41487</v>
      </c>
      <c r="H122" s="245"/>
      <c r="I122" s="245"/>
      <c r="J122" s="245"/>
    </row>
    <row r="123" spans="1:10" ht="16.5" thickBot="1">
      <c r="A123" s="239" t="s">
        <v>24</v>
      </c>
      <c r="B123" s="240">
        <v>112</v>
      </c>
      <c r="C123" s="241">
        <v>0</v>
      </c>
      <c r="D123" s="242">
        <v>-2.1900000000000001E-3</v>
      </c>
      <c r="E123" s="243">
        <v>0</v>
      </c>
      <c r="G123" s="246" t="s">
        <v>25</v>
      </c>
      <c r="H123" s="247"/>
      <c r="I123" s="248" t="s">
        <v>18</v>
      </c>
      <c r="J123" s="248" t="s">
        <v>19</v>
      </c>
    </row>
    <row r="124" spans="1:10" ht="15.75">
      <c r="A124" s="239" t="s">
        <v>24</v>
      </c>
      <c r="B124" s="240">
        <v>121</v>
      </c>
      <c r="C124" s="241">
        <v>364418</v>
      </c>
      <c r="D124" s="242">
        <v>-2.1900000000000001E-3</v>
      </c>
      <c r="E124" s="243">
        <v>-798.07542000000001</v>
      </c>
      <c r="G124" s="249" t="s">
        <v>97</v>
      </c>
      <c r="H124" s="250" t="s">
        <v>26</v>
      </c>
      <c r="I124" s="251">
        <f>-E129</f>
        <v>8611.5948700000008</v>
      </c>
      <c r="J124" s="252">
        <v>0</v>
      </c>
    </row>
    <row r="125" spans="1:10" ht="16.5" thickBot="1">
      <c r="A125" s="239" t="s">
        <v>24</v>
      </c>
      <c r="B125" s="240">
        <v>122</v>
      </c>
      <c r="C125" s="241">
        <v>28500</v>
      </c>
      <c r="D125" s="242">
        <v>-2.1900000000000001E-3</v>
      </c>
      <c r="E125" s="243">
        <v>-62.415000000000006</v>
      </c>
      <c r="G125" s="253" t="s">
        <v>196</v>
      </c>
      <c r="H125" s="254" t="s">
        <v>197</v>
      </c>
      <c r="I125" s="255">
        <v>0</v>
      </c>
      <c r="J125" s="256">
        <f>-I124</f>
        <v>-8611.5948700000008</v>
      </c>
    </row>
    <row r="126" spans="1:10" ht="15.75">
      <c r="A126" s="239" t="s">
        <v>24</v>
      </c>
      <c r="B126" s="240">
        <v>131</v>
      </c>
      <c r="C126" s="241">
        <v>0</v>
      </c>
      <c r="D126" s="242">
        <v>-2.1900000000000001E-3</v>
      </c>
      <c r="E126" s="243">
        <v>0</v>
      </c>
      <c r="G126" s="245"/>
      <c r="H126" s="245"/>
      <c r="I126" s="245"/>
      <c r="J126" s="257">
        <f>SUM(I124:J125)</f>
        <v>0</v>
      </c>
    </row>
    <row r="127" spans="1:10" ht="15.75">
      <c r="A127" s="239" t="s">
        <v>24</v>
      </c>
      <c r="B127" s="240">
        <v>132</v>
      </c>
      <c r="C127" s="241">
        <v>49431</v>
      </c>
      <c r="D127" s="242">
        <v>-2.1900000000000001E-3</v>
      </c>
      <c r="E127" s="243">
        <v>-108.25389</v>
      </c>
    </row>
    <row r="128" spans="1:10" ht="15.75">
      <c r="A128" s="239" t="s">
        <v>24</v>
      </c>
      <c r="B128" s="240">
        <v>146</v>
      </c>
      <c r="C128" s="241">
        <v>1709756</v>
      </c>
      <c r="D128" s="242">
        <v>-2.0000000000000001E-4</v>
      </c>
      <c r="E128" s="258">
        <v>-341.95120000000003</v>
      </c>
    </row>
    <row r="129" spans="1:10" ht="16.5" thickBot="1">
      <c r="A129" s="239" t="s">
        <v>198</v>
      </c>
      <c r="B129" s="240"/>
      <c r="C129" s="259">
        <f>SUM(C121:C128)</f>
        <v>5485849</v>
      </c>
      <c r="D129" s="260"/>
      <c r="E129" s="261">
        <f>SUM(E121:E128)</f>
        <v>-8611.5948700000008</v>
      </c>
    </row>
    <row r="130" spans="1:10" ht="16.5" thickTop="1">
      <c r="A130" s="239"/>
      <c r="B130" s="240"/>
      <c r="C130" s="265">
        <v>5485849</v>
      </c>
      <c r="D130" s="260"/>
      <c r="E130" s="261"/>
    </row>
    <row r="131" spans="1:10" ht="15.75">
      <c r="A131" s="239"/>
      <c r="B131" s="240"/>
      <c r="C131" s="262">
        <f>C130-C129</f>
        <v>0</v>
      </c>
      <c r="D131" s="260"/>
      <c r="E131" s="261"/>
    </row>
    <row r="132" spans="1:10" ht="15.75">
      <c r="A132" s="245"/>
      <c r="B132" s="245"/>
      <c r="C132" s="239" t="s">
        <v>1</v>
      </c>
      <c r="D132" s="263">
        <f>EOMONTH(D116,1)</f>
        <v>41517</v>
      </c>
      <c r="E132" s="264">
        <f>E116+E129</f>
        <v>49539.047030000002</v>
      </c>
    </row>
    <row r="133" spans="1:10" ht="15.75" thickBot="1"/>
    <row r="134" spans="1:10" ht="15.75">
      <c r="A134" s="533" t="s">
        <v>195</v>
      </c>
      <c r="B134" s="534"/>
      <c r="C134" s="534"/>
      <c r="D134" s="534"/>
      <c r="E134" s="535"/>
      <c r="G134" s="245"/>
      <c r="H134" s="245"/>
      <c r="I134" s="245"/>
    </row>
    <row r="135" spans="1:10" ht="15.75">
      <c r="A135" s="178">
        <v>41518</v>
      </c>
      <c r="B135" s="231"/>
      <c r="C135" s="232" t="s">
        <v>101</v>
      </c>
      <c r="D135" s="233"/>
      <c r="E135" s="234"/>
    </row>
    <row r="136" spans="1:10" ht="16.5" thickBot="1">
      <c r="A136" s="235"/>
      <c r="B136" s="236"/>
      <c r="C136" s="237" t="s">
        <v>21</v>
      </c>
      <c r="D136" s="237" t="s">
        <v>22</v>
      </c>
      <c r="E136" s="238" t="s">
        <v>23</v>
      </c>
    </row>
    <row r="137" spans="1:10" ht="15.75">
      <c r="A137" s="239" t="s">
        <v>24</v>
      </c>
      <c r="B137" s="240">
        <v>101</v>
      </c>
      <c r="C137" s="241">
        <v>2647538</v>
      </c>
      <c r="D137" s="242">
        <v>-2.1900000000000001E-3</v>
      </c>
      <c r="E137" s="243">
        <v>-5798.1082200000001</v>
      </c>
    </row>
    <row r="138" spans="1:10" ht="16.5" thickBot="1">
      <c r="A138" s="239" t="s">
        <v>24</v>
      </c>
      <c r="B138" s="240">
        <v>111</v>
      </c>
      <c r="C138" s="241">
        <v>1599551</v>
      </c>
      <c r="D138" s="242">
        <v>-2.1900000000000001E-3</v>
      </c>
      <c r="E138" s="243">
        <v>-3503.0166900000004</v>
      </c>
      <c r="G138" s="244">
        <f>A135</f>
        <v>41518</v>
      </c>
      <c r="H138" s="245"/>
      <c r="I138" s="245"/>
      <c r="J138" s="245"/>
    </row>
    <row r="139" spans="1:10" ht="16.5" thickBot="1">
      <c r="A139" s="239" t="s">
        <v>24</v>
      </c>
      <c r="B139" s="240">
        <v>112</v>
      </c>
      <c r="C139" s="241">
        <v>0</v>
      </c>
      <c r="D139" s="242">
        <v>-2.1900000000000001E-3</v>
      </c>
      <c r="E139" s="243">
        <v>0</v>
      </c>
      <c r="G139" s="246" t="s">
        <v>25</v>
      </c>
      <c r="H139" s="247"/>
      <c r="I139" s="248" t="s">
        <v>18</v>
      </c>
      <c r="J139" s="248" t="s">
        <v>19</v>
      </c>
    </row>
    <row r="140" spans="1:10" ht="15.75">
      <c r="A140" s="239" t="s">
        <v>24</v>
      </c>
      <c r="B140" s="240">
        <v>121</v>
      </c>
      <c r="C140" s="241">
        <v>344046</v>
      </c>
      <c r="D140" s="242">
        <v>-2.1900000000000001E-3</v>
      </c>
      <c r="E140" s="243">
        <v>-753.46073999999999</v>
      </c>
      <c r="G140" s="249" t="s">
        <v>97</v>
      </c>
      <c r="H140" s="250" t="s">
        <v>26</v>
      </c>
      <c r="I140" s="251">
        <f>-E145</f>
        <v>10606.31724</v>
      </c>
      <c r="J140" s="252">
        <v>0</v>
      </c>
    </row>
    <row r="141" spans="1:10" ht="16.5" thickBot="1">
      <c r="A141" s="239" t="s">
        <v>24</v>
      </c>
      <c r="B141" s="240">
        <v>122</v>
      </c>
      <c r="C141" s="241">
        <v>31388</v>
      </c>
      <c r="D141" s="242">
        <v>-2.1900000000000001E-3</v>
      </c>
      <c r="E141" s="243">
        <v>-68.739720000000005</v>
      </c>
      <c r="G141" s="253" t="s">
        <v>196</v>
      </c>
      <c r="H141" s="254" t="s">
        <v>197</v>
      </c>
      <c r="I141" s="255">
        <v>0</v>
      </c>
      <c r="J141" s="256">
        <f>-I140</f>
        <v>-10606.31724</v>
      </c>
    </row>
    <row r="142" spans="1:10" ht="15.75">
      <c r="A142" s="239" t="s">
        <v>24</v>
      </c>
      <c r="B142" s="240">
        <v>131</v>
      </c>
      <c r="C142" s="241">
        <v>0</v>
      </c>
      <c r="D142" s="242">
        <v>-2.1900000000000001E-3</v>
      </c>
      <c r="E142" s="243">
        <v>0</v>
      </c>
      <c r="G142" s="245"/>
      <c r="H142" s="245"/>
      <c r="I142" s="245"/>
      <c r="J142" s="257">
        <f>SUM(I140:J141)</f>
        <v>0</v>
      </c>
    </row>
    <row r="143" spans="1:10" ht="15.75">
      <c r="A143" s="239" t="s">
        <v>24</v>
      </c>
      <c r="B143" s="240">
        <v>132</v>
      </c>
      <c r="C143" s="241">
        <v>54453</v>
      </c>
      <c r="D143" s="242">
        <v>-2.1900000000000001E-3</v>
      </c>
      <c r="E143" s="243">
        <v>-119.25207</v>
      </c>
    </row>
    <row r="144" spans="1:10" ht="15.75">
      <c r="A144" s="239" t="s">
        <v>24</v>
      </c>
      <c r="B144" s="240">
        <v>146</v>
      </c>
      <c r="C144" s="241">
        <v>1818699</v>
      </c>
      <c r="D144" s="242">
        <v>-2.0000000000000001E-4</v>
      </c>
      <c r="E144" s="258">
        <v>-363.7398</v>
      </c>
    </row>
    <row r="145" spans="1:10" ht="16.5" thickBot="1">
      <c r="A145" s="239" t="s">
        <v>198</v>
      </c>
      <c r="B145" s="240"/>
      <c r="C145" s="259">
        <f>SUM(C137:C144)</f>
        <v>6495675</v>
      </c>
      <c r="D145" s="260"/>
      <c r="E145" s="261">
        <f>SUM(E137:E144)</f>
        <v>-10606.31724</v>
      </c>
    </row>
    <row r="146" spans="1:10" ht="16.5" thickTop="1">
      <c r="A146" s="239"/>
      <c r="B146" s="240"/>
      <c r="C146" s="265">
        <v>6495675</v>
      </c>
      <c r="D146" s="260"/>
      <c r="E146" s="261"/>
    </row>
    <row r="147" spans="1:10" ht="15.75">
      <c r="A147" s="239"/>
      <c r="B147" s="240"/>
      <c r="C147" s="262">
        <f>C146-C145</f>
        <v>0</v>
      </c>
      <c r="D147" s="260"/>
      <c r="E147" s="261"/>
    </row>
    <row r="148" spans="1:10" ht="15.75">
      <c r="A148" s="245"/>
      <c r="B148" s="245"/>
      <c r="C148" s="239" t="s">
        <v>1</v>
      </c>
      <c r="D148" s="263">
        <f>EOMONTH(D132,1)</f>
        <v>41547</v>
      </c>
      <c r="E148" s="264">
        <f>E132+E145</f>
        <v>38932.729789999998</v>
      </c>
    </row>
    <row r="149" spans="1:10" ht="15.75" thickBot="1"/>
    <row r="150" spans="1:10" ht="15.75">
      <c r="A150" s="533" t="s">
        <v>195</v>
      </c>
      <c r="B150" s="534"/>
      <c r="C150" s="534"/>
      <c r="D150" s="534"/>
      <c r="E150" s="535"/>
      <c r="G150" s="245"/>
      <c r="H150" s="245"/>
      <c r="I150" s="245"/>
    </row>
    <row r="151" spans="1:10" ht="15.75">
      <c r="A151" s="178">
        <v>41578</v>
      </c>
      <c r="B151" s="231"/>
      <c r="C151" s="232" t="s">
        <v>101</v>
      </c>
      <c r="D151" s="233"/>
      <c r="E151" s="234"/>
    </row>
    <row r="152" spans="1:10" ht="16.5" thickBot="1">
      <c r="A152" s="235"/>
      <c r="B152" s="236"/>
      <c r="C152" s="237" t="s">
        <v>21</v>
      </c>
      <c r="D152" s="237" t="s">
        <v>22</v>
      </c>
      <c r="E152" s="238" t="s">
        <v>23</v>
      </c>
    </row>
    <row r="153" spans="1:10" ht="15.75">
      <c r="A153" s="239" t="s">
        <v>24</v>
      </c>
      <c r="B153" s="240">
        <v>101</v>
      </c>
      <c r="C153" s="241">
        <v>9244353</v>
      </c>
      <c r="D153" s="242">
        <v>-2.1900000000000001E-3</v>
      </c>
      <c r="E153" s="243">
        <v>-20245.13307</v>
      </c>
    </row>
    <row r="154" spans="1:10" ht="16.5" thickBot="1">
      <c r="A154" s="239" t="s">
        <v>24</v>
      </c>
      <c r="B154" s="240">
        <v>111</v>
      </c>
      <c r="C154" s="241">
        <v>3880001</v>
      </c>
      <c r="D154" s="242">
        <v>-2.1900000000000001E-3</v>
      </c>
      <c r="E154" s="243">
        <v>-8497.20219</v>
      </c>
      <c r="G154" s="244">
        <f>A151</f>
        <v>41578</v>
      </c>
      <c r="H154" s="245"/>
      <c r="I154" s="245"/>
      <c r="J154" s="245"/>
    </row>
    <row r="155" spans="1:10" ht="16.5" thickBot="1">
      <c r="A155" s="239" t="s">
        <v>24</v>
      </c>
      <c r="B155" s="240">
        <v>112</v>
      </c>
      <c r="C155" s="241">
        <v>0</v>
      </c>
      <c r="D155" s="242">
        <v>-2.1900000000000001E-3</v>
      </c>
      <c r="E155" s="243">
        <v>0</v>
      </c>
      <c r="G155" s="246" t="s">
        <v>25</v>
      </c>
      <c r="H155" s="247"/>
      <c r="I155" s="248" t="s">
        <v>18</v>
      </c>
      <c r="J155" s="248" t="s">
        <v>19</v>
      </c>
    </row>
    <row r="156" spans="1:10" ht="15.75">
      <c r="A156" s="239" t="s">
        <v>24</v>
      </c>
      <c r="B156" s="240">
        <v>121</v>
      </c>
      <c r="C156" s="241">
        <v>595792</v>
      </c>
      <c r="D156" s="242">
        <v>-2.1900000000000001E-3</v>
      </c>
      <c r="E156" s="243">
        <v>-1304.78448</v>
      </c>
      <c r="G156" s="249" t="s">
        <v>97</v>
      </c>
      <c r="H156" s="250" t="s">
        <v>26</v>
      </c>
      <c r="I156" s="251">
        <f>-E161</f>
        <v>30792.491249999999</v>
      </c>
      <c r="J156" s="252">
        <v>0</v>
      </c>
    </row>
    <row r="157" spans="1:10" ht="16.5" thickBot="1">
      <c r="A157" s="239" t="s">
        <v>24</v>
      </c>
      <c r="B157" s="240">
        <v>122</v>
      </c>
      <c r="C157" s="241">
        <v>40500</v>
      </c>
      <c r="D157" s="242">
        <v>-2.1900000000000001E-3</v>
      </c>
      <c r="E157" s="243">
        <v>-88.695000000000007</v>
      </c>
      <c r="G157" s="253" t="s">
        <v>196</v>
      </c>
      <c r="H157" s="254" t="s">
        <v>197</v>
      </c>
      <c r="I157" s="255">
        <v>0</v>
      </c>
      <c r="J157" s="256">
        <f>-I156</f>
        <v>-30792.491249999999</v>
      </c>
    </row>
    <row r="158" spans="1:10" ht="15.75">
      <c r="A158" s="239" t="s">
        <v>24</v>
      </c>
      <c r="B158" s="240">
        <v>131</v>
      </c>
      <c r="C158" s="241">
        <v>0</v>
      </c>
      <c r="D158" s="242">
        <v>-2.1900000000000001E-3</v>
      </c>
      <c r="E158" s="243">
        <v>0</v>
      </c>
      <c r="G158" s="245"/>
      <c r="H158" s="245"/>
      <c r="I158" s="245"/>
      <c r="J158" s="257">
        <f>SUM(I156:J157)</f>
        <v>0</v>
      </c>
    </row>
    <row r="159" spans="1:10" ht="15.75">
      <c r="A159" s="239" t="s">
        <v>24</v>
      </c>
      <c r="B159" s="240">
        <v>132</v>
      </c>
      <c r="C159" s="241">
        <v>68629</v>
      </c>
      <c r="D159" s="242">
        <v>-2.1900000000000001E-3</v>
      </c>
      <c r="E159" s="243">
        <v>-150.29751000000002</v>
      </c>
    </row>
    <row r="160" spans="1:10" ht="15.75">
      <c r="A160" s="239" t="s">
        <v>24</v>
      </c>
      <c r="B160" s="240">
        <v>146</v>
      </c>
      <c r="C160" s="241">
        <v>2531895</v>
      </c>
      <c r="D160" s="242">
        <v>-2.0000000000000001E-4</v>
      </c>
      <c r="E160" s="258">
        <v>-506.37900000000002</v>
      </c>
    </row>
    <row r="161" spans="1:10" ht="16.5" thickBot="1">
      <c r="A161" s="239" t="s">
        <v>198</v>
      </c>
      <c r="B161" s="240"/>
      <c r="C161" s="259">
        <f>SUM(C153:C160)</f>
        <v>16361170</v>
      </c>
      <c r="D161" s="260"/>
      <c r="E161" s="261">
        <f>SUM(E153:E160)</f>
        <v>-30792.491249999999</v>
      </c>
    </row>
    <row r="162" spans="1:10" ht="16.5" thickTop="1">
      <c r="A162" s="239"/>
      <c r="B162" s="240"/>
      <c r="C162" s="265">
        <v>16361170</v>
      </c>
      <c r="D162" s="260"/>
      <c r="E162" s="261"/>
    </row>
    <row r="163" spans="1:10" ht="15.75">
      <c r="A163" s="239"/>
      <c r="B163" s="240"/>
      <c r="C163" s="262">
        <f>C162-C161</f>
        <v>0</v>
      </c>
      <c r="D163" s="260"/>
      <c r="E163" s="261"/>
    </row>
    <row r="164" spans="1:10" ht="15.75">
      <c r="A164" s="245"/>
      <c r="B164" s="245"/>
      <c r="C164" s="239" t="s">
        <v>1</v>
      </c>
      <c r="D164" s="263">
        <f>EOMONTH(D148,1)</f>
        <v>41578</v>
      </c>
      <c r="E164" s="264">
        <f>E148+E161</f>
        <v>8140.2385399999985</v>
      </c>
    </row>
    <row r="165" spans="1:10" ht="15.75" thickBot="1"/>
    <row r="166" spans="1:10" ht="15.75">
      <c r="A166" s="533" t="s">
        <v>195</v>
      </c>
      <c r="B166" s="534"/>
      <c r="C166" s="534"/>
      <c r="D166" s="534"/>
      <c r="E166" s="535"/>
      <c r="G166" s="245"/>
      <c r="H166" s="245"/>
      <c r="I166" s="245"/>
    </row>
    <row r="167" spans="1:10" ht="15.75">
      <c r="A167" s="178">
        <f>EOMONTH(A151,1)</f>
        <v>41608</v>
      </c>
      <c r="B167" s="231"/>
      <c r="C167" s="232" t="s">
        <v>101</v>
      </c>
      <c r="D167" s="233"/>
      <c r="E167" s="234"/>
    </row>
    <row r="168" spans="1:10" ht="16.5" thickBot="1">
      <c r="A168" s="235"/>
      <c r="B168" s="236"/>
      <c r="C168" s="237" t="s">
        <v>21</v>
      </c>
      <c r="D168" s="237" t="s">
        <v>22</v>
      </c>
      <c r="E168" s="238" t="s">
        <v>23</v>
      </c>
    </row>
    <row r="169" spans="1:10" ht="15.75">
      <c r="A169" s="239" t="s">
        <v>24</v>
      </c>
      <c r="B169" s="240">
        <v>101</v>
      </c>
      <c r="C169" s="241">
        <v>15070678</v>
      </c>
      <c r="D169" s="242" t="s">
        <v>187</v>
      </c>
      <c r="E169" s="243">
        <v>0</v>
      </c>
    </row>
    <row r="170" spans="1:10" ht="16.5" thickBot="1">
      <c r="A170" s="239" t="s">
        <v>24</v>
      </c>
      <c r="B170" s="240">
        <v>111</v>
      </c>
      <c r="C170" s="241">
        <v>5651303</v>
      </c>
      <c r="D170" s="242" t="s">
        <v>187</v>
      </c>
      <c r="E170" s="243">
        <v>0</v>
      </c>
      <c r="G170" s="244">
        <f>A167</f>
        <v>41608</v>
      </c>
      <c r="H170" s="245"/>
      <c r="I170" s="245"/>
      <c r="J170" s="245"/>
    </row>
    <row r="171" spans="1:10" ht="16.5" thickBot="1">
      <c r="A171" s="239" t="s">
        <v>24</v>
      </c>
      <c r="B171" s="240">
        <v>112</v>
      </c>
      <c r="C171" s="241">
        <v>0</v>
      </c>
      <c r="D171" s="242" t="s">
        <v>187</v>
      </c>
      <c r="E171" s="243">
        <v>0</v>
      </c>
      <c r="G171" s="246" t="s">
        <v>25</v>
      </c>
      <c r="H171" s="247"/>
      <c r="I171" s="248" t="s">
        <v>18</v>
      </c>
      <c r="J171" s="248" t="s">
        <v>19</v>
      </c>
    </row>
    <row r="172" spans="1:10" ht="15.75">
      <c r="A172" s="239" t="s">
        <v>24</v>
      </c>
      <c r="B172" s="240">
        <v>121</v>
      </c>
      <c r="C172" s="241">
        <v>396185</v>
      </c>
      <c r="D172" s="242" t="s">
        <v>187</v>
      </c>
      <c r="E172" s="243">
        <v>0</v>
      </c>
      <c r="G172" s="249" t="s">
        <v>97</v>
      </c>
      <c r="H172" s="250" t="s">
        <v>26</v>
      </c>
      <c r="I172" s="251">
        <f>-E177</f>
        <v>8833.92</v>
      </c>
      <c r="J172" s="252">
        <v>0</v>
      </c>
    </row>
    <row r="173" spans="1:10" ht="16.5" thickBot="1">
      <c r="A173" s="239" t="s">
        <v>24</v>
      </c>
      <c r="B173" s="240">
        <v>122</v>
      </c>
      <c r="C173" s="241">
        <v>51667</v>
      </c>
      <c r="D173" s="242" t="s">
        <v>187</v>
      </c>
      <c r="E173" s="243">
        <v>0</v>
      </c>
      <c r="G173" s="253" t="s">
        <v>196</v>
      </c>
      <c r="H173" s="254" t="s">
        <v>197</v>
      </c>
      <c r="I173" s="255">
        <v>0</v>
      </c>
      <c r="J173" s="256">
        <f>-I172</f>
        <v>-8833.92</v>
      </c>
    </row>
    <row r="174" spans="1:10" ht="15.75">
      <c r="A174" s="239" t="s">
        <v>24</v>
      </c>
      <c r="B174" s="240">
        <v>131</v>
      </c>
      <c r="C174" s="241">
        <v>0</v>
      </c>
      <c r="D174" s="242" t="s">
        <v>187</v>
      </c>
      <c r="E174" s="243">
        <v>0</v>
      </c>
      <c r="G174" s="245"/>
      <c r="H174" s="245"/>
      <c r="I174" s="245"/>
      <c r="J174" s="257">
        <f>SUM(I172:J173)</f>
        <v>0</v>
      </c>
    </row>
    <row r="175" spans="1:10" ht="15.75">
      <c r="A175" s="239" t="s">
        <v>24</v>
      </c>
      <c r="B175" s="240">
        <v>132</v>
      </c>
      <c r="C175" s="241">
        <v>142001</v>
      </c>
      <c r="D175" s="242" t="s">
        <v>187</v>
      </c>
      <c r="E175" s="243">
        <v>0</v>
      </c>
    </row>
    <row r="176" spans="1:10" ht="15.75">
      <c r="A176" s="239" t="s">
        <v>24</v>
      </c>
      <c r="B176" s="240">
        <v>146</v>
      </c>
      <c r="C176" s="241">
        <v>2936207</v>
      </c>
      <c r="D176" s="242" t="s">
        <v>187</v>
      </c>
      <c r="E176" s="258">
        <v>0</v>
      </c>
    </row>
    <row r="177" spans="1:10" ht="16.5" thickBot="1">
      <c r="A177" s="239" t="s">
        <v>198</v>
      </c>
      <c r="B177" s="240"/>
      <c r="C177" s="259">
        <f>SUM(C169:C176)</f>
        <v>24248041</v>
      </c>
      <c r="D177" s="260"/>
      <c r="E177" s="261">
        <v>-8833.92</v>
      </c>
    </row>
    <row r="178" spans="1:10" ht="16.5" thickTop="1">
      <c r="A178" s="239"/>
      <c r="B178" s="240"/>
      <c r="C178" s="265">
        <v>24248041</v>
      </c>
      <c r="D178" s="260"/>
      <c r="E178" s="261"/>
    </row>
    <row r="179" spans="1:10" ht="15.75">
      <c r="A179" s="239"/>
      <c r="B179" s="240"/>
      <c r="C179" s="262">
        <f>C178-C177</f>
        <v>0</v>
      </c>
      <c r="D179" s="260"/>
      <c r="E179" s="261"/>
    </row>
    <row r="180" spans="1:10" ht="15.75">
      <c r="A180" s="245"/>
      <c r="B180" s="245"/>
      <c r="C180" s="239" t="s">
        <v>1</v>
      </c>
      <c r="D180" s="263">
        <f>EOMONTH(D164,1)</f>
        <v>41608</v>
      </c>
      <c r="E180" s="264">
        <f>E164+E177</f>
        <v>-693.68146000000161</v>
      </c>
    </row>
    <row r="181" spans="1:10" ht="15.75" thickBot="1"/>
    <row r="182" spans="1:10" ht="15.75">
      <c r="A182" s="533" t="s">
        <v>195</v>
      </c>
      <c r="B182" s="534"/>
      <c r="C182" s="534"/>
      <c r="D182" s="534"/>
      <c r="E182" s="535"/>
      <c r="G182" s="245"/>
      <c r="H182" s="245"/>
      <c r="I182" s="245"/>
    </row>
    <row r="183" spans="1:10" ht="15.75">
      <c r="A183" s="178">
        <f>EOMONTH(A167,1)</f>
        <v>41639</v>
      </c>
      <c r="B183" s="231"/>
      <c r="C183" s="232" t="s">
        <v>101</v>
      </c>
      <c r="D183" s="233"/>
      <c r="E183" s="234"/>
    </row>
    <row r="184" spans="1:10" ht="16.5" thickBot="1">
      <c r="A184" s="235"/>
      <c r="B184" s="236"/>
      <c r="C184" s="237" t="s">
        <v>21</v>
      </c>
      <c r="D184" s="237" t="s">
        <v>22</v>
      </c>
      <c r="E184" s="238" t="s">
        <v>23</v>
      </c>
    </row>
    <row r="185" spans="1:10" ht="15.75">
      <c r="A185" s="239" t="s">
        <v>24</v>
      </c>
      <c r="B185" s="240">
        <v>101</v>
      </c>
      <c r="C185" s="241">
        <f>Jan!$G$23</f>
        <v>21076213</v>
      </c>
      <c r="D185" s="242" t="s">
        <v>187</v>
      </c>
      <c r="E185" s="243">
        <v>0</v>
      </c>
    </row>
    <row r="186" spans="1:10" ht="16.5" thickBot="1">
      <c r="A186" s="239" t="s">
        <v>24</v>
      </c>
      <c r="B186" s="240">
        <v>111</v>
      </c>
      <c r="C186" s="241">
        <f>Jan!$G$25</f>
        <v>4326716</v>
      </c>
      <c r="D186" s="242" t="s">
        <v>187</v>
      </c>
      <c r="E186" s="243">
        <v>0</v>
      </c>
      <c r="G186" s="244">
        <f>A183</f>
        <v>41639</v>
      </c>
      <c r="H186" s="245"/>
      <c r="I186" s="245"/>
      <c r="J186" s="245"/>
    </row>
    <row r="187" spans="1:10" ht="16.5" thickBot="1">
      <c r="A187" s="239" t="s">
        <v>24</v>
      </c>
      <c r="B187" s="240">
        <v>112</v>
      </c>
      <c r="C187" s="241">
        <f>Jan!$G$26</f>
        <v>16283</v>
      </c>
      <c r="D187" s="242" t="s">
        <v>187</v>
      </c>
      <c r="E187" s="243">
        <v>0</v>
      </c>
      <c r="G187" s="246" t="s">
        <v>25</v>
      </c>
      <c r="H187" s="247"/>
      <c r="I187" s="248" t="s">
        <v>18</v>
      </c>
      <c r="J187" s="248" t="s">
        <v>19</v>
      </c>
    </row>
    <row r="188" spans="1:10" ht="15.75">
      <c r="A188" s="239" t="s">
        <v>24</v>
      </c>
      <c r="B188" s="240">
        <v>121</v>
      </c>
      <c r="C188" s="241">
        <f>Jan!$G$27</f>
        <v>3809625</v>
      </c>
      <c r="D188" s="242" t="s">
        <v>187</v>
      </c>
      <c r="E188" s="243">
        <v>0</v>
      </c>
      <c r="G188" s="249" t="s">
        <v>97</v>
      </c>
      <c r="H188" s="250" t="s">
        <v>26</v>
      </c>
      <c r="I188" s="251">
        <f>-E193</f>
        <v>13002.04</v>
      </c>
      <c r="J188" s="252">
        <v>0</v>
      </c>
    </row>
    <row r="189" spans="1:10" ht="16.5" thickBot="1">
      <c r="A189" s="239" t="s">
        <v>24</v>
      </c>
      <c r="B189" s="240">
        <v>122</v>
      </c>
      <c r="C189" s="241">
        <f>Jan!$G$28</f>
        <v>57768</v>
      </c>
      <c r="D189" s="242" t="s">
        <v>187</v>
      </c>
      <c r="E189" s="243">
        <v>0</v>
      </c>
      <c r="G189" s="253" t="s">
        <v>196</v>
      </c>
      <c r="H189" s="254" t="s">
        <v>197</v>
      </c>
      <c r="I189" s="255">
        <v>0</v>
      </c>
      <c r="J189" s="256">
        <f>-I188</f>
        <v>-13002.04</v>
      </c>
    </row>
    <row r="190" spans="1:10" ht="15.75">
      <c r="A190" s="239" t="s">
        <v>24</v>
      </c>
      <c r="B190" s="240">
        <v>131</v>
      </c>
      <c r="C190" s="241">
        <f>Jan!$G$29</f>
        <v>0</v>
      </c>
      <c r="D190" s="242" t="s">
        <v>187</v>
      </c>
      <c r="E190" s="243">
        <v>0</v>
      </c>
      <c r="G190" s="245"/>
      <c r="H190" s="245"/>
      <c r="I190" s="245"/>
      <c r="J190" s="257">
        <f>SUM(I188:J189)</f>
        <v>0</v>
      </c>
    </row>
    <row r="191" spans="1:10" ht="15.75">
      <c r="A191" s="239" t="s">
        <v>24</v>
      </c>
      <c r="B191" s="240">
        <v>132</v>
      </c>
      <c r="C191" s="241">
        <f>Jan!$G$30</f>
        <v>141224</v>
      </c>
      <c r="D191" s="242" t="s">
        <v>187</v>
      </c>
      <c r="E191" s="243">
        <v>0</v>
      </c>
    </row>
    <row r="192" spans="1:10" ht="15.75">
      <c r="A192" s="239" t="s">
        <v>24</v>
      </c>
      <c r="B192" s="240">
        <v>146</v>
      </c>
      <c r="C192" s="241">
        <f>Jan!$G$31</f>
        <v>3921073</v>
      </c>
      <c r="D192" s="242" t="s">
        <v>187</v>
      </c>
      <c r="E192" s="258">
        <v>0</v>
      </c>
    </row>
    <row r="193" spans="1:9" ht="16.5" thickBot="1">
      <c r="A193" s="239" t="s">
        <v>198</v>
      </c>
      <c r="B193" s="240"/>
      <c r="C193" s="259">
        <f>SUM(C185:C192)</f>
        <v>33348902</v>
      </c>
      <c r="D193" s="260"/>
      <c r="E193" s="261">
        <v>-13002.04</v>
      </c>
    </row>
    <row r="194" spans="1:9" ht="16.5" thickTop="1">
      <c r="A194" s="239"/>
      <c r="B194" s="240"/>
      <c r="C194" s="265">
        <v>34635509</v>
      </c>
      <c r="D194" s="260"/>
      <c r="E194" s="261"/>
    </row>
    <row r="195" spans="1:9" ht="15.75">
      <c r="A195" s="239"/>
      <c r="B195" s="240"/>
      <c r="C195" s="262">
        <f>C194-C193</f>
        <v>1286607</v>
      </c>
      <c r="D195" s="260"/>
      <c r="E195" s="261"/>
    </row>
    <row r="196" spans="1:9" ht="15.75">
      <c r="C196" s="239" t="s">
        <v>1</v>
      </c>
      <c r="D196" s="263">
        <f>EOMONTH(D180,1)</f>
        <v>41639</v>
      </c>
      <c r="E196" s="264">
        <f>E180+E193</f>
        <v>-13695.721460000002</v>
      </c>
      <c r="G196" s="416" t="s">
        <v>243</v>
      </c>
      <c r="H196" s="417">
        <f>_xll.Get_Balance(I196,"YTD","USD","Total","A","","001","191025","GD","WA","DL")-E196</f>
        <v>1.4600000031350646E-3</v>
      </c>
      <c r="I196" s="418">
        <v>201312</v>
      </c>
    </row>
  </sheetData>
  <mergeCells count="12">
    <mergeCell ref="A182:E182"/>
    <mergeCell ref="A166:E166"/>
    <mergeCell ref="A6:E6"/>
    <mergeCell ref="A22:E22"/>
    <mergeCell ref="A38:E38"/>
    <mergeCell ref="A54:E54"/>
    <mergeCell ref="A70:E70"/>
    <mergeCell ref="A150:E150"/>
    <mergeCell ref="A134:E134"/>
    <mergeCell ref="A118:E118"/>
    <mergeCell ref="A102:E102"/>
    <mergeCell ref="A86:E86"/>
  </mergeCells>
  <conditionalFormatting sqref="J14">
    <cfRule type="cellIs" dxfId="103" priority="35" stopIfTrue="1" operator="equal">
      <formula>0</formula>
    </cfRule>
    <cfRule type="cellIs" dxfId="102" priority="36" stopIfTrue="1" operator="notEqual">
      <formula>0</formula>
    </cfRule>
  </conditionalFormatting>
  <conditionalFormatting sqref="C19">
    <cfRule type="cellIs" dxfId="101" priority="34" operator="notEqual">
      <formula>0</formula>
    </cfRule>
  </conditionalFormatting>
  <conditionalFormatting sqref="J30">
    <cfRule type="cellIs" dxfId="100" priority="32" stopIfTrue="1" operator="equal">
      <formula>0</formula>
    </cfRule>
    <cfRule type="cellIs" dxfId="99" priority="33" stopIfTrue="1" operator="notEqual">
      <formula>0</formula>
    </cfRule>
  </conditionalFormatting>
  <conditionalFormatting sqref="C35">
    <cfRule type="cellIs" dxfId="98" priority="31" operator="notEqual">
      <formula>0</formula>
    </cfRule>
  </conditionalFormatting>
  <conditionalFormatting sqref="J46">
    <cfRule type="cellIs" dxfId="97" priority="29" stopIfTrue="1" operator="equal">
      <formula>0</formula>
    </cfRule>
    <cfRule type="cellIs" dxfId="96" priority="30" stopIfTrue="1" operator="notEqual">
      <formula>0</formula>
    </cfRule>
  </conditionalFormatting>
  <conditionalFormatting sqref="C51">
    <cfRule type="cellIs" dxfId="95" priority="28" operator="notEqual">
      <formula>0</formula>
    </cfRule>
  </conditionalFormatting>
  <conditionalFormatting sqref="J62">
    <cfRule type="cellIs" dxfId="94" priority="26" stopIfTrue="1" operator="equal">
      <formula>0</formula>
    </cfRule>
    <cfRule type="cellIs" dxfId="93" priority="27" stopIfTrue="1" operator="notEqual">
      <formula>0</formula>
    </cfRule>
  </conditionalFormatting>
  <conditionalFormatting sqref="C67">
    <cfRule type="cellIs" dxfId="92" priority="25" operator="notEqual">
      <formula>0</formula>
    </cfRule>
  </conditionalFormatting>
  <conditionalFormatting sqref="J78">
    <cfRule type="cellIs" dxfId="91" priority="23" stopIfTrue="1" operator="equal">
      <formula>0</formula>
    </cfRule>
    <cfRule type="cellIs" dxfId="90" priority="24" stopIfTrue="1" operator="notEqual">
      <formula>0</formula>
    </cfRule>
  </conditionalFormatting>
  <conditionalFormatting sqref="C83">
    <cfRule type="cellIs" dxfId="89" priority="22" operator="notEqual">
      <formula>0</formula>
    </cfRule>
  </conditionalFormatting>
  <conditionalFormatting sqref="J94">
    <cfRule type="cellIs" dxfId="88" priority="20" stopIfTrue="1" operator="equal">
      <formula>0</formula>
    </cfRule>
    <cfRule type="cellIs" dxfId="87" priority="21" stopIfTrue="1" operator="notEqual">
      <formula>0</formula>
    </cfRule>
  </conditionalFormatting>
  <conditionalFormatting sqref="C99">
    <cfRule type="cellIs" dxfId="86" priority="19" operator="notEqual">
      <formula>0</formula>
    </cfRule>
  </conditionalFormatting>
  <conditionalFormatting sqref="J110">
    <cfRule type="cellIs" dxfId="85" priority="17" stopIfTrue="1" operator="equal">
      <formula>0</formula>
    </cfRule>
    <cfRule type="cellIs" dxfId="84" priority="18" stopIfTrue="1" operator="notEqual">
      <formula>0</formula>
    </cfRule>
  </conditionalFormatting>
  <conditionalFormatting sqref="C115">
    <cfRule type="cellIs" dxfId="83" priority="16" operator="notEqual">
      <formula>0</formula>
    </cfRule>
  </conditionalFormatting>
  <conditionalFormatting sqref="J126">
    <cfRule type="cellIs" dxfId="82" priority="14" stopIfTrue="1" operator="equal">
      <formula>0</formula>
    </cfRule>
    <cfRule type="cellIs" dxfId="81" priority="15" stopIfTrue="1" operator="notEqual">
      <formula>0</formula>
    </cfRule>
  </conditionalFormatting>
  <conditionalFormatting sqref="C131">
    <cfRule type="cellIs" dxfId="80" priority="13" operator="notEqual">
      <formula>0</formula>
    </cfRule>
  </conditionalFormatting>
  <conditionalFormatting sqref="J142">
    <cfRule type="cellIs" dxfId="79" priority="11" stopIfTrue="1" operator="equal">
      <formula>0</formula>
    </cfRule>
    <cfRule type="cellIs" dxfId="78" priority="12" stopIfTrue="1" operator="notEqual">
      <formula>0</formula>
    </cfRule>
  </conditionalFormatting>
  <conditionalFormatting sqref="C147">
    <cfRule type="cellIs" dxfId="77" priority="10" operator="notEqual">
      <formula>0</formula>
    </cfRule>
  </conditionalFormatting>
  <conditionalFormatting sqref="J158">
    <cfRule type="cellIs" dxfId="76" priority="8" stopIfTrue="1" operator="equal">
      <formula>0</formula>
    </cfRule>
    <cfRule type="cellIs" dxfId="75" priority="9" stopIfTrue="1" operator="notEqual">
      <formula>0</formula>
    </cfRule>
  </conditionalFormatting>
  <conditionalFormatting sqref="C163">
    <cfRule type="cellIs" dxfId="74" priority="7" operator="notEqual">
      <formula>0</formula>
    </cfRule>
  </conditionalFormatting>
  <conditionalFormatting sqref="J174">
    <cfRule type="cellIs" dxfId="73" priority="5" stopIfTrue="1" operator="equal">
      <formula>0</formula>
    </cfRule>
    <cfRule type="cellIs" dxfId="72" priority="6" stopIfTrue="1" operator="notEqual">
      <formula>0</formula>
    </cfRule>
  </conditionalFormatting>
  <conditionalFormatting sqref="C179">
    <cfRule type="cellIs" dxfId="71" priority="4" operator="notEqual">
      <formula>0</formula>
    </cfRule>
  </conditionalFormatting>
  <conditionalFormatting sqref="J190">
    <cfRule type="cellIs" dxfId="70" priority="2" stopIfTrue="1" operator="equal">
      <formula>0</formula>
    </cfRule>
    <cfRule type="cellIs" dxfId="69" priority="3" stopIfTrue="1" operator="notEqual">
      <formula>0</formula>
    </cfRule>
  </conditionalFormatting>
  <conditionalFormatting sqref="C195">
    <cfRule type="cellIs" dxfId="68" priority="1" operator="notEqual">
      <formula>0</formula>
    </cfRule>
  </conditionalFormatting>
  <pageMargins left="0.7" right="0.7" top="0.75" bottom="0.75" header="0.3" footer="0.3"/>
  <pageSetup scale="37" orientation="portrait"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43">
    <tabColor rgb="FF92D050"/>
  </sheetPr>
  <dimension ref="A1:J309"/>
  <sheetViews>
    <sheetView showGridLines="0" view="pageBreakPreview" topLeftCell="A261" zoomScale="85" zoomScaleNormal="80" zoomScaleSheetLayoutView="85" workbookViewId="0">
      <selection activeCell="E297" sqref="E297"/>
    </sheetView>
  </sheetViews>
  <sheetFormatPr defaultColWidth="9.140625" defaultRowHeight="15"/>
  <cols>
    <col min="1" max="1" width="12.42578125" style="1" customWidth="1"/>
    <col min="2" max="2" width="9.42578125" style="1" bestFit="1" customWidth="1"/>
    <col min="3" max="3" width="17" style="1" customWidth="1"/>
    <col min="4" max="4" width="25.7109375" style="1" customWidth="1"/>
    <col min="5" max="5" width="21.85546875" style="1" bestFit="1" customWidth="1"/>
    <col min="6" max="6" width="16.28515625" style="1" bestFit="1" customWidth="1"/>
    <col min="7" max="7" width="32.42578125" style="1" customWidth="1"/>
    <col min="8" max="8" width="19.28515625" style="1" customWidth="1"/>
    <col min="9" max="9" width="20.42578125" style="1" customWidth="1"/>
    <col min="10" max="10" width="19.5703125" style="1" customWidth="1"/>
    <col min="11" max="11" width="3.42578125" style="1" customWidth="1"/>
    <col min="12" max="16384" width="9.140625" style="1"/>
  </cols>
  <sheetData>
    <row r="1" spans="1:10" ht="15.75">
      <c r="A1" s="27" t="s">
        <v>13</v>
      </c>
    </row>
    <row r="2" spans="1:10" ht="15.75">
      <c r="A2" s="27" t="s">
        <v>0</v>
      </c>
    </row>
    <row r="3" spans="1:10" ht="15.75">
      <c r="A3" s="27" t="s">
        <v>172</v>
      </c>
    </row>
    <row r="4" spans="1:10" ht="15.75">
      <c r="A4" s="27" t="s">
        <v>171</v>
      </c>
    </row>
    <row r="6" spans="1:10" ht="15.75">
      <c r="B6" s="16"/>
      <c r="C6" s="2"/>
      <c r="D6" s="3"/>
      <c r="E6" s="4"/>
    </row>
    <row r="7" spans="1:10" s="279" customFormat="1" ht="15.75" hidden="1">
      <c r="A7" s="281"/>
      <c r="B7" s="281"/>
      <c r="C7" s="26" t="s">
        <v>1</v>
      </c>
      <c r="D7" s="60">
        <v>41213</v>
      </c>
      <c r="E7" s="26">
        <v>2351759.8593735616</v>
      </c>
      <c r="F7" s="281"/>
      <c r="G7" s="202"/>
    </row>
    <row r="8" spans="1:10" s="330" customFormat="1" ht="15.75" hidden="1">
      <c r="A8" s="331"/>
      <c r="B8" s="331"/>
      <c r="C8" s="26"/>
      <c r="D8" s="60"/>
      <c r="E8" s="26"/>
      <c r="F8" s="331"/>
      <c r="G8" s="202"/>
    </row>
    <row r="9" spans="1:10" s="165" customFormat="1" ht="15.75" hidden="1">
      <c r="D9" s="215" t="s">
        <v>212</v>
      </c>
      <c r="E9" s="124">
        <f>'WA Def 191010'!R14</f>
        <v>-7340824.0093394704</v>
      </c>
    </row>
    <row r="10" spans="1:10" s="165" customFormat="1" ht="16.5" hidden="1" thickBot="1">
      <c r="D10" s="215" t="s">
        <v>210</v>
      </c>
      <c r="E10" s="334">
        <f>E9+E7</f>
        <v>-4989064.1499659084</v>
      </c>
    </row>
    <row r="11" spans="1:10" s="330" customFormat="1" ht="16.5" hidden="1" thickTop="1" thickBot="1"/>
    <row r="12" spans="1:10" s="330" customFormat="1" ht="15.75" hidden="1">
      <c r="A12" s="47" t="s">
        <v>141</v>
      </c>
      <c r="B12" s="52"/>
      <c r="C12" s="53"/>
      <c r="D12" s="54"/>
      <c r="E12" s="55"/>
      <c r="G12" s="5"/>
      <c r="H12" s="5"/>
      <c r="I12" s="24"/>
      <c r="J12" s="24"/>
    </row>
    <row r="13" spans="1:10" s="330" customFormat="1" ht="15.75" hidden="1">
      <c r="A13" s="178">
        <v>41243</v>
      </c>
      <c r="B13" s="102"/>
      <c r="C13" s="11"/>
      <c r="D13" s="103"/>
      <c r="E13" s="51"/>
      <c r="G13" s="5"/>
      <c r="H13" s="5"/>
      <c r="I13" s="24"/>
      <c r="J13" s="24"/>
    </row>
    <row r="14" spans="1:10" s="330" customFormat="1" ht="16.5" hidden="1" thickBot="1">
      <c r="A14" s="104"/>
      <c r="B14" s="105"/>
      <c r="C14" s="97" t="s">
        <v>21</v>
      </c>
      <c r="D14" s="97" t="s">
        <v>22</v>
      </c>
      <c r="E14" s="94" t="s">
        <v>23</v>
      </c>
      <c r="F14" s="331"/>
      <c r="G14" s="331"/>
      <c r="H14" s="331"/>
      <c r="I14" s="331"/>
      <c r="J14" s="331"/>
    </row>
    <row r="15" spans="1:10" s="330" customFormat="1" ht="15.75" hidden="1">
      <c r="A15" s="26" t="s">
        <v>24</v>
      </c>
      <c r="B15" s="65">
        <v>101</v>
      </c>
      <c r="C15" s="168">
        <v>12694976</v>
      </c>
      <c r="D15" s="333">
        <v>3.3950000000000001E-2</v>
      </c>
      <c r="E15" s="131">
        <v>427531.76</v>
      </c>
      <c r="F15" s="331" t="s">
        <v>187</v>
      </c>
      <c r="G15" s="331"/>
      <c r="H15" s="331"/>
      <c r="I15" s="331"/>
      <c r="J15" s="331"/>
    </row>
    <row r="16" spans="1:10" s="330" customFormat="1" ht="16.5" hidden="1" thickBot="1">
      <c r="A16" s="26" t="s">
        <v>24</v>
      </c>
      <c r="B16" s="65">
        <v>111</v>
      </c>
      <c r="C16" s="168">
        <v>4637935</v>
      </c>
      <c r="D16" s="333">
        <v>3.0599999999999999E-2</v>
      </c>
      <c r="E16" s="131">
        <v>143027.17000000001</v>
      </c>
      <c r="F16" s="331" t="s">
        <v>187</v>
      </c>
      <c r="G16" s="90">
        <f>A13</f>
        <v>41243</v>
      </c>
      <c r="H16" s="331"/>
      <c r="I16" s="331"/>
      <c r="J16" s="331"/>
    </row>
    <row r="17" spans="1:10" s="330" customFormat="1" ht="16.5" hidden="1" thickBot="1">
      <c r="A17" s="26" t="s">
        <v>24</v>
      </c>
      <c r="B17" s="65">
        <v>112</v>
      </c>
      <c r="C17" s="168">
        <v>0</v>
      </c>
      <c r="D17" s="333"/>
      <c r="E17" s="131">
        <v>0</v>
      </c>
      <c r="F17" s="331" t="s">
        <v>187</v>
      </c>
      <c r="G17" s="81" t="s">
        <v>25</v>
      </c>
      <c r="H17" s="167"/>
      <c r="I17" s="92" t="s">
        <v>18</v>
      </c>
      <c r="J17" s="92" t="s">
        <v>19</v>
      </c>
    </row>
    <row r="18" spans="1:10" s="330" customFormat="1" ht="15.75" hidden="1">
      <c r="A18" s="26" t="s">
        <v>24</v>
      </c>
      <c r="B18" s="65">
        <v>121</v>
      </c>
      <c r="C18" s="168">
        <v>347215</v>
      </c>
      <c r="D18" s="333">
        <v>2.998E-2</v>
      </c>
      <c r="E18" s="131">
        <v>11613.6</v>
      </c>
      <c r="F18" s="331" t="s">
        <v>187</v>
      </c>
      <c r="G18" s="115" t="s">
        <v>28</v>
      </c>
      <c r="H18" s="116" t="s">
        <v>75</v>
      </c>
      <c r="I18" s="116"/>
      <c r="J18" s="66">
        <v>0</v>
      </c>
    </row>
    <row r="19" spans="1:10" s="330" customFormat="1" ht="15.75" hidden="1">
      <c r="A19" s="26" t="s">
        <v>24</v>
      </c>
      <c r="B19" s="65">
        <v>122</v>
      </c>
      <c r="C19" s="168">
        <v>0</v>
      </c>
      <c r="D19" s="333"/>
      <c r="E19" s="131">
        <v>0</v>
      </c>
      <c r="F19" s="331" t="s">
        <v>187</v>
      </c>
      <c r="G19" s="117" t="s">
        <v>29</v>
      </c>
      <c r="H19" s="7" t="s">
        <v>76</v>
      </c>
      <c r="I19" s="7">
        <v>12723.82</v>
      </c>
      <c r="J19" s="182"/>
    </row>
    <row r="20" spans="1:10" s="330" customFormat="1" ht="15.75" hidden="1">
      <c r="A20" s="26" t="s">
        <v>24</v>
      </c>
      <c r="B20" s="65">
        <v>131</v>
      </c>
      <c r="C20" s="168">
        <v>0</v>
      </c>
      <c r="D20" s="333">
        <v>5.7389999999999997E-2</v>
      </c>
      <c r="E20" s="131">
        <v>0</v>
      </c>
      <c r="F20" s="331" t="s">
        <v>187</v>
      </c>
      <c r="G20" s="117" t="s">
        <v>97</v>
      </c>
      <c r="H20" s="7" t="s">
        <v>26</v>
      </c>
      <c r="I20" s="8"/>
      <c r="J20" s="67">
        <v>-582079.61</v>
      </c>
    </row>
    <row r="21" spans="1:10" s="330" customFormat="1" ht="15.75" hidden="1">
      <c r="A21" s="26" t="s">
        <v>24</v>
      </c>
      <c r="B21" s="65">
        <v>132</v>
      </c>
      <c r="C21" s="168">
        <v>0</v>
      </c>
      <c r="D21" s="333"/>
      <c r="E21" s="131">
        <v>0</v>
      </c>
      <c r="F21" s="331" t="s">
        <v>187</v>
      </c>
      <c r="G21" s="117" t="s">
        <v>10</v>
      </c>
      <c r="H21" s="7" t="s">
        <v>17</v>
      </c>
      <c r="I21" s="7">
        <v>0</v>
      </c>
      <c r="J21" s="67"/>
    </row>
    <row r="22" spans="1:10" s="330" customFormat="1" ht="16.5" hidden="1" thickBot="1">
      <c r="A22" s="26" t="s">
        <v>24</v>
      </c>
      <c r="B22" s="65">
        <v>146</v>
      </c>
      <c r="C22" s="168">
        <v>2701032</v>
      </c>
      <c r="D22" s="196"/>
      <c r="E22" s="131">
        <v>0</v>
      </c>
      <c r="F22" s="331" t="s">
        <v>187</v>
      </c>
      <c r="G22" s="118" t="s">
        <v>98</v>
      </c>
      <c r="H22" s="111" t="s">
        <v>27</v>
      </c>
      <c r="I22" s="78">
        <v>569355.79</v>
      </c>
      <c r="J22" s="75"/>
    </row>
    <row r="23" spans="1:10" s="330" customFormat="1" ht="15.75" hidden="1">
      <c r="A23" s="26" t="s">
        <v>151</v>
      </c>
      <c r="B23" s="65"/>
      <c r="C23" s="168"/>
      <c r="D23" s="88"/>
      <c r="E23" s="131">
        <v>0</v>
      </c>
      <c r="F23" s="331" t="s">
        <v>187</v>
      </c>
      <c r="G23" s="331"/>
      <c r="H23" s="331"/>
      <c r="I23" s="331"/>
      <c r="J23" s="286">
        <f>SUM(I18:J22)</f>
        <v>0</v>
      </c>
    </row>
    <row r="24" spans="1:10" s="330" customFormat="1" ht="15.75" hidden="1">
      <c r="A24" s="106" t="s">
        <v>143</v>
      </c>
      <c r="B24" s="65">
        <v>146</v>
      </c>
      <c r="C24" s="168"/>
      <c r="D24" s="88"/>
      <c r="E24" s="131">
        <v>0</v>
      </c>
      <c r="F24" s="331" t="s">
        <v>187</v>
      </c>
      <c r="G24" s="90"/>
      <c r="H24" s="7"/>
      <c r="I24" s="7"/>
      <c r="J24" s="7"/>
    </row>
    <row r="25" spans="1:10" s="330" customFormat="1" ht="15.75" hidden="1">
      <c r="A25" s="106" t="s">
        <v>105</v>
      </c>
      <c r="B25" s="65"/>
      <c r="C25" s="168"/>
      <c r="D25" s="88"/>
      <c r="E25" s="185">
        <v>0</v>
      </c>
      <c r="F25" s="331"/>
      <c r="G25" s="90"/>
      <c r="H25" s="7"/>
      <c r="I25" s="12"/>
      <c r="J25" s="12"/>
    </row>
    <row r="26" spans="1:10" s="330" customFormat="1" ht="16.5" hidden="1" thickBot="1">
      <c r="A26" s="26"/>
      <c r="B26" s="65"/>
      <c r="C26" s="122">
        <f>SUM(C15:C25)</f>
        <v>20381158</v>
      </c>
      <c r="D26" s="107"/>
      <c r="E26" s="169">
        <f>SUM(E15:E25)</f>
        <v>582172.53</v>
      </c>
      <c r="F26" s="331"/>
      <c r="G26" s="90"/>
      <c r="H26" s="7"/>
      <c r="I26" s="7"/>
      <c r="J26" s="8"/>
    </row>
    <row r="27" spans="1:10" s="330" customFormat="1" ht="16.5" hidden="1" thickTop="1">
      <c r="A27" s="26"/>
      <c r="B27" s="65"/>
      <c r="C27" s="183">
        <v>20381158</v>
      </c>
      <c r="D27" s="107" t="s">
        <v>161</v>
      </c>
      <c r="E27" s="120">
        <v>0</v>
      </c>
      <c r="F27" s="331"/>
      <c r="G27" s="11"/>
      <c r="H27" s="7"/>
      <c r="I27" s="8"/>
      <c r="J27" s="7"/>
    </row>
    <row r="28" spans="1:10" s="330" customFormat="1" ht="16.5" hidden="1" thickBot="1">
      <c r="A28" s="26"/>
      <c r="B28" s="65"/>
      <c r="C28" s="188">
        <f>C27-C26</f>
        <v>0</v>
      </c>
      <c r="D28" s="107"/>
      <c r="E28" s="123">
        <f>SUM(E26:E27)</f>
        <v>582172.53</v>
      </c>
      <c r="F28" s="331"/>
      <c r="G28" s="40" t="s">
        <v>158</v>
      </c>
      <c r="H28" s="7"/>
      <c r="I28" s="7"/>
      <c r="J28" s="7"/>
    </row>
    <row r="29" spans="1:10" s="330" customFormat="1" ht="16.5" hidden="1" thickTop="1">
      <c r="A29" s="331"/>
      <c r="B29" s="331"/>
      <c r="C29" s="331"/>
      <c r="D29" s="107" t="s">
        <v>87</v>
      </c>
      <c r="E29" s="26">
        <f>E28+E10</f>
        <v>-4406891.6199659081</v>
      </c>
      <c r="F29" s="331"/>
      <c r="G29" s="8">
        <f>(E10*(D30/12))+(E28*(D30/24))</f>
        <v>-12723.690105116002</v>
      </c>
      <c r="H29" s="340"/>
      <c r="I29" s="340"/>
      <c r="J29" s="7"/>
    </row>
    <row r="30" spans="1:10" s="330" customFormat="1" ht="15.75" hidden="1">
      <c r="A30" s="331"/>
      <c r="B30" s="331"/>
      <c r="C30" s="26" t="s">
        <v>57</v>
      </c>
      <c r="D30" s="184">
        <v>3.2500000000000001E-2</v>
      </c>
      <c r="E30" s="87">
        <f>ROUND(((E10)+(SUM(E28))/2)*(D30/12),2)</f>
        <v>-12723.69</v>
      </c>
      <c r="F30" s="331"/>
      <c r="G30" s="8"/>
      <c r="H30" s="7"/>
      <c r="I30" s="12"/>
      <c r="J30" s="12"/>
    </row>
    <row r="31" spans="1:10" s="330" customFormat="1" ht="15.75" hidden="1">
      <c r="A31" s="331"/>
      <c r="B31" s="331"/>
      <c r="C31" s="26" t="s">
        <v>1</v>
      </c>
      <c r="D31" s="60">
        <f>A13</f>
        <v>41243</v>
      </c>
      <c r="E31" s="26">
        <f>SUM(E29:E30)</f>
        <v>-4419615.3099659085</v>
      </c>
      <c r="F31" s="331"/>
      <c r="G31" s="202"/>
    </row>
    <row r="32" spans="1:10" s="330" customFormat="1" ht="15.75" hidden="1">
      <c r="A32" s="331"/>
      <c r="B32" s="331"/>
      <c r="C32" s="26"/>
      <c r="D32" s="386" t="s">
        <v>199</v>
      </c>
      <c r="E32" s="39">
        <v>-4419708.3600000003</v>
      </c>
      <c r="F32" s="331"/>
      <c r="G32" s="202"/>
    </row>
    <row r="33" spans="1:10" s="330" customFormat="1" ht="15.75" hidden="1">
      <c r="A33" s="331"/>
      <c r="B33" s="331"/>
      <c r="C33" s="26"/>
      <c r="D33" s="386" t="s">
        <v>218</v>
      </c>
      <c r="E33" s="387">
        <f>E31-E32</f>
        <v>93.050034091807902</v>
      </c>
      <c r="F33" s="331"/>
      <c r="G33" s="202"/>
    </row>
    <row r="34" spans="1:10" s="330" customFormat="1" ht="15.75" hidden="1" thickBot="1"/>
    <row r="35" spans="1:10" s="330" customFormat="1" ht="15.75" hidden="1">
      <c r="A35" s="47" t="s">
        <v>141</v>
      </c>
      <c r="B35" s="52"/>
      <c r="C35" s="53"/>
      <c r="D35" s="54"/>
      <c r="E35" s="55"/>
      <c r="G35" s="5"/>
      <c r="H35" s="5"/>
      <c r="I35" s="24"/>
      <c r="J35" s="24"/>
    </row>
    <row r="36" spans="1:10" s="330" customFormat="1" ht="15.75" hidden="1">
      <c r="A36" s="178">
        <v>41274</v>
      </c>
      <c r="B36" s="102"/>
      <c r="C36" s="11"/>
      <c r="D36" s="103"/>
      <c r="E36" s="51"/>
      <c r="G36" s="5"/>
      <c r="H36" s="5"/>
      <c r="I36" s="24"/>
      <c r="J36" s="24"/>
    </row>
    <row r="37" spans="1:10" s="330" customFormat="1" ht="16.5" hidden="1" thickBot="1">
      <c r="A37" s="104"/>
      <c r="B37" s="105"/>
      <c r="C37" s="97" t="s">
        <v>21</v>
      </c>
      <c r="D37" s="97" t="s">
        <v>22</v>
      </c>
      <c r="E37" s="94" t="s">
        <v>23</v>
      </c>
      <c r="F37" s="331"/>
      <c r="G37" s="331"/>
      <c r="H37" s="331"/>
      <c r="I37" s="331"/>
      <c r="J37" s="331"/>
    </row>
    <row r="38" spans="1:10" s="330" customFormat="1" ht="15.75" hidden="1">
      <c r="A38" s="26" t="s">
        <v>24</v>
      </c>
      <c r="B38" s="65">
        <v>101</v>
      </c>
      <c r="C38" s="168">
        <v>18054358</v>
      </c>
      <c r="D38" s="333">
        <v>3.3950000000000001E-2</v>
      </c>
      <c r="E38" s="131">
        <v>610563.22</v>
      </c>
      <c r="F38" s="331" t="s">
        <v>187</v>
      </c>
      <c r="G38" s="331"/>
      <c r="H38" s="331"/>
      <c r="I38" s="331"/>
      <c r="J38" s="331"/>
    </row>
    <row r="39" spans="1:10" s="330" customFormat="1" ht="16.5" hidden="1" thickBot="1">
      <c r="A39" s="26" t="s">
        <v>24</v>
      </c>
      <c r="B39" s="65">
        <v>111</v>
      </c>
      <c r="C39" s="168">
        <v>6151406</v>
      </c>
      <c r="D39" s="333">
        <v>3.0599999999999999E-2</v>
      </c>
      <c r="E39" s="131">
        <v>187548.98</v>
      </c>
      <c r="F39" s="331" t="s">
        <v>187</v>
      </c>
      <c r="G39" s="90">
        <f>A36</f>
        <v>41274</v>
      </c>
      <c r="H39" s="331"/>
      <c r="I39" s="331"/>
      <c r="J39" s="331"/>
    </row>
    <row r="40" spans="1:10" s="330" customFormat="1" ht="16.5" hidden="1" thickBot="1">
      <c r="A40" s="26" t="s">
        <v>24</v>
      </c>
      <c r="B40" s="65">
        <v>112</v>
      </c>
      <c r="C40" s="168">
        <v>0</v>
      </c>
      <c r="D40" s="333"/>
      <c r="E40" s="131">
        <f t="shared" ref="E40" si="0">C40*D40</f>
        <v>0</v>
      </c>
      <c r="F40" s="331" t="s">
        <v>187</v>
      </c>
      <c r="G40" s="81" t="s">
        <v>25</v>
      </c>
      <c r="H40" s="167"/>
      <c r="I40" s="92" t="s">
        <v>18</v>
      </c>
      <c r="J40" s="92" t="s">
        <v>19</v>
      </c>
    </row>
    <row r="41" spans="1:10" s="330" customFormat="1" ht="15.75" hidden="1">
      <c r="A41" s="26" t="s">
        <v>24</v>
      </c>
      <c r="B41" s="65">
        <v>121</v>
      </c>
      <c r="C41" s="168">
        <v>385155</v>
      </c>
      <c r="D41" s="333">
        <v>2.998E-2</v>
      </c>
      <c r="E41" s="131">
        <v>11473.63</v>
      </c>
      <c r="F41" s="331" t="s">
        <v>187</v>
      </c>
      <c r="G41" s="115" t="s">
        <v>28</v>
      </c>
      <c r="H41" s="116" t="s">
        <v>75</v>
      </c>
      <c r="I41" s="116"/>
      <c r="J41" s="66">
        <f>IF(-E53&lt;0,-E53,0)</f>
        <v>0</v>
      </c>
    </row>
    <row r="42" spans="1:10" s="330" customFormat="1" ht="15.75" hidden="1">
      <c r="A42" s="26" t="s">
        <v>24</v>
      </c>
      <c r="B42" s="65">
        <v>122</v>
      </c>
      <c r="C42" s="168">
        <v>0</v>
      </c>
      <c r="D42" s="333"/>
      <c r="E42" s="131">
        <f t="shared" ref="E42:E47" si="1">C42*D42</f>
        <v>0</v>
      </c>
      <c r="F42" s="331" t="s">
        <v>187</v>
      </c>
      <c r="G42" s="117" t="s">
        <v>29</v>
      </c>
      <c r="H42" s="7" t="s">
        <v>76</v>
      </c>
      <c r="I42" s="7">
        <f>IF(-E53&gt;0,-E53,0)</f>
        <v>10764.89</v>
      </c>
      <c r="J42" s="182"/>
    </row>
    <row r="43" spans="1:10" s="330" customFormat="1" ht="15.75" hidden="1">
      <c r="A43" s="26" t="s">
        <v>24</v>
      </c>
      <c r="B43" s="65">
        <v>131</v>
      </c>
      <c r="C43" s="168">
        <v>0</v>
      </c>
      <c r="D43" s="333">
        <v>5.7389999999999997E-2</v>
      </c>
      <c r="E43" s="131">
        <f t="shared" si="1"/>
        <v>0</v>
      </c>
      <c r="F43" s="331" t="s">
        <v>187</v>
      </c>
      <c r="G43" s="117" t="s">
        <v>97</v>
      </c>
      <c r="H43" s="7" t="s">
        <v>26</v>
      </c>
      <c r="I43" s="8"/>
      <c r="J43" s="67">
        <f>-E51</f>
        <v>-889770.75003409176</v>
      </c>
    </row>
    <row r="44" spans="1:10" s="330" customFormat="1" ht="15.75" hidden="1">
      <c r="A44" s="26" t="s">
        <v>24</v>
      </c>
      <c r="B44" s="65">
        <v>132</v>
      </c>
      <c r="C44" s="168">
        <v>0</v>
      </c>
      <c r="D44" s="333"/>
      <c r="E44" s="131">
        <f t="shared" si="1"/>
        <v>0</v>
      </c>
      <c r="F44" s="331" t="s">
        <v>187</v>
      </c>
      <c r="G44" s="117" t="s">
        <v>10</v>
      </c>
      <c r="H44" s="7" t="s">
        <v>17</v>
      </c>
      <c r="I44" s="7">
        <v>0</v>
      </c>
      <c r="J44" s="67"/>
    </row>
    <row r="45" spans="1:10" s="330" customFormat="1" ht="16.5" hidden="1" thickBot="1">
      <c r="A45" s="26" t="s">
        <v>24</v>
      </c>
      <c r="B45" s="65">
        <v>146</v>
      </c>
      <c r="C45" s="168">
        <v>3066817</v>
      </c>
      <c r="D45" s="196"/>
      <c r="E45" s="131">
        <f t="shared" si="1"/>
        <v>0</v>
      </c>
      <c r="F45" s="331" t="s">
        <v>187</v>
      </c>
      <c r="G45" s="118" t="s">
        <v>98</v>
      </c>
      <c r="H45" s="111" t="s">
        <v>27</v>
      </c>
      <c r="I45" s="78">
        <f>-E32+E54</f>
        <v>879005.86003409186</v>
      </c>
      <c r="J45" s="75"/>
    </row>
    <row r="46" spans="1:10" s="330" customFormat="1" ht="15.75" hidden="1">
      <c r="A46" s="26" t="s">
        <v>151</v>
      </c>
      <c r="B46" s="65"/>
      <c r="C46" s="168"/>
      <c r="D46" s="88"/>
      <c r="E46" s="131">
        <f t="shared" si="1"/>
        <v>0</v>
      </c>
      <c r="F46" s="331" t="s">
        <v>187</v>
      </c>
      <c r="G46" s="331"/>
      <c r="H46" s="331"/>
      <c r="I46" s="331"/>
      <c r="J46" s="286">
        <f>SUM(I41:J45)</f>
        <v>0</v>
      </c>
    </row>
    <row r="47" spans="1:10" s="330" customFormat="1" ht="15.75" hidden="1">
      <c r="A47" s="106" t="s">
        <v>143</v>
      </c>
      <c r="B47" s="65">
        <v>146</v>
      </c>
      <c r="C47" s="168"/>
      <c r="D47" s="88"/>
      <c r="E47" s="131">
        <f t="shared" si="1"/>
        <v>0</v>
      </c>
      <c r="F47" s="331" t="s">
        <v>187</v>
      </c>
      <c r="G47" s="90"/>
      <c r="H47" s="7"/>
      <c r="I47" s="7"/>
      <c r="J47" s="7"/>
    </row>
    <row r="48" spans="1:10" s="330" customFormat="1" ht="15.75" hidden="1">
      <c r="A48" s="106" t="s">
        <v>105</v>
      </c>
      <c r="B48" s="65"/>
      <c r="C48" s="168"/>
      <c r="D48" s="88"/>
      <c r="E48" s="185">
        <v>80091.87</v>
      </c>
      <c r="F48" s="331"/>
      <c r="G48" s="90"/>
      <c r="H48" s="7"/>
      <c r="I48" s="12"/>
      <c r="J48" s="12"/>
    </row>
    <row r="49" spans="1:10" s="330" customFormat="1" ht="16.5" hidden="1" thickBot="1">
      <c r="A49" s="26"/>
      <c r="B49" s="65"/>
      <c r="C49" s="122">
        <f>SUM(C38:C48)</f>
        <v>27657736</v>
      </c>
      <c r="D49" s="107"/>
      <c r="E49" s="169">
        <f>SUM(E38:E48)</f>
        <v>889677.7</v>
      </c>
      <c r="F49" s="331"/>
      <c r="G49" s="90"/>
      <c r="H49" s="7"/>
      <c r="I49" s="7"/>
      <c r="J49" s="8"/>
    </row>
    <row r="50" spans="1:10" s="330" customFormat="1" ht="16.5" hidden="1" thickTop="1">
      <c r="A50" s="26"/>
      <c r="B50" s="65"/>
      <c r="C50" s="183">
        <v>27657736</v>
      </c>
      <c r="D50" s="107" t="s">
        <v>161</v>
      </c>
      <c r="E50" s="120">
        <f>E33</f>
        <v>93.050034091807902</v>
      </c>
      <c r="F50" s="331"/>
      <c r="G50" s="11"/>
      <c r="H50" s="7"/>
      <c r="I50" s="8"/>
      <c r="J50" s="7"/>
    </row>
    <row r="51" spans="1:10" s="330" customFormat="1" ht="16.5" hidden="1" thickBot="1">
      <c r="A51" s="26"/>
      <c r="B51" s="65"/>
      <c r="C51" s="188">
        <f>C50-C49</f>
        <v>0</v>
      </c>
      <c r="D51" s="107"/>
      <c r="E51" s="123">
        <f>SUM(E49:E50)</f>
        <v>889770.75003409176</v>
      </c>
      <c r="F51" s="331"/>
      <c r="G51" s="40" t="s">
        <v>158</v>
      </c>
      <c r="H51" s="7"/>
      <c r="I51" s="7"/>
      <c r="J51" s="7"/>
    </row>
    <row r="52" spans="1:10" s="330" customFormat="1" ht="16.5" hidden="1" thickTop="1">
      <c r="A52" s="331"/>
      <c r="B52" s="331"/>
      <c r="C52" s="331"/>
      <c r="D52" s="107" t="s">
        <v>87</v>
      </c>
      <c r="E52" s="26">
        <f>E51+E32</f>
        <v>-3529937.6099659083</v>
      </c>
      <c r="F52" s="331"/>
      <c r="G52" s="8">
        <f>(E31*(D53/12))+(E51*(D53/24))</f>
        <v>-10764.893573819838</v>
      </c>
      <c r="H52" s="341"/>
      <c r="I52" s="341"/>
      <c r="J52" s="7"/>
    </row>
    <row r="53" spans="1:10" s="330" customFormat="1" ht="15.75" hidden="1">
      <c r="A53" s="331"/>
      <c r="B53" s="331"/>
      <c r="C53" s="26" t="s">
        <v>57</v>
      </c>
      <c r="D53" s="184">
        <v>3.2500000000000001E-2</v>
      </c>
      <c r="E53" s="87">
        <f>ROUND(((E31)+(SUM(E51))/2)*(D53/12),2)</f>
        <v>-10764.89</v>
      </c>
      <c r="F53" s="331"/>
      <c r="G53" s="8"/>
      <c r="H53" s="7"/>
      <c r="I53" s="12"/>
      <c r="J53" s="12"/>
    </row>
    <row r="54" spans="1:10" s="330" customFormat="1" ht="15.75" hidden="1">
      <c r="A54" s="331"/>
      <c r="B54" s="331"/>
      <c r="C54" s="26" t="s">
        <v>1</v>
      </c>
      <c r="D54" s="60">
        <f>A36</f>
        <v>41274</v>
      </c>
      <c r="E54" s="26">
        <f>SUM(E52:E53)</f>
        <v>-3540702.4999659085</v>
      </c>
      <c r="F54" s="331"/>
      <c r="G54" s="202"/>
    </row>
    <row r="55" spans="1:10" s="279" customFormat="1" ht="15.75" hidden="1" thickBot="1"/>
    <row r="56" spans="1:10" ht="15.75" hidden="1">
      <c r="A56" s="47" t="s">
        <v>141</v>
      </c>
      <c r="B56" s="52"/>
      <c r="C56" s="53"/>
      <c r="D56" s="54"/>
      <c r="E56" s="55"/>
      <c r="F56" s="330"/>
      <c r="G56" s="5"/>
      <c r="H56" s="5"/>
      <c r="I56" s="24"/>
      <c r="J56" s="24"/>
    </row>
    <row r="57" spans="1:10" ht="15.75" hidden="1">
      <c r="A57" s="178">
        <v>41305</v>
      </c>
      <c r="B57" s="102"/>
      <c r="C57" s="11"/>
      <c r="D57" s="103"/>
      <c r="E57" s="51"/>
      <c r="F57" s="330"/>
      <c r="G57" s="5"/>
      <c r="H57" s="5"/>
      <c r="I57" s="24"/>
      <c r="J57" s="24"/>
    </row>
    <row r="58" spans="1:10" ht="16.5" hidden="1" thickBot="1">
      <c r="A58" s="104"/>
      <c r="B58" s="105"/>
      <c r="C58" s="97" t="s">
        <v>21</v>
      </c>
      <c r="D58" s="97" t="s">
        <v>22</v>
      </c>
      <c r="E58" s="94" t="s">
        <v>23</v>
      </c>
      <c r="F58" s="331"/>
      <c r="G58" s="331"/>
      <c r="H58" s="331"/>
      <c r="I58" s="331"/>
      <c r="J58" s="331"/>
    </row>
    <row r="59" spans="1:10" ht="15.75" hidden="1">
      <c r="A59" s="26" t="s">
        <v>24</v>
      </c>
      <c r="B59" s="65">
        <v>101</v>
      </c>
      <c r="C59" s="168">
        <v>22136409</v>
      </c>
      <c r="D59" s="333">
        <v>3.3950000000000001E-2</v>
      </c>
      <c r="E59" s="131">
        <f>C59*D59</f>
        <v>751531.08555000008</v>
      </c>
      <c r="F59" s="331"/>
      <c r="G59" s="331"/>
      <c r="H59" s="331"/>
      <c r="I59" s="331"/>
      <c r="J59" s="331"/>
    </row>
    <row r="60" spans="1:10" ht="16.5" hidden="1" thickBot="1">
      <c r="A60" s="26" t="s">
        <v>24</v>
      </c>
      <c r="B60" s="65">
        <v>111</v>
      </c>
      <c r="C60" s="168">
        <v>7525225</v>
      </c>
      <c r="D60" s="333">
        <v>3.0599999999999999E-2</v>
      </c>
      <c r="E60" s="131">
        <f>C60*D60</f>
        <v>230271.88499999998</v>
      </c>
      <c r="F60" s="331"/>
      <c r="G60" s="90">
        <f>A57</f>
        <v>41305</v>
      </c>
      <c r="H60" s="331"/>
      <c r="I60" s="331"/>
      <c r="J60" s="331"/>
    </row>
    <row r="61" spans="1:10" ht="16.5" hidden="1" thickBot="1">
      <c r="A61" s="26" t="s">
        <v>24</v>
      </c>
      <c r="B61" s="65">
        <v>112</v>
      </c>
      <c r="C61" s="168">
        <v>0</v>
      </c>
      <c r="D61" s="333"/>
      <c r="E61" s="131">
        <f t="shared" ref="E61:E68" si="2">C61*D61</f>
        <v>0</v>
      </c>
      <c r="F61" s="331"/>
      <c r="G61" s="81" t="s">
        <v>25</v>
      </c>
      <c r="H61" s="167"/>
      <c r="I61" s="92" t="s">
        <v>18</v>
      </c>
      <c r="J61" s="92" t="s">
        <v>19</v>
      </c>
    </row>
    <row r="62" spans="1:10" ht="15.75" hidden="1">
      <c r="A62" s="26" t="s">
        <v>24</v>
      </c>
      <c r="B62" s="65">
        <v>121</v>
      </c>
      <c r="C62" s="168">
        <v>606431</v>
      </c>
      <c r="D62" s="333">
        <v>2.998E-2</v>
      </c>
      <c r="E62" s="131">
        <f>C62*D62</f>
        <v>18180.801380000001</v>
      </c>
      <c r="F62" s="331"/>
      <c r="G62" s="115" t="s">
        <v>28</v>
      </c>
      <c r="H62" s="116" t="s">
        <v>75</v>
      </c>
      <c r="I62" s="116"/>
      <c r="J62" s="66">
        <f>IF(-E74&lt;0,-E74,0)</f>
        <v>0</v>
      </c>
    </row>
    <row r="63" spans="1:10" ht="15.75" hidden="1">
      <c r="A63" s="26" t="s">
        <v>24</v>
      </c>
      <c r="B63" s="65">
        <v>122</v>
      </c>
      <c r="C63" s="168">
        <v>0</v>
      </c>
      <c r="D63" s="333"/>
      <c r="E63" s="131">
        <f t="shared" si="2"/>
        <v>0</v>
      </c>
      <c r="F63" s="331"/>
      <c r="G63" s="117" t="s">
        <v>29</v>
      </c>
      <c r="H63" s="7" t="s">
        <v>76</v>
      </c>
      <c r="I63" s="7">
        <f>IF(-E74&gt;0,-E74,0)</f>
        <v>8235.26</v>
      </c>
      <c r="J63" s="182"/>
    </row>
    <row r="64" spans="1:10" ht="15.75" hidden="1">
      <c r="A64" s="26" t="s">
        <v>24</v>
      </c>
      <c r="B64" s="65">
        <v>131</v>
      </c>
      <c r="C64" s="168">
        <v>0</v>
      </c>
      <c r="D64" s="333">
        <v>5.7389999999999997E-2</v>
      </c>
      <c r="E64" s="131">
        <f t="shared" si="2"/>
        <v>0</v>
      </c>
      <c r="F64" s="331"/>
      <c r="G64" s="117" t="s">
        <v>97</v>
      </c>
      <c r="H64" s="7" t="s">
        <v>26</v>
      </c>
      <c r="I64" s="8"/>
      <c r="J64" s="67">
        <f>-E72</f>
        <v>-999983.77193000005</v>
      </c>
    </row>
    <row r="65" spans="1:10" ht="15.75" hidden="1">
      <c r="A65" s="26" t="s">
        <v>24</v>
      </c>
      <c r="B65" s="65">
        <v>132</v>
      </c>
      <c r="C65" s="168">
        <v>0</v>
      </c>
      <c r="D65" s="333"/>
      <c r="E65" s="131">
        <f t="shared" si="2"/>
        <v>0</v>
      </c>
      <c r="F65" s="331"/>
      <c r="G65" s="117" t="s">
        <v>10</v>
      </c>
      <c r="H65" s="7" t="s">
        <v>17</v>
      </c>
      <c r="I65" s="7">
        <v>0</v>
      </c>
      <c r="J65" s="67"/>
    </row>
    <row r="66" spans="1:10" ht="16.5" hidden="1" thickBot="1">
      <c r="A66" s="26" t="s">
        <v>24</v>
      </c>
      <c r="B66" s="65">
        <v>146</v>
      </c>
      <c r="C66" s="168">
        <v>3682356</v>
      </c>
      <c r="D66" s="196"/>
      <c r="E66" s="131">
        <f t="shared" si="2"/>
        <v>0</v>
      </c>
      <c r="F66" s="331"/>
      <c r="G66" s="118" t="s">
        <v>98</v>
      </c>
      <c r="H66" s="111" t="s">
        <v>27</v>
      </c>
      <c r="I66" s="78">
        <f>-E54+E75</f>
        <v>991748.5119300005</v>
      </c>
      <c r="J66" s="75"/>
    </row>
    <row r="67" spans="1:10" ht="15.75" hidden="1">
      <c r="A67" s="26" t="s">
        <v>151</v>
      </c>
      <c r="B67" s="65"/>
      <c r="C67" s="168"/>
      <c r="D67" s="88"/>
      <c r="E67" s="131">
        <f t="shared" si="2"/>
        <v>0</v>
      </c>
      <c r="F67" s="331"/>
      <c r="G67" s="536"/>
      <c r="H67" s="536"/>
      <c r="I67" s="536"/>
      <c r="J67" s="286">
        <f>SUM(I62:J66)</f>
        <v>0</v>
      </c>
    </row>
    <row r="68" spans="1:10" ht="15.75" hidden="1">
      <c r="A68" s="106" t="s">
        <v>143</v>
      </c>
      <c r="B68" s="65">
        <v>146</v>
      </c>
      <c r="C68" s="168"/>
      <c r="D68" s="88"/>
      <c r="E68" s="131">
        <f t="shared" si="2"/>
        <v>0</v>
      </c>
      <c r="F68" s="331"/>
      <c r="G68" s="537"/>
      <c r="H68" s="537"/>
      <c r="I68" s="537"/>
      <c r="J68" s="7"/>
    </row>
    <row r="69" spans="1:10" ht="15.75" hidden="1">
      <c r="A69" s="106" t="s">
        <v>105</v>
      </c>
      <c r="B69" s="65"/>
      <c r="C69" s="168"/>
      <c r="D69" s="88"/>
      <c r="E69" s="185">
        <v>0</v>
      </c>
      <c r="F69" s="331"/>
      <c r="G69" s="537"/>
      <c r="H69" s="537"/>
      <c r="I69" s="537"/>
      <c r="J69" s="12"/>
    </row>
    <row r="70" spans="1:10" ht="16.5" hidden="1" thickBot="1">
      <c r="A70" s="26"/>
      <c r="B70" s="65"/>
      <c r="C70" s="122">
        <f>SUM(C59:C69)</f>
        <v>33950421</v>
      </c>
      <c r="D70" s="107"/>
      <c r="E70" s="169">
        <f>SUM(E59:E69)</f>
        <v>999983.77193000005</v>
      </c>
      <c r="F70" s="331"/>
      <c r="G70" s="537"/>
      <c r="H70" s="537"/>
      <c r="I70" s="537"/>
      <c r="J70" s="8"/>
    </row>
    <row r="71" spans="1:10" ht="16.5" hidden="1" thickTop="1">
      <c r="A71" s="26"/>
      <c r="B71" s="65"/>
      <c r="C71" s="183">
        <v>33950421</v>
      </c>
      <c r="D71" s="107" t="s">
        <v>161</v>
      </c>
      <c r="E71" s="120">
        <v>0</v>
      </c>
      <c r="F71" s="331"/>
      <c r="G71" s="11"/>
      <c r="H71" s="7"/>
      <c r="I71" s="8"/>
      <c r="J71" s="7"/>
    </row>
    <row r="72" spans="1:10" ht="16.5" hidden="1" thickBot="1">
      <c r="A72" s="26"/>
      <c r="B72" s="65"/>
      <c r="C72" s="188">
        <f>C71-C70</f>
        <v>0</v>
      </c>
      <c r="D72" s="107"/>
      <c r="E72" s="123">
        <f>SUM(E70:E71)</f>
        <v>999983.77193000005</v>
      </c>
      <c r="F72" s="331"/>
      <c r="G72" s="40" t="s">
        <v>158</v>
      </c>
      <c r="H72" s="7"/>
      <c r="I72" s="7"/>
      <c r="J72" s="7"/>
    </row>
    <row r="73" spans="1:10" ht="16.5" hidden="1" thickTop="1">
      <c r="A73" s="331"/>
      <c r="B73" s="331"/>
      <c r="C73" s="331"/>
      <c r="D73" s="107" t="s">
        <v>87</v>
      </c>
      <c r="E73" s="26">
        <f>E72+E54</f>
        <v>-2540718.7280359082</v>
      </c>
      <c r="F73" s="331"/>
      <c r="G73" s="8">
        <f>(E54*(D74/12))+(E72*(D74/24))</f>
        <v>-8235.2579129191272</v>
      </c>
      <c r="H73" s="389"/>
      <c r="I73" s="389"/>
      <c r="J73" s="7"/>
    </row>
    <row r="74" spans="1:10" ht="15.75" hidden="1">
      <c r="A74" s="331"/>
      <c r="B74" s="331"/>
      <c r="C74" s="26" t="s">
        <v>57</v>
      </c>
      <c r="D74" s="184">
        <v>3.2500000000000001E-2</v>
      </c>
      <c r="E74" s="87">
        <f>ROUND(((E54)+(SUM(E72))/2)*(D74/12),2)</f>
        <v>-8235.26</v>
      </c>
      <c r="F74" s="331"/>
      <c r="G74" s="8"/>
      <c r="H74" s="7"/>
      <c r="I74" s="12"/>
      <c r="J74" s="12"/>
    </row>
    <row r="75" spans="1:10" ht="15.75" hidden="1">
      <c r="A75" s="331"/>
      <c r="B75" s="331"/>
      <c r="C75" s="26" t="s">
        <v>1</v>
      </c>
      <c r="D75" s="60">
        <f>A57</f>
        <v>41305</v>
      </c>
      <c r="E75" s="26">
        <f>SUM(E73:E74)</f>
        <v>-2548953.988035908</v>
      </c>
      <c r="F75" s="331"/>
      <c r="G75" s="202"/>
      <c r="H75" s="330"/>
      <c r="I75" s="330"/>
      <c r="J75" s="330"/>
    </row>
    <row r="76" spans="1:10" s="330" customFormat="1" ht="15.75" hidden="1" thickBot="1"/>
    <row r="77" spans="1:10" s="330" customFormat="1" ht="15.75" hidden="1">
      <c r="A77" s="47" t="s">
        <v>141</v>
      </c>
      <c r="B77" s="52"/>
      <c r="C77" s="53"/>
      <c r="D77" s="54"/>
      <c r="E77" s="55"/>
      <c r="G77" s="5"/>
      <c r="H77" s="5"/>
      <c r="I77" s="24"/>
      <c r="J77" s="24"/>
    </row>
    <row r="78" spans="1:10" s="330" customFormat="1" ht="15.75" hidden="1">
      <c r="A78" s="178">
        <v>41333</v>
      </c>
      <c r="B78" s="102"/>
      <c r="C78" s="11"/>
      <c r="D78" s="103"/>
      <c r="E78" s="51"/>
      <c r="G78" s="5"/>
      <c r="H78" s="5"/>
      <c r="I78" s="24"/>
      <c r="J78" s="24"/>
    </row>
    <row r="79" spans="1:10" s="330" customFormat="1" ht="16.5" hidden="1" thickBot="1">
      <c r="A79" s="104"/>
      <c r="B79" s="105"/>
      <c r="C79" s="97" t="s">
        <v>21</v>
      </c>
      <c r="D79" s="97" t="s">
        <v>22</v>
      </c>
      <c r="E79" s="94" t="s">
        <v>23</v>
      </c>
      <c r="F79" s="331"/>
      <c r="G79" s="331"/>
      <c r="H79" s="331"/>
      <c r="I79" s="331"/>
      <c r="J79" s="331"/>
    </row>
    <row r="80" spans="1:10" s="330" customFormat="1" ht="15.75" hidden="1">
      <c r="A80" s="26" t="s">
        <v>24</v>
      </c>
      <c r="B80" s="65">
        <v>101</v>
      </c>
      <c r="C80" s="168">
        <v>16585315</v>
      </c>
      <c r="D80" s="333">
        <v>3.3950000000000001E-2</v>
      </c>
      <c r="E80" s="131">
        <v>563071.44425000006</v>
      </c>
      <c r="F80" s="331"/>
      <c r="G80" s="331"/>
      <c r="H80" s="331"/>
      <c r="I80" s="331"/>
      <c r="J80" s="331"/>
    </row>
    <row r="81" spans="1:10" s="330" customFormat="1" ht="16.5" hidden="1" thickBot="1">
      <c r="A81" s="26" t="s">
        <v>24</v>
      </c>
      <c r="B81" s="65">
        <v>111</v>
      </c>
      <c r="C81" s="168">
        <v>5716465</v>
      </c>
      <c r="D81" s="333">
        <v>3.0599999999999999E-2</v>
      </c>
      <c r="E81" s="131">
        <v>174923.829</v>
      </c>
      <c r="F81" s="331"/>
      <c r="G81" s="90">
        <f>A78</f>
        <v>41333</v>
      </c>
      <c r="H81" s="331"/>
      <c r="I81" s="331"/>
      <c r="J81" s="331"/>
    </row>
    <row r="82" spans="1:10" s="330" customFormat="1" ht="16.5" hidden="1" thickBot="1">
      <c r="A82" s="26" t="s">
        <v>24</v>
      </c>
      <c r="B82" s="65">
        <v>112</v>
      </c>
      <c r="C82" s="168">
        <v>0</v>
      </c>
      <c r="D82" s="333"/>
      <c r="E82" s="131">
        <v>0</v>
      </c>
      <c r="F82" s="331"/>
      <c r="G82" s="81" t="s">
        <v>25</v>
      </c>
      <c r="H82" s="167"/>
      <c r="I82" s="92" t="s">
        <v>18</v>
      </c>
      <c r="J82" s="92" t="s">
        <v>19</v>
      </c>
    </row>
    <row r="83" spans="1:10" s="330" customFormat="1" ht="15.75" hidden="1">
      <c r="A83" s="26" t="s">
        <v>24</v>
      </c>
      <c r="B83" s="65">
        <v>121</v>
      </c>
      <c r="C83" s="168">
        <v>416479</v>
      </c>
      <c r="D83" s="333">
        <v>2.998E-2</v>
      </c>
      <c r="E83" s="131">
        <v>12486.040419999999</v>
      </c>
      <c r="F83" s="331"/>
      <c r="G83" s="115" t="s">
        <v>28</v>
      </c>
      <c r="H83" s="116" t="s">
        <v>75</v>
      </c>
      <c r="I83" s="116"/>
      <c r="J83" s="66">
        <f>IF(-E95&lt;0,-E95,0)</f>
        <v>0</v>
      </c>
    </row>
    <row r="84" spans="1:10" s="330" customFormat="1" ht="15.75" hidden="1">
      <c r="A84" s="26" t="s">
        <v>24</v>
      </c>
      <c r="B84" s="65">
        <v>122</v>
      </c>
      <c r="C84" s="168">
        <v>0</v>
      </c>
      <c r="D84" s="333"/>
      <c r="E84" s="131">
        <v>0</v>
      </c>
      <c r="F84" s="331"/>
      <c r="G84" s="117" t="s">
        <v>29</v>
      </c>
      <c r="H84" s="7" t="s">
        <v>76</v>
      </c>
      <c r="I84" s="7">
        <f>IF(-E95&gt;0,-E95,0)</f>
        <v>5887.14</v>
      </c>
      <c r="J84" s="182"/>
    </row>
    <row r="85" spans="1:10" s="330" customFormat="1" ht="15.75" hidden="1">
      <c r="A85" s="26" t="s">
        <v>24</v>
      </c>
      <c r="B85" s="65">
        <v>131</v>
      </c>
      <c r="C85" s="168">
        <v>0</v>
      </c>
      <c r="D85" s="333">
        <v>5.7389999999999997E-2</v>
      </c>
      <c r="E85" s="131">
        <v>0</v>
      </c>
      <c r="F85" s="331"/>
      <c r="G85" s="117" t="s">
        <v>97</v>
      </c>
      <c r="H85" s="7" t="s">
        <v>26</v>
      </c>
      <c r="I85" s="8"/>
      <c r="J85" s="67">
        <f>-E93</f>
        <v>-750481.31367000006</v>
      </c>
    </row>
    <row r="86" spans="1:10" s="330" customFormat="1" ht="15.75" hidden="1">
      <c r="A86" s="26" t="s">
        <v>24</v>
      </c>
      <c r="B86" s="65">
        <v>132</v>
      </c>
      <c r="C86" s="168">
        <v>0</v>
      </c>
      <c r="D86" s="333"/>
      <c r="E86" s="131">
        <v>0</v>
      </c>
      <c r="F86" s="331"/>
      <c r="G86" s="117" t="s">
        <v>10</v>
      </c>
      <c r="H86" s="7" t="s">
        <v>17</v>
      </c>
      <c r="I86" s="7">
        <v>0</v>
      </c>
      <c r="J86" s="67"/>
    </row>
    <row r="87" spans="1:10" s="330" customFormat="1" ht="16.5" hidden="1" thickBot="1">
      <c r="A87" s="26" t="s">
        <v>24</v>
      </c>
      <c r="B87" s="65">
        <v>146</v>
      </c>
      <c r="C87" s="168">
        <v>2865845</v>
      </c>
      <c r="D87" s="196"/>
      <c r="E87" s="131">
        <v>0</v>
      </c>
      <c r="F87" s="331"/>
      <c r="G87" s="118" t="s">
        <v>98</v>
      </c>
      <c r="H87" s="111" t="s">
        <v>27</v>
      </c>
      <c r="I87" s="78">
        <f>-E75+E96</f>
        <v>744594.17367000016</v>
      </c>
      <c r="J87" s="75"/>
    </row>
    <row r="88" spans="1:10" s="330" customFormat="1" ht="15.75" hidden="1">
      <c r="A88" s="26" t="s">
        <v>151</v>
      </c>
      <c r="B88" s="65"/>
      <c r="C88" s="168"/>
      <c r="D88" s="88"/>
      <c r="E88" s="131">
        <v>0</v>
      </c>
      <c r="F88" s="331"/>
      <c r="G88" s="331"/>
      <c r="H88" s="331"/>
      <c r="I88" s="331"/>
      <c r="J88" s="286">
        <f>SUM(I83:J87)</f>
        <v>0</v>
      </c>
    </row>
    <row r="89" spans="1:10" s="330" customFormat="1" ht="15.75" hidden="1">
      <c r="A89" s="106" t="s">
        <v>143</v>
      </c>
      <c r="B89" s="65">
        <v>146</v>
      </c>
      <c r="C89" s="168"/>
      <c r="D89" s="88"/>
      <c r="E89" s="131">
        <v>0</v>
      </c>
      <c r="F89" s="331"/>
      <c r="G89" s="90"/>
      <c r="H89" s="7"/>
      <c r="I89" s="7"/>
      <c r="J89" s="7"/>
    </row>
    <row r="90" spans="1:10" s="330" customFormat="1" ht="15.75" hidden="1">
      <c r="A90" s="106" t="s">
        <v>105</v>
      </c>
      <c r="B90" s="65"/>
      <c r="C90" s="168"/>
      <c r="D90" s="88"/>
      <c r="E90" s="185">
        <v>0</v>
      </c>
      <c r="F90" s="331"/>
      <c r="G90" s="90"/>
      <c r="H90" s="7"/>
      <c r="I90" s="12"/>
      <c r="J90" s="12"/>
    </row>
    <row r="91" spans="1:10" s="330" customFormat="1" ht="16.5" hidden="1" thickBot="1">
      <c r="A91" s="26"/>
      <c r="B91" s="65"/>
      <c r="C91" s="122">
        <f>SUM(C80:C90)</f>
        <v>25584104</v>
      </c>
      <c r="D91" s="107"/>
      <c r="E91" s="169">
        <f>SUM(E80:E90)</f>
        <v>750481.31367000006</v>
      </c>
      <c r="F91" s="331"/>
      <c r="G91" s="90"/>
      <c r="H91" s="7"/>
      <c r="I91" s="7"/>
      <c r="J91" s="8"/>
    </row>
    <row r="92" spans="1:10" s="330" customFormat="1" ht="16.5" hidden="1" thickTop="1">
      <c r="A92" s="26"/>
      <c r="B92" s="65"/>
      <c r="C92" s="183">
        <v>25584104</v>
      </c>
      <c r="D92" s="107" t="s">
        <v>161</v>
      </c>
      <c r="E92" s="120">
        <v>0</v>
      </c>
      <c r="F92" s="331"/>
      <c r="G92" s="11"/>
      <c r="H92" s="7"/>
      <c r="I92" s="8"/>
      <c r="J92" s="7"/>
    </row>
    <row r="93" spans="1:10" s="330" customFormat="1" ht="16.5" hidden="1" thickBot="1">
      <c r="A93" s="26"/>
      <c r="B93" s="65"/>
      <c r="C93" s="188">
        <f>C92-C91</f>
        <v>0</v>
      </c>
      <c r="D93" s="107"/>
      <c r="E93" s="123">
        <f>SUM(E91:E92)</f>
        <v>750481.31367000006</v>
      </c>
      <c r="F93" s="331"/>
      <c r="G93" s="40" t="s">
        <v>158</v>
      </c>
      <c r="H93" s="7"/>
      <c r="I93" s="7"/>
      <c r="J93" s="7"/>
    </row>
    <row r="94" spans="1:10" s="330" customFormat="1" ht="16.5" hidden="1" thickTop="1">
      <c r="A94" s="331"/>
      <c r="B94" s="331"/>
      <c r="C94" s="331"/>
      <c r="D94" s="107" t="s">
        <v>87</v>
      </c>
      <c r="E94" s="26">
        <f>E93+E75</f>
        <v>-1798472.6743659079</v>
      </c>
      <c r="F94" s="331"/>
      <c r="G94" s="8">
        <f>(E75*(D95/12))+(E93*(D95/24))</f>
        <v>-5887.1402720024589</v>
      </c>
      <c r="H94" s="391"/>
      <c r="I94" s="391"/>
      <c r="J94" s="7"/>
    </row>
    <row r="95" spans="1:10" s="330" customFormat="1" ht="15.75" hidden="1">
      <c r="A95" s="331"/>
      <c r="B95" s="331"/>
      <c r="C95" s="26" t="s">
        <v>57</v>
      </c>
      <c r="D95" s="184">
        <v>3.2500000000000001E-2</v>
      </c>
      <c r="E95" s="87">
        <f>ROUND(((E75)+(SUM(E93))/2)*(D95/12),2)</f>
        <v>-5887.14</v>
      </c>
      <c r="F95" s="331"/>
      <c r="G95" s="8"/>
      <c r="H95" s="7"/>
      <c r="I95" s="12"/>
      <c r="J95" s="12"/>
    </row>
    <row r="96" spans="1:10" s="330" customFormat="1" ht="15.75" hidden="1">
      <c r="A96" s="331"/>
      <c r="B96" s="331"/>
      <c r="C96" s="26" t="s">
        <v>1</v>
      </c>
      <c r="D96" s="60">
        <f>A78</f>
        <v>41333</v>
      </c>
      <c r="E96" s="26">
        <f>SUM(E94:E95)</f>
        <v>-1804359.8143659078</v>
      </c>
      <c r="F96" s="331"/>
      <c r="G96" s="202"/>
    </row>
    <row r="97" spans="1:10" s="330" customFormat="1" ht="15.75" hidden="1" thickBot="1"/>
    <row r="98" spans="1:10" s="330" customFormat="1" ht="15.75" hidden="1">
      <c r="A98" s="47" t="s">
        <v>141</v>
      </c>
      <c r="B98" s="52"/>
      <c r="C98" s="53"/>
      <c r="D98" s="54"/>
      <c r="E98" s="55"/>
      <c r="G98" s="5"/>
      <c r="H98" s="5"/>
      <c r="I98" s="24"/>
      <c r="J98" s="24"/>
    </row>
    <row r="99" spans="1:10" s="330" customFormat="1" ht="15.75" hidden="1">
      <c r="A99" s="178">
        <v>41364</v>
      </c>
      <c r="B99" s="102"/>
      <c r="C99" s="11"/>
      <c r="D99" s="103"/>
      <c r="E99" s="51"/>
      <c r="G99" s="5"/>
      <c r="H99" s="5"/>
      <c r="I99" s="24"/>
      <c r="J99" s="24"/>
    </row>
    <row r="100" spans="1:10" s="330" customFormat="1" ht="16.5" hidden="1" thickBot="1">
      <c r="A100" s="104"/>
      <c r="B100" s="105"/>
      <c r="C100" s="97" t="s">
        <v>21</v>
      </c>
      <c r="D100" s="97" t="s">
        <v>22</v>
      </c>
      <c r="E100" s="94" t="s">
        <v>23</v>
      </c>
      <c r="F100" s="331"/>
      <c r="G100" s="331"/>
      <c r="H100" s="331"/>
      <c r="I100" s="331"/>
      <c r="J100" s="331"/>
    </row>
    <row r="101" spans="1:10" s="330" customFormat="1" ht="15.75" hidden="1">
      <c r="A101" s="26" t="s">
        <v>24</v>
      </c>
      <c r="B101" s="65">
        <v>101</v>
      </c>
      <c r="C101" s="168">
        <v>12776328</v>
      </c>
      <c r="D101" s="333">
        <v>3.3950000000000001E-2</v>
      </c>
      <c r="E101" s="131">
        <v>433756.33559999999</v>
      </c>
      <c r="F101" s="331"/>
      <c r="G101" s="331"/>
      <c r="H101" s="331"/>
      <c r="I101" s="331"/>
      <c r="J101" s="331"/>
    </row>
    <row r="102" spans="1:10" s="330" customFormat="1" ht="16.5" hidden="1" thickBot="1">
      <c r="A102" s="26" t="s">
        <v>24</v>
      </c>
      <c r="B102" s="65">
        <v>111</v>
      </c>
      <c r="C102" s="168">
        <v>4890087</v>
      </c>
      <c r="D102" s="333">
        <v>3.0599999999999999E-2</v>
      </c>
      <c r="E102" s="131">
        <v>149636.66219999999</v>
      </c>
      <c r="F102" s="331"/>
      <c r="G102" s="90">
        <f>A99</f>
        <v>41364</v>
      </c>
      <c r="H102" s="331"/>
      <c r="I102" s="331"/>
      <c r="J102" s="331"/>
    </row>
    <row r="103" spans="1:10" s="330" customFormat="1" ht="16.5" hidden="1" thickBot="1">
      <c r="A103" s="26" t="s">
        <v>24</v>
      </c>
      <c r="B103" s="65">
        <v>112</v>
      </c>
      <c r="C103" s="168">
        <v>0</v>
      </c>
      <c r="D103" s="333"/>
      <c r="E103" s="131">
        <v>0</v>
      </c>
      <c r="F103" s="331"/>
      <c r="G103" s="81" t="s">
        <v>25</v>
      </c>
      <c r="H103" s="167"/>
      <c r="I103" s="92" t="s">
        <v>18</v>
      </c>
      <c r="J103" s="92" t="s">
        <v>19</v>
      </c>
    </row>
    <row r="104" spans="1:10" s="330" customFormat="1" ht="15.75" hidden="1">
      <c r="A104" s="26" t="s">
        <v>24</v>
      </c>
      <c r="B104" s="65">
        <v>121</v>
      </c>
      <c r="C104" s="168">
        <v>526218</v>
      </c>
      <c r="D104" s="333">
        <v>2.998E-2</v>
      </c>
      <c r="E104" s="131">
        <v>15776.01564</v>
      </c>
      <c r="F104" s="331"/>
      <c r="G104" s="115" t="s">
        <v>28</v>
      </c>
      <c r="H104" s="116" t="s">
        <v>75</v>
      </c>
      <c r="I104" s="116"/>
      <c r="J104" s="66">
        <f>IF(-E116&lt;0,-E116,0)</f>
        <v>0</v>
      </c>
    </row>
    <row r="105" spans="1:10" s="330" customFormat="1" ht="15.75" hidden="1">
      <c r="A105" s="26" t="s">
        <v>24</v>
      </c>
      <c r="B105" s="65">
        <v>122</v>
      </c>
      <c r="C105" s="168">
        <v>0</v>
      </c>
      <c r="D105" s="333"/>
      <c r="E105" s="131">
        <v>0</v>
      </c>
      <c r="F105" s="331"/>
      <c r="G105" s="117" t="s">
        <v>29</v>
      </c>
      <c r="H105" s="7" t="s">
        <v>76</v>
      </c>
      <c r="I105" s="7">
        <f>IF(-E116&gt;0,-E116,0)</f>
        <v>4075.43</v>
      </c>
      <c r="J105" s="182"/>
    </row>
    <row r="106" spans="1:10" s="330" customFormat="1" ht="15.75" hidden="1">
      <c r="A106" s="26" t="s">
        <v>24</v>
      </c>
      <c r="B106" s="65">
        <v>131</v>
      </c>
      <c r="C106" s="168">
        <v>0</v>
      </c>
      <c r="D106" s="333">
        <v>5.7389999999999997E-2</v>
      </c>
      <c r="E106" s="131">
        <v>0</v>
      </c>
      <c r="F106" s="331"/>
      <c r="G106" s="117" t="s">
        <v>97</v>
      </c>
      <c r="H106" s="7" t="s">
        <v>26</v>
      </c>
      <c r="I106" s="8"/>
      <c r="J106" s="67">
        <f>-E114</f>
        <v>-599169.01344000001</v>
      </c>
    </row>
    <row r="107" spans="1:10" s="330" customFormat="1" ht="15.75" hidden="1">
      <c r="A107" s="26" t="s">
        <v>24</v>
      </c>
      <c r="B107" s="65">
        <v>132</v>
      </c>
      <c r="C107" s="168">
        <v>0</v>
      </c>
      <c r="D107" s="333"/>
      <c r="E107" s="131">
        <v>0</v>
      </c>
      <c r="F107" s="331"/>
      <c r="G107" s="117" t="s">
        <v>10</v>
      </c>
      <c r="H107" s="7" t="s">
        <v>17</v>
      </c>
      <c r="I107" s="7">
        <v>0</v>
      </c>
      <c r="J107" s="67"/>
    </row>
    <row r="108" spans="1:10" s="330" customFormat="1" ht="16.5" hidden="1" thickBot="1">
      <c r="A108" s="26" t="s">
        <v>24</v>
      </c>
      <c r="B108" s="65">
        <v>146</v>
      </c>
      <c r="C108" s="168">
        <v>2772085</v>
      </c>
      <c r="D108" s="196"/>
      <c r="E108" s="131">
        <v>0</v>
      </c>
      <c r="F108" s="331"/>
      <c r="G108" s="118" t="s">
        <v>98</v>
      </c>
      <c r="H108" s="111" t="s">
        <v>27</v>
      </c>
      <c r="I108" s="78">
        <f>-E96+E117</f>
        <v>595093.58344000019</v>
      </c>
      <c r="J108" s="75"/>
    </row>
    <row r="109" spans="1:10" s="330" customFormat="1" ht="15.75" hidden="1">
      <c r="A109" s="26" t="s">
        <v>151</v>
      </c>
      <c r="B109" s="65"/>
      <c r="C109" s="168"/>
      <c r="D109" s="88"/>
      <c r="E109" s="131">
        <v>0</v>
      </c>
      <c r="F109" s="331"/>
      <c r="G109" s="331"/>
      <c r="H109" s="331"/>
      <c r="I109" s="331"/>
      <c r="J109" s="286">
        <f>SUM(I104:J108)</f>
        <v>0</v>
      </c>
    </row>
    <row r="110" spans="1:10" s="330" customFormat="1" ht="15.75" hidden="1">
      <c r="A110" s="106" t="s">
        <v>143</v>
      </c>
      <c r="B110" s="65">
        <v>146</v>
      </c>
      <c r="C110" s="168"/>
      <c r="D110" s="88"/>
      <c r="E110" s="131">
        <v>0</v>
      </c>
      <c r="F110" s="331"/>
      <c r="G110" s="90"/>
      <c r="H110" s="7"/>
      <c r="I110" s="7"/>
      <c r="J110" s="7"/>
    </row>
    <row r="111" spans="1:10" s="330" customFormat="1" ht="15.75" hidden="1">
      <c r="A111" s="106" t="s">
        <v>105</v>
      </c>
      <c r="B111" s="65"/>
      <c r="C111" s="168"/>
      <c r="D111" s="88"/>
      <c r="E111" s="185">
        <v>0</v>
      </c>
      <c r="F111" s="331"/>
      <c r="G111" s="90"/>
      <c r="H111" s="7"/>
      <c r="I111" s="12"/>
      <c r="J111" s="12"/>
    </row>
    <row r="112" spans="1:10" s="330" customFormat="1" ht="16.5" hidden="1" thickBot="1">
      <c r="A112" s="26"/>
      <c r="B112" s="65"/>
      <c r="C112" s="122">
        <f>SUM(C101:C111)</f>
        <v>20964718</v>
      </c>
      <c r="D112" s="107"/>
      <c r="E112" s="169">
        <f>SUM(E101:E111)</f>
        <v>599169.01344000001</v>
      </c>
      <c r="F112" s="331"/>
      <c r="G112" s="90"/>
      <c r="H112" s="7"/>
      <c r="I112" s="7"/>
      <c r="J112" s="8"/>
    </row>
    <row r="113" spans="1:10" s="330" customFormat="1" ht="16.5" hidden="1" thickTop="1">
      <c r="A113" s="26"/>
      <c r="B113" s="65"/>
      <c r="C113" s="183">
        <v>20964718</v>
      </c>
      <c r="D113" s="107" t="s">
        <v>161</v>
      </c>
      <c r="E113" s="120">
        <v>0</v>
      </c>
      <c r="F113" s="331"/>
      <c r="G113" s="11"/>
      <c r="H113" s="7"/>
      <c r="I113" s="8"/>
      <c r="J113" s="7"/>
    </row>
    <row r="114" spans="1:10" s="330" customFormat="1" ht="16.5" hidden="1" thickBot="1">
      <c r="A114" s="26"/>
      <c r="B114" s="65"/>
      <c r="C114" s="188">
        <f>C113-C112</f>
        <v>0</v>
      </c>
      <c r="D114" s="107"/>
      <c r="E114" s="123">
        <f>SUM(E112:E113)</f>
        <v>599169.01344000001</v>
      </c>
      <c r="F114" s="331"/>
      <c r="G114" s="40" t="s">
        <v>158</v>
      </c>
      <c r="H114" s="7"/>
      <c r="I114" s="7"/>
      <c r="J114" s="7"/>
    </row>
    <row r="115" spans="1:10" s="330" customFormat="1" ht="16.5" hidden="1" thickTop="1">
      <c r="A115" s="331"/>
      <c r="B115" s="331"/>
      <c r="C115" s="331"/>
      <c r="D115" s="107" t="s">
        <v>87</v>
      </c>
      <c r="E115" s="26">
        <f>E114+E96</f>
        <v>-1205190.8009259077</v>
      </c>
      <c r="F115" s="331"/>
      <c r="G115" s="8">
        <f>(E96*(D116/12))+(E114*(D116/24))</f>
        <v>-4075.4331248743338</v>
      </c>
      <c r="H115" s="393"/>
      <c r="I115" s="393"/>
      <c r="J115" s="7"/>
    </row>
    <row r="116" spans="1:10" s="330" customFormat="1" ht="15.75" hidden="1">
      <c r="A116" s="331"/>
      <c r="B116" s="331"/>
      <c r="C116" s="26" t="s">
        <v>57</v>
      </c>
      <c r="D116" s="184">
        <v>3.2500000000000001E-2</v>
      </c>
      <c r="E116" s="87">
        <f>ROUND(((E96)+(SUM(E114))/2)*(D116/12),2)</f>
        <v>-4075.43</v>
      </c>
      <c r="F116" s="331"/>
      <c r="G116" s="8"/>
      <c r="H116" s="7"/>
      <c r="I116" s="12"/>
      <c r="J116" s="12"/>
    </row>
    <row r="117" spans="1:10" s="330" customFormat="1" ht="15.75" hidden="1">
      <c r="A117" s="331"/>
      <c r="B117" s="331"/>
      <c r="C117" s="26" t="s">
        <v>1</v>
      </c>
      <c r="D117" s="60">
        <f>A99</f>
        <v>41364</v>
      </c>
      <c r="E117" s="26">
        <f>SUM(E115:E116)</f>
        <v>-1209266.2309259076</v>
      </c>
      <c r="F117" s="331"/>
      <c r="G117" s="202"/>
    </row>
    <row r="118" spans="1:10" s="330" customFormat="1" ht="15.75" hidden="1" thickBot="1"/>
    <row r="119" spans="1:10" s="330" customFormat="1" ht="15.75" hidden="1">
      <c r="A119" s="47" t="s">
        <v>141</v>
      </c>
      <c r="B119" s="52"/>
      <c r="C119" s="53"/>
      <c r="D119" s="54"/>
      <c r="E119" s="55"/>
      <c r="G119" s="5"/>
      <c r="H119" s="5"/>
      <c r="I119" s="24"/>
      <c r="J119" s="24"/>
    </row>
    <row r="120" spans="1:10" s="330" customFormat="1" ht="15.75" hidden="1">
      <c r="A120" s="178">
        <v>41394</v>
      </c>
      <c r="B120" s="102"/>
      <c r="C120" s="11"/>
      <c r="D120" s="103"/>
      <c r="E120" s="51"/>
      <c r="G120" s="5"/>
      <c r="H120" s="5"/>
      <c r="I120" s="24"/>
      <c r="J120" s="24"/>
    </row>
    <row r="121" spans="1:10" s="330" customFormat="1" ht="16.5" hidden="1" thickBot="1">
      <c r="A121" s="104"/>
      <c r="B121" s="105"/>
      <c r="C121" s="97" t="s">
        <v>21</v>
      </c>
      <c r="D121" s="97" t="s">
        <v>22</v>
      </c>
      <c r="E121" s="94" t="s">
        <v>23</v>
      </c>
      <c r="F121" s="331"/>
      <c r="G121" s="331"/>
      <c r="H121" s="331"/>
      <c r="I121" s="331"/>
      <c r="J121" s="331"/>
    </row>
    <row r="122" spans="1:10" s="330" customFormat="1" ht="15.75" hidden="1">
      <c r="A122" s="26" t="s">
        <v>24</v>
      </c>
      <c r="B122" s="65">
        <v>101</v>
      </c>
      <c r="C122" s="168">
        <v>8689955</v>
      </c>
      <c r="D122" s="333">
        <v>3.3950000000000001E-2</v>
      </c>
      <c r="E122" s="131">
        <v>295023.97224999999</v>
      </c>
      <c r="F122" s="331"/>
      <c r="G122" s="331"/>
      <c r="H122" s="331"/>
      <c r="I122" s="331"/>
      <c r="J122" s="331"/>
    </row>
    <row r="123" spans="1:10" s="330" customFormat="1" ht="16.5" hidden="1" thickBot="1">
      <c r="A123" s="26" t="s">
        <v>24</v>
      </c>
      <c r="B123" s="65">
        <v>111</v>
      </c>
      <c r="C123" s="168">
        <v>3665435</v>
      </c>
      <c r="D123" s="333">
        <v>3.0599999999999999E-2</v>
      </c>
      <c r="E123" s="131">
        <v>112162.311</v>
      </c>
      <c r="F123" s="331"/>
      <c r="G123" s="90">
        <f>A120</f>
        <v>41394</v>
      </c>
      <c r="H123" s="331"/>
      <c r="I123" s="331"/>
      <c r="J123" s="331"/>
    </row>
    <row r="124" spans="1:10" s="330" customFormat="1" ht="16.5" hidden="1" thickBot="1">
      <c r="A124" s="26" t="s">
        <v>24</v>
      </c>
      <c r="B124" s="65">
        <v>112</v>
      </c>
      <c r="C124" s="168">
        <v>0</v>
      </c>
      <c r="D124" s="333"/>
      <c r="E124" s="131">
        <v>0</v>
      </c>
      <c r="F124" s="331"/>
      <c r="G124" s="81" t="s">
        <v>25</v>
      </c>
      <c r="H124" s="167"/>
      <c r="I124" s="92" t="s">
        <v>18</v>
      </c>
      <c r="J124" s="92" t="s">
        <v>19</v>
      </c>
    </row>
    <row r="125" spans="1:10" s="330" customFormat="1" ht="15.75" hidden="1">
      <c r="A125" s="26" t="s">
        <v>24</v>
      </c>
      <c r="B125" s="65">
        <v>121</v>
      </c>
      <c r="C125" s="168">
        <v>375679</v>
      </c>
      <c r="D125" s="333">
        <v>2.998E-2</v>
      </c>
      <c r="E125" s="131">
        <v>11262.85642</v>
      </c>
      <c r="F125" s="331"/>
      <c r="G125" s="115" t="s">
        <v>28</v>
      </c>
      <c r="H125" s="116" t="s">
        <v>75</v>
      </c>
      <c r="I125" s="116"/>
      <c r="J125" s="66">
        <f>IF(-E137&lt;0,-E137,0)</f>
        <v>0</v>
      </c>
    </row>
    <row r="126" spans="1:10" s="330" customFormat="1" ht="15.75" hidden="1">
      <c r="A126" s="26" t="s">
        <v>24</v>
      </c>
      <c r="B126" s="65">
        <v>122</v>
      </c>
      <c r="C126" s="168">
        <v>0</v>
      </c>
      <c r="D126" s="333"/>
      <c r="E126" s="131">
        <v>0</v>
      </c>
      <c r="F126" s="331"/>
      <c r="G126" s="117" t="s">
        <v>29</v>
      </c>
      <c r="H126" s="7" t="s">
        <v>76</v>
      </c>
      <c r="I126" s="7">
        <f>IF(-E137&gt;0,-E137,0)</f>
        <v>2708.45</v>
      </c>
      <c r="J126" s="182"/>
    </row>
    <row r="127" spans="1:10" s="330" customFormat="1" ht="15.75" hidden="1">
      <c r="A127" s="26" t="s">
        <v>24</v>
      </c>
      <c r="B127" s="65">
        <v>131</v>
      </c>
      <c r="C127" s="168">
        <v>0</v>
      </c>
      <c r="D127" s="333">
        <v>5.7389999999999997E-2</v>
      </c>
      <c r="E127" s="131">
        <v>0</v>
      </c>
      <c r="F127" s="331"/>
      <c r="G127" s="117" t="s">
        <v>97</v>
      </c>
      <c r="H127" s="7" t="s">
        <v>26</v>
      </c>
      <c r="I127" s="8"/>
      <c r="J127" s="67">
        <f>-E135</f>
        <v>-418449.13967</v>
      </c>
    </row>
    <row r="128" spans="1:10" s="330" customFormat="1" ht="15.75" hidden="1">
      <c r="A128" s="26" t="s">
        <v>24</v>
      </c>
      <c r="B128" s="65">
        <v>132</v>
      </c>
      <c r="C128" s="168">
        <v>0</v>
      </c>
      <c r="D128" s="333"/>
      <c r="E128" s="131">
        <v>0</v>
      </c>
      <c r="F128" s="331"/>
      <c r="G128" s="117" t="s">
        <v>10</v>
      </c>
      <c r="H128" s="7" t="s">
        <v>17</v>
      </c>
      <c r="I128" s="7">
        <v>0</v>
      </c>
      <c r="J128" s="67"/>
    </row>
    <row r="129" spans="1:10" s="330" customFormat="1" ht="16.5" hidden="1" thickBot="1">
      <c r="A129" s="26" t="s">
        <v>24</v>
      </c>
      <c r="B129" s="65">
        <v>146</v>
      </c>
      <c r="C129" s="168">
        <v>2439162</v>
      </c>
      <c r="D129" s="196"/>
      <c r="E129" s="131">
        <v>0</v>
      </c>
      <c r="F129" s="331"/>
      <c r="G129" s="118" t="s">
        <v>98</v>
      </c>
      <c r="H129" s="111" t="s">
        <v>27</v>
      </c>
      <c r="I129" s="78">
        <f>-E117+E138</f>
        <v>415740.68966999999</v>
      </c>
      <c r="J129" s="75"/>
    </row>
    <row r="130" spans="1:10" s="330" customFormat="1" ht="15.75" hidden="1">
      <c r="A130" s="26" t="s">
        <v>151</v>
      </c>
      <c r="B130" s="65"/>
      <c r="C130" s="168"/>
      <c r="D130" s="88"/>
      <c r="E130" s="131">
        <v>0</v>
      </c>
      <c r="F130" s="331"/>
      <c r="G130" s="331"/>
      <c r="H130" s="331"/>
      <c r="I130" s="331"/>
      <c r="J130" s="286">
        <f>SUM(I125:J129)</f>
        <v>0</v>
      </c>
    </row>
    <row r="131" spans="1:10" s="330" customFormat="1" ht="15.75" hidden="1">
      <c r="A131" s="106" t="s">
        <v>143</v>
      </c>
      <c r="B131" s="65">
        <v>146</v>
      </c>
      <c r="C131" s="168"/>
      <c r="D131" s="88"/>
      <c r="E131" s="131">
        <v>0</v>
      </c>
      <c r="F131" s="331"/>
      <c r="G131" s="90"/>
      <c r="H131" s="7"/>
      <c r="I131" s="7"/>
      <c r="J131" s="7"/>
    </row>
    <row r="132" spans="1:10" s="330" customFormat="1" ht="15.75" hidden="1">
      <c r="A132" s="106" t="s">
        <v>105</v>
      </c>
      <c r="B132" s="65"/>
      <c r="C132" s="168"/>
      <c r="D132" s="88"/>
      <c r="E132" s="185">
        <v>0</v>
      </c>
      <c r="F132" s="331"/>
      <c r="G132" s="90"/>
      <c r="H132" s="7"/>
      <c r="I132" s="12"/>
      <c r="J132" s="12"/>
    </row>
    <row r="133" spans="1:10" s="330" customFormat="1" ht="16.5" hidden="1" thickBot="1">
      <c r="A133" s="26"/>
      <c r="B133" s="65"/>
      <c r="C133" s="122">
        <f>SUM(C122:C132)</f>
        <v>15170231</v>
      </c>
      <c r="D133" s="107"/>
      <c r="E133" s="169">
        <f>SUM(E122:E132)</f>
        <v>418449.13967</v>
      </c>
      <c r="F133" s="331"/>
      <c r="G133" s="90"/>
      <c r="H133" s="7"/>
      <c r="I133" s="7"/>
      <c r="J133" s="8"/>
    </row>
    <row r="134" spans="1:10" s="330" customFormat="1" ht="16.5" hidden="1" thickTop="1">
      <c r="A134" s="26"/>
      <c r="B134" s="65"/>
      <c r="C134" s="183">
        <v>15170231</v>
      </c>
      <c r="D134" s="107" t="s">
        <v>161</v>
      </c>
      <c r="E134" s="120">
        <v>0</v>
      </c>
      <c r="F134" s="331"/>
      <c r="G134" s="11"/>
      <c r="H134" s="7"/>
      <c r="I134" s="8"/>
      <c r="J134" s="7"/>
    </row>
    <row r="135" spans="1:10" s="330" customFormat="1" ht="16.5" hidden="1" thickBot="1">
      <c r="A135" s="26"/>
      <c r="B135" s="65"/>
      <c r="C135" s="188">
        <f>C134-C133</f>
        <v>0</v>
      </c>
      <c r="D135" s="107"/>
      <c r="E135" s="123">
        <f>SUM(E133:E134)</f>
        <v>418449.13967</v>
      </c>
      <c r="F135" s="331"/>
      <c r="G135" s="40" t="s">
        <v>158</v>
      </c>
      <c r="H135" s="7"/>
      <c r="I135" s="7"/>
      <c r="J135" s="7"/>
    </row>
    <row r="136" spans="1:10" s="330" customFormat="1" ht="16.5" hidden="1" thickTop="1">
      <c r="A136" s="331"/>
      <c r="B136" s="331"/>
      <c r="C136" s="331"/>
      <c r="D136" s="107" t="s">
        <v>87</v>
      </c>
      <c r="E136" s="26">
        <f>E135+E117</f>
        <v>-790817.09125590767</v>
      </c>
      <c r="F136" s="331"/>
      <c r="G136" s="8">
        <f>(E117*(D137/12))+(E135*(D137/24))</f>
        <v>-2708.4461654545416</v>
      </c>
      <c r="H136" s="394"/>
      <c r="I136" s="394"/>
      <c r="J136" s="7"/>
    </row>
    <row r="137" spans="1:10" s="330" customFormat="1" ht="15.75" hidden="1">
      <c r="A137" s="331"/>
      <c r="B137" s="331"/>
      <c r="C137" s="26" t="s">
        <v>57</v>
      </c>
      <c r="D137" s="184">
        <v>3.2500000000000001E-2</v>
      </c>
      <c r="E137" s="87">
        <f>ROUND(((E117)+(SUM(E135))/2)*(D137/12),2)</f>
        <v>-2708.45</v>
      </c>
      <c r="F137" s="331"/>
      <c r="G137" s="8"/>
      <c r="H137" s="7"/>
      <c r="I137" s="12"/>
      <c r="J137" s="12"/>
    </row>
    <row r="138" spans="1:10" s="330" customFormat="1" ht="15.75" hidden="1">
      <c r="A138" s="331"/>
      <c r="B138" s="331"/>
      <c r="C138" s="26" t="s">
        <v>1</v>
      </c>
      <c r="D138" s="60">
        <f>A120</f>
        <v>41394</v>
      </c>
      <c r="E138" s="26">
        <f>SUM(E136:E137)</f>
        <v>-793525.54125590762</v>
      </c>
      <c r="F138" s="331"/>
      <c r="G138" s="331"/>
    </row>
    <row r="139" spans="1:10" s="330" customFormat="1" ht="15.75" hidden="1" thickBot="1"/>
    <row r="140" spans="1:10" s="330" customFormat="1" ht="15.75" hidden="1">
      <c r="A140" s="47" t="s">
        <v>141</v>
      </c>
      <c r="B140" s="52"/>
      <c r="C140" s="53"/>
      <c r="D140" s="54"/>
      <c r="E140" s="55"/>
      <c r="G140" s="5"/>
      <c r="H140" s="5"/>
      <c r="I140" s="24"/>
      <c r="J140" s="24"/>
    </row>
    <row r="141" spans="1:10" s="330" customFormat="1" ht="15.75" hidden="1">
      <c r="A141" s="178">
        <v>41425</v>
      </c>
      <c r="B141" s="102"/>
      <c r="C141" s="11"/>
      <c r="D141" s="103"/>
      <c r="E141" s="51"/>
      <c r="G141" s="5"/>
      <c r="H141" s="5"/>
      <c r="I141" s="24"/>
      <c r="J141" s="24"/>
    </row>
    <row r="142" spans="1:10" s="330" customFormat="1" ht="16.5" hidden="1" thickBot="1">
      <c r="A142" s="104"/>
      <c r="B142" s="105"/>
      <c r="C142" s="97" t="s">
        <v>21</v>
      </c>
      <c r="D142" s="97" t="s">
        <v>22</v>
      </c>
      <c r="E142" s="94" t="s">
        <v>23</v>
      </c>
      <c r="F142" s="331"/>
      <c r="G142" s="331"/>
      <c r="H142" s="331"/>
      <c r="I142" s="331"/>
      <c r="J142" s="331"/>
    </row>
    <row r="143" spans="1:10" s="330" customFormat="1" ht="15.75" hidden="1">
      <c r="A143" s="26" t="s">
        <v>24</v>
      </c>
      <c r="B143" s="65">
        <v>101</v>
      </c>
      <c r="C143" s="168">
        <v>4182901</v>
      </c>
      <c r="D143" s="333">
        <v>3.3950000000000001E-2</v>
      </c>
      <c r="E143" s="131">
        <v>142009.48895</v>
      </c>
      <c r="F143" s="331"/>
      <c r="G143" s="331"/>
      <c r="H143" s="331"/>
      <c r="I143" s="331"/>
      <c r="J143" s="331"/>
    </row>
    <row r="144" spans="1:10" s="330" customFormat="1" ht="16.5" hidden="1" thickBot="1">
      <c r="A144" s="26" t="s">
        <v>24</v>
      </c>
      <c r="B144" s="65">
        <v>111</v>
      </c>
      <c r="C144" s="168">
        <v>1970725</v>
      </c>
      <c r="D144" s="333">
        <v>3.0599999999999999E-2</v>
      </c>
      <c r="E144" s="131">
        <v>60304.184999999998</v>
      </c>
      <c r="F144" s="331"/>
      <c r="G144" s="90">
        <f>A141</f>
        <v>41425</v>
      </c>
      <c r="H144" s="331"/>
      <c r="I144" s="331"/>
      <c r="J144" s="331"/>
    </row>
    <row r="145" spans="1:10" s="330" customFormat="1" ht="16.5" hidden="1" thickBot="1">
      <c r="A145" s="26" t="s">
        <v>24</v>
      </c>
      <c r="B145" s="65">
        <v>112</v>
      </c>
      <c r="C145" s="168">
        <v>0</v>
      </c>
      <c r="D145" s="333"/>
      <c r="E145" s="131">
        <v>0</v>
      </c>
      <c r="F145" s="331"/>
      <c r="G145" s="81" t="s">
        <v>25</v>
      </c>
      <c r="H145" s="167"/>
      <c r="I145" s="92" t="s">
        <v>18</v>
      </c>
      <c r="J145" s="92" t="s">
        <v>19</v>
      </c>
    </row>
    <row r="146" spans="1:10" s="330" customFormat="1" ht="15.75" hidden="1">
      <c r="A146" s="26" t="s">
        <v>24</v>
      </c>
      <c r="B146" s="65">
        <v>121</v>
      </c>
      <c r="C146" s="168">
        <v>339319</v>
      </c>
      <c r="D146" s="333">
        <v>2.998E-2</v>
      </c>
      <c r="E146" s="131">
        <v>10172.78362</v>
      </c>
      <c r="F146" s="331"/>
      <c r="G146" s="115" t="s">
        <v>28</v>
      </c>
      <c r="H146" s="116" t="s">
        <v>75</v>
      </c>
      <c r="I146" s="116"/>
      <c r="J146" s="66">
        <f>IF(-E158&lt;0,-E158,0)</f>
        <v>0</v>
      </c>
    </row>
    <row r="147" spans="1:10" s="330" customFormat="1" ht="15.75" hidden="1">
      <c r="A147" s="26" t="s">
        <v>24</v>
      </c>
      <c r="B147" s="65">
        <v>122</v>
      </c>
      <c r="C147" s="168">
        <v>0</v>
      </c>
      <c r="D147" s="333"/>
      <c r="E147" s="131">
        <v>0</v>
      </c>
      <c r="F147" s="331"/>
      <c r="G147" s="117" t="s">
        <v>29</v>
      </c>
      <c r="H147" s="7" t="s">
        <v>76</v>
      </c>
      <c r="I147" s="7">
        <f>IF(-E158&gt;0,-E158,0)</f>
        <v>1861.39</v>
      </c>
      <c r="J147" s="182"/>
    </row>
    <row r="148" spans="1:10" s="330" customFormat="1" ht="15.75" hidden="1">
      <c r="A148" s="26" t="s">
        <v>24</v>
      </c>
      <c r="B148" s="65">
        <v>131</v>
      </c>
      <c r="C148" s="168">
        <v>0</v>
      </c>
      <c r="D148" s="333">
        <v>5.7389999999999997E-2</v>
      </c>
      <c r="E148" s="131">
        <v>0</v>
      </c>
      <c r="F148" s="331"/>
      <c r="G148" s="117" t="s">
        <v>97</v>
      </c>
      <c r="H148" s="7" t="s">
        <v>26</v>
      </c>
      <c r="I148" s="8"/>
      <c r="J148" s="67">
        <f>-E156</f>
        <v>-212486.45757</v>
      </c>
    </row>
    <row r="149" spans="1:10" s="330" customFormat="1" ht="15.75" hidden="1">
      <c r="A149" s="26" t="s">
        <v>24</v>
      </c>
      <c r="B149" s="65">
        <v>132</v>
      </c>
      <c r="C149" s="168">
        <v>0</v>
      </c>
      <c r="D149" s="333"/>
      <c r="E149" s="131">
        <v>0</v>
      </c>
      <c r="F149" s="331"/>
      <c r="G149" s="117" t="s">
        <v>10</v>
      </c>
      <c r="H149" s="7" t="s">
        <v>17</v>
      </c>
      <c r="I149" s="7">
        <v>0</v>
      </c>
      <c r="J149" s="67"/>
    </row>
    <row r="150" spans="1:10" s="330" customFormat="1" ht="16.5" hidden="1" thickBot="1">
      <c r="A150" s="26" t="s">
        <v>24</v>
      </c>
      <c r="B150" s="65">
        <v>146</v>
      </c>
      <c r="C150" s="168">
        <v>1979128</v>
      </c>
      <c r="D150" s="196"/>
      <c r="E150" s="131">
        <v>0</v>
      </c>
      <c r="F150" s="331"/>
      <c r="G150" s="118" t="s">
        <v>98</v>
      </c>
      <c r="H150" s="111" t="s">
        <v>27</v>
      </c>
      <c r="I150" s="78">
        <f>-E138+E159</f>
        <v>210625.06756999996</v>
      </c>
      <c r="J150" s="75"/>
    </row>
    <row r="151" spans="1:10" s="330" customFormat="1" ht="15.75" hidden="1">
      <c r="A151" s="26" t="s">
        <v>151</v>
      </c>
      <c r="B151" s="65"/>
      <c r="C151" s="168"/>
      <c r="D151" s="88"/>
      <c r="E151" s="131">
        <v>0</v>
      </c>
      <c r="F151" s="331"/>
      <c r="G151" s="331"/>
      <c r="H151" s="331"/>
      <c r="I151" s="331"/>
      <c r="J151" s="286">
        <f>SUM(I146:J150)</f>
        <v>0</v>
      </c>
    </row>
    <row r="152" spans="1:10" s="330" customFormat="1" ht="15.75" hidden="1">
      <c r="A152" s="106" t="s">
        <v>143</v>
      </c>
      <c r="B152" s="65">
        <v>146</v>
      </c>
      <c r="C152" s="168"/>
      <c r="D152" s="88"/>
      <c r="E152" s="131">
        <v>0</v>
      </c>
      <c r="F152" s="331"/>
      <c r="G152" s="90"/>
      <c r="H152" s="7"/>
      <c r="I152" s="7"/>
      <c r="J152" s="7"/>
    </row>
    <row r="153" spans="1:10" s="330" customFormat="1" ht="15.75" hidden="1">
      <c r="A153" s="106" t="s">
        <v>105</v>
      </c>
      <c r="B153" s="65"/>
      <c r="C153" s="168"/>
      <c r="D153" s="88"/>
      <c r="E153" s="185">
        <v>0</v>
      </c>
      <c r="F153" s="331"/>
      <c r="G153" s="90"/>
      <c r="H153" s="7"/>
      <c r="I153" s="12"/>
      <c r="J153" s="12"/>
    </row>
    <row r="154" spans="1:10" s="330" customFormat="1" ht="16.5" hidden="1" thickBot="1">
      <c r="A154" s="26"/>
      <c r="B154" s="65"/>
      <c r="C154" s="122">
        <f>SUM(C143:C153)</f>
        <v>8472073</v>
      </c>
      <c r="D154" s="107"/>
      <c r="E154" s="169">
        <f>SUM(E143:E153)</f>
        <v>212486.45757</v>
      </c>
      <c r="F154" s="331"/>
      <c r="G154" s="90"/>
      <c r="H154" s="7"/>
      <c r="I154" s="7"/>
      <c r="J154" s="8"/>
    </row>
    <row r="155" spans="1:10" s="330" customFormat="1" ht="16.5" hidden="1" thickTop="1">
      <c r="A155" s="26"/>
      <c r="B155" s="65"/>
      <c r="C155" s="183">
        <v>8472073</v>
      </c>
      <c r="D155" s="107" t="s">
        <v>161</v>
      </c>
      <c r="E155" s="120">
        <v>0</v>
      </c>
      <c r="F155" s="331"/>
      <c r="G155" s="11"/>
      <c r="H155" s="7"/>
      <c r="I155" s="8"/>
      <c r="J155" s="7"/>
    </row>
    <row r="156" spans="1:10" s="330" customFormat="1" ht="16.5" hidden="1" thickBot="1">
      <c r="A156" s="26"/>
      <c r="B156" s="65"/>
      <c r="C156" s="188">
        <f>C155-C154</f>
        <v>0</v>
      </c>
      <c r="D156" s="107"/>
      <c r="E156" s="123">
        <f>SUM(E154:E155)</f>
        <v>212486.45757</v>
      </c>
      <c r="F156" s="331"/>
      <c r="G156" s="40" t="s">
        <v>158</v>
      </c>
      <c r="H156" s="7"/>
      <c r="I156" s="7"/>
      <c r="J156" s="7"/>
    </row>
    <row r="157" spans="1:10" s="330" customFormat="1" ht="16.5" hidden="1" thickTop="1">
      <c r="A157" s="331"/>
      <c r="B157" s="331"/>
      <c r="C157" s="331"/>
      <c r="D157" s="107" t="s">
        <v>87</v>
      </c>
      <c r="E157" s="26">
        <f>E156+E138</f>
        <v>-581039.08368590765</v>
      </c>
      <c r="F157" s="331"/>
      <c r="G157" s="8">
        <f>(E138*(D158/12))+(E156*(D158/24))</f>
        <v>-1861.389596275375</v>
      </c>
      <c r="H157" s="395"/>
      <c r="I157" s="395"/>
      <c r="J157" s="7"/>
    </row>
    <row r="158" spans="1:10" s="330" customFormat="1" ht="15.75" hidden="1">
      <c r="A158" s="331"/>
      <c r="B158" s="331"/>
      <c r="C158" s="26" t="s">
        <v>57</v>
      </c>
      <c r="D158" s="184">
        <v>3.2500000000000001E-2</v>
      </c>
      <c r="E158" s="87">
        <f>ROUND(((E138)+(SUM(E156))/2)*(D158/12),2)</f>
        <v>-1861.39</v>
      </c>
      <c r="F158" s="331"/>
      <c r="G158" s="8"/>
      <c r="H158" s="7"/>
      <c r="I158" s="12"/>
      <c r="J158" s="12"/>
    </row>
    <row r="159" spans="1:10" s="330" customFormat="1" ht="15.75" hidden="1">
      <c r="A159" s="331"/>
      <c r="B159" s="331"/>
      <c r="C159" s="26" t="s">
        <v>1</v>
      </c>
      <c r="D159" s="60">
        <f>A141</f>
        <v>41425</v>
      </c>
      <c r="E159" s="26">
        <f>SUM(E157:E158)</f>
        <v>-582900.47368590767</v>
      </c>
      <c r="F159" s="331"/>
      <c r="G159" s="202"/>
    </row>
    <row r="160" spans="1:10" s="330" customFormat="1" ht="15.75" hidden="1" thickBot="1"/>
    <row r="161" spans="1:10" s="330" customFormat="1" ht="15.75" hidden="1">
      <c r="A161" s="47" t="s">
        <v>141</v>
      </c>
      <c r="B161" s="52"/>
      <c r="C161" s="53"/>
      <c r="D161" s="54"/>
      <c r="E161" s="55"/>
      <c r="G161" s="5"/>
      <c r="H161" s="5"/>
      <c r="I161" s="24"/>
      <c r="J161" s="24"/>
    </row>
    <row r="162" spans="1:10" s="330" customFormat="1" ht="15.75" hidden="1">
      <c r="A162" s="178">
        <v>41426</v>
      </c>
      <c r="B162" s="102"/>
      <c r="C162" s="11"/>
      <c r="D162" s="103"/>
      <c r="E162" s="51"/>
      <c r="G162" s="5"/>
      <c r="H162" s="5"/>
      <c r="I162" s="24"/>
      <c r="J162" s="24"/>
    </row>
    <row r="163" spans="1:10" s="330" customFormat="1" ht="16.5" hidden="1" thickBot="1">
      <c r="A163" s="104"/>
      <c r="B163" s="105"/>
      <c r="C163" s="97" t="s">
        <v>21</v>
      </c>
      <c r="D163" s="97" t="s">
        <v>22</v>
      </c>
      <c r="E163" s="94" t="s">
        <v>23</v>
      </c>
      <c r="F163" s="331"/>
      <c r="G163" s="331"/>
      <c r="H163" s="331"/>
      <c r="I163" s="331"/>
      <c r="J163" s="331"/>
    </row>
    <row r="164" spans="1:10" s="330" customFormat="1" ht="15.75" hidden="1">
      <c r="A164" s="26" t="s">
        <v>24</v>
      </c>
      <c r="B164" s="65">
        <v>101</v>
      </c>
      <c r="C164" s="168">
        <v>2800295</v>
      </c>
      <c r="D164" s="333">
        <v>3.3950000000000001E-2</v>
      </c>
      <c r="E164" s="131">
        <v>95070.015249999997</v>
      </c>
      <c r="F164" s="331"/>
      <c r="G164" s="331"/>
      <c r="H164" s="331"/>
      <c r="I164" s="331"/>
      <c r="J164" s="331"/>
    </row>
    <row r="165" spans="1:10" s="330" customFormat="1" ht="16.5" hidden="1" thickBot="1">
      <c r="A165" s="26" t="s">
        <v>24</v>
      </c>
      <c r="B165" s="65">
        <v>111</v>
      </c>
      <c r="C165" s="168">
        <v>1678252</v>
      </c>
      <c r="D165" s="333">
        <v>3.0599999999999999E-2</v>
      </c>
      <c r="E165" s="131">
        <v>51354.511200000001</v>
      </c>
      <c r="F165" s="331"/>
      <c r="G165" s="90">
        <f>A162</f>
        <v>41426</v>
      </c>
      <c r="H165" s="331"/>
      <c r="I165" s="331"/>
      <c r="J165" s="331"/>
    </row>
    <row r="166" spans="1:10" s="330" customFormat="1" ht="16.5" hidden="1" thickBot="1">
      <c r="A166" s="26" t="s">
        <v>24</v>
      </c>
      <c r="B166" s="65">
        <v>112</v>
      </c>
      <c r="C166" s="168">
        <v>0</v>
      </c>
      <c r="D166" s="333"/>
      <c r="E166" s="131">
        <v>0</v>
      </c>
      <c r="F166" s="331"/>
      <c r="G166" s="81" t="s">
        <v>25</v>
      </c>
      <c r="H166" s="167"/>
      <c r="I166" s="92" t="s">
        <v>18</v>
      </c>
      <c r="J166" s="92" t="s">
        <v>19</v>
      </c>
    </row>
    <row r="167" spans="1:10" s="330" customFormat="1" ht="15.75" hidden="1">
      <c r="A167" s="26" t="s">
        <v>24</v>
      </c>
      <c r="B167" s="65">
        <v>121</v>
      </c>
      <c r="C167" s="168">
        <v>339158</v>
      </c>
      <c r="D167" s="333">
        <v>2.998E-2</v>
      </c>
      <c r="E167" s="131">
        <v>10167.956840000001</v>
      </c>
      <c r="F167" s="331"/>
      <c r="G167" s="115" t="s">
        <v>28</v>
      </c>
      <c r="H167" s="116" t="s">
        <v>75</v>
      </c>
      <c r="I167" s="116"/>
      <c r="J167" s="66">
        <f>IF(-E179&lt;0,-E179,0)</f>
        <v>0</v>
      </c>
    </row>
    <row r="168" spans="1:10" s="330" customFormat="1" ht="15.75" hidden="1">
      <c r="A168" s="26" t="s">
        <v>24</v>
      </c>
      <c r="B168" s="65">
        <v>122</v>
      </c>
      <c r="C168" s="168">
        <v>0</v>
      </c>
      <c r="D168" s="333"/>
      <c r="E168" s="131">
        <v>0</v>
      </c>
      <c r="F168" s="331"/>
      <c r="G168" s="117" t="s">
        <v>29</v>
      </c>
      <c r="H168" s="7" t="s">
        <v>76</v>
      </c>
      <c r="I168" s="7">
        <f>IF(-E179&gt;0,-E179,0)</f>
        <v>1366.64</v>
      </c>
      <c r="J168" s="182"/>
    </row>
    <row r="169" spans="1:10" s="330" customFormat="1" ht="15.75" hidden="1">
      <c r="A169" s="26" t="s">
        <v>24</v>
      </c>
      <c r="B169" s="65">
        <v>131</v>
      </c>
      <c r="C169" s="168">
        <v>0</v>
      </c>
      <c r="D169" s="333">
        <v>5.7389999999999997E-2</v>
      </c>
      <c r="E169" s="131">
        <v>0</v>
      </c>
      <c r="F169" s="331"/>
      <c r="G169" s="117" t="s">
        <v>97</v>
      </c>
      <c r="H169" s="7" t="s">
        <v>26</v>
      </c>
      <c r="I169" s="8"/>
      <c r="J169" s="67">
        <f>-E177</f>
        <v>-156592.48329</v>
      </c>
    </row>
    <row r="170" spans="1:10" s="330" customFormat="1" ht="15.75" hidden="1">
      <c r="A170" s="26" t="s">
        <v>24</v>
      </c>
      <c r="B170" s="65">
        <v>132</v>
      </c>
      <c r="C170" s="168">
        <v>0</v>
      </c>
      <c r="D170" s="333"/>
      <c r="E170" s="131">
        <v>0</v>
      </c>
      <c r="F170" s="331"/>
      <c r="G170" s="117" t="s">
        <v>10</v>
      </c>
      <c r="H170" s="7" t="s">
        <v>17</v>
      </c>
      <c r="I170" s="7">
        <v>0</v>
      </c>
      <c r="J170" s="67"/>
    </row>
    <row r="171" spans="1:10" s="330" customFormat="1" ht="16.5" hidden="1" thickBot="1">
      <c r="A171" s="26" t="s">
        <v>24</v>
      </c>
      <c r="B171" s="65">
        <v>146</v>
      </c>
      <c r="C171" s="168">
        <v>1585130</v>
      </c>
      <c r="D171" s="196"/>
      <c r="E171" s="131">
        <v>0</v>
      </c>
      <c r="F171" s="331"/>
      <c r="G171" s="118" t="s">
        <v>98</v>
      </c>
      <c r="H171" s="111" t="s">
        <v>27</v>
      </c>
      <c r="I171" s="78">
        <f>-E159+E180</f>
        <v>155225.84328999999</v>
      </c>
      <c r="J171" s="75"/>
    </row>
    <row r="172" spans="1:10" s="330" customFormat="1" ht="15.75" hidden="1">
      <c r="A172" s="26" t="s">
        <v>151</v>
      </c>
      <c r="B172" s="65"/>
      <c r="C172" s="168"/>
      <c r="D172" s="88"/>
      <c r="E172" s="131">
        <v>0</v>
      </c>
      <c r="F172" s="331"/>
      <c r="G172" s="331"/>
      <c r="H172" s="331"/>
      <c r="I172" s="331"/>
      <c r="J172" s="286">
        <f>SUM(I167:J171)</f>
        <v>0</v>
      </c>
    </row>
    <row r="173" spans="1:10" s="330" customFormat="1" ht="15.75" hidden="1">
      <c r="A173" s="106" t="s">
        <v>143</v>
      </c>
      <c r="B173" s="65">
        <v>146</v>
      </c>
      <c r="C173" s="168"/>
      <c r="D173" s="88"/>
      <c r="E173" s="131">
        <v>0</v>
      </c>
      <c r="F173" s="331"/>
      <c r="G173" s="90"/>
      <c r="H173" s="7"/>
      <c r="I173" s="7"/>
      <c r="J173" s="7"/>
    </row>
    <row r="174" spans="1:10" s="330" customFormat="1" ht="15.75" hidden="1">
      <c r="A174" s="106" t="s">
        <v>105</v>
      </c>
      <c r="B174" s="65"/>
      <c r="C174" s="168"/>
      <c r="D174" s="88"/>
      <c r="E174" s="185">
        <v>0</v>
      </c>
      <c r="F174" s="331"/>
      <c r="G174" s="90"/>
      <c r="H174" s="7"/>
      <c r="I174" s="12"/>
      <c r="J174" s="12"/>
    </row>
    <row r="175" spans="1:10" s="330" customFormat="1" ht="16.5" hidden="1" thickBot="1">
      <c r="A175" s="26"/>
      <c r="B175" s="65"/>
      <c r="C175" s="122">
        <f>SUM(C164:C174)</f>
        <v>6402835</v>
      </c>
      <c r="D175" s="107"/>
      <c r="E175" s="169">
        <f>SUM(E164:E174)</f>
        <v>156592.48329</v>
      </c>
      <c r="F175" s="331"/>
      <c r="G175" s="90"/>
      <c r="H175" s="7"/>
      <c r="I175" s="7"/>
      <c r="J175" s="8"/>
    </row>
    <row r="176" spans="1:10" s="330" customFormat="1" ht="16.5" hidden="1" thickTop="1">
      <c r="A176" s="26"/>
      <c r="B176" s="65"/>
      <c r="C176" s="183">
        <v>6402835</v>
      </c>
      <c r="D176" s="107" t="s">
        <v>161</v>
      </c>
      <c r="E176" s="120">
        <v>0</v>
      </c>
      <c r="F176" s="331"/>
      <c r="G176" s="11"/>
      <c r="H176" s="7"/>
      <c r="I176" s="8"/>
      <c r="J176" s="7"/>
    </row>
    <row r="177" spans="1:10" s="330" customFormat="1" ht="16.5" hidden="1" thickBot="1">
      <c r="A177" s="26"/>
      <c r="B177" s="65"/>
      <c r="C177" s="188">
        <f>C176-C175</f>
        <v>0</v>
      </c>
      <c r="D177" s="107"/>
      <c r="E177" s="123">
        <f>SUM(E175:E176)</f>
        <v>156592.48329</v>
      </c>
      <c r="F177" s="331"/>
      <c r="G177" s="40" t="s">
        <v>158</v>
      </c>
      <c r="H177" s="7"/>
      <c r="I177" s="7"/>
      <c r="J177" s="7"/>
    </row>
    <row r="178" spans="1:10" s="330" customFormat="1" ht="16.5" hidden="1" thickTop="1">
      <c r="A178" s="331"/>
      <c r="B178" s="331"/>
      <c r="C178" s="331"/>
      <c r="D178" s="107" t="s">
        <v>87</v>
      </c>
      <c r="E178" s="26">
        <f>E177+E159</f>
        <v>-426307.99039590766</v>
      </c>
      <c r="F178" s="331"/>
      <c r="G178" s="8">
        <f>(E159*(D179/12))+(E177*(D179/24))</f>
        <v>-1366.6364617774584</v>
      </c>
      <c r="H178" s="396"/>
      <c r="I178" s="396"/>
      <c r="J178" s="7"/>
    </row>
    <row r="179" spans="1:10" s="330" customFormat="1" ht="15.75" hidden="1">
      <c r="A179" s="331"/>
      <c r="B179" s="331"/>
      <c r="C179" s="26" t="s">
        <v>57</v>
      </c>
      <c r="D179" s="184">
        <v>3.2500000000000001E-2</v>
      </c>
      <c r="E179" s="87">
        <f>ROUND(((E159)+(SUM(E177))/2)*(D179/12),2)</f>
        <v>-1366.64</v>
      </c>
      <c r="F179" s="331"/>
      <c r="G179" s="8"/>
      <c r="H179" s="7"/>
      <c r="I179" s="12"/>
      <c r="J179" s="12"/>
    </row>
    <row r="180" spans="1:10" s="330" customFormat="1" ht="15.75" hidden="1">
      <c r="A180" s="331"/>
      <c r="B180" s="331"/>
      <c r="C180" s="26" t="s">
        <v>1</v>
      </c>
      <c r="D180" s="60">
        <v>41455</v>
      </c>
      <c r="E180" s="26">
        <f>SUM(E178:E179)</f>
        <v>-427674.63039590768</v>
      </c>
      <c r="F180" s="331"/>
      <c r="G180" s="202"/>
    </row>
    <row r="181" spans="1:10" s="330" customFormat="1" ht="15.75" hidden="1" thickBot="1"/>
    <row r="182" spans="1:10" s="330" customFormat="1" ht="15.75" hidden="1">
      <c r="A182" s="47" t="s">
        <v>141</v>
      </c>
      <c r="B182" s="52"/>
      <c r="C182" s="53"/>
      <c r="D182" s="54"/>
      <c r="E182" s="55"/>
      <c r="G182" s="5"/>
      <c r="H182" s="5"/>
      <c r="I182" s="24"/>
      <c r="J182" s="24"/>
    </row>
    <row r="183" spans="1:10" s="330" customFormat="1" ht="15.75" hidden="1">
      <c r="A183" s="178">
        <v>41456</v>
      </c>
      <c r="B183" s="102"/>
      <c r="C183" s="11"/>
      <c r="D183" s="103"/>
      <c r="E183" s="51"/>
      <c r="G183" s="5"/>
      <c r="H183" s="5"/>
      <c r="I183" s="24"/>
      <c r="J183" s="24"/>
    </row>
    <row r="184" spans="1:10" s="330" customFormat="1" ht="16.5" hidden="1" thickBot="1">
      <c r="A184" s="104"/>
      <c r="B184" s="105"/>
      <c r="C184" s="97" t="s">
        <v>21</v>
      </c>
      <c r="D184" s="97" t="s">
        <v>22</v>
      </c>
      <c r="E184" s="94" t="s">
        <v>23</v>
      </c>
      <c r="F184" s="331"/>
      <c r="G184" s="331"/>
      <c r="H184" s="331"/>
      <c r="I184" s="331"/>
      <c r="J184" s="331"/>
    </row>
    <row r="185" spans="1:10" s="330" customFormat="1" ht="15.75" hidden="1">
      <c r="A185" s="26" t="s">
        <v>24</v>
      </c>
      <c r="B185" s="65">
        <v>101</v>
      </c>
      <c r="C185" s="168">
        <v>2082299</v>
      </c>
      <c r="D185" s="333">
        <v>3.3950000000000001E-2</v>
      </c>
      <c r="E185" s="131">
        <v>70694.051050000009</v>
      </c>
      <c r="F185" s="331"/>
      <c r="G185" s="331"/>
      <c r="H185" s="331"/>
      <c r="I185" s="331"/>
      <c r="J185" s="331"/>
    </row>
    <row r="186" spans="1:10" s="330" customFormat="1" ht="16.5" hidden="1" thickBot="1">
      <c r="A186" s="26" t="s">
        <v>24</v>
      </c>
      <c r="B186" s="65">
        <v>111</v>
      </c>
      <c r="C186" s="168">
        <v>1140112</v>
      </c>
      <c r="D186" s="333">
        <v>3.0599999999999999E-2</v>
      </c>
      <c r="E186" s="131">
        <v>34887.427199999998</v>
      </c>
      <c r="F186" s="331"/>
      <c r="G186" s="90">
        <f>A183</f>
        <v>41456</v>
      </c>
      <c r="H186" s="331"/>
      <c r="I186" s="331"/>
      <c r="J186" s="331"/>
    </row>
    <row r="187" spans="1:10" s="330" customFormat="1" ht="16.5" hidden="1" thickBot="1">
      <c r="A187" s="26" t="s">
        <v>24</v>
      </c>
      <c r="B187" s="65">
        <v>112</v>
      </c>
      <c r="C187" s="168">
        <v>0</v>
      </c>
      <c r="D187" s="333"/>
      <c r="E187" s="131">
        <v>0</v>
      </c>
      <c r="F187" s="331"/>
      <c r="G187" s="81" t="s">
        <v>25</v>
      </c>
      <c r="H187" s="167"/>
      <c r="I187" s="92" t="s">
        <v>18</v>
      </c>
      <c r="J187" s="92" t="s">
        <v>19</v>
      </c>
    </row>
    <row r="188" spans="1:10" s="330" customFormat="1" ht="15.75" hidden="1">
      <c r="A188" s="26" t="s">
        <v>24</v>
      </c>
      <c r="B188" s="65">
        <v>121</v>
      </c>
      <c r="C188" s="168">
        <v>304732</v>
      </c>
      <c r="D188" s="333">
        <v>2.998E-2</v>
      </c>
      <c r="E188" s="131">
        <v>9135.8653599999998</v>
      </c>
      <c r="F188" s="331"/>
      <c r="G188" s="115" t="s">
        <v>28</v>
      </c>
      <c r="H188" s="116" t="s">
        <v>75</v>
      </c>
      <c r="I188" s="116"/>
      <c r="J188" s="66">
        <f>IF(-E200&lt;0,-E200,0)</f>
        <v>0</v>
      </c>
    </row>
    <row r="189" spans="1:10" s="330" customFormat="1" ht="15.75" hidden="1">
      <c r="A189" s="26" t="s">
        <v>24</v>
      </c>
      <c r="B189" s="65">
        <v>122</v>
      </c>
      <c r="C189" s="168">
        <v>0</v>
      </c>
      <c r="D189" s="333"/>
      <c r="E189" s="131">
        <v>0</v>
      </c>
      <c r="F189" s="331"/>
      <c r="G189" s="117" t="s">
        <v>29</v>
      </c>
      <c r="H189" s="7" t="s">
        <v>76</v>
      </c>
      <c r="I189" s="7">
        <f>IF(-E200&gt;0,-E200,0)</f>
        <v>1002.94</v>
      </c>
      <c r="J189" s="182"/>
    </row>
    <row r="190" spans="1:10" s="330" customFormat="1" ht="15.75" hidden="1">
      <c r="A190" s="26" t="s">
        <v>24</v>
      </c>
      <c r="B190" s="65">
        <v>131</v>
      </c>
      <c r="C190" s="168">
        <v>0</v>
      </c>
      <c r="D190" s="333">
        <v>5.7389999999999997E-2</v>
      </c>
      <c r="E190" s="131">
        <v>0</v>
      </c>
      <c r="F190" s="331"/>
      <c r="G190" s="117" t="s">
        <v>97</v>
      </c>
      <c r="H190" s="7" t="s">
        <v>26</v>
      </c>
      <c r="I190" s="8"/>
      <c r="J190" s="67">
        <f>-E198</f>
        <v>-114717.34361000001</v>
      </c>
    </row>
    <row r="191" spans="1:10" s="330" customFormat="1" ht="15.75" hidden="1">
      <c r="A191" s="26" t="s">
        <v>24</v>
      </c>
      <c r="B191" s="65">
        <v>132</v>
      </c>
      <c r="C191" s="168">
        <v>0</v>
      </c>
      <c r="D191" s="333"/>
      <c r="E191" s="131">
        <v>0</v>
      </c>
      <c r="F191" s="331"/>
      <c r="G191" s="117" t="s">
        <v>10</v>
      </c>
      <c r="H191" s="7" t="s">
        <v>17</v>
      </c>
      <c r="I191" s="7">
        <v>0</v>
      </c>
      <c r="J191" s="67"/>
    </row>
    <row r="192" spans="1:10" s="330" customFormat="1" ht="16.5" hidden="1" thickBot="1">
      <c r="A192" s="26" t="s">
        <v>24</v>
      </c>
      <c r="B192" s="65">
        <v>146</v>
      </c>
      <c r="C192" s="168">
        <v>1657043</v>
      </c>
      <c r="D192" s="196"/>
      <c r="E192" s="131">
        <v>0</v>
      </c>
      <c r="F192" s="331"/>
      <c r="G192" s="118" t="s">
        <v>98</v>
      </c>
      <c r="H192" s="111" t="s">
        <v>27</v>
      </c>
      <c r="I192" s="78">
        <f>-E180+E201</f>
        <v>113714.40360999998</v>
      </c>
      <c r="J192" s="75"/>
    </row>
    <row r="193" spans="1:10" s="330" customFormat="1" ht="15.75" hidden="1">
      <c r="A193" s="26" t="s">
        <v>151</v>
      </c>
      <c r="B193" s="65"/>
      <c r="C193" s="168"/>
      <c r="D193" s="88"/>
      <c r="E193" s="131">
        <v>0</v>
      </c>
      <c r="F193" s="331"/>
      <c r="G193" s="331"/>
      <c r="H193" s="331"/>
      <c r="I193" s="331"/>
      <c r="J193" s="286">
        <f>SUM(I188:J192)</f>
        <v>0</v>
      </c>
    </row>
    <row r="194" spans="1:10" s="330" customFormat="1" ht="15.75" hidden="1">
      <c r="A194" s="106" t="s">
        <v>143</v>
      </c>
      <c r="B194" s="65">
        <v>146</v>
      </c>
      <c r="C194" s="168"/>
      <c r="D194" s="88"/>
      <c r="E194" s="131">
        <v>0</v>
      </c>
      <c r="F194" s="331"/>
      <c r="G194" s="90"/>
      <c r="H194" s="7"/>
      <c r="I194" s="7"/>
      <c r="J194" s="7"/>
    </row>
    <row r="195" spans="1:10" s="330" customFormat="1" ht="15.75" hidden="1">
      <c r="A195" s="106" t="s">
        <v>105</v>
      </c>
      <c r="B195" s="65"/>
      <c r="C195" s="168"/>
      <c r="D195" s="88"/>
      <c r="E195" s="185">
        <v>0</v>
      </c>
      <c r="F195" s="331"/>
      <c r="G195" s="90"/>
      <c r="H195" s="7"/>
      <c r="I195" s="12"/>
      <c r="J195" s="12"/>
    </row>
    <row r="196" spans="1:10" s="330" customFormat="1" ht="16.5" hidden="1" thickBot="1">
      <c r="A196" s="26"/>
      <c r="B196" s="65"/>
      <c r="C196" s="122">
        <f>SUM(C185:C195)</f>
        <v>5184186</v>
      </c>
      <c r="D196" s="107"/>
      <c r="E196" s="169">
        <f>SUM(E185:E195)</f>
        <v>114717.34361000001</v>
      </c>
      <c r="F196" s="331"/>
      <c r="G196" s="90"/>
      <c r="H196" s="7"/>
      <c r="I196" s="7"/>
      <c r="J196" s="8"/>
    </row>
    <row r="197" spans="1:10" s="330" customFormat="1" ht="16.5" hidden="1" thickTop="1">
      <c r="A197" s="26"/>
      <c r="B197" s="65"/>
      <c r="C197" s="183">
        <v>5184186</v>
      </c>
      <c r="D197" s="107" t="s">
        <v>161</v>
      </c>
      <c r="E197" s="120">
        <v>0</v>
      </c>
      <c r="F197" s="331"/>
      <c r="G197" s="11"/>
      <c r="H197" s="7"/>
      <c r="I197" s="8"/>
      <c r="J197" s="7"/>
    </row>
    <row r="198" spans="1:10" s="330" customFormat="1" ht="16.5" hidden="1" thickBot="1">
      <c r="A198" s="26"/>
      <c r="B198" s="65"/>
      <c r="C198" s="188">
        <f>C197-C196</f>
        <v>0</v>
      </c>
      <c r="D198" s="107"/>
      <c r="E198" s="123">
        <f>SUM(E196:E197)</f>
        <v>114717.34361000001</v>
      </c>
      <c r="F198" s="331"/>
      <c r="G198" s="40" t="s">
        <v>158</v>
      </c>
      <c r="H198" s="7"/>
      <c r="I198" s="7"/>
      <c r="J198" s="7"/>
    </row>
    <row r="199" spans="1:10" s="330" customFormat="1" ht="16.5" hidden="1" thickTop="1">
      <c r="A199" s="331"/>
      <c r="B199" s="331"/>
      <c r="C199" s="331"/>
      <c r="D199" s="107" t="s">
        <v>87</v>
      </c>
      <c r="E199" s="26">
        <f>E198+E180</f>
        <v>-312957.28678590769</v>
      </c>
      <c r="F199" s="331"/>
      <c r="G199" s="8">
        <f>(E180*(D200/12))+(E198*(D200/24))</f>
        <v>-1002.9390545170418</v>
      </c>
      <c r="H199" s="397"/>
      <c r="I199" s="397"/>
      <c r="J199" s="7"/>
    </row>
    <row r="200" spans="1:10" s="330" customFormat="1" ht="15.75" hidden="1">
      <c r="A200" s="331"/>
      <c r="B200" s="331"/>
      <c r="C200" s="26" t="s">
        <v>57</v>
      </c>
      <c r="D200" s="184">
        <v>3.2500000000000001E-2</v>
      </c>
      <c r="E200" s="87">
        <f>ROUND(((E180)+(SUM(E198))/2)*(D200/12),2)</f>
        <v>-1002.94</v>
      </c>
      <c r="F200" s="331"/>
      <c r="G200" s="8"/>
      <c r="H200" s="7"/>
      <c r="I200" s="12"/>
      <c r="J200" s="12"/>
    </row>
    <row r="201" spans="1:10" s="330" customFormat="1" ht="15.75" hidden="1">
      <c r="A201" s="331"/>
      <c r="B201" s="331"/>
      <c r="C201" s="26" t="s">
        <v>1</v>
      </c>
      <c r="D201" s="60">
        <f>A183</f>
        <v>41456</v>
      </c>
      <c r="E201" s="26">
        <f>SUM(E199:E200)</f>
        <v>-313960.2267859077</v>
      </c>
      <c r="F201" s="331"/>
      <c r="G201" s="202"/>
    </row>
    <row r="202" spans="1:10" ht="15.75" hidden="1" thickBot="1"/>
    <row r="203" spans="1:10" s="330" customFormat="1" ht="15.75" hidden="1">
      <c r="A203" s="47" t="s">
        <v>141</v>
      </c>
      <c r="B203" s="52"/>
      <c r="C203" s="53"/>
      <c r="D203" s="54"/>
      <c r="E203" s="55"/>
      <c r="G203" s="5"/>
      <c r="H203" s="5"/>
      <c r="I203" s="24"/>
      <c r="J203" s="24"/>
    </row>
    <row r="204" spans="1:10" s="330" customFormat="1" ht="15.75" hidden="1">
      <c r="A204" s="178">
        <v>41487</v>
      </c>
      <c r="B204" s="102"/>
      <c r="C204" s="11"/>
      <c r="D204" s="103"/>
      <c r="E204" s="51"/>
      <c r="G204" s="5"/>
      <c r="H204" s="5"/>
      <c r="I204" s="24"/>
      <c r="J204" s="24"/>
    </row>
    <row r="205" spans="1:10" s="330" customFormat="1" ht="16.5" hidden="1" thickBot="1">
      <c r="A205" s="104"/>
      <c r="B205" s="105"/>
      <c r="C205" s="97" t="s">
        <v>21</v>
      </c>
      <c r="D205" s="97" t="s">
        <v>22</v>
      </c>
      <c r="E205" s="94" t="s">
        <v>23</v>
      </c>
      <c r="F205" s="331"/>
      <c r="G205" s="331"/>
      <c r="H205" s="331"/>
      <c r="I205" s="331"/>
      <c r="J205" s="331"/>
    </row>
    <row r="206" spans="1:10" s="330" customFormat="1" ht="15.75" hidden="1">
      <c r="A206" s="26" t="s">
        <v>24</v>
      </c>
      <c r="B206" s="65">
        <v>101</v>
      </c>
      <c r="C206" s="168">
        <v>2046635</v>
      </c>
      <c r="D206" s="333">
        <v>3.3950000000000001E-2</v>
      </c>
      <c r="E206" s="131">
        <v>69483.258249999999</v>
      </c>
      <c r="F206" s="331"/>
      <c r="G206" s="331"/>
      <c r="H206" s="331"/>
      <c r="I206" s="331"/>
      <c r="J206" s="331"/>
    </row>
    <row r="207" spans="1:10" s="330" customFormat="1" ht="16.5" hidden="1" thickBot="1">
      <c r="A207" s="26" t="s">
        <v>24</v>
      </c>
      <c r="B207" s="65">
        <v>111</v>
      </c>
      <c r="C207" s="168">
        <v>1287109</v>
      </c>
      <c r="D207" s="333">
        <v>3.0599999999999999E-2</v>
      </c>
      <c r="E207" s="131">
        <v>39385.535400000001</v>
      </c>
      <c r="F207" s="331"/>
      <c r="G207" s="90">
        <f>A204</f>
        <v>41487</v>
      </c>
      <c r="H207" s="331"/>
      <c r="I207" s="331"/>
      <c r="J207" s="331"/>
    </row>
    <row r="208" spans="1:10" s="330" customFormat="1" ht="16.5" hidden="1" thickBot="1">
      <c r="A208" s="26" t="s">
        <v>24</v>
      </c>
      <c r="B208" s="65">
        <v>112</v>
      </c>
      <c r="C208" s="168">
        <v>0</v>
      </c>
      <c r="D208" s="333"/>
      <c r="E208" s="131">
        <v>0</v>
      </c>
      <c r="F208" s="331"/>
      <c r="G208" s="81" t="s">
        <v>25</v>
      </c>
      <c r="H208" s="167"/>
      <c r="I208" s="92" t="s">
        <v>18</v>
      </c>
      <c r="J208" s="92" t="s">
        <v>19</v>
      </c>
    </row>
    <row r="209" spans="1:10" s="330" customFormat="1" ht="15.75" hidden="1">
      <c r="A209" s="26" t="s">
        <v>24</v>
      </c>
      <c r="B209" s="65">
        <v>121</v>
      </c>
      <c r="C209" s="168">
        <v>364418</v>
      </c>
      <c r="D209" s="333">
        <v>2.998E-2</v>
      </c>
      <c r="E209" s="131">
        <v>10925.25164</v>
      </c>
      <c r="F209" s="331"/>
      <c r="G209" s="115" t="s">
        <v>28</v>
      </c>
      <c r="H209" s="116" t="s">
        <v>75</v>
      </c>
      <c r="I209" s="116"/>
      <c r="J209" s="66">
        <f>IF(-E221&lt;0,-E221,0)</f>
        <v>0</v>
      </c>
    </row>
    <row r="210" spans="1:10" s="330" customFormat="1" ht="15.75" hidden="1">
      <c r="A210" s="26" t="s">
        <v>24</v>
      </c>
      <c r="B210" s="65">
        <v>122</v>
      </c>
      <c r="C210" s="168">
        <v>0</v>
      </c>
      <c r="D210" s="333"/>
      <c r="E210" s="131">
        <v>0</v>
      </c>
      <c r="F210" s="331"/>
      <c r="G210" s="117" t="s">
        <v>29</v>
      </c>
      <c r="H210" s="7" t="s">
        <v>76</v>
      </c>
      <c r="I210" s="7">
        <f>IF(-E221&gt;0,-E221,0)</f>
        <v>688.09</v>
      </c>
      <c r="J210" s="182"/>
    </row>
    <row r="211" spans="1:10" s="330" customFormat="1" ht="15.75" hidden="1">
      <c r="A211" s="26" t="s">
        <v>24</v>
      </c>
      <c r="B211" s="65">
        <v>131</v>
      </c>
      <c r="C211" s="168">
        <v>0</v>
      </c>
      <c r="D211" s="333">
        <v>5.7389999999999997E-2</v>
      </c>
      <c r="E211" s="131">
        <v>0</v>
      </c>
      <c r="F211" s="331"/>
      <c r="G211" s="117" t="s">
        <v>97</v>
      </c>
      <c r="H211" s="7" t="s">
        <v>26</v>
      </c>
      <c r="I211" s="8"/>
      <c r="J211" s="67">
        <f>-E219</f>
        <v>-119794.04529000001</v>
      </c>
    </row>
    <row r="212" spans="1:10" s="330" customFormat="1" ht="15.75" hidden="1">
      <c r="A212" s="26" t="s">
        <v>24</v>
      </c>
      <c r="B212" s="65">
        <v>132</v>
      </c>
      <c r="C212" s="168">
        <v>0</v>
      </c>
      <c r="D212" s="333"/>
      <c r="E212" s="131">
        <v>0</v>
      </c>
      <c r="F212" s="331"/>
      <c r="G212" s="117" t="s">
        <v>10</v>
      </c>
      <c r="H212" s="7" t="s">
        <v>17</v>
      </c>
      <c r="I212" s="7">
        <v>0</v>
      </c>
      <c r="J212" s="67"/>
    </row>
    <row r="213" spans="1:10" s="330" customFormat="1" ht="16.5" hidden="1" thickBot="1">
      <c r="A213" s="26" t="s">
        <v>24</v>
      </c>
      <c r="B213" s="65">
        <v>146</v>
      </c>
      <c r="C213" s="168">
        <v>1709756</v>
      </c>
      <c r="D213" s="196"/>
      <c r="E213" s="131">
        <v>0</v>
      </c>
      <c r="F213" s="331"/>
      <c r="G213" s="118" t="s">
        <v>98</v>
      </c>
      <c r="H213" s="111" t="s">
        <v>27</v>
      </c>
      <c r="I213" s="78">
        <f>-E201+E222</f>
        <v>119105.95529000001</v>
      </c>
      <c r="J213" s="75"/>
    </row>
    <row r="214" spans="1:10" s="330" customFormat="1" ht="15.75" hidden="1">
      <c r="A214" s="26" t="s">
        <v>151</v>
      </c>
      <c r="B214" s="65"/>
      <c r="C214" s="168"/>
      <c r="D214" s="88"/>
      <c r="E214" s="131">
        <v>0</v>
      </c>
      <c r="F214" s="331"/>
      <c r="G214" s="331"/>
      <c r="H214" s="331"/>
      <c r="I214" s="331"/>
      <c r="J214" s="286">
        <f>SUM(I209:J213)</f>
        <v>0</v>
      </c>
    </row>
    <row r="215" spans="1:10" s="330" customFormat="1" ht="15.75" hidden="1">
      <c r="A215" s="106" t="s">
        <v>143</v>
      </c>
      <c r="B215" s="65">
        <v>146</v>
      </c>
      <c r="C215" s="168"/>
      <c r="D215" s="88"/>
      <c r="E215" s="131">
        <v>0</v>
      </c>
      <c r="F215" s="331"/>
      <c r="G215" s="90"/>
      <c r="H215" s="7"/>
      <c r="I215" s="7"/>
      <c r="J215" s="7"/>
    </row>
    <row r="216" spans="1:10" s="330" customFormat="1" ht="15.75" hidden="1">
      <c r="A216" s="106" t="s">
        <v>105</v>
      </c>
      <c r="B216" s="65"/>
      <c r="C216" s="168"/>
      <c r="D216" s="88"/>
      <c r="E216" s="185">
        <v>0</v>
      </c>
      <c r="F216" s="331"/>
      <c r="G216" s="90"/>
      <c r="H216" s="7"/>
      <c r="I216" s="12"/>
      <c r="J216" s="12"/>
    </row>
    <row r="217" spans="1:10" s="330" customFormat="1" ht="16.5" hidden="1" thickBot="1">
      <c r="A217" s="26"/>
      <c r="B217" s="65"/>
      <c r="C217" s="122">
        <f>SUM(C206:C216)</f>
        <v>5407918</v>
      </c>
      <c r="D217" s="107"/>
      <c r="E217" s="169">
        <f>SUM(E206:E216)</f>
        <v>119794.04529000001</v>
      </c>
      <c r="F217" s="331"/>
      <c r="G217" s="90"/>
      <c r="H217" s="7"/>
      <c r="I217" s="7"/>
      <c r="J217" s="8"/>
    </row>
    <row r="218" spans="1:10" s="330" customFormat="1" ht="16.5" hidden="1" thickTop="1">
      <c r="A218" s="26"/>
      <c r="B218" s="65"/>
      <c r="C218" s="183">
        <v>5407918</v>
      </c>
      <c r="D218" s="107" t="s">
        <v>161</v>
      </c>
      <c r="E218" s="120">
        <v>0</v>
      </c>
      <c r="F218" s="331"/>
      <c r="G218" s="11"/>
      <c r="H218" s="7"/>
      <c r="I218" s="8"/>
      <c r="J218" s="7"/>
    </row>
    <row r="219" spans="1:10" s="330" customFormat="1" ht="16.5" hidden="1" thickBot="1">
      <c r="A219" s="26"/>
      <c r="B219" s="65"/>
      <c r="C219" s="188">
        <f>C218-C217</f>
        <v>0</v>
      </c>
      <c r="D219" s="107"/>
      <c r="E219" s="123">
        <f>SUM(E217:E218)</f>
        <v>119794.04529000001</v>
      </c>
      <c r="F219" s="331"/>
      <c r="G219" s="40" t="s">
        <v>158</v>
      </c>
      <c r="H219" s="7"/>
      <c r="I219" s="7"/>
      <c r="J219" s="7"/>
    </row>
    <row r="220" spans="1:10" s="330" customFormat="1" ht="16.5" hidden="1" thickTop="1">
      <c r="A220" s="331"/>
      <c r="B220" s="331"/>
      <c r="C220" s="331"/>
      <c r="D220" s="107" t="s">
        <v>87</v>
      </c>
      <c r="E220" s="26">
        <f>E219+E201</f>
        <v>-194166.18149590769</v>
      </c>
      <c r="F220" s="331"/>
      <c r="G220" s="8">
        <f>(E201*(D221/12))+(E219*(D221/24))</f>
        <v>-688.08784454829174</v>
      </c>
      <c r="H220" s="398"/>
      <c r="I220" s="398"/>
      <c r="J220" s="7"/>
    </row>
    <row r="221" spans="1:10" s="330" customFormat="1" ht="15.75" hidden="1">
      <c r="A221" s="331"/>
      <c r="B221" s="331"/>
      <c r="C221" s="26" t="s">
        <v>57</v>
      </c>
      <c r="D221" s="184">
        <v>3.2500000000000001E-2</v>
      </c>
      <c r="E221" s="87">
        <f>ROUND(((E201)+(SUM(E219))/2)*(D221/12),2)</f>
        <v>-688.09</v>
      </c>
      <c r="F221" s="331"/>
      <c r="G221" s="8"/>
      <c r="H221" s="7"/>
      <c r="I221" s="12"/>
      <c r="J221" s="12"/>
    </row>
    <row r="222" spans="1:10" s="330" customFormat="1" ht="15.75">
      <c r="A222" s="331"/>
      <c r="B222" s="331"/>
      <c r="C222" s="26" t="s">
        <v>1</v>
      </c>
      <c r="D222" s="60">
        <f>A204</f>
        <v>41487</v>
      </c>
      <c r="E222" s="26">
        <f>SUM(E220:E221)</f>
        <v>-194854.27149590768</v>
      </c>
      <c r="F222" s="331"/>
      <c r="G222" s="202"/>
    </row>
    <row r="223" spans="1:10" ht="15.75" thickBot="1"/>
    <row r="224" spans="1:10" s="330" customFormat="1" ht="15.75">
      <c r="A224" s="47" t="s">
        <v>141</v>
      </c>
      <c r="B224" s="52"/>
      <c r="C224" s="53"/>
      <c r="D224" s="54"/>
      <c r="E224" s="55"/>
      <c r="G224" s="5"/>
      <c r="H224" s="5"/>
      <c r="I224" s="24"/>
      <c r="J224" s="24"/>
    </row>
    <row r="225" spans="1:10" s="330" customFormat="1" ht="15.75">
      <c r="A225" s="178">
        <v>41518</v>
      </c>
      <c r="B225" s="102"/>
      <c r="C225" s="11"/>
      <c r="D225" s="103"/>
      <c r="E225" s="51"/>
      <c r="G225" s="5"/>
      <c r="H225" s="5"/>
      <c r="I225" s="24"/>
      <c r="J225" s="24"/>
    </row>
    <row r="226" spans="1:10" s="330" customFormat="1" ht="16.5" thickBot="1">
      <c r="A226" s="104"/>
      <c r="B226" s="105"/>
      <c r="C226" s="97" t="s">
        <v>21</v>
      </c>
      <c r="D226" s="97" t="s">
        <v>22</v>
      </c>
      <c r="E226" s="94" t="s">
        <v>23</v>
      </c>
      <c r="F226" s="331"/>
      <c r="G226" s="331"/>
      <c r="H226" s="331"/>
      <c r="I226" s="331"/>
      <c r="J226" s="331"/>
    </row>
    <row r="227" spans="1:10" s="330" customFormat="1" ht="15.75">
      <c r="A227" s="26" t="s">
        <v>24</v>
      </c>
      <c r="B227" s="65">
        <v>101</v>
      </c>
      <c r="C227" s="168">
        <v>2647538</v>
      </c>
      <c r="D227" s="333">
        <v>3.3950000000000001E-2</v>
      </c>
      <c r="E227" s="131">
        <v>89883.915099999998</v>
      </c>
      <c r="F227" s="331"/>
      <c r="G227" s="331"/>
      <c r="H227" s="331"/>
      <c r="I227" s="331"/>
      <c r="J227" s="331"/>
    </row>
    <row r="228" spans="1:10" s="330" customFormat="1" ht="16.5" thickBot="1">
      <c r="A228" s="26" t="s">
        <v>24</v>
      </c>
      <c r="B228" s="65">
        <v>111</v>
      </c>
      <c r="C228" s="168">
        <v>1599551</v>
      </c>
      <c r="D228" s="333">
        <v>3.0599999999999999E-2</v>
      </c>
      <c r="E228" s="131">
        <v>48946.260600000001</v>
      </c>
      <c r="F228" s="331"/>
      <c r="G228" s="90">
        <f>A225</f>
        <v>41518</v>
      </c>
      <c r="H228" s="331"/>
      <c r="I228" s="331"/>
      <c r="J228" s="331"/>
    </row>
    <row r="229" spans="1:10" s="330" customFormat="1" ht="16.5" thickBot="1">
      <c r="A229" s="26" t="s">
        <v>24</v>
      </c>
      <c r="B229" s="65">
        <v>112</v>
      </c>
      <c r="C229" s="168">
        <v>0</v>
      </c>
      <c r="D229" s="333"/>
      <c r="E229" s="131">
        <v>0</v>
      </c>
      <c r="F229" s="331"/>
      <c r="G229" s="81" t="s">
        <v>25</v>
      </c>
      <c r="H229" s="167"/>
      <c r="I229" s="92" t="s">
        <v>18</v>
      </c>
      <c r="J229" s="92" t="s">
        <v>19</v>
      </c>
    </row>
    <row r="230" spans="1:10" s="330" customFormat="1" ht="15.75">
      <c r="A230" s="26" t="s">
        <v>24</v>
      </c>
      <c r="B230" s="65">
        <v>121</v>
      </c>
      <c r="C230" s="168">
        <v>344046</v>
      </c>
      <c r="D230" s="333">
        <v>2.998E-2</v>
      </c>
      <c r="E230" s="131">
        <v>10314.49908</v>
      </c>
      <c r="F230" s="331"/>
      <c r="G230" s="115" t="s">
        <v>28</v>
      </c>
      <c r="H230" s="116" t="s">
        <v>75</v>
      </c>
      <c r="I230" s="116"/>
      <c r="J230" s="66">
        <f>IF(-E242&lt;0,-E242,0)</f>
        <v>0</v>
      </c>
    </row>
    <row r="231" spans="1:10" s="330" customFormat="1" ht="15.75">
      <c r="A231" s="26" t="s">
        <v>24</v>
      </c>
      <c r="B231" s="65">
        <v>122</v>
      </c>
      <c r="C231" s="168">
        <v>0</v>
      </c>
      <c r="D231" s="333"/>
      <c r="E231" s="131">
        <v>0</v>
      </c>
      <c r="F231" s="331"/>
      <c r="G231" s="117" t="s">
        <v>29</v>
      </c>
      <c r="H231" s="7" t="s">
        <v>76</v>
      </c>
      <c r="I231" s="7">
        <f>IF(-E242&gt;0,-E242,0)</f>
        <v>325.76</v>
      </c>
      <c r="J231" s="182"/>
    </row>
    <row r="232" spans="1:10" s="330" customFormat="1" ht="15.75">
      <c r="A232" s="26" t="s">
        <v>24</v>
      </c>
      <c r="B232" s="65">
        <v>131</v>
      </c>
      <c r="C232" s="168">
        <v>0</v>
      </c>
      <c r="D232" s="333">
        <v>5.7389999999999997E-2</v>
      </c>
      <c r="E232" s="131">
        <v>0</v>
      </c>
      <c r="F232" s="331"/>
      <c r="G232" s="117" t="s">
        <v>97</v>
      </c>
      <c r="H232" s="7" t="s">
        <v>26</v>
      </c>
      <c r="I232" s="8"/>
      <c r="J232" s="67">
        <f>-E240</f>
        <v>-149144.67478</v>
      </c>
    </row>
    <row r="233" spans="1:10" s="330" customFormat="1" ht="15.75">
      <c r="A233" s="26" t="s">
        <v>24</v>
      </c>
      <c r="B233" s="65">
        <v>132</v>
      </c>
      <c r="C233" s="168">
        <v>0</v>
      </c>
      <c r="D233" s="333"/>
      <c r="E233" s="131">
        <v>0</v>
      </c>
      <c r="F233" s="331"/>
      <c r="G233" s="117" t="s">
        <v>10</v>
      </c>
      <c r="H233" s="7" t="s">
        <v>17</v>
      </c>
      <c r="I233" s="7">
        <v>0</v>
      </c>
      <c r="J233" s="67"/>
    </row>
    <row r="234" spans="1:10" s="330" customFormat="1" ht="16.5" thickBot="1">
      <c r="A234" s="26" t="s">
        <v>24</v>
      </c>
      <c r="B234" s="65">
        <v>146</v>
      </c>
      <c r="C234" s="168">
        <v>1818699</v>
      </c>
      <c r="D234" s="196"/>
      <c r="E234" s="131">
        <v>0</v>
      </c>
      <c r="F234" s="331"/>
      <c r="G234" s="118" t="s">
        <v>98</v>
      </c>
      <c r="H234" s="111" t="s">
        <v>27</v>
      </c>
      <c r="I234" s="78">
        <f>-E222+E243</f>
        <v>148818.91477999999</v>
      </c>
      <c r="J234" s="75"/>
    </row>
    <row r="235" spans="1:10" s="330" customFormat="1" ht="15.75">
      <c r="A235" s="26" t="s">
        <v>151</v>
      </c>
      <c r="B235" s="65"/>
      <c r="C235" s="168"/>
      <c r="D235" s="88"/>
      <c r="E235" s="131">
        <v>0</v>
      </c>
      <c r="F235" s="331"/>
      <c r="G235" s="331"/>
      <c r="H235" s="331"/>
      <c r="I235" s="331"/>
      <c r="J235" s="286">
        <f>SUM(I230:J234)</f>
        <v>0</v>
      </c>
    </row>
    <row r="236" spans="1:10" s="330" customFormat="1" ht="15.75">
      <c r="A236" s="106" t="s">
        <v>143</v>
      </c>
      <c r="B236" s="65">
        <v>146</v>
      </c>
      <c r="C236" s="168"/>
      <c r="D236" s="88"/>
      <c r="E236" s="131">
        <v>0</v>
      </c>
      <c r="F236" s="331"/>
      <c r="G236" s="90"/>
      <c r="H236" s="7"/>
      <c r="I236" s="7"/>
      <c r="J236" s="7"/>
    </row>
    <row r="237" spans="1:10" s="330" customFormat="1" ht="15.75">
      <c r="A237" s="106" t="s">
        <v>105</v>
      </c>
      <c r="B237" s="65"/>
      <c r="C237" s="168"/>
      <c r="D237" s="88"/>
      <c r="E237" s="185">
        <v>0</v>
      </c>
      <c r="F237" s="331"/>
      <c r="G237" s="90"/>
      <c r="H237" s="7"/>
      <c r="I237" s="12"/>
      <c r="J237" s="12"/>
    </row>
    <row r="238" spans="1:10" s="330" customFormat="1" ht="16.5" thickBot="1">
      <c r="A238" s="26"/>
      <c r="B238" s="65"/>
      <c r="C238" s="122">
        <f>SUM(C227:C237)</f>
        <v>6409834</v>
      </c>
      <c r="D238" s="107"/>
      <c r="E238" s="169">
        <f>SUM(E227:E237)</f>
        <v>149144.67478</v>
      </c>
      <c r="F238" s="331"/>
      <c r="G238" s="90"/>
      <c r="H238" s="7"/>
      <c r="I238" s="7"/>
      <c r="J238" s="8"/>
    </row>
    <row r="239" spans="1:10" s="330" customFormat="1" ht="16.5" thickTop="1">
      <c r="A239" s="26"/>
      <c r="B239" s="65"/>
      <c r="C239" s="183">
        <v>6409834</v>
      </c>
      <c r="D239" s="107" t="s">
        <v>161</v>
      </c>
      <c r="E239" s="120">
        <v>0</v>
      </c>
      <c r="F239" s="331"/>
      <c r="G239" s="11"/>
      <c r="H239" s="7"/>
      <c r="I239" s="8"/>
      <c r="J239" s="7"/>
    </row>
    <row r="240" spans="1:10" s="330" customFormat="1" ht="16.5" thickBot="1">
      <c r="A240" s="26"/>
      <c r="B240" s="65"/>
      <c r="C240" s="188">
        <f>C239-C238</f>
        <v>0</v>
      </c>
      <c r="D240" s="107"/>
      <c r="E240" s="123">
        <f>SUM(E238:E239)</f>
        <v>149144.67478</v>
      </c>
      <c r="F240" s="331"/>
      <c r="G240" s="40" t="s">
        <v>158</v>
      </c>
      <c r="H240" s="7"/>
      <c r="I240" s="7"/>
      <c r="J240" s="7"/>
    </row>
    <row r="241" spans="1:10" s="330" customFormat="1" ht="16.5" thickTop="1">
      <c r="A241" s="331"/>
      <c r="B241" s="331"/>
      <c r="C241" s="331"/>
      <c r="D241" s="107" t="s">
        <v>87</v>
      </c>
      <c r="E241" s="26">
        <f>E240+E222</f>
        <v>-45709.596715907683</v>
      </c>
      <c r="F241" s="331"/>
      <c r="G241" s="8">
        <f>(E222*(D242/12))+(E240*(D242/24))</f>
        <v>-325.7635715368333</v>
      </c>
      <c r="H241" s="399"/>
      <c r="I241" s="399"/>
      <c r="J241" s="7"/>
    </row>
    <row r="242" spans="1:10" s="330" customFormat="1" ht="15.75">
      <c r="A242" s="331"/>
      <c r="B242" s="331"/>
      <c r="C242" s="26" t="s">
        <v>57</v>
      </c>
      <c r="D242" s="184">
        <v>3.2500000000000001E-2</v>
      </c>
      <c r="E242" s="87">
        <f>ROUND(((E222)+(SUM(E240))/2)*(D242/12),2)</f>
        <v>-325.76</v>
      </c>
      <c r="F242" s="331"/>
      <c r="G242" s="8"/>
      <c r="H242" s="7"/>
      <c r="I242" s="12"/>
      <c r="J242" s="12"/>
    </row>
    <row r="243" spans="1:10" s="330" customFormat="1" ht="15.75">
      <c r="A243" s="331"/>
      <c r="B243" s="331"/>
      <c r="C243" s="26" t="s">
        <v>1</v>
      </c>
      <c r="D243" s="60">
        <f>A225</f>
        <v>41518</v>
      </c>
      <c r="E243" s="26">
        <f>SUM(E241:E242)</f>
        <v>-46035.356715907685</v>
      </c>
      <c r="F243" s="331"/>
      <c r="G243" s="202"/>
    </row>
    <row r="244" spans="1:10" ht="15.75" thickBot="1"/>
    <row r="245" spans="1:10" s="330" customFormat="1" ht="15.75">
      <c r="A245" s="47" t="s">
        <v>141</v>
      </c>
      <c r="B245" s="52"/>
      <c r="C245" s="53"/>
      <c r="D245" s="54"/>
      <c r="E245" s="55"/>
      <c r="G245" s="5"/>
      <c r="H245" s="5"/>
      <c r="I245" s="24"/>
      <c r="J245" s="24"/>
    </row>
    <row r="246" spans="1:10" s="330" customFormat="1" ht="15.75">
      <c r="A246" s="178">
        <v>41578</v>
      </c>
      <c r="B246" s="102"/>
      <c r="C246" s="11"/>
      <c r="D246" s="103"/>
      <c r="E246" s="51"/>
      <c r="G246" s="5"/>
      <c r="H246" s="5"/>
      <c r="I246" s="24"/>
      <c r="J246" s="24"/>
    </row>
    <row r="247" spans="1:10" s="330" customFormat="1" ht="16.5" thickBot="1">
      <c r="A247" s="104"/>
      <c r="B247" s="105"/>
      <c r="C247" s="97" t="s">
        <v>21</v>
      </c>
      <c r="D247" s="97" t="s">
        <v>22</v>
      </c>
      <c r="E247" s="94" t="s">
        <v>23</v>
      </c>
      <c r="F247" s="331"/>
      <c r="G247" s="331"/>
      <c r="H247" s="331"/>
      <c r="I247" s="331"/>
      <c r="J247" s="331"/>
    </row>
    <row r="248" spans="1:10" s="330" customFormat="1" ht="15.75">
      <c r="A248" s="26" t="s">
        <v>24</v>
      </c>
      <c r="B248" s="65">
        <v>101</v>
      </c>
      <c r="C248" s="168">
        <v>9244353</v>
      </c>
      <c r="D248" s="333">
        <v>3.3950000000000001E-2</v>
      </c>
      <c r="E248" s="131">
        <v>313845.78435000003</v>
      </c>
      <c r="F248" s="331"/>
      <c r="G248" s="331"/>
      <c r="H248" s="331"/>
      <c r="I248" s="331"/>
      <c r="J248" s="331"/>
    </row>
    <row r="249" spans="1:10" s="330" customFormat="1" ht="16.5" thickBot="1">
      <c r="A249" s="26" t="s">
        <v>24</v>
      </c>
      <c r="B249" s="65">
        <v>111</v>
      </c>
      <c r="C249" s="168">
        <v>3880001</v>
      </c>
      <c r="D249" s="333">
        <v>3.0599999999999999E-2</v>
      </c>
      <c r="E249" s="131">
        <v>118728.0306</v>
      </c>
      <c r="F249" s="331"/>
      <c r="G249" s="90">
        <f>A246</f>
        <v>41578</v>
      </c>
      <c r="H249" s="331"/>
      <c r="I249" s="331"/>
      <c r="J249" s="331"/>
    </row>
    <row r="250" spans="1:10" s="330" customFormat="1" ht="16.5" thickBot="1">
      <c r="A250" s="26" t="s">
        <v>24</v>
      </c>
      <c r="B250" s="65">
        <v>112</v>
      </c>
      <c r="C250" s="168">
        <v>0</v>
      </c>
      <c r="D250" s="333"/>
      <c r="E250" s="131">
        <v>0</v>
      </c>
      <c r="F250" s="331"/>
      <c r="G250" s="81" t="s">
        <v>25</v>
      </c>
      <c r="H250" s="167"/>
      <c r="I250" s="92" t="s">
        <v>18</v>
      </c>
      <c r="J250" s="92" t="s">
        <v>19</v>
      </c>
    </row>
    <row r="251" spans="1:10" s="330" customFormat="1" ht="15.75">
      <c r="A251" s="26" t="s">
        <v>24</v>
      </c>
      <c r="B251" s="65">
        <v>121</v>
      </c>
      <c r="C251" s="168">
        <v>595792</v>
      </c>
      <c r="D251" s="333">
        <v>2.998E-2</v>
      </c>
      <c r="E251" s="131">
        <v>17861.844160000001</v>
      </c>
      <c r="F251" s="331"/>
      <c r="G251" s="115" t="s">
        <v>28</v>
      </c>
      <c r="H251" s="116" t="s">
        <v>75</v>
      </c>
      <c r="I251" s="116"/>
      <c r="J251" s="66">
        <f>IF(-E263&lt;0,-E263,0)</f>
        <v>-485.29</v>
      </c>
    </row>
    <row r="252" spans="1:10" s="330" customFormat="1" ht="15.75">
      <c r="A252" s="26" t="s">
        <v>24</v>
      </c>
      <c r="B252" s="65">
        <v>122</v>
      </c>
      <c r="C252" s="168">
        <v>0</v>
      </c>
      <c r="D252" s="333"/>
      <c r="E252" s="131">
        <v>0</v>
      </c>
      <c r="F252" s="331"/>
      <c r="G252" s="117" t="s">
        <v>29</v>
      </c>
      <c r="H252" s="7" t="s">
        <v>76</v>
      </c>
      <c r="I252" s="7">
        <f>IF(-E263&gt;0,-E263,0)</f>
        <v>0</v>
      </c>
      <c r="J252" s="182"/>
    </row>
    <row r="253" spans="1:10" s="330" customFormat="1" ht="15.75">
      <c r="A253" s="26" t="s">
        <v>24</v>
      </c>
      <c r="B253" s="65">
        <v>131</v>
      </c>
      <c r="C253" s="168">
        <v>0</v>
      </c>
      <c r="D253" s="333">
        <v>5.7389999999999997E-2</v>
      </c>
      <c r="E253" s="131">
        <v>0</v>
      </c>
      <c r="F253" s="331"/>
      <c r="G253" s="117" t="s">
        <v>97</v>
      </c>
      <c r="H253" s="7" t="s">
        <v>26</v>
      </c>
      <c r="I253" s="8"/>
      <c r="J253" s="67">
        <f>-E261</f>
        <v>-450435.65911000001</v>
      </c>
    </row>
    <row r="254" spans="1:10" s="330" customFormat="1" ht="15.75">
      <c r="A254" s="26" t="s">
        <v>24</v>
      </c>
      <c r="B254" s="65">
        <v>132</v>
      </c>
      <c r="C254" s="168">
        <v>0</v>
      </c>
      <c r="D254" s="333"/>
      <c r="E254" s="131">
        <v>0</v>
      </c>
      <c r="F254" s="331"/>
      <c r="G254" s="117" t="s">
        <v>10</v>
      </c>
      <c r="H254" s="7" t="s">
        <v>17</v>
      </c>
      <c r="I254" s="7">
        <v>0</v>
      </c>
      <c r="J254" s="67"/>
    </row>
    <row r="255" spans="1:10" s="330" customFormat="1" ht="16.5" thickBot="1">
      <c r="A255" s="26" t="s">
        <v>24</v>
      </c>
      <c r="B255" s="65">
        <v>146</v>
      </c>
      <c r="C255" s="168">
        <v>2531895</v>
      </c>
      <c r="D255" s="196"/>
      <c r="E255" s="131">
        <v>0</v>
      </c>
      <c r="F255" s="331"/>
      <c r="G255" s="118" t="s">
        <v>98</v>
      </c>
      <c r="H255" s="111" t="s">
        <v>27</v>
      </c>
      <c r="I255" s="78">
        <f>-E243+E264</f>
        <v>450920.94910999999</v>
      </c>
      <c r="J255" s="75"/>
    </row>
    <row r="256" spans="1:10" s="330" customFormat="1" ht="15.75">
      <c r="A256" s="26" t="s">
        <v>151</v>
      </c>
      <c r="B256" s="65"/>
      <c r="C256" s="168"/>
      <c r="D256" s="88"/>
      <c r="E256" s="131">
        <v>0</v>
      </c>
      <c r="F256" s="331"/>
      <c r="G256" s="331"/>
      <c r="H256" s="331"/>
      <c r="I256" s="331"/>
      <c r="J256" s="286">
        <f>SUM(I251:J255)</f>
        <v>0</v>
      </c>
    </row>
    <row r="257" spans="1:10" s="330" customFormat="1" ht="15.75">
      <c r="A257" s="106" t="s">
        <v>143</v>
      </c>
      <c r="B257" s="65">
        <v>146</v>
      </c>
      <c r="C257" s="168"/>
      <c r="D257" s="88"/>
      <c r="E257" s="131">
        <v>0</v>
      </c>
      <c r="F257" s="331"/>
      <c r="G257" s="90"/>
      <c r="H257" s="7"/>
      <c r="I257" s="7"/>
      <c r="J257" s="7"/>
    </row>
    <row r="258" spans="1:10" s="330" customFormat="1" ht="15.75">
      <c r="A258" s="106" t="s">
        <v>105</v>
      </c>
      <c r="B258" s="65"/>
      <c r="C258" s="168"/>
      <c r="D258" s="88"/>
      <c r="E258" s="185">
        <v>0</v>
      </c>
      <c r="F258" s="331"/>
      <c r="G258" s="90"/>
      <c r="H258" s="7"/>
      <c r="I258" s="12"/>
      <c r="J258" s="12"/>
    </row>
    <row r="259" spans="1:10" s="330" customFormat="1" ht="16.5" thickBot="1">
      <c r="A259" s="26"/>
      <c r="B259" s="65"/>
      <c r="C259" s="122">
        <f>SUM(C248:C258)</f>
        <v>16252041</v>
      </c>
      <c r="D259" s="107"/>
      <c r="E259" s="169">
        <f>SUM(E248:E258)</f>
        <v>450435.65911000001</v>
      </c>
      <c r="F259" s="331"/>
      <c r="G259" s="90"/>
      <c r="H259" s="7"/>
      <c r="I259" s="7"/>
      <c r="J259" s="8"/>
    </row>
    <row r="260" spans="1:10" s="330" customFormat="1" ht="16.5" thickTop="1">
      <c r="A260" s="26"/>
      <c r="B260" s="65"/>
      <c r="C260" s="183">
        <v>16252041</v>
      </c>
      <c r="D260" s="107" t="s">
        <v>161</v>
      </c>
      <c r="E260" s="120">
        <v>0</v>
      </c>
      <c r="F260" s="331"/>
      <c r="G260" s="11"/>
      <c r="H260" s="7"/>
      <c r="I260" s="8"/>
      <c r="J260" s="7"/>
    </row>
    <row r="261" spans="1:10" s="330" customFormat="1" ht="16.5" thickBot="1">
      <c r="A261" s="26"/>
      <c r="B261" s="65"/>
      <c r="C261" s="188">
        <f>C260-C259</f>
        <v>0</v>
      </c>
      <c r="D261" s="107"/>
      <c r="E261" s="123">
        <f>SUM(E259:E260)</f>
        <v>450435.65911000001</v>
      </c>
      <c r="F261" s="331"/>
      <c r="G261" s="40" t="s">
        <v>158</v>
      </c>
      <c r="H261" s="7"/>
      <c r="I261" s="7"/>
      <c r="J261" s="7"/>
    </row>
    <row r="262" spans="1:10" s="330" customFormat="1" ht="16.5" thickTop="1">
      <c r="A262" s="331"/>
      <c r="B262" s="331"/>
      <c r="C262" s="331"/>
      <c r="D262" s="107" t="s">
        <v>87</v>
      </c>
      <c r="E262" s="26">
        <f>E261+E243</f>
        <v>404400.30239409232</v>
      </c>
      <c r="F262" s="331"/>
      <c r="G262" s="8">
        <f>(E243*(D263/12))+(E261*(D263/24))</f>
        <v>485.28586393920841</v>
      </c>
      <c r="H262" s="400"/>
      <c r="I262" s="400"/>
      <c r="J262" s="7"/>
    </row>
    <row r="263" spans="1:10" s="330" customFormat="1" ht="15.75">
      <c r="A263" s="331"/>
      <c r="B263" s="331"/>
      <c r="C263" s="26" t="s">
        <v>57</v>
      </c>
      <c r="D263" s="184">
        <v>3.2500000000000001E-2</v>
      </c>
      <c r="E263" s="87">
        <f>ROUND(((E243)+(SUM(E261))/2)*(D263/12),2)</f>
        <v>485.29</v>
      </c>
      <c r="F263" s="331"/>
      <c r="G263" s="8"/>
      <c r="H263" s="7"/>
      <c r="I263" s="12"/>
      <c r="J263" s="12"/>
    </row>
    <row r="264" spans="1:10" s="330" customFormat="1" ht="15.75">
      <c r="A264" s="331"/>
      <c r="B264" s="331"/>
      <c r="C264" s="26" t="s">
        <v>1</v>
      </c>
      <c r="D264" s="60">
        <f>A246</f>
        <v>41578</v>
      </c>
      <c r="E264" s="26">
        <f>SUM(E262:E263)</f>
        <v>404885.59239409229</v>
      </c>
      <c r="F264" s="331"/>
      <c r="G264" s="202"/>
    </row>
    <row r="265" spans="1:10" s="330" customFormat="1" ht="15.75">
      <c r="A265" s="331"/>
      <c r="B265" s="331"/>
      <c r="C265" s="26"/>
      <c r="D265" s="386" t="s">
        <v>229</v>
      </c>
      <c r="E265" s="39">
        <f>-'WA Def 191010'!C109</f>
        <v>1145801.7486667871</v>
      </c>
      <c r="F265" s="331"/>
      <c r="G265" s="202"/>
    </row>
    <row r="266" spans="1:10" s="330" customFormat="1" ht="16.5" thickBot="1">
      <c r="A266" s="331"/>
      <c r="B266" s="331"/>
      <c r="C266" s="26"/>
      <c r="D266" s="386" t="s">
        <v>230</v>
      </c>
      <c r="E266" s="123">
        <f>E265+E264</f>
        <v>1550687.3410608794</v>
      </c>
      <c r="F266" s="331"/>
      <c r="G266" s="202"/>
    </row>
    <row r="267" spans="1:10" s="330" customFormat="1" ht="16.5" thickTop="1" thickBot="1"/>
    <row r="268" spans="1:10" s="330" customFormat="1" ht="15.75">
      <c r="A268" s="47" t="s">
        <v>141</v>
      </c>
      <c r="B268" s="52"/>
      <c r="C268" s="53"/>
      <c r="D268" s="54"/>
      <c r="E268" s="55"/>
      <c r="G268" s="5"/>
      <c r="H268" s="5"/>
      <c r="I268" s="24"/>
      <c r="J268" s="24"/>
    </row>
    <row r="269" spans="1:10" s="330" customFormat="1" ht="15.75">
      <c r="A269" s="178">
        <v>41608</v>
      </c>
      <c r="B269" s="102"/>
      <c r="C269" s="11"/>
      <c r="D269" s="103"/>
      <c r="E269" s="51"/>
      <c r="G269" s="5"/>
      <c r="H269" s="5"/>
      <c r="I269" s="24"/>
      <c r="J269" s="24"/>
    </row>
    <row r="270" spans="1:10" s="330" customFormat="1" ht="16.5" thickBot="1">
      <c r="A270" s="104"/>
      <c r="B270" s="105"/>
      <c r="C270" s="97" t="s">
        <v>21</v>
      </c>
      <c r="D270" s="97" t="s">
        <v>22</v>
      </c>
      <c r="E270" s="94" t="s">
        <v>23</v>
      </c>
      <c r="F270" s="331"/>
      <c r="G270" s="331"/>
      <c r="H270" s="331"/>
      <c r="I270" s="331"/>
      <c r="J270" s="331"/>
    </row>
    <row r="271" spans="1:10" s="330" customFormat="1" ht="15.75">
      <c r="A271" s="26" t="s">
        <v>24</v>
      </c>
      <c r="B271" s="65">
        <v>101</v>
      </c>
      <c r="C271" s="168">
        <v>15070678</v>
      </c>
      <c r="D271" s="333" t="s">
        <v>187</v>
      </c>
      <c r="E271" s="131">
        <v>-28858.639999999999</v>
      </c>
      <c r="F271" s="331"/>
      <c r="G271" s="331"/>
      <c r="H271" s="331"/>
      <c r="I271" s="331"/>
      <c r="J271" s="331"/>
    </row>
    <row r="272" spans="1:10" s="330" customFormat="1" ht="16.5" thickBot="1">
      <c r="A272" s="26" t="s">
        <v>24</v>
      </c>
      <c r="B272" s="65">
        <v>111</v>
      </c>
      <c r="C272" s="168">
        <v>5651303</v>
      </c>
      <c r="D272" s="333" t="s">
        <v>187</v>
      </c>
      <c r="E272" s="131">
        <v>-36478.370000000003</v>
      </c>
      <c r="F272" s="331"/>
      <c r="G272" s="90">
        <f>A269</f>
        <v>41608</v>
      </c>
      <c r="H272" s="331"/>
      <c r="I272" s="331"/>
      <c r="J272" s="331"/>
    </row>
    <row r="273" spans="1:10" s="330" customFormat="1" ht="16.5" thickBot="1">
      <c r="A273" s="26" t="s">
        <v>24</v>
      </c>
      <c r="B273" s="65">
        <v>112</v>
      </c>
      <c r="C273" s="168">
        <v>0</v>
      </c>
      <c r="D273" s="333" t="s">
        <v>187</v>
      </c>
      <c r="E273" s="131">
        <v>0</v>
      </c>
      <c r="F273" s="331"/>
      <c r="G273" s="81" t="s">
        <v>25</v>
      </c>
      <c r="H273" s="167"/>
      <c r="I273" s="92" t="s">
        <v>18</v>
      </c>
      <c r="J273" s="92" t="s">
        <v>19</v>
      </c>
    </row>
    <row r="274" spans="1:10" s="330" customFormat="1" ht="15.75">
      <c r="A274" s="26" t="s">
        <v>24</v>
      </c>
      <c r="B274" s="65">
        <v>121</v>
      </c>
      <c r="C274" s="168">
        <v>396185</v>
      </c>
      <c r="D274" s="333" t="s">
        <v>187</v>
      </c>
      <c r="E274" s="131">
        <v>-16940.830000000002</v>
      </c>
      <c r="F274" s="331"/>
      <c r="G274" s="115" t="s">
        <v>28</v>
      </c>
      <c r="H274" s="116" t="s">
        <v>75</v>
      </c>
      <c r="I274" s="410"/>
      <c r="J274" s="411">
        <f>IF(-E286&lt;0,-E286,0)</f>
        <v>-4107.12</v>
      </c>
    </row>
    <row r="275" spans="1:10" s="330" customFormat="1" ht="15.75">
      <c r="A275" s="26" t="s">
        <v>24</v>
      </c>
      <c r="B275" s="65">
        <v>122</v>
      </c>
      <c r="C275" s="168">
        <v>0</v>
      </c>
      <c r="D275" s="333" t="s">
        <v>187</v>
      </c>
      <c r="E275" s="131">
        <v>0</v>
      </c>
      <c r="F275" s="331"/>
      <c r="G275" s="117" t="s">
        <v>29</v>
      </c>
      <c r="H275" s="7" t="s">
        <v>76</v>
      </c>
      <c r="I275" s="412">
        <f>IF(-E286&gt;0,-E286,0)</f>
        <v>0</v>
      </c>
      <c r="J275" s="402"/>
    </row>
    <row r="276" spans="1:10" s="330" customFormat="1" ht="15.75">
      <c r="A276" s="26" t="s">
        <v>24</v>
      </c>
      <c r="B276" s="65">
        <v>131</v>
      </c>
      <c r="C276" s="168">
        <v>0</v>
      </c>
      <c r="D276" s="333" t="s">
        <v>187</v>
      </c>
      <c r="E276" s="131">
        <v>0</v>
      </c>
      <c r="F276" s="331"/>
      <c r="G276" s="117" t="s">
        <v>97</v>
      </c>
      <c r="H276" s="7" t="s">
        <v>26</v>
      </c>
      <c r="I276" s="412">
        <f>IF(-E284&gt;0,-E284,0)</f>
        <v>68424.86</v>
      </c>
      <c r="J276" s="402">
        <f>IF(-E284&lt;0,-E284,0)</f>
        <v>0</v>
      </c>
    </row>
    <row r="277" spans="1:10" s="330" customFormat="1" ht="15.75">
      <c r="A277" s="26" t="s">
        <v>24</v>
      </c>
      <c r="B277" s="65">
        <v>132</v>
      </c>
      <c r="C277" s="168">
        <v>0</v>
      </c>
      <c r="D277" s="333" t="s">
        <v>187</v>
      </c>
      <c r="E277" s="131">
        <v>0</v>
      </c>
      <c r="F277" s="331"/>
      <c r="G277" s="117" t="s">
        <v>10</v>
      </c>
      <c r="H277" s="7" t="s">
        <v>17</v>
      </c>
      <c r="I277" s="412"/>
      <c r="J277" s="402"/>
    </row>
    <row r="278" spans="1:10" s="330" customFormat="1" ht="16.5" thickBot="1">
      <c r="A278" s="26" t="s">
        <v>24</v>
      </c>
      <c r="B278" s="65">
        <v>146</v>
      </c>
      <c r="C278" s="168">
        <v>2936207</v>
      </c>
      <c r="D278" s="333" t="s">
        <v>187</v>
      </c>
      <c r="E278" s="131">
        <v>0</v>
      </c>
      <c r="F278" s="331"/>
      <c r="G278" s="118" t="s">
        <v>98</v>
      </c>
      <c r="H278" s="111" t="s">
        <v>27</v>
      </c>
      <c r="I278" s="404">
        <f>IF(-(E266-E287)&lt;0,0,-(E266-E287))</f>
        <v>0</v>
      </c>
      <c r="J278" s="413">
        <f>IF(-(E266-E287)&gt;0,0,-(E266-E287))</f>
        <v>-64317.739999999991</v>
      </c>
    </row>
    <row r="279" spans="1:10" s="330" customFormat="1" ht="15.75">
      <c r="A279" s="26" t="s">
        <v>151</v>
      </c>
      <c r="B279" s="65"/>
      <c r="C279" s="168"/>
      <c r="D279" s="333"/>
      <c r="E279" s="131">
        <v>0</v>
      </c>
      <c r="F279" s="331"/>
      <c r="G279" s="331"/>
      <c r="H279" s="331"/>
      <c r="I279" s="331"/>
      <c r="J279" s="286">
        <f>SUM(I274:J278)</f>
        <v>0</v>
      </c>
    </row>
    <row r="280" spans="1:10" s="330" customFormat="1" ht="15.75">
      <c r="A280" s="106" t="s">
        <v>143</v>
      </c>
      <c r="B280" s="65">
        <v>146</v>
      </c>
      <c r="C280" s="168"/>
      <c r="D280" s="88"/>
      <c r="E280" s="131">
        <v>0</v>
      </c>
      <c r="F280" s="331"/>
      <c r="G280" s="90"/>
      <c r="H280" s="7"/>
      <c r="I280" s="7"/>
      <c r="J280" s="7"/>
    </row>
    <row r="281" spans="1:10" s="330" customFormat="1" ht="15.75">
      <c r="A281" s="106" t="s">
        <v>105</v>
      </c>
      <c r="B281" s="65"/>
      <c r="C281" s="168"/>
      <c r="D281" s="88"/>
      <c r="E281" s="185">
        <v>13852.98</v>
      </c>
      <c r="F281" s="331"/>
      <c r="G281" s="90"/>
      <c r="H281" s="7"/>
      <c r="I281" s="12"/>
      <c r="J281" s="12"/>
    </row>
    <row r="282" spans="1:10" s="330" customFormat="1" ht="16.5" thickBot="1">
      <c r="A282" s="26"/>
      <c r="B282" s="65"/>
      <c r="C282" s="122">
        <f>SUM(C271:C281)</f>
        <v>24054373</v>
      </c>
      <c r="D282" s="107"/>
      <c r="E282" s="169">
        <f>SUM(E271:E281)</f>
        <v>-68424.86</v>
      </c>
      <c r="F282" s="331">
        <f>SUM(E271:E274)</f>
        <v>-82277.84</v>
      </c>
      <c r="G282" s="90"/>
      <c r="H282" s="7"/>
      <c r="I282" s="7"/>
      <c r="J282" s="8"/>
    </row>
    <row r="283" spans="1:10" s="330" customFormat="1" ht="16.5" thickTop="1">
      <c r="A283" s="26"/>
      <c r="B283" s="65"/>
      <c r="C283" s="183">
        <v>24054373</v>
      </c>
      <c r="D283" s="107" t="s">
        <v>161</v>
      </c>
      <c r="E283" s="120">
        <v>0</v>
      </c>
      <c r="F283" s="331"/>
      <c r="G283" s="11"/>
      <c r="H283" s="7"/>
      <c r="I283" s="8"/>
      <c r="J283" s="7"/>
    </row>
    <row r="284" spans="1:10" s="330" customFormat="1" ht="16.5" thickBot="1">
      <c r="A284" s="26"/>
      <c r="B284" s="65"/>
      <c r="C284" s="188">
        <f>C283-C282</f>
        <v>0</v>
      </c>
      <c r="D284" s="107"/>
      <c r="E284" s="123">
        <f>SUM(E282:E283)</f>
        <v>-68424.86</v>
      </c>
      <c r="F284" s="331"/>
      <c r="G284" s="40" t="s">
        <v>158</v>
      </c>
      <c r="H284" s="7"/>
      <c r="I284" s="7"/>
      <c r="J284" s="7"/>
    </row>
    <row r="285" spans="1:10" s="330" customFormat="1" ht="16.5" thickTop="1">
      <c r="A285" s="331"/>
      <c r="B285" s="331"/>
      <c r="C285" s="331"/>
      <c r="D285" s="107" t="s">
        <v>87</v>
      </c>
      <c r="E285" s="26">
        <f>E284+E266</f>
        <v>1482262.4810608793</v>
      </c>
      <c r="F285" s="331"/>
      <c r="G285" s="8">
        <f>(E266*(D286/12))+(E284*(D286/24))</f>
        <v>4107.1195507898819</v>
      </c>
      <c r="H285" s="408"/>
      <c r="I285" s="408"/>
      <c r="J285" s="7"/>
    </row>
    <row r="286" spans="1:10" s="330" customFormat="1" ht="15.75">
      <c r="A286" s="331"/>
      <c r="B286" s="331"/>
      <c r="C286" s="26" t="s">
        <v>57</v>
      </c>
      <c r="D286" s="184">
        <v>3.2500000000000001E-2</v>
      </c>
      <c r="E286" s="87">
        <f>ROUND(((E266)+(SUM(E284))/2)*(D286/12),2)</f>
        <v>4107.12</v>
      </c>
      <c r="F286" s="331"/>
      <c r="G286" s="8"/>
      <c r="H286" s="7"/>
      <c r="I286" s="12"/>
      <c r="J286" s="12"/>
    </row>
    <row r="287" spans="1:10" s="330" customFormat="1" ht="15.75">
      <c r="A287" s="331"/>
      <c r="B287" s="331"/>
      <c r="C287" s="26" t="s">
        <v>1</v>
      </c>
      <c r="D287" s="60">
        <f>A269</f>
        <v>41608</v>
      </c>
      <c r="E287" s="26">
        <f>SUM(E285:E286)</f>
        <v>1486369.6010608794</v>
      </c>
      <c r="F287" s="331"/>
      <c r="G287" s="202"/>
    </row>
    <row r="288" spans="1:10" s="330" customFormat="1" ht="15.75" thickBot="1"/>
    <row r="289" spans="1:10" s="330" customFormat="1" ht="15.75">
      <c r="A289" s="47" t="s">
        <v>141</v>
      </c>
      <c r="B289" s="52"/>
      <c r="C289" s="53"/>
      <c r="D289" s="54"/>
      <c r="E289" s="55"/>
      <c r="G289" s="5"/>
      <c r="H289" s="5"/>
      <c r="I289" s="24"/>
      <c r="J289" s="24"/>
    </row>
    <row r="290" spans="1:10" s="330" customFormat="1" ht="15.75">
      <c r="A290" s="178">
        <f>EOMONTH(A269,1)</f>
        <v>41639</v>
      </c>
      <c r="B290" s="102"/>
      <c r="C290" s="11"/>
      <c r="D290" s="103"/>
      <c r="E290" s="51"/>
      <c r="G290" s="5"/>
      <c r="H290" s="5"/>
      <c r="I290" s="24"/>
      <c r="J290" s="24"/>
    </row>
    <row r="291" spans="1:10" s="330" customFormat="1" ht="16.5" thickBot="1">
      <c r="A291" s="104"/>
      <c r="B291" s="105"/>
      <c r="C291" s="97" t="s">
        <v>21</v>
      </c>
      <c r="D291" s="97" t="s">
        <v>22</v>
      </c>
      <c r="E291" s="94" t="s">
        <v>23</v>
      </c>
      <c r="F291" s="331"/>
      <c r="G291" s="331"/>
      <c r="H291" s="331"/>
      <c r="I291" s="331"/>
      <c r="J291" s="331"/>
    </row>
    <row r="292" spans="1:10" s="330" customFormat="1" ht="15.75">
      <c r="A292" s="26" t="s">
        <v>24</v>
      </c>
      <c r="B292" s="65">
        <v>101</v>
      </c>
      <c r="C292" s="168">
        <f>Jan!$G$23</f>
        <v>21076213</v>
      </c>
      <c r="D292" s="333" t="s">
        <v>187</v>
      </c>
      <c r="E292" s="131">
        <v>-56737.25</v>
      </c>
      <c r="F292" s="331"/>
      <c r="G292" s="331"/>
      <c r="H292" s="331"/>
      <c r="I292" s="331"/>
      <c r="J292" s="331"/>
    </row>
    <row r="293" spans="1:10" s="330" customFormat="1" ht="16.5" thickBot="1">
      <c r="A293" s="26" t="s">
        <v>24</v>
      </c>
      <c r="B293" s="65">
        <v>111</v>
      </c>
      <c r="C293" s="168">
        <f>Jan!$G$25</f>
        <v>4326716</v>
      </c>
      <c r="D293" s="333" t="s">
        <v>187</v>
      </c>
      <c r="E293" s="131">
        <v>-36348.93</v>
      </c>
      <c r="F293" s="331"/>
      <c r="G293" s="90">
        <f>A290</f>
        <v>41639</v>
      </c>
      <c r="H293" s="331"/>
      <c r="I293" s="331"/>
      <c r="J293" s="331"/>
    </row>
    <row r="294" spans="1:10" s="330" customFormat="1" ht="16.5" thickBot="1">
      <c r="A294" s="26" t="s">
        <v>24</v>
      </c>
      <c r="B294" s="65">
        <v>112</v>
      </c>
      <c r="C294" s="168">
        <f>Jan!$G$26</f>
        <v>16283</v>
      </c>
      <c r="D294" s="333" t="s">
        <v>187</v>
      </c>
      <c r="E294" s="131">
        <v>0</v>
      </c>
      <c r="F294" s="331"/>
      <c r="G294" s="81" t="s">
        <v>25</v>
      </c>
      <c r="H294" s="167"/>
      <c r="I294" s="92" t="s">
        <v>18</v>
      </c>
      <c r="J294" s="92" t="s">
        <v>19</v>
      </c>
    </row>
    <row r="295" spans="1:10" s="330" customFormat="1" ht="15.75">
      <c r="A295" s="26" t="s">
        <v>24</v>
      </c>
      <c r="B295" s="65">
        <v>121</v>
      </c>
      <c r="C295" s="168">
        <f>Jan!$G$27</f>
        <v>3809625</v>
      </c>
      <c r="D295" s="333" t="s">
        <v>187</v>
      </c>
      <c r="E295" s="131">
        <v>-8844.16</v>
      </c>
      <c r="F295" s="331"/>
      <c r="G295" s="115" t="s">
        <v>28</v>
      </c>
      <c r="H295" s="116" t="s">
        <v>75</v>
      </c>
      <c r="I295" s="410"/>
      <c r="J295" s="411">
        <f>IF(-E307&lt;0,-E307,0)</f>
        <v>-3887.55</v>
      </c>
    </row>
    <row r="296" spans="1:10" s="330" customFormat="1" ht="15.75">
      <c r="A296" s="26" t="s">
        <v>24</v>
      </c>
      <c r="B296" s="65">
        <v>122</v>
      </c>
      <c r="C296" s="168">
        <v>0</v>
      </c>
      <c r="D296" s="333" t="s">
        <v>187</v>
      </c>
      <c r="E296" s="131">
        <v>0</v>
      </c>
      <c r="F296" s="331"/>
      <c r="G296" s="117" t="s">
        <v>29</v>
      </c>
      <c r="H296" s="7" t="s">
        <v>76</v>
      </c>
      <c r="I296" s="412">
        <f>IF(-E307&gt;0,-E307,0)</f>
        <v>0</v>
      </c>
      <c r="J296" s="402"/>
    </row>
    <row r="297" spans="1:10" s="330" customFormat="1" ht="15.75">
      <c r="A297" s="26" t="s">
        <v>24</v>
      </c>
      <c r="B297" s="65">
        <v>131</v>
      </c>
      <c r="C297" s="168">
        <f>Jan!$G$29</f>
        <v>0</v>
      </c>
      <c r="D297" s="333" t="s">
        <v>187</v>
      </c>
      <c r="E297" s="131">
        <v>0</v>
      </c>
      <c r="F297" s="331"/>
      <c r="G297" s="117" t="s">
        <v>97</v>
      </c>
      <c r="H297" s="7" t="s">
        <v>26</v>
      </c>
      <c r="I297" s="412">
        <f>IF(-E305&gt;0,-E305,0)</f>
        <v>101930.34</v>
      </c>
      <c r="J297" s="402">
        <f>IF(-E305&lt;0,-E305,0)</f>
        <v>0</v>
      </c>
    </row>
    <row r="298" spans="1:10" s="330" customFormat="1" ht="15.75">
      <c r="A298" s="26" t="s">
        <v>24</v>
      </c>
      <c r="B298" s="65">
        <v>132</v>
      </c>
      <c r="C298" s="168">
        <v>0</v>
      </c>
      <c r="D298" s="333" t="s">
        <v>187</v>
      </c>
      <c r="E298" s="131">
        <v>0</v>
      </c>
      <c r="F298" s="331"/>
      <c r="G298" s="117" t="s">
        <v>10</v>
      </c>
      <c r="H298" s="7" t="s">
        <v>17</v>
      </c>
      <c r="I298" s="412"/>
      <c r="J298" s="402"/>
    </row>
    <row r="299" spans="1:10" s="330" customFormat="1" ht="16.5" thickBot="1">
      <c r="A299" s="26" t="s">
        <v>24</v>
      </c>
      <c r="B299" s="65">
        <v>146</v>
      </c>
      <c r="C299" s="168">
        <f>Jan!$G$31</f>
        <v>3921073</v>
      </c>
      <c r="D299" s="333" t="s">
        <v>187</v>
      </c>
      <c r="E299" s="131">
        <v>0</v>
      </c>
      <c r="F299" s="331"/>
      <c r="G299" s="118" t="s">
        <v>98</v>
      </c>
      <c r="H299" s="111" t="s">
        <v>27</v>
      </c>
      <c r="I299" s="404">
        <f>IF(-(E287-E308)&lt;0,0,-(E287-E308))</f>
        <v>0</v>
      </c>
      <c r="J299" s="413">
        <f>IF(-(E287-E308)&gt;0,0,-(E287-E308))</f>
        <v>-98042.790000000037</v>
      </c>
    </row>
    <row r="300" spans="1:10" s="330" customFormat="1" ht="15.75">
      <c r="A300" s="26" t="s">
        <v>151</v>
      </c>
      <c r="B300" s="65"/>
      <c r="C300" s="168"/>
      <c r="D300" s="333"/>
      <c r="E300" s="131">
        <v>0</v>
      </c>
      <c r="F300" s="331"/>
      <c r="G300" s="331"/>
      <c r="H300" s="331"/>
      <c r="I300" s="331"/>
      <c r="J300" s="286">
        <f>SUM(I295:J299)</f>
        <v>0</v>
      </c>
    </row>
    <row r="301" spans="1:10" s="330" customFormat="1" ht="15.75">
      <c r="A301" s="106" t="s">
        <v>143</v>
      </c>
      <c r="B301" s="65">
        <v>146</v>
      </c>
      <c r="C301" s="168"/>
      <c r="D301" s="88"/>
      <c r="E301" s="131">
        <v>0</v>
      </c>
      <c r="F301" s="331"/>
      <c r="G301" s="90"/>
      <c r="H301" s="7"/>
      <c r="I301" s="7"/>
      <c r="J301" s="7"/>
    </row>
    <row r="302" spans="1:10" s="330" customFormat="1" ht="15.75">
      <c r="A302" s="106" t="s">
        <v>105</v>
      </c>
      <c r="B302" s="65"/>
      <c r="C302" s="168"/>
      <c r="D302" s="88"/>
      <c r="E302" s="185">
        <v>0</v>
      </c>
      <c r="F302" s="331"/>
      <c r="G302" s="90"/>
      <c r="H302" s="7"/>
      <c r="I302" s="12"/>
      <c r="J302" s="12"/>
    </row>
    <row r="303" spans="1:10" s="330" customFormat="1" ht="16.5" thickBot="1">
      <c r="A303" s="26"/>
      <c r="B303" s="65"/>
      <c r="C303" s="122">
        <f>SUM(C292:C302)</f>
        <v>33149910</v>
      </c>
      <c r="D303" s="107"/>
      <c r="E303" s="169">
        <f>SUM(E292:E302)</f>
        <v>-101930.34</v>
      </c>
      <c r="F303" s="331"/>
      <c r="G303" s="90"/>
      <c r="H303" s="7"/>
      <c r="I303" s="7"/>
      <c r="J303" s="8"/>
    </row>
    <row r="304" spans="1:10" s="330" customFormat="1" ht="16.5" thickTop="1">
      <c r="A304" s="26"/>
      <c r="B304" s="65"/>
      <c r="C304" s="183">
        <v>34418458</v>
      </c>
      <c r="D304" s="107" t="s">
        <v>161</v>
      </c>
      <c r="E304" s="120">
        <v>0</v>
      </c>
      <c r="F304" s="331"/>
      <c r="G304" s="11"/>
      <c r="H304" s="7"/>
      <c r="I304" s="8"/>
      <c r="J304" s="7"/>
    </row>
    <row r="305" spans="1:10" s="330" customFormat="1" ht="16.5" thickBot="1">
      <c r="A305" s="26"/>
      <c r="B305" s="65"/>
      <c r="C305" s="188">
        <f>C304-C303</f>
        <v>1268548</v>
      </c>
      <c r="D305" s="107"/>
      <c r="E305" s="123">
        <f>SUM(E303:E304)</f>
        <v>-101930.34</v>
      </c>
      <c r="F305" s="331"/>
      <c r="G305" s="40" t="s">
        <v>158</v>
      </c>
      <c r="H305" s="7"/>
      <c r="I305" s="7"/>
      <c r="J305" s="7"/>
    </row>
    <row r="306" spans="1:10" s="330" customFormat="1" ht="16.5" thickTop="1">
      <c r="A306" s="331"/>
      <c r="B306" s="331"/>
      <c r="C306" s="331"/>
      <c r="D306" s="107" t="s">
        <v>87</v>
      </c>
      <c r="E306" s="26">
        <f>E305+E287</f>
        <v>1384439.2610608793</v>
      </c>
      <c r="F306" s="331"/>
      <c r="G306" s="8">
        <f>(E287*(D307/12))+(E305*(D307/24))</f>
        <v>3887.5536674565483</v>
      </c>
      <c r="H306" s="414"/>
      <c r="I306" s="414"/>
      <c r="J306" s="7"/>
    </row>
    <row r="307" spans="1:10" s="330" customFormat="1" ht="15.75">
      <c r="A307" s="331"/>
      <c r="B307" s="331"/>
      <c r="C307" s="26" t="s">
        <v>57</v>
      </c>
      <c r="D307" s="184">
        <v>3.2500000000000001E-2</v>
      </c>
      <c r="E307" s="87">
        <f>ROUND(((E287)+(SUM(E305))/2)*(D307/12),2)</f>
        <v>3887.55</v>
      </c>
      <c r="F307" s="331"/>
      <c r="G307" s="8"/>
      <c r="H307" s="7"/>
      <c r="I307" s="12"/>
      <c r="J307" s="12"/>
    </row>
    <row r="308" spans="1:10" s="330" customFormat="1" ht="15.75">
      <c r="A308" s="331"/>
      <c r="B308" s="331"/>
      <c r="C308" s="26" t="s">
        <v>1</v>
      </c>
      <c r="D308" s="60">
        <f>A290</f>
        <v>41639</v>
      </c>
      <c r="E308" s="26">
        <f>SUM(E306:E307)</f>
        <v>1388326.8110608794</v>
      </c>
      <c r="F308" s="331"/>
      <c r="G308" s="416" t="s">
        <v>243</v>
      </c>
      <c r="H308" s="417" t="e">
        <f>_xll.Get_Balance(I308,"YTD","USD","Total","A","","001","191000","GD","WA","DL")-E308</f>
        <v>#VALUE!</v>
      </c>
      <c r="I308" s="418">
        <v>201312</v>
      </c>
    </row>
    <row r="309" spans="1:10" s="330" customFormat="1"/>
  </sheetData>
  <mergeCells count="1">
    <mergeCell ref="G67:I70"/>
  </mergeCells>
  <conditionalFormatting sqref="C28">
    <cfRule type="cellIs" dxfId="67" priority="68" operator="notEqual">
      <formula>0</formula>
    </cfRule>
  </conditionalFormatting>
  <conditionalFormatting sqref="J23">
    <cfRule type="cellIs" dxfId="66" priority="66" stopIfTrue="1" operator="equal">
      <formula>0</formula>
    </cfRule>
    <cfRule type="cellIs" dxfId="65" priority="67" stopIfTrue="1" operator="notEqual">
      <formula>0</formula>
    </cfRule>
  </conditionalFormatting>
  <conditionalFormatting sqref="C51">
    <cfRule type="cellIs" dxfId="64" priority="65" operator="notEqual">
      <formula>0</formula>
    </cfRule>
  </conditionalFormatting>
  <conditionalFormatting sqref="J46">
    <cfRule type="cellIs" dxfId="63" priority="63" stopIfTrue="1" operator="equal">
      <formula>0</formula>
    </cfRule>
    <cfRule type="cellIs" dxfId="62" priority="64" stopIfTrue="1" operator="notEqual">
      <formula>0</formula>
    </cfRule>
  </conditionalFormatting>
  <conditionalFormatting sqref="J46">
    <cfRule type="cellIs" dxfId="61" priority="61" stopIfTrue="1" operator="equal">
      <formula>0</formula>
    </cfRule>
    <cfRule type="cellIs" dxfId="60" priority="62" stopIfTrue="1" operator="notEqual">
      <formula>0</formula>
    </cfRule>
  </conditionalFormatting>
  <conditionalFormatting sqref="C72">
    <cfRule type="cellIs" dxfId="59" priority="60" operator="notEqual">
      <formula>0</formula>
    </cfRule>
  </conditionalFormatting>
  <conditionalFormatting sqref="J67">
    <cfRule type="cellIs" dxfId="58" priority="58" stopIfTrue="1" operator="equal">
      <formula>0</formula>
    </cfRule>
    <cfRule type="cellIs" dxfId="57" priority="59" stopIfTrue="1" operator="notEqual">
      <formula>0</formula>
    </cfRule>
  </conditionalFormatting>
  <conditionalFormatting sqref="J67">
    <cfRule type="cellIs" dxfId="56" priority="56" stopIfTrue="1" operator="equal">
      <formula>0</formula>
    </cfRule>
    <cfRule type="cellIs" dxfId="55" priority="57" stopIfTrue="1" operator="notEqual">
      <formula>0</formula>
    </cfRule>
  </conditionalFormatting>
  <conditionalFormatting sqref="C93">
    <cfRule type="cellIs" dxfId="54" priority="55" operator="notEqual">
      <formula>0</formula>
    </cfRule>
  </conditionalFormatting>
  <conditionalFormatting sqref="J88">
    <cfRule type="cellIs" dxfId="53" priority="53" stopIfTrue="1" operator="equal">
      <formula>0</formula>
    </cfRule>
    <cfRule type="cellIs" dxfId="52" priority="54" stopIfTrue="1" operator="notEqual">
      <formula>0</formula>
    </cfRule>
  </conditionalFormatting>
  <conditionalFormatting sqref="J88">
    <cfRule type="cellIs" dxfId="51" priority="51" stopIfTrue="1" operator="equal">
      <formula>0</formula>
    </cfRule>
    <cfRule type="cellIs" dxfId="50" priority="52" stopIfTrue="1" operator="notEqual">
      <formula>0</formula>
    </cfRule>
  </conditionalFormatting>
  <conditionalFormatting sqref="C114">
    <cfRule type="cellIs" dxfId="49" priority="50" operator="notEqual">
      <formula>0</formula>
    </cfRule>
  </conditionalFormatting>
  <conditionalFormatting sqref="J109">
    <cfRule type="cellIs" dxfId="48" priority="48" stopIfTrue="1" operator="equal">
      <formula>0</formula>
    </cfRule>
    <cfRule type="cellIs" dxfId="47" priority="49" stopIfTrue="1" operator="notEqual">
      <formula>0</formula>
    </cfRule>
  </conditionalFormatting>
  <conditionalFormatting sqref="J109">
    <cfRule type="cellIs" dxfId="46" priority="46" stopIfTrue="1" operator="equal">
      <formula>0</formula>
    </cfRule>
    <cfRule type="cellIs" dxfId="45" priority="47" stopIfTrue="1" operator="notEqual">
      <formula>0</formula>
    </cfRule>
  </conditionalFormatting>
  <conditionalFormatting sqref="C135">
    <cfRule type="cellIs" dxfId="44" priority="45" operator="notEqual">
      <formula>0</formula>
    </cfRule>
  </conditionalFormatting>
  <conditionalFormatting sqref="J130">
    <cfRule type="cellIs" dxfId="43" priority="43" stopIfTrue="1" operator="equal">
      <formula>0</formula>
    </cfRule>
    <cfRule type="cellIs" dxfId="42" priority="44" stopIfTrue="1" operator="notEqual">
      <formula>0</formula>
    </cfRule>
  </conditionalFormatting>
  <conditionalFormatting sqref="J130">
    <cfRule type="cellIs" dxfId="41" priority="41" stopIfTrue="1" operator="equal">
      <formula>0</formula>
    </cfRule>
    <cfRule type="cellIs" dxfId="40" priority="42" stopIfTrue="1" operator="notEqual">
      <formula>0</formula>
    </cfRule>
  </conditionalFormatting>
  <conditionalFormatting sqref="C156">
    <cfRule type="cellIs" dxfId="39" priority="40" operator="notEqual">
      <formula>0</formula>
    </cfRule>
  </conditionalFormatting>
  <conditionalFormatting sqref="J151">
    <cfRule type="cellIs" dxfId="38" priority="38" stopIfTrue="1" operator="equal">
      <formula>0</formula>
    </cfRule>
    <cfRule type="cellIs" dxfId="37" priority="39" stopIfTrue="1" operator="notEqual">
      <formula>0</formula>
    </cfRule>
  </conditionalFormatting>
  <conditionalFormatting sqref="J151">
    <cfRule type="cellIs" dxfId="36" priority="36" stopIfTrue="1" operator="equal">
      <formula>0</formula>
    </cfRule>
    <cfRule type="cellIs" dxfId="35" priority="37" stopIfTrue="1" operator="notEqual">
      <formula>0</formula>
    </cfRule>
  </conditionalFormatting>
  <conditionalFormatting sqref="C177">
    <cfRule type="cellIs" dxfId="34" priority="35" operator="notEqual">
      <formula>0</formula>
    </cfRule>
  </conditionalFormatting>
  <conditionalFormatting sqref="J172">
    <cfRule type="cellIs" dxfId="33" priority="33" stopIfTrue="1" operator="equal">
      <formula>0</formula>
    </cfRule>
    <cfRule type="cellIs" dxfId="32" priority="34" stopIfTrue="1" operator="notEqual">
      <formula>0</formula>
    </cfRule>
  </conditionalFormatting>
  <conditionalFormatting sqref="J172">
    <cfRule type="cellIs" dxfId="31" priority="31" stopIfTrue="1" operator="equal">
      <formula>0</formula>
    </cfRule>
    <cfRule type="cellIs" dxfId="30" priority="32" stopIfTrue="1" operator="notEqual">
      <formula>0</formula>
    </cfRule>
  </conditionalFormatting>
  <conditionalFormatting sqref="C198">
    <cfRule type="cellIs" dxfId="29" priority="30" operator="notEqual">
      <formula>0</formula>
    </cfRule>
  </conditionalFormatting>
  <conditionalFormatting sqref="J193">
    <cfRule type="cellIs" dxfId="28" priority="28" stopIfTrue="1" operator="equal">
      <formula>0</formula>
    </cfRule>
    <cfRule type="cellIs" dxfId="27" priority="29" stopIfTrue="1" operator="notEqual">
      <formula>0</formula>
    </cfRule>
  </conditionalFormatting>
  <conditionalFormatting sqref="J193">
    <cfRule type="cellIs" dxfId="26" priority="26" stopIfTrue="1" operator="equal">
      <formula>0</formula>
    </cfRule>
    <cfRule type="cellIs" dxfId="25" priority="27" stopIfTrue="1" operator="notEqual">
      <formula>0</formula>
    </cfRule>
  </conditionalFormatting>
  <conditionalFormatting sqref="C219">
    <cfRule type="cellIs" dxfId="24" priority="25" operator="notEqual">
      <formula>0</formula>
    </cfRule>
  </conditionalFormatting>
  <conditionalFormatting sqref="J214">
    <cfRule type="cellIs" dxfId="23" priority="23" stopIfTrue="1" operator="equal">
      <formula>0</formula>
    </cfRule>
    <cfRule type="cellIs" dxfId="22" priority="24" stopIfTrue="1" operator="notEqual">
      <formula>0</formula>
    </cfRule>
  </conditionalFormatting>
  <conditionalFormatting sqref="J214">
    <cfRule type="cellIs" dxfId="21" priority="21" stopIfTrue="1" operator="equal">
      <formula>0</formula>
    </cfRule>
    <cfRule type="cellIs" dxfId="20" priority="22" stopIfTrue="1" operator="notEqual">
      <formula>0</formula>
    </cfRule>
  </conditionalFormatting>
  <conditionalFormatting sqref="C240">
    <cfRule type="cellIs" dxfId="19" priority="20" operator="notEqual">
      <formula>0</formula>
    </cfRule>
  </conditionalFormatting>
  <conditionalFormatting sqref="J235">
    <cfRule type="cellIs" dxfId="18" priority="18" stopIfTrue="1" operator="equal">
      <formula>0</formula>
    </cfRule>
    <cfRule type="cellIs" dxfId="17" priority="19" stopIfTrue="1" operator="notEqual">
      <formula>0</formula>
    </cfRule>
  </conditionalFormatting>
  <conditionalFormatting sqref="J235">
    <cfRule type="cellIs" dxfId="16" priority="16" stopIfTrue="1" operator="equal">
      <formula>0</formula>
    </cfRule>
    <cfRule type="cellIs" dxfId="15" priority="17" stopIfTrue="1" operator="notEqual">
      <formula>0</formula>
    </cfRule>
  </conditionalFormatting>
  <conditionalFormatting sqref="C261">
    <cfRule type="cellIs" dxfId="14" priority="15" operator="notEqual">
      <formula>0</formula>
    </cfRule>
  </conditionalFormatting>
  <conditionalFormatting sqref="J256">
    <cfRule type="cellIs" dxfId="13" priority="13" stopIfTrue="1" operator="equal">
      <formula>0</formula>
    </cfRule>
    <cfRule type="cellIs" dxfId="12" priority="14" stopIfTrue="1" operator="notEqual">
      <formula>0</formula>
    </cfRule>
  </conditionalFormatting>
  <conditionalFormatting sqref="J256">
    <cfRule type="cellIs" dxfId="11" priority="11" stopIfTrue="1" operator="equal">
      <formula>0</formula>
    </cfRule>
    <cfRule type="cellIs" dxfId="10" priority="12" stopIfTrue="1" operator="notEqual">
      <formula>0</formula>
    </cfRule>
  </conditionalFormatting>
  <conditionalFormatting sqref="C284">
    <cfRule type="cellIs" dxfId="9" priority="10" operator="notEqual">
      <formula>0</formula>
    </cfRule>
  </conditionalFormatting>
  <conditionalFormatting sqref="J279">
    <cfRule type="cellIs" dxfId="8" priority="8" stopIfTrue="1" operator="equal">
      <formula>0</formula>
    </cfRule>
    <cfRule type="cellIs" dxfId="7" priority="9" stopIfTrue="1" operator="notEqual">
      <formula>0</formula>
    </cfRule>
  </conditionalFormatting>
  <conditionalFormatting sqref="J279">
    <cfRule type="cellIs" dxfId="6" priority="6" stopIfTrue="1" operator="equal">
      <formula>0</formula>
    </cfRule>
    <cfRule type="cellIs" dxfId="5" priority="7" stopIfTrue="1" operator="notEqual">
      <formula>0</formula>
    </cfRule>
  </conditionalFormatting>
  <conditionalFormatting sqref="C305">
    <cfRule type="cellIs" dxfId="4" priority="5" operator="notEqual">
      <formula>0</formula>
    </cfRule>
  </conditionalFormatting>
  <conditionalFormatting sqref="J300">
    <cfRule type="cellIs" dxfId="3" priority="3" stopIfTrue="1" operator="equal">
      <formula>0</formula>
    </cfRule>
    <cfRule type="cellIs" dxfId="2" priority="4" stopIfTrue="1" operator="notEqual">
      <formula>0</formula>
    </cfRule>
  </conditionalFormatting>
  <conditionalFormatting sqref="J300">
    <cfRule type="cellIs" dxfId="1" priority="1" stopIfTrue="1" operator="equal">
      <formula>0</formula>
    </cfRule>
    <cfRule type="cellIs" dxfId="0" priority="2" stopIfTrue="1" operator="notEqual">
      <formula>0</formula>
    </cfRule>
  </conditionalFormatting>
  <printOptions gridLinesSet="0"/>
  <pageMargins left="0.5" right="0.25" top="0.92" bottom="0.5" header="0.25" footer="0.25"/>
  <pageSetup scale="45" fitToHeight="2" orientation="portrait" horizontalDpi="300" verticalDpi="300" r:id="rId1"/>
  <headerFooter alignWithMargins="0">
    <oddHeader>&amp;L&amp;12Prior Period Unrecovered Gas Costs
Washington
191000</oddHeader>
    <oddFooter>&amp;L&amp;F&amp;C&amp;A&amp;R&amp;D  &amp;T</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A1:W27"/>
  <sheetViews>
    <sheetView zoomScale="85" zoomScaleNormal="85" workbookViewId="0">
      <selection activeCell="M24" sqref="M24"/>
    </sheetView>
  </sheetViews>
  <sheetFormatPr defaultColWidth="8.85546875" defaultRowHeight="15"/>
  <cols>
    <col min="1" max="1" width="9.140625" style="454" customWidth="1"/>
    <col min="2" max="2" width="8.85546875" style="454"/>
    <col min="3" max="3" width="1.7109375" style="455" customWidth="1"/>
    <col min="4" max="4" width="12.140625" style="455" customWidth="1"/>
    <col min="5" max="5" width="13.7109375" style="454" customWidth="1"/>
    <col min="6" max="7" width="14.28515625" style="485" customWidth="1"/>
    <col min="8" max="8" width="14.7109375" style="454" bestFit="1" customWidth="1"/>
    <col min="9" max="9" width="12.140625" style="454" customWidth="1"/>
    <col min="10" max="10" width="15.28515625" style="485" bestFit="1" customWidth="1"/>
    <col min="11" max="11" width="1.7109375" style="455" customWidth="1"/>
    <col min="12" max="12" width="13.5703125" style="454" customWidth="1"/>
    <col min="13" max="13" width="13.85546875" style="454" bestFit="1" customWidth="1"/>
    <col min="14" max="16" width="8.85546875" style="454"/>
    <col min="17" max="17" width="12.7109375" style="454" customWidth="1"/>
    <col min="18" max="19" width="13.140625" style="454" bestFit="1" customWidth="1"/>
    <col min="20" max="16384" width="8.85546875" style="454"/>
  </cols>
  <sheetData>
    <row r="1" spans="1:15" s="449" customFormat="1" ht="15.75">
      <c r="A1" s="447" t="s">
        <v>13</v>
      </c>
      <c r="B1" s="448"/>
      <c r="C1" s="448"/>
      <c r="D1" s="448"/>
      <c r="E1" s="448"/>
      <c r="F1" s="448"/>
      <c r="G1" s="448"/>
      <c r="H1" s="448"/>
    </row>
    <row r="2" spans="1:15" s="449" customFormat="1" ht="15.75">
      <c r="A2" s="447" t="s">
        <v>0</v>
      </c>
      <c r="B2" s="448"/>
      <c r="C2" s="448"/>
      <c r="D2" s="448"/>
      <c r="E2" s="448"/>
      <c r="F2" s="448"/>
      <c r="G2" s="448"/>
      <c r="H2" s="448"/>
    </row>
    <row r="3" spans="1:15" s="449" customFormat="1" ht="15.75">
      <c r="A3" s="447" t="s">
        <v>338</v>
      </c>
      <c r="B3" s="448"/>
      <c r="C3" s="448"/>
      <c r="D3" s="448"/>
      <c r="E3" s="448"/>
      <c r="F3" s="448"/>
      <c r="G3" s="448"/>
      <c r="H3" s="448"/>
    </row>
    <row r="4" spans="1:15" s="452" customFormat="1" ht="18.75" thickBot="1">
      <c r="A4" s="450"/>
      <c r="B4" s="451"/>
      <c r="C4" s="451"/>
      <c r="D4" s="451"/>
      <c r="E4" s="451"/>
      <c r="F4" s="451"/>
      <c r="G4" s="451"/>
      <c r="H4" s="451"/>
    </row>
    <row r="5" spans="1:15" s="457" customFormat="1" ht="16.5" thickBot="1">
      <c r="A5" s="453"/>
      <c r="B5" s="454"/>
      <c r="C5" s="455"/>
      <c r="D5" s="521" t="s">
        <v>339</v>
      </c>
      <c r="E5" s="522"/>
      <c r="F5" s="522"/>
      <c r="G5" s="522"/>
      <c r="H5" s="522"/>
      <c r="I5" s="522"/>
      <c r="J5" s="523"/>
      <c r="K5" s="456"/>
      <c r="L5" s="454"/>
      <c r="M5" s="454"/>
      <c r="N5" s="454"/>
      <c r="O5" s="454"/>
    </row>
    <row r="6" spans="1:15" s="457" customFormat="1" ht="56.45" customHeight="1">
      <c r="A6" s="458" t="s">
        <v>319</v>
      </c>
      <c r="B6" s="459" t="s">
        <v>252</v>
      </c>
      <c r="C6" s="460"/>
      <c r="D6" s="461" t="s">
        <v>320</v>
      </c>
      <c r="E6" s="461" t="s">
        <v>343</v>
      </c>
      <c r="F6" s="461" t="s">
        <v>249</v>
      </c>
      <c r="G6" s="461" t="s">
        <v>3</v>
      </c>
      <c r="H6" s="461" t="s">
        <v>2</v>
      </c>
      <c r="I6" s="461" t="s">
        <v>4</v>
      </c>
      <c r="J6" s="461" t="s">
        <v>56</v>
      </c>
      <c r="K6" s="460"/>
      <c r="L6" s="462" t="s">
        <v>321</v>
      </c>
      <c r="M6" s="462" t="s">
        <v>322</v>
      </c>
    </row>
    <row r="7" spans="1:15" s="457" customFormat="1">
      <c r="A7" s="463" t="s">
        <v>323</v>
      </c>
      <c r="B7" s="467">
        <v>3.5000000000000003E-2</v>
      </c>
      <c r="C7" s="468"/>
      <c r="D7" s="469">
        <v>0</v>
      </c>
      <c r="E7" s="469">
        <v>0</v>
      </c>
      <c r="F7" s="464">
        <v>-6818269.0499999998</v>
      </c>
      <c r="G7" s="469">
        <v>-2913519.2274390003</v>
      </c>
      <c r="H7" s="469">
        <v>-491376.17008000147</v>
      </c>
      <c r="I7" s="464">
        <f>ROUND(((F7)*(B7/12))+((SUM(G7:H7)/2)*(B7/12)),2)</f>
        <v>-24852.09</v>
      </c>
      <c r="J7" s="464">
        <f>SUM(F7:I7)</f>
        <v>-10248016.537519</v>
      </c>
      <c r="K7" s="470"/>
      <c r="L7" s="465">
        <f>_xll.Get_Balance(A7,"YTD","USD","Total","A","","001","191010","GD","WA","DL")</f>
        <v>-10248016.539999999</v>
      </c>
      <c r="M7" s="466">
        <f>L7-J7</f>
        <v>-2.4809986352920532E-3</v>
      </c>
    </row>
    <row r="8" spans="1:15" s="457" customFormat="1">
      <c r="A8" s="463" t="s">
        <v>324</v>
      </c>
      <c r="B8" s="467">
        <v>3.5000000000000003E-2</v>
      </c>
      <c r="C8" s="468"/>
      <c r="D8" s="469">
        <v>0</v>
      </c>
      <c r="E8" s="469">
        <v>0</v>
      </c>
      <c r="F8" s="464">
        <f t="shared" ref="F8:F16" si="0">J7+E8</f>
        <v>-10248016.537519</v>
      </c>
      <c r="G8" s="469">
        <v>-1856358.6126210007</v>
      </c>
      <c r="H8" s="469">
        <v>-201411.09328799881</v>
      </c>
      <c r="I8" s="464">
        <f>ROUND(((F8)*(B8/12))+((SUM(G8:H8)/2)*(B8/12)),2)</f>
        <v>-32890.959999999999</v>
      </c>
      <c r="J8" s="464">
        <f t="shared" ref="J8:J21" si="1">SUM(F8:I8)</f>
        <v>-12338677.203428</v>
      </c>
      <c r="K8" s="470"/>
      <c r="L8" s="465">
        <f>_xll.Get_Balance(A8,"YTD","USD","Total","A","","001","191010","GD","WA","DL")</f>
        <v>-12338677.210000001</v>
      </c>
      <c r="M8" s="466">
        <f t="shared" ref="M8:M21" si="2">L8-J8</f>
        <v>-6.5720006823539734E-3</v>
      </c>
    </row>
    <row r="9" spans="1:15" s="457" customFormat="1">
      <c r="A9" s="463" t="s">
        <v>325</v>
      </c>
      <c r="B9" s="467">
        <v>3.5000000000000003E-2</v>
      </c>
      <c r="C9" s="468"/>
      <c r="D9" s="469">
        <v>0</v>
      </c>
      <c r="E9" s="469">
        <v>0</v>
      </c>
      <c r="F9" s="464">
        <f t="shared" si="0"/>
        <v>-12338677.203428</v>
      </c>
      <c r="G9" s="469">
        <v>-916596.2697570005</v>
      </c>
      <c r="H9" s="469">
        <v>-696753.01067200163</v>
      </c>
      <c r="I9" s="464">
        <f t="shared" ref="I9:I15" si="3">ROUND(((F9)*(B9/12))+((SUM(G9:H9)/2)*(B9/12)),2)</f>
        <v>-38340.61</v>
      </c>
      <c r="J9" s="464">
        <f t="shared" si="1"/>
        <v>-13990367.093857002</v>
      </c>
      <c r="K9" s="470"/>
      <c r="L9" s="465">
        <f>_xll.Get_Balance(A9,"YTD","USD","Total","A","","001","191010","GD","WA","DL")</f>
        <v>-13990367.1</v>
      </c>
      <c r="M9" s="466">
        <f t="shared" si="2"/>
        <v>-6.1429981142282486E-3</v>
      </c>
    </row>
    <row r="10" spans="1:15" s="457" customFormat="1">
      <c r="A10" s="463" t="s">
        <v>326</v>
      </c>
      <c r="B10" s="467">
        <v>3.7100000000000001E-2</v>
      </c>
      <c r="C10" s="468"/>
      <c r="D10" s="469">
        <v>0</v>
      </c>
      <c r="E10" s="469">
        <v>0</v>
      </c>
      <c r="F10" s="464">
        <f t="shared" si="0"/>
        <v>-13990367.093857002</v>
      </c>
      <c r="G10" s="469">
        <v>-225142.70389499958</v>
      </c>
      <c r="H10" s="469">
        <v>-912928.80422000168</v>
      </c>
      <c r="I10" s="464">
        <f t="shared" si="3"/>
        <v>-45012.82</v>
      </c>
      <c r="J10" s="464">
        <f t="shared" si="1"/>
        <v>-15173451.421972003</v>
      </c>
      <c r="K10" s="470"/>
      <c r="L10" s="465">
        <f>_xll.Get_Balance(A10,"YTD","USD","Total","A","","001","191010","GD","WA","DL")</f>
        <v>-15173451.43</v>
      </c>
      <c r="M10" s="466">
        <f t="shared" si="2"/>
        <v>-8.0279968678951263E-3</v>
      </c>
    </row>
    <row r="11" spans="1:15" s="457" customFormat="1">
      <c r="A11" s="463" t="s">
        <v>327</v>
      </c>
      <c r="B11" s="467">
        <v>3.7100000000000001E-2</v>
      </c>
      <c r="C11" s="468"/>
      <c r="D11" s="469">
        <v>0</v>
      </c>
      <c r="E11" s="469">
        <v>0</v>
      </c>
      <c r="F11" s="464">
        <f t="shared" si="0"/>
        <v>-15173451.421972003</v>
      </c>
      <c r="G11" s="469">
        <v>604158.21510300005</v>
      </c>
      <c r="H11" s="469">
        <v>-482101.19766700035</v>
      </c>
      <c r="I11" s="464">
        <f t="shared" si="3"/>
        <v>-46722.57</v>
      </c>
      <c r="J11" s="464">
        <f t="shared" si="1"/>
        <v>-15098116.974536004</v>
      </c>
      <c r="K11" s="470"/>
      <c r="L11" s="465">
        <f>_xll.Get_Balance(A11,"YTD","USD","Total","A","","001","191010","GD","WA","DL")</f>
        <v>-15098116.98</v>
      </c>
      <c r="M11" s="466">
        <f t="shared" si="2"/>
        <v>-5.4639969021081924E-3</v>
      </c>
    </row>
    <row r="12" spans="1:15" s="457" customFormat="1">
      <c r="A12" s="463" t="s">
        <v>328</v>
      </c>
      <c r="B12" s="467">
        <v>3.7100000000000001E-2</v>
      </c>
      <c r="C12" s="468"/>
      <c r="D12" s="469">
        <v>0</v>
      </c>
      <c r="E12" s="469">
        <v>0</v>
      </c>
      <c r="F12" s="464">
        <f t="shared" si="0"/>
        <v>-15098116.974536004</v>
      </c>
      <c r="G12" s="469">
        <v>953286.75289800053</v>
      </c>
      <c r="H12" s="469">
        <v>-580245.48787200102</v>
      </c>
      <c r="I12" s="464">
        <f t="shared" si="3"/>
        <v>-46101.69</v>
      </c>
      <c r="J12" s="464">
        <f t="shared" si="1"/>
        <v>-14771177.399510004</v>
      </c>
      <c r="K12" s="470"/>
      <c r="L12" s="465">
        <f>_xll.Get_Balance(A12,"YTD","USD","Total","A","","001","191010","GD","WA","DL")</f>
        <v>-14771177.4</v>
      </c>
      <c r="M12" s="466">
        <f t="shared" si="2"/>
        <v>-4.8999674618244171E-4</v>
      </c>
    </row>
    <row r="13" spans="1:15" s="457" customFormat="1">
      <c r="A13" s="463" t="s">
        <v>329</v>
      </c>
      <c r="B13" s="467">
        <v>3.9600000000000003E-2</v>
      </c>
      <c r="C13" s="468"/>
      <c r="D13" s="469">
        <v>0</v>
      </c>
      <c r="E13" s="469">
        <v>0</v>
      </c>
      <c r="F13" s="464">
        <f t="shared" si="0"/>
        <v>-14771177.399510004</v>
      </c>
      <c r="G13" s="469">
        <v>1129801.1151090004</v>
      </c>
      <c r="H13" s="469">
        <v>-2217856.2503400007</v>
      </c>
      <c r="I13" s="464">
        <f t="shared" si="3"/>
        <v>-50540.18</v>
      </c>
      <c r="J13" s="464">
        <f>SUM(F13:I13)</f>
        <v>-15909772.714741003</v>
      </c>
      <c r="K13" s="470"/>
      <c r="L13" s="465">
        <f>_xll.Get_Balance(A13,"YTD","USD","Total","A","","001","191010","GD","WA","DL")</f>
        <v>-15909772.720000001</v>
      </c>
      <c r="M13" s="466">
        <f t="shared" si="2"/>
        <v>-5.2589979022741318E-3</v>
      </c>
    </row>
    <row r="14" spans="1:15" s="457" customFormat="1">
      <c r="A14" s="463" t="s">
        <v>330</v>
      </c>
      <c r="B14" s="467">
        <v>3.9600000000000003E-2</v>
      </c>
      <c r="C14" s="468"/>
      <c r="D14" s="469">
        <v>0</v>
      </c>
      <c r="E14" s="469">
        <v>0</v>
      </c>
      <c r="F14" s="464">
        <f t="shared" si="0"/>
        <v>-15909772.714741003</v>
      </c>
      <c r="G14" s="469">
        <v>1095472.3340190002</v>
      </c>
      <c r="H14" s="469">
        <v>-2108794.2989039999</v>
      </c>
      <c r="I14" s="464">
        <f t="shared" si="3"/>
        <v>-54174.23</v>
      </c>
      <c r="J14" s="464">
        <f>SUM(F14:I14)</f>
        <v>-16977268.909626003</v>
      </c>
      <c r="K14" s="470"/>
      <c r="L14" s="465">
        <f>_xll.Get_Balance(A14,"YTD","USD","Total","A","","001","191010","GD","WA","DL")</f>
        <v>-16977268.91</v>
      </c>
      <c r="M14" s="466">
        <f t="shared" si="2"/>
        <v>-3.739967942237854E-4</v>
      </c>
    </row>
    <row r="15" spans="1:15" s="457" customFormat="1">
      <c r="A15" s="463" t="s">
        <v>331</v>
      </c>
      <c r="B15" s="467">
        <v>3.9600000000000003E-2</v>
      </c>
      <c r="C15" s="468"/>
      <c r="D15" s="469">
        <v>0</v>
      </c>
      <c r="E15" s="469">
        <v>0</v>
      </c>
      <c r="F15" s="464">
        <f t="shared" si="0"/>
        <v>-16977268.909626003</v>
      </c>
      <c r="G15" s="469">
        <v>853220.47718099994</v>
      </c>
      <c r="H15" s="469">
        <v>-2779163.5886399997</v>
      </c>
      <c r="I15" s="464">
        <f t="shared" si="3"/>
        <v>-59202.79</v>
      </c>
      <c r="J15" s="464">
        <f t="shared" si="1"/>
        <v>-18962414.811085001</v>
      </c>
      <c r="K15" s="470"/>
      <c r="L15" s="465">
        <f>_xll.Get_Balance(A15,"YTD","USD","Total","A","","001","191010","GD","WA","DL")</f>
        <v>-18962414.809999999</v>
      </c>
      <c r="M15" s="466">
        <f t="shared" si="2"/>
        <v>1.0850019752979279E-3</v>
      </c>
    </row>
    <row r="16" spans="1:15" s="457" customFormat="1">
      <c r="A16" s="463" t="s">
        <v>332</v>
      </c>
      <c r="B16" s="467">
        <v>4.2099999999999999E-2</v>
      </c>
      <c r="C16" s="468"/>
      <c r="D16" s="469">
        <v>0</v>
      </c>
      <c r="E16" s="469">
        <v>0</v>
      </c>
      <c r="F16" s="464">
        <f t="shared" si="0"/>
        <v>-18962414.811085001</v>
      </c>
      <c r="G16" s="469">
        <v>15042.059238000307</v>
      </c>
      <c r="H16" s="469">
        <v>-2935887.7038159985</v>
      </c>
      <c r="I16" s="464">
        <f>ROUND(((F16)*(B16/12))+((SUM(G16:H16)/2)*(B16/12)),2)</f>
        <v>-71650.12</v>
      </c>
      <c r="J16" s="464">
        <f t="shared" si="1"/>
        <v>-21954910.575662997</v>
      </c>
      <c r="K16" s="470"/>
      <c r="L16" s="465">
        <f>_xll.Get_Balance(A16,"YTD","USD","Total","A","","001","191010","GD","WA","DL")</f>
        <v>-21954910.57</v>
      </c>
      <c r="M16" s="466">
        <f t="shared" si="2"/>
        <v>5.6629963219165802E-3</v>
      </c>
    </row>
    <row r="17" spans="1:23" s="457" customFormat="1">
      <c r="A17" s="463" t="s">
        <v>333</v>
      </c>
      <c r="B17" s="467">
        <v>4.2099999999999999E-2</v>
      </c>
      <c r="C17" s="468"/>
      <c r="D17" s="469">
        <v>35.15</v>
      </c>
      <c r="E17" s="469">
        <f>-J12</f>
        <v>14771177.399510004</v>
      </c>
      <c r="F17" s="464">
        <f>J16+E17+D17</f>
        <v>-7183698.0261529926</v>
      </c>
      <c r="G17" s="469">
        <v>-592732.92055399995</v>
      </c>
      <c r="H17" s="469">
        <v>-386463.99829400051</v>
      </c>
      <c r="I17" s="464">
        <f>ROUND(((J16+E17)*(B17/12))+((SUM(G17:H17)/2)*(B17/12)),2)</f>
        <v>-26920.61</v>
      </c>
      <c r="J17" s="464">
        <f>SUM(F17:I17)</f>
        <v>-8189815.5550009934</v>
      </c>
      <c r="K17" s="470"/>
      <c r="L17" s="465">
        <f>_xll.Get_Balance(A17,"YTD","USD","Total","A","","001","191010","GD","WA","DL")</f>
        <v>-8189815.5499999998</v>
      </c>
      <c r="M17" s="466">
        <f t="shared" si="2"/>
        <v>5.0009936094284058E-3</v>
      </c>
    </row>
    <row r="18" spans="1:23" s="457" customFormat="1" ht="15.75" thickBot="1">
      <c r="A18" s="471" t="s">
        <v>334</v>
      </c>
      <c r="B18" s="472">
        <v>4.2099999999999999E-2</v>
      </c>
      <c r="C18" s="468"/>
      <c r="D18" s="473">
        <v>0</v>
      </c>
      <c r="E18" s="473">
        <v>0</v>
      </c>
      <c r="F18" s="474">
        <f>J17+E18+D18</f>
        <v>-8189815.5550009934</v>
      </c>
      <c r="G18" s="473">
        <v>-1678391.1285159995</v>
      </c>
      <c r="H18" s="473">
        <v>-1205525.6512180055</v>
      </c>
      <c r="I18" s="474">
        <f t="shared" ref="I18:I24" si="4">ROUND(((F18)*(B18/12))+((SUM(G18:H18)/2)*(B18/12)),2)</f>
        <v>-33791.47</v>
      </c>
      <c r="J18" s="474">
        <f t="shared" si="1"/>
        <v>-11107523.804734999</v>
      </c>
      <c r="K18" s="470"/>
      <c r="L18" s="475">
        <f>_xll.Get_Balance(A18,"YTD","USD","Total","A","","001","191010","GD","WA","DL")</f>
        <v>-11107523.800000001</v>
      </c>
      <c r="M18" s="476">
        <f t="shared" si="2"/>
        <v>4.7349985688924789E-3</v>
      </c>
    </row>
    <row r="19" spans="1:23" s="457" customFormat="1" collapsed="1">
      <c r="A19" s="477" t="s">
        <v>335</v>
      </c>
      <c r="B19" s="478">
        <v>4.2500000000000003E-2</v>
      </c>
      <c r="C19" s="468"/>
      <c r="D19" s="479">
        <v>0</v>
      </c>
      <c r="E19" s="479">
        <v>0</v>
      </c>
      <c r="F19" s="480">
        <f>J18+E19</f>
        <v>-11107523.804734999</v>
      </c>
      <c r="G19" s="479">
        <v>-1348640.4203420002</v>
      </c>
      <c r="H19" s="479">
        <v>-743591.89883300196</v>
      </c>
      <c r="I19" s="464">
        <f t="shared" si="4"/>
        <v>-43044.14</v>
      </c>
      <c r="J19" s="480">
        <f t="shared" si="1"/>
        <v>-13242800.263910003</v>
      </c>
      <c r="K19" s="470"/>
      <c r="L19" s="465">
        <f>_xll.Get_Balance(A19,"YTD","USD","Total","A","","001","191010","GD","WA","DL")</f>
        <v>-13242800.26</v>
      </c>
      <c r="M19" s="466">
        <f t="shared" si="2"/>
        <v>3.9100032299757004E-3</v>
      </c>
    </row>
    <row r="20" spans="1:23" s="457" customFormat="1">
      <c r="A20" s="463" t="s">
        <v>336</v>
      </c>
      <c r="B20" s="478">
        <v>4.2500000000000003E-2</v>
      </c>
      <c r="C20" s="468"/>
      <c r="D20" s="469">
        <v>0</v>
      </c>
      <c r="E20" s="469">
        <v>0</v>
      </c>
      <c r="F20" s="480">
        <f>J19+E20</f>
        <v>-13242800.263910003</v>
      </c>
      <c r="G20" s="479">
        <v>-1492728.8649899999</v>
      </c>
      <c r="H20" s="479">
        <v>1500599.2415440008</v>
      </c>
      <c r="I20" s="464">
        <f t="shared" si="4"/>
        <v>-46887.65</v>
      </c>
      <c r="J20" s="464">
        <f t="shared" si="1"/>
        <v>-13281817.537356002</v>
      </c>
      <c r="K20" s="470"/>
      <c r="L20" s="465">
        <f>_xll.Get_Balance(A20,"YTD","USD","Total","A","","001","191010","GD","WA","DL")</f>
        <v>-13281817.529999999</v>
      </c>
      <c r="M20" s="466">
        <f t="shared" si="2"/>
        <v>7.3560029268264771E-3</v>
      </c>
    </row>
    <row r="21" spans="1:23" s="457" customFormat="1">
      <c r="A21" s="463" t="s">
        <v>337</v>
      </c>
      <c r="B21" s="478">
        <v>4.2500000000000003E-2</v>
      </c>
      <c r="C21" s="468"/>
      <c r="D21" s="469">
        <v>0</v>
      </c>
      <c r="E21" s="469">
        <v>0</v>
      </c>
      <c r="F21" s="480">
        <f>J20+E21</f>
        <v>-13281817.537356002</v>
      </c>
      <c r="G21" s="479">
        <v>-772819.73601999972</v>
      </c>
      <c r="H21" s="479">
        <v>262271.11627200013</v>
      </c>
      <c r="I21" s="464">
        <f t="shared" si="4"/>
        <v>-47943.87</v>
      </c>
      <c r="J21" s="464">
        <f t="shared" si="1"/>
        <v>-13840310.027104001</v>
      </c>
      <c r="K21" s="470"/>
      <c r="L21" s="465">
        <f>_xll.Get_Balance(A21,"YTD","USD","Total","A","","001","191010","GD","WA","DL")</f>
        <v>-13840310.02</v>
      </c>
      <c r="M21" s="466">
        <f t="shared" si="2"/>
        <v>7.1040019392967224E-3</v>
      </c>
    </row>
    <row r="22" spans="1:23" s="457" customFormat="1" collapsed="1">
      <c r="A22" s="463" t="s">
        <v>344</v>
      </c>
      <c r="B22" s="478">
        <v>4.4699999999999997E-2</v>
      </c>
      <c r="C22" s="468"/>
      <c r="D22" s="479">
        <f>125.4+17671.2</f>
        <v>17796.600000000002</v>
      </c>
      <c r="E22" s="479">
        <v>0</v>
      </c>
      <c r="F22" s="480">
        <f>J21+E22+D22</f>
        <v>-13822513.427104002</v>
      </c>
      <c r="G22" s="479">
        <v>-46824.414412000682</v>
      </c>
      <c r="H22" s="479">
        <v>-1287451.4058399997</v>
      </c>
      <c r="I22" s="464">
        <f t="shared" si="4"/>
        <v>-53973.95</v>
      </c>
      <c r="J22" s="480">
        <f>SUM(F22:I22)</f>
        <v>-15210763.197356002</v>
      </c>
      <c r="K22" s="470"/>
      <c r="L22" s="465">
        <f>_xll.Get_Balance(A22,"YTD","USD","Total","A","","001","191010","GD","WA","DL")</f>
        <v>-15210763.189999999</v>
      </c>
      <c r="M22" s="466">
        <f t="shared" ref="M22:M24" si="5">L22-J22</f>
        <v>7.3560029268264771E-3</v>
      </c>
    </row>
    <row r="23" spans="1:23" s="457" customFormat="1">
      <c r="A23" s="463" t="s">
        <v>345</v>
      </c>
      <c r="B23" s="478">
        <v>4.4699999999999997E-2</v>
      </c>
      <c r="C23" s="468"/>
      <c r="D23" s="469">
        <v>0</v>
      </c>
      <c r="E23" s="469">
        <v>0</v>
      </c>
      <c r="F23" s="480">
        <f>J22+E23</f>
        <v>-15210763.197356002</v>
      </c>
      <c r="G23" s="479">
        <v>890572.34156599978</v>
      </c>
      <c r="H23" s="479">
        <v>-1208166.9855549999</v>
      </c>
      <c r="I23" s="464">
        <f t="shared" si="4"/>
        <v>-57251.61</v>
      </c>
      <c r="J23" s="464">
        <f t="shared" ref="J23:J24" si="6">SUM(F23:I23)</f>
        <v>-15585609.451345002</v>
      </c>
      <c r="K23" s="470"/>
      <c r="L23" s="465">
        <f>_xll.Get_Balance(A23,"YTD","USD","Total","A","","001","191010","GD","WA","DL")</f>
        <v>-15585609.439999999</v>
      </c>
      <c r="M23" s="466">
        <f t="shared" si="5"/>
        <v>1.1345002800226212E-2</v>
      </c>
    </row>
    <row r="24" spans="1:23" s="457" customFormat="1">
      <c r="A24" s="463" t="s">
        <v>346</v>
      </c>
      <c r="B24" s="478">
        <v>4.4699999999999997E-2</v>
      </c>
      <c r="C24" s="468"/>
      <c r="D24" s="469">
        <v>0</v>
      </c>
      <c r="E24" s="469">
        <v>0</v>
      </c>
      <c r="F24" s="480">
        <f>J23+E24</f>
        <v>-15585609.451345002</v>
      </c>
      <c r="G24" s="479">
        <v>938461.95200199937</v>
      </c>
      <c r="H24" s="479">
        <v>-914700.39864600007</v>
      </c>
      <c r="I24" s="464">
        <f t="shared" si="4"/>
        <v>-58012.14</v>
      </c>
      <c r="J24" s="464">
        <f t="shared" si="6"/>
        <v>-15619860.037989004</v>
      </c>
      <c r="K24" s="470"/>
      <c r="L24" s="465">
        <f>_xll.Get_Balance(A24,"YTD","USD","Total","A","","001","191010","GD","WA","DL")</f>
        <v>-15619860.029999999</v>
      </c>
      <c r="M24" s="466">
        <f t="shared" si="5"/>
        <v>7.9890042543411255E-3</v>
      </c>
    </row>
    <row r="25" spans="1:23" ht="15.75">
      <c r="Q25" s="484"/>
      <c r="R25" s="483"/>
      <c r="S25" s="483"/>
      <c r="T25" s="482"/>
      <c r="U25" s="455"/>
      <c r="V25" s="455"/>
      <c r="W25" s="455"/>
    </row>
    <row r="26" spans="1:23">
      <c r="Q26" s="455"/>
      <c r="R26" s="455"/>
      <c r="S26" s="455"/>
      <c r="T26" s="455"/>
      <c r="U26" s="455"/>
      <c r="V26" s="455"/>
      <c r="W26" s="455"/>
    </row>
    <row r="27" spans="1:23">
      <c r="Q27" s="455"/>
      <c r="R27" s="455"/>
      <c r="S27" s="455"/>
      <c r="T27" s="455"/>
      <c r="U27" s="455"/>
      <c r="V27" s="455"/>
      <c r="W27" s="455"/>
    </row>
  </sheetData>
  <mergeCells count="1">
    <mergeCell ref="D5:J5"/>
  </mergeCells>
  <pageMargins left="0.7" right="0" top="0.75" bottom="0.75" header="0.3" footer="0.3"/>
  <pageSetup scale="58"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Q24"/>
  <sheetViews>
    <sheetView zoomScale="85" zoomScaleNormal="85" workbookViewId="0">
      <selection activeCell="M24" sqref="M24"/>
    </sheetView>
  </sheetViews>
  <sheetFormatPr defaultColWidth="8.85546875" defaultRowHeight="15"/>
  <cols>
    <col min="1" max="1" width="9.140625" style="454" customWidth="1"/>
    <col min="2" max="2" width="8.85546875" style="454"/>
    <col min="3" max="3" width="1.7109375" style="455" customWidth="1"/>
    <col min="4" max="4" width="11.7109375" style="455" customWidth="1"/>
    <col min="5" max="5" width="13.7109375" style="454" customWidth="1"/>
    <col min="6" max="7" width="14.28515625" style="485" customWidth="1"/>
    <col min="8" max="8" width="14.7109375" style="454" bestFit="1" customWidth="1"/>
    <col min="9" max="9" width="12.140625" style="454" customWidth="1"/>
    <col min="10" max="10" width="15.28515625" style="485" bestFit="1" customWidth="1"/>
    <col min="11" max="11" width="1.7109375" style="455" customWidth="1"/>
    <col min="12" max="12" width="13.5703125" style="454" customWidth="1"/>
    <col min="13" max="13" width="13.85546875" style="454" bestFit="1" customWidth="1"/>
    <col min="14" max="16" width="8.85546875" style="454"/>
    <col min="17" max="17" width="12.7109375" style="454" customWidth="1"/>
    <col min="18" max="19" width="13.140625" style="454" bestFit="1" customWidth="1"/>
    <col min="20" max="16384" width="8.85546875" style="454"/>
  </cols>
  <sheetData>
    <row r="1" spans="1:17" s="449" customFormat="1" ht="15.75">
      <c r="A1" s="447" t="s">
        <v>13</v>
      </c>
      <c r="B1" s="448"/>
      <c r="C1" s="448"/>
      <c r="D1" s="448"/>
      <c r="E1" s="448"/>
      <c r="F1" s="448"/>
      <c r="G1" s="448"/>
      <c r="H1" s="448"/>
    </row>
    <row r="2" spans="1:17" s="449" customFormat="1" ht="15.75">
      <c r="A2" s="447" t="s">
        <v>46</v>
      </c>
      <c r="B2" s="448"/>
      <c r="C2" s="448"/>
      <c r="D2" s="448"/>
      <c r="E2" s="448"/>
      <c r="F2" s="448"/>
      <c r="G2" s="448"/>
      <c r="H2" s="448"/>
    </row>
    <row r="3" spans="1:17" s="449" customFormat="1" ht="15.75">
      <c r="A3" s="447" t="s">
        <v>338</v>
      </c>
      <c r="B3" s="448"/>
      <c r="C3" s="448"/>
      <c r="D3" s="448"/>
      <c r="E3" s="448"/>
      <c r="F3" s="448"/>
      <c r="G3" s="448"/>
      <c r="H3" s="448"/>
    </row>
    <row r="4" spans="1:17" s="452" customFormat="1" ht="18.75" thickBot="1">
      <c r="A4" s="450"/>
      <c r="B4" s="451"/>
      <c r="C4" s="451"/>
      <c r="D4" s="451"/>
      <c r="E4" s="451"/>
      <c r="F4" s="451"/>
      <c r="G4" s="451"/>
      <c r="H4" s="451"/>
    </row>
    <row r="5" spans="1:17" s="457" customFormat="1" ht="16.5" thickBot="1">
      <c r="A5" s="453"/>
      <c r="B5" s="454"/>
      <c r="C5" s="455"/>
      <c r="D5" s="521" t="s">
        <v>339</v>
      </c>
      <c r="E5" s="522"/>
      <c r="F5" s="522"/>
      <c r="G5" s="522"/>
      <c r="H5" s="522"/>
      <c r="I5" s="522"/>
      <c r="J5" s="523"/>
      <c r="K5" s="456"/>
      <c r="L5" s="454"/>
      <c r="M5" s="454"/>
      <c r="N5" s="454"/>
      <c r="O5" s="454"/>
    </row>
    <row r="6" spans="1:17" s="457" customFormat="1" ht="56.45" customHeight="1">
      <c r="A6" s="458" t="s">
        <v>319</v>
      </c>
      <c r="B6" s="459" t="s">
        <v>252</v>
      </c>
      <c r="C6" s="460"/>
      <c r="D6" s="461" t="s">
        <v>320</v>
      </c>
      <c r="E6" s="461" t="s">
        <v>343</v>
      </c>
      <c r="F6" s="461" t="s">
        <v>249</v>
      </c>
      <c r="G6" s="461" t="s">
        <v>3</v>
      </c>
      <c r="H6" s="461" t="s">
        <v>2</v>
      </c>
      <c r="I6" s="461" t="s">
        <v>4</v>
      </c>
      <c r="J6" s="461" t="s">
        <v>56</v>
      </c>
      <c r="K6" s="460"/>
      <c r="L6" s="462" t="s">
        <v>321</v>
      </c>
      <c r="M6" s="462" t="s">
        <v>322</v>
      </c>
    </row>
    <row r="7" spans="1:17" s="457" customFormat="1">
      <c r="A7" s="463" t="s">
        <v>323</v>
      </c>
      <c r="B7" s="467">
        <v>0.01</v>
      </c>
      <c r="C7" s="468"/>
      <c r="D7" s="469">
        <v>0</v>
      </c>
      <c r="E7" s="469">
        <v>0</v>
      </c>
      <c r="F7" s="464">
        <v>-3636402.23</v>
      </c>
      <c r="G7" s="469">
        <v>-1124312.9336709999</v>
      </c>
      <c r="H7" s="469">
        <v>-217727.43546999991</v>
      </c>
      <c r="I7" s="464">
        <f>ROUND(((F7)*(B7/12))+((SUM(G7:H7)/2)*(B7/12)),2)</f>
        <v>-3589.52</v>
      </c>
      <c r="J7" s="464">
        <f>SUM(F7:I7)</f>
        <v>-4982032.1191409994</v>
      </c>
      <c r="K7" s="470"/>
      <c r="L7" s="465">
        <f>_xll.Get_Balance(A7,"YTD","USD","Total","A","","001","191010","GD","ID","DL")</f>
        <v>-4982032.12</v>
      </c>
      <c r="M7" s="466">
        <f>L7-J7</f>
        <v>-8.5900072008371353E-4</v>
      </c>
    </row>
    <row r="8" spans="1:17" s="457" customFormat="1">
      <c r="A8" s="463" t="s">
        <v>324</v>
      </c>
      <c r="B8" s="467">
        <v>0.01</v>
      </c>
      <c r="C8" s="468"/>
      <c r="D8" s="469">
        <v>0</v>
      </c>
      <c r="E8" s="469">
        <v>0</v>
      </c>
      <c r="F8" s="464">
        <f t="shared" ref="F8:F16" si="0">J7+E8</f>
        <v>-4982032.1191409994</v>
      </c>
      <c r="G8" s="469">
        <v>-640372.66759899992</v>
      </c>
      <c r="H8" s="469">
        <v>-84389.379861999769</v>
      </c>
      <c r="I8" s="464">
        <f>ROUND(((F8)*(B8/12))+((SUM(G8:H8)/2)*(B8/12)),2)</f>
        <v>-4453.68</v>
      </c>
      <c r="J8" s="464">
        <f t="shared" ref="J8:J21" si="1">SUM(F8:I8)</f>
        <v>-5711247.8466019984</v>
      </c>
      <c r="K8" s="470"/>
      <c r="L8" s="465">
        <f>_xll.Get_Balance(A8,"YTD","USD","Total","A","","001","191010","GD","ID","DL")</f>
        <v>-5711247.8499999996</v>
      </c>
      <c r="M8" s="466">
        <f t="shared" ref="M8:M21" si="2">L8-J8</f>
        <v>-3.3980011940002441E-3</v>
      </c>
    </row>
    <row r="9" spans="1:17" s="457" customFormat="1">
      <c r="A9" s="463" t="s">
        <v>325</v>
      </c>
      <c r="B9" s="467">
        <v>0.01</v>
      </c>
      <c r="C9" s="468"/>
      <c r="D9" s="469">
        <v>0</v>
      </c>
      <c r="E9" s="469">
        <v>0</v>
      </c>
      <c r="F9" s="464">
        <f t="shared" si="0"/>
        <v>-5711247.8466019984</v>
      </c>
      <c r="G9" s="469">
        <v>-408480.45094300003</v>
      </c>
      <c r="H9" s="469">
        <v>-329270.69572800025</v>
      </c>
      <c r="I9" s="464">
        <f t="shared" ref="I9:I15" si="3">ROUND(((F9)*(B9/12))+((SUM(G9:H9)/2)*(B9/12)),2)</f>
        <v>-5066.7700000000004</v>
      </c>
      <c r="J9" s="464">
        <f t="shared" si="1"/>
        <v>-6454065.7632729979</v>
      </c>
      <c r="K9" s="470"/>
      <c r="L9" s="465">
        <f>_xll.Get_Balance(A9,"YTD","USD","Total","A","","001","191010","GD","ID","DL")</f>
        <v>-6454065.7699999996</v>
      </c>
      <c r="M9" s="466">
        <f t="shared" si="2"/>
        <v>-6.7270016297698021E-3</v>
      </c>
    </row>
    <row r="10" spans="1:17" s="457" customFormat="1">
      <c r="A10" s="463" t="s">
        <v>326</v>
      </c>
      <c r="B10" s="467">
        <v>0.01</v>
      </c>
      <c r="C10" s="468"/>
      <c r="D10" s="469">
        <v>0</v>
      </c>
      <c r="E10" s="469">
        <v>0</v>
      </c>
      <c r="F10" s="464">
        <f t="shared" si="0"/>
        <v>-6454065.7632729979</v>
      </c>
      <c r="G10" s="469">
        <v>-126214.21559499972</v>
      </c>
      <c r="H10" s="469">
        <v>-440151.27622999996</v>
      </c>
      <c r="I10" s="464">
        <f t="shared" si="3"/>
        <v>-5614.37</v>
      </c>
      <c r="J10" s="464">
        <f t="shared" si="1"/>
        <v>-7026045.6250979975</v>
      </c>
      <c r="K10" s="470"/>
      <c r="L10" s="465">
        <f>_xll.Get_Balance(A10,"YTD","USD","Total","A","","001","191010","GD","ID","DL")</f>
        <v>-7026045.6299999999</v>
      </c>
      <c r="M10" s="466">
        <f t="shared" si="2"/>
        <v>-4.9020024016499519E-3</v>
      </c>
    </row>
    <row r="11" spans="1:17" s="457" customFormat="1">
      <c r="A11" s="463" t="s">
        <v>327</v>
      </c>
      <c r="B11" s="467">
        <v>0.01</v>
      </c>
      <c r="C11" s="468"/>
      <c r="D11" s="469">
        <v>0</v>
      </c>
      <c r="E11" s="469">
        <v>0</v>
      </c>
      <c r="F11" s="464">
        <f t="shared" si="0"/>
        <v>-7026045.6250979975</v>
      </c>
      <c r="G11" s="469">
        <v>205125.27402700001</v>
      </c>
      <c r="H11" s="469">
        <v>-244744.84833299997</v>
      </c>
      <c r="I11" s="464">
        <f t="shared" si="3"/>
        <v>-5871.55</v>
      </c>
      <c r="J11" s="464">
        <f t="shared" si="1"/>
        <v>-7071536.7494039973</v>
      </c>
      <c r="K11" s="470"/>
      <c r="L11" s="465">
        <f>_xll.Get_Balance(A11,"YTD","USD","Total","A","","001","191010","GD","ID","DL")</f>
        <v>-7071536.75</v>
      </c>
      <c r="M11" s="466">
        <f t="shared" si="2"/>
        <v>-5.9600267559289932E-4</v>
      </c>
    </row>
    <row r="12" spans="1:17" s="457" customFormat="1">
      <c r="A12" s="463" t="s">
        <v>328</v>
      </c>
      <c r="B12" s="467">
        <v>0.01</v>
      </c>
      <c r="C12" s="468"/>
      <c r="D12" s="469">
        <v>0</v>
      </c>
      <c r="E12" s="469">
        <v>0</v>
      </c>
      <c r="F12" s="464">
        <f t="shared" si="0"/>
        <v>-7071536.7494039973</v>
      </c>
      <c r="G12" s="469">
        <v>347787.41086200019</v>
      </c>
      <c r="H12" s="469">
        <v>-324186.75672800053</v>
      </c>
      <c r="I12" s="464">
        <f t="shared" si="3"/>
        <v>-5883.11</v>
      </c>
      <c r="J12" s="464">
        <f t="shared" si="1"/>
        <v>-7053819.2052699989</v>
      </c>
      <c r="K12" s="470"/>
      <c r="L12" s="465">
        <f>_xll.Get_Balance(A12,"YTD","USD","Total","A","","001","191010","GD","ID","DL")</f>
        <v>-7053819.21</v>
      </c>
      <c r="M12" s="466">
        <f t="shared" si="2"/>
        <v>-4.7300010919570923E-3</v>
      </c>
    </row>
    <row r="13" spans="1:17" s="457" customFormat="1">
      <c r="A13" s="463" t="s">
        <v>329</v>
      </c>
      <c r="B13" s="467">
        <v>0.01</v>
      </c>
      <c r="C13" s="468"/>
      <c r="D13" s="469">
        <v>0</v>
      </c>
      <c r="E13" s="469">
        <v>0</v>
      </c>
      <c r="F13" s="464">
        <f t="shared" si="0"/>
        <v>-7053819.2052699989</v>
      </c>
      <c r="G13" s="469">
        <v>434764.70247100014</v>
      </c>
      <c r="H13" s="469">
        <v>-1187641.0790100005</v>
      </c>
      <c r="I13" s="464">
        <f t="shared" si="3"/>
        <v>-6191.88</v>
      </c>
      <c r="J13" s="464">
        <f>SUM(F13:I13)</f>
        <v>-7812887.4618089991</v>
      </c>
      <c r="K13" s="470"/>
      <c r="L13" s="465">
        <f>_xll.Get_Balance(A13,"YTD","USD","Total","A","","001","191010","GD","ID","DL")</f>
        <v>-7812887.4699999997</v>
      </c>
      <c r="M13" s="466">
        <f t="shared" si="2"/>
        <v>-8.1910006701946259E-3</v>
      </c>
    </row>
    <row r="14" spans="1:17" s="457" customFormat="1">
      <c r="A14" s="463" t="s">
        <v>330</v>
      </c>
      <c r="B14" s="467">
        <v>0.01</v>
      </c>
      <c r="C14" s="468"/>
      <c r="D14" s="469">
        <v>0</v>
      </c>
      <c r="E14" s="469">
        <v>0</v>
      </c>
      <c r="F14" s="464">
        <f t="shared" si="0"/>
        <v>-7812887.4618089991</v>
      </c>
      <c r="G14" s="469">
        <v>381249.17529100023</v>
      </c>
      <c r="H14" s="469">
        <v>-1323183.6971459999</v>
      </c>
      <c r="I14" s="464">
        <f t="shared" si="3"/>
        <v>-6903.21</v>
      </c>
      <c r="J14" s="464">
        <f>SUM(F14:I14)</f>
        <v>-8761725.1936639994</v>
      </c>
      <c r="K14" s="470"/>
      <c r="L14" s="465">
        <f>_xll.Get_Balance(A14,"YTD","USD","Total","A","","001","191010","GD","ID","DL")</f>
        <v>-8761725.1999999993</v>
      </c>
      <c r="M14" s="466">
        <f t="shared" si="2"/>
        <v>-6.3359998166561127E-3</v>
      </c>
    </row>
    <row r="15" spans="1:17" s="457" customFormat="1">
      <c r="A15" s="463" t="s">
        <v>331</v>
      </c>
      <c r="B15" s="467">
        <v>0.01</v>
      </c>
      <c r="C15" s="468"/>
      <c r="D15" s="469">
        <v>0</v>
      </c>
      <c r="E15" s="469">
        <v>0</v>
      </c>
      <c r="F15" s="464">
        <f t="shared" si="0"/>
        <v>-8761725.1936639994</v>
      </c>
      <c r="G15" s="469">
        <v>366051.02451899991</v>
      </c>
      <c r="H15" s="469">
        <v>-1205028.0759599996</v>
      </c>
      <c r="I15" s="464">
        <f t="shared" si="3"/>
        <v>-7651.01</v>
      </c>
      <c r="J15" s="464">
        <f t="shared" si="1"/>
        <v>-9608353.2551049981</v>
      </c>
      <c r="K15" s="470"/>
      <c r="L15" s="465">
        <f>_xll.Get_Balance(A15,"YTD","USD","Total","A","","001","191010","GD","ID","DL")</f>
        <v>-9608353.2599999998</v>
      </c>
      <c r="M15" s="466">
        <f t="shared" si="2"/>
        <v>-4.8950016498565674E-3</v>
      </c>
    </row>
    <row r="16" spans="1:17" s="457" customFormat="1">
      <c r="A16" s="463" t="s">
        <v>332</v>
      </c>
      <c r="B16" s="467">
        <v>0.01</v>
      </c>
      <c r="C16" s="468"/>
      <c r="D16" s="469">
        <v>0</v>
      </c>
      <c r="E16" s="469">
        <v>0</v>
      </c>
      <c r="F16" s="464">
        <f t="shared" si="0"/>
        <v>-9608353.2551049981</v>
      </c>
      <c r="G16" s="469">
        <v>-100974.55569799966</v>
      </c>
      <c r="H16" s="469">
        <v>-1567468.5970339996</v>
      </c>
      <c r="I16" s="464">
        <f>ROUND(((F16)*(B16/12))+((SUM(G16:H16)/2)*(B16/12)),2)</f>
        <v>-8702.15</v>
      </c>
      <c r="J16" s="464">
        <f>SUM(F16:I16)-0.01</f>
        <v>-11285498.567836998</v>
      </c>
      <c r="K16" s="470"/>
      <c r="L16" s="465">
        <f>_xll.Get_Balance(A16,"YTD","USD","Total","A","","001","191010","GD","ID","DL")</f>
        <v>-11285498.560000001</v>
      </c>
      <c r="M16" s="466">
        <f t="shared" si="2"/>
        <v>7.8369975090026855E-3</v>
      </c>
      <c r="Q16" s="486"/>
    </row>
    <row r="17" spans="1:17" s="457" customFormat="1">
      <c r="A17" s="463" t="s">
        <v>333</v>
      </c>
      <c r="B17" s="467">
        <v>0.01</v>
      </c>
      <c r="C17" s="468"/>
      <c r="D17" s="469">
        <v>16.07</v>
      </c>
      <c r="E17" s="469">
        <f>-J12-0.44</f>
        <v>7053818.7652699985</v>
      </c>
      <c r="F17" s="464">
        <f>J16</f>
        <v>-11285498.567836998</v>
      </c>
      <c r="G17" s="469">
        <v>-348265.1694459999</v>
      </c>
      <c r="H17" s="469">
        <v>-137219.40170599986</v>
      </c>
      <c r="I17" s="464">
        <f>ROUND(((J16+E17+D17)*(B17/12))+((SUM(G17:H17)/2)*(B17/12)),2)</f>
        <v>-3728.67</v>
      </c>
      <c r="J17" s="464">
        <f>SUM(D17:I17)</f>
        <v>-4720876.973718999</v>
      </c>
      <c r="K17" s="470"/>
      <c r="L17" s="465">
        <f>_xll.Get_Balance(A17,"YTD","USD","Total","A","","001","191010","GD","ID","DL")</f>
        <v>-4720876.96</v>
      </c>
      <c r="M17" s="466">
        <f t="shared" si="2"/>
        <v>1.3718998990952969E-2</v>
      </c>
      <c r="P17" s="486"/>
      <c r="Q17" s="486"/>
    </row>
    <row r="18" spans="1:17" s="457" customFormat="1" ht="15.75" thickBot="1">
      <c r="A18" s="471" t="s">
        <v>334</v>
      </c>
      <c r="B18" s="472">
        <v>0.01</v>
      </c>
      <c r="C18" s="468"/>
      <c r="D18" s="473">
        <v>0</v>
      </c>
      <c r="E18" s="473">
        <v>0</v>
      </c>
      <c r="F18" s="474">
        <f>J17+E18+D18</f>
        <v>-4720876.973718999</v>
      </c>
      <c r="G18" s="473">
        <v>-800149.73148399976</v>
      </c>
      <c r="H18" s="473">
        <v>-548636.05878200196</v>
      </c>
      <c r="I18" s="474">
        <f t="shared" ref="I18:I24" si="4">ROUND(((F18)*(B18/12))+((SUM(G18:H18)/2)*(B18/12)),2)</f>
        <v>-4496.0600000000004</v>
      </c>
      <c r="J18" s="474">
        <f t="shared" si="1"/>
        <v>-6074158.8239850001</v>
      </c>
      <c r="K18" s="470"/>
      <c r="L18" s="475">
        <f>_xll.Get_Balance(A18,"YTD","USD","Total","A","","001","191010","GD","ID","DL")</f>
        <v>-6074157.96</v>
      </c>
      <c r="M18" s="476">
        <f t="shared" si="2"/>
        <v>0.86398500017821789</v>
      </c>
      <c r="Q18" s="486"/>
    </row>
    <row r="19" spans="1:17" s="457" customFormat="1" collapsed="1">
      <c r="A19" s="477" t="s">
        <v>335</v>
      </c>
      <c r="B19" s="478">
        <v>0.01</v>
      </c>
      <c r="C19" s="468"/>
      <c r="D19" s="479">
        <v>0</v>
      </c>
      <c r="E19" s="479">
        <v>0</v>
      </c>
      <c r="F19" s="480">
        <f t="shared" ref="F19:F24" si="5">J18+E19</f>
        <v>-6074158.8239850001</v>
      </c>
      <c r="G19" s="479">
        <v>-519151.51254800009</v>
      </c>
      <c r="H19" s="479">
        <v>-301284.36970700044</v>
      </c>
      <c r="I19" s="464">
        <f t="shared" si="4"/>
        <v>-5403.65</v>
      </c>
      <c r="J19" s="480">
        <f t="shared" si="1"/>
        <v>-6899998.3562400015</v>
      </c>
      <c r="K19" s="470"/>
      <c r="L19" s="481">
        <f>_xll.Get_Balance(A19,"YTD","USD","Total","A","","001","191010","GD","ID","DL")</f>
        <v>-6899997.4900000002</v>
      </c>
      <c r="M19" s="466">
        <f t="shared" si="2"/>
        <v>0.86624000128358603</v>
      </c>
    </row>
    <row r="20" spans="1:17" s="457" customFormat="1">
      <c r="A20" s="463" t="s">
        <v>336</v>
      </c>
      <c r="B20" s="478">
        <v>0.01</v>
      </c>
      <c r="C20" s="468"/>
      <c r="D20" s="469">
        <v>0</v>
      </c>
      <c r="E20" s="469">
        <v>0</v>
      </c>
      <c r="F20" s="480">
        <f t="shared" si="5"/>
        <v>-6899998.3562400015</v>
      </c>
      <c r="G20" s="479">
        <v>-744879.28500999999</v>
      </c>
      <c r="H20" s="479">
        <v>725761.23845600011</v>
      </c>
      <c r="I20" s="464">
        <f t="shared" si="4"/>
        <v>-5757.96</v>
      </c>
      <c r="J20" s="464">
        <f t="shared" si="1"/>
        <v>-6924874.3627940016</v>
      </c>
      <c r="K20" s="470"/>
      <c r="L20" s="465">
        <f>_xll.Get_Balance(A20,"YTD","USD","Total","A","","001","191010","GD","ID","DL")</f>
        <v>-6924873.5</v>
      </c>
      <c r="M20" s="466">
        <f t="shared" si="2"/>
        <v>0.86279400158673525</v>
      </c>
    </row>
    <row r="21" spans="1:17" s="457" customFormat="1">
      <c r="A21" s="463" t="s">
        <v>337</v>
      </c>
      <c r="B21" s="478">
        <v>0.01</v>
      </c>
      <c r="C21" s="468"/>
      <c r="D21" s="469">
        <v>0</v>
      </c>
      <c r="E21" s="469">
        <v>0</v>
      </c>
      <c r="F21" s="480">
        <f t="shared" si="5"/>
        <v>-6924874.3627940016</v>
      </c>
      <c r="G21" s="479">
        <v>-378360.96397999988</v>
      </c>
      <c r="H21" s="479">
        <v>135080.40372800035</v>
      </c>
      <c r="I21" s="464">
        <f t="shared" si="4"/>
        <v>-5872.1</v>
      </c>
      <c r="J21" s="464">
        <f t="shared" si="1"/>
        <v>-7174027.0230459999</v>
      </c>
      <c r="K21" s="470"/>
      <c r="L21" s="465">
        <f>_xll.Get_Balance(A21,"YTD","USD","Total","A","","001","191010","GD","ID","DL")</f>
        <v>-7174026.1600000001</v>
      </c>
      <c r="M21" s="466">
        <f t="shared" si="2"/>
        <v>0.86304599978029728</v>
      </c>
    </row>
    <row r="22" spans="1:17" s="457" customFormat="1" collapsed="1">
      <c r="A22" s="463" t="s">
        <v>344</v>
      </c>
      <c r="B22" s="478">
        <v>0.01</v>
      </c>
      <c r="C22" s="468"/>
      <c r="D22" s="479">
        <v>0</v>
      </c>
      <c r="E22" s="479">
        <v>0</v>
      </c>
      <c r="F22" s="480">
        <f t="shared" si="5"/>
        <v>-7174027.0230459999</v>
      </c>
      <c r="G22" s="479">
        <v>-82530.780658000149</v>
      </c>
      <c r="H22" s="479">
        <v>-614655.16171999951</v>
      </c>
      <c r="I22" s="464">
        <f t="shared" si="4"/>
        <v>-6268.85</v>
      </c>
      <c r="J22" s="480">
        <f t="shared" ref="J22:J24" si="6">SUM(F22:I22)</f>
        <v>-7877481.815423999</v>
      </c>
      <c r="K22" s="470"/>
      <c r="L22" s="481">
        <f>_xll.Get_Balance(A22,"YTD","USD","Total","A","","001","191010","GD","ID","DL")</f>
        <v>-7877480.9500000002</v>
      </c>
      <c r="M22" s="466">
        <f t="shared" ref="M22:M24" si="7">L22-J22</f>
        <v>0.86542399879544973</v>
      </c>
    </row>
    <row r="23" spans="1:17" s="457" customFormat="1">
      <c r="A23" s="463" t="s">
        <v>345</v>
      </c>
      <c r="B23" s="478">
        <v>0.01</v>
      </c>
      <c r="C23" s="468"/>
      <c r="D23" s="469">
        <v>0</v>
      </c>
      <c r="E23" s="469">
        <v>0</v>
      </c>
      <c r="F23" s="480">
        <f t="shared" si="5"/>
        <v>-7877481.815423999</v>
      </c>
      <c r="G23" s="479">
        <v>385984.40994400001</v>
      </c>
      <c r="H23" s="479">
        <v>-554129.59024500009</v>
      </c>
      <c r="I23" s="464">
        <f t="shared" si="4"/>
        <v>-6634.63</v>
      </c>
      <c r="J23" s="464">
        <f t="shared" si="6"/>
        <v>-8052261.6257249992</v>
      </c>
      <c r="K23" s="470"/>
      <c r="L23" s="465">
        <f>_xll.Get_Balance(A23,"YTD","USD","Total","A","","001","191010","GD","ID","DL")</f>
        <v>-8052260.7599999998</v>
      </c>
      <c r="M23" s="466">
        <f t="shared" si="7"/>
        <v>0.86572499945759773</v>
      </c>
    </row>
    <row r="24" spans="1:17" s="457" customFormat="1">
      <c r="A24" s="463" t="s">
        <v>346</v>
      </c>
      <c r="B24" s="478">
        <v>0.01</v>
      </c>
      <c r="C24" s="468"/>
      <c r="D24" s="469">
        <v>0</v>
      </c>
      <c r="E24" s="469">
        <v>0</v>
      </c>
      <c r="F24" s="480">
        <f t="shared" si="5"/>
        <v>-8052261.6257249992</v>
      </c>
      <c r="G24" s="479">
        <v>357980.67945799971</v>
      </c>
      <c r="H24" s="479">
        <v>-509627.24079399998</v>
      </c>
      <c r="I24" s="464">
        <f t="shared" si="4"/>
        <v>-6773.4</v>
      </c>
      <c r="J24" s="464">
        <f t="shared" si="6"/>
        <v>-8210681.5870610001</v>
      </c>
      <c r="K24" s="470"/>
      <c r="L24" s="465">
        <f>_xll.Get_Balance(A24,"YTD","USD","Total","A","","001","191010","GD","ID","DL")</f>
        <v>-8210680.7199999997</v>
      </c>
      <c r="M24" s="466">
        <f t="shared" si="7"/>
        <v>0.86706100031733513</v>
      </c>
    </row>
  </sheetData>
  <mergeCells count="1">
    <mergeCell ref="D5:J5"/>
  </mergeCells>
  <pageMargins left="0.7" right="0" top="0.75" bottom="0.75" header="0.3" footer="0.3"/>
  <pageSetup scale="5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P24"/>
  <sheetViews>
    <sheetView zoomScale="85" zoomScaleNormal="85" workbookViewId="0">
      <selection activeCell="M24" sqref="M24"/>
    </sheetView>
  </sheetViews>
  <sheetFormatPr defaultColWidth="8.85546875" defaultRowHeight="15"/>
  <cols>
    <col min="1" max="1" width="9.140625" style="454" customWidth="1"/>
    <col min="2" max="2" width="8.85546875" style="454"/>
    <col min="3" max="3" width="1.7109375" style="455" customWidth="1"/>
    <col min="4" max="4" width="11.7109375" style="455" customWidth="1"/>
    <col min="5" max="5" width="13.7109375" style="454" customWidth="1"/>
    <col min="6" max="7" width="14.28515625" style="485" customWidth="1"/>
    <col min="8" max="8" width="14.7109375" style="454" bestFit="1" customWidth="1"/>
    <col min="9" max="9" width="13.7109375" style="454" customWidth="1"/>
    <col min="10" max="10" width="1.7109375" style="454" customWidth="1"/>
    <col min="11" max="11" width="15.28515625" style="485" bestFit="1" customWidth="1"/>
    <col min="12" max="12" width="12.7109375" style="455" bestFit="1" customWidth="1"/>
    <col min="13" max="13" width="13.5703125" style="454" customWidth="1"/>
    <col min="14" max="14" width="13.85546875" style="454" bestFit="1" customWidth="1"/>
    <col min="15" max="17" width="8.85546875" style="454"/>
    <col min="18" max="18" width="12.7109375" style="454" customWidth="1"/>
    <col min="19" max="20" width="13.140625" style="454" bestFit="1" customWidth="1"/>
    <col min="21" max="16384" width="8.85546875" style="454"/>
  </cols>
  <sheetData>
    <row r="1" spans="1:16" s="449" customFormat="1" ht="15.75">
      <c r="A1" s="447" t="s">
        <v>13</v>
      </c>
      <c r="B1" s="448"/>
      <c r="C1" s="448"/>
      <c r="D1" s="448"/>
      <c r="E1" s="448"/>
      <c r="F1" s="448"/>
      <c r="G1" s="448"/>
      <c r="H1" s="448"/>
    </row>
    <row r="2" spans="1:16" s="449" customFormat="1" ht="15.75">
      <c r="A2" s="447" t="s">
        <v>0</v>
      </c>
      <c r="B2" s="448"/>
      <c r="C2" s="448"/>
      <c r="D2" s="448"/>
      <c r="E2" s="448"/>
      <c r="F2" s="448"/>
      <c r="G2" s="448"/>
      <c r="H2" s="448"/>
    </row>
    <row r="3" spans="1:16" s="449" customFormat="1" ht="15.75">
      <c r="A3" s="447" t="s">
        <v>340</v>
      </c>
      <c r="B3" s="448"/>
      <c r="C3" s="448"/>
      <c r="D3" s="448"/>
      <c r="E3" s="448"/>
      <c r="F3" s="448"/>
      <c r="G3" s="448"/>
      <c r="H3" s="448"/>
    </row>
    <row r="4" spans="1:16" s="452" customFormat="1" ht="18.75" thickBot="1">
      <c r="A4" s="450"/>
      <c r="B4" s="451"/>
      <c r="C4" s="451"/>
      <c r="D4" s="451"/>
      <c r="E4" s="451"/>
      <c r="F4" s="451"/>
      <c r="G4" s="451"/>
      <c r="H4" s="451"/>
    </row>
    <row r="5" spans="1:16" s="457" customFormat="1" ht="16.5" thickBot="1">
      <c r="A5" s="453"/>
      <c r="B5" s="454"/>
      <c r="C5" s="455"/>
      <c r="D5" s="521" t="s">
        <v>341</v>
      </c>
      <c r="E5" s="522"/>
      <c r="F5" s="522"/>
      <c r="G5" s="522"/>
      <c r="H5" s="522"/>
      <c r="I5" s="523"/>
      <c r="J5" s="488"/>
      <c r="K5" s="489"/>
      <c r="L5" s="490"/>
      <c r="M5" s="454"/>
      <c r="N5" s="454"/>
      <c r="O5" s="454"/>
      <c r="P5" s="454"/>
    </row>
    <row r="6" spans="1:16" s="457" customFormat="1" ht="56.45" customHeight="1">
      <c r="A6" s="458" t="s">
        <v>319</v>
      </c>
      <c r="B6" s="459" t="s">
        <v>252</v>
      </c>
      <c r="C6" s="460"/>
      <c r="D6" s="461" t="s">
        <v>320</v>
      </c>
      <c r="E6" s="461" t="s">
        <v>342</v>
      </c>
      <c r="F6" s="461" t="s">
        <v>249</v>
      </c>
      <c r="G6" s="461" t="s">
        <v>23</v>
      </c>
      <c r="H6" s="461" t="s">
        <v>4</v>
      </c>
      <c r="I6" s="461" t="s">
        <v>56</v>
      </c>
      <c r="J6" s="461"/>
      <c r="K6" s="487" t="s">
        <v>321</v>
      </c>
      <c r="L6" s="487" t="s">
        <v>322</v>
      </c>
    </row>
    <row r="7" spans="1:16" s="457" customFormat="1">
      <c r="A7" s="463" t="s">
        <v>323</v>
      </c>
      <c r="B7" s="467">
        <v>3.5000000000000003E-2</v>
      </c>
      <c r="C7" s="468"/>
      <c r="D7" s="469">
        <v>0</v>
      </c>
      <c r="E7" s="469">
        <v>0</v>
      </c>
      <c r="F7" s="464">
        <v>-9990002.7400000002</v>
      </c>
      <c r="G7" s="469">
        <v>3150615.2519499999</v>
      </c>
      <c r="H7" s="464">
        <f t="shared" ref="H7:H16" si="0">ROUND(((F7)*(B7/12))+((SUM(G7)/2)*(B7/12)),2)</f>
        <v>-24542.86</v>
      </c>
      <c r="I7" s="464">
        <f>SUM(D7:H7)</f>
        <v>-6863930.3480500011</v>
      </c>
      <c r="J7" s="464"/>
      <c r="K7" s="465">
        <f>_xll.Get_Balance(A7,"YTD","USD","Total","A","","001","191000","GD","WA","DL")</f>
        <v>-6863930.1399999997</v>
      </c>
      <c r="L7" s="466">
        <f t="shared" ref="L7:L21" si="1">K7-I7</f>
        <v>0.20805000141263008</v>
      </c>
    </row>
    <row r="8" spans="1:16" s="457" customFormat="1">
      <c r="A8" s="463" t="s">
        <v>324</v>
      </c>
      <c r="B8" s="467">
        <v>3.5000000000000003E-2</v>
      </c>
      <c r="C8" s="468"/>
      <c r="D8" s="469">
        <v>0</v>
      </c>
      <c r="E8" s="469">
        <v>0</v>
      </c>
      <c r="F8" s="464">
        <f t="shared" ref="F8:F16" si="2">I7+E8</f>
        <v>-6863930.3480500011</v>
      </c>
      <c r="G8" s="469">
        <v>2304083.3887400003</v>
      </c>
      <c r="H8" s="464">
        <f t="shared" si="0"/>
        <v>-16659.68</v>
      </c>
      <c r="I8" s="464">
        <f t="shared" ref="I8:I21" si="3">SUM(D8:H8)</f>
        <v>-4576506.6393100005</v>
      </c>
      <c r="J8" s="464"/>
      <c r="K8" s="465">
        <f>_xll.Get_Balance(A8,"YTD","USD","Total","A","","001","191000","GD","WA","DL")</f>
        <v>-4576506.43</v>
      </c>
      <c r="L8" s="466">
        <f t="shared" si="1"/>
        <v>0.20931000076234341</v>
      </c>
    </row>
    <row r="9" spans="1:16" s="457" customFormat="1">
      <c r="A9" s="463" t="s">
        <v>325</v>
      </c>
      <c r="B9" s="467">
        <v>3.5000000000000003E-2</v>
      </c>
      <c r="C9" s="468"/>
      <c r="D9" s="469">
        <v>0</v>
      </c>
      <c r="E9" s="469">
        <v>0</v>
      </c>
      <c r="F9" s="464">
        <f t="shared" si="2"/>
        <v>-4576506.6393100005</v>
      </c>
      <c r="G9" s="469">
        <v>1736541.60424</v>
      </c>
      <c r="H9" s="464">
        <f t="shared" si="0"/>
        <v>-10815.69</v>
      </c>
      <c r="I9" s="464">
        <f t="shared" si="3"/>
        <v>-2850780.7250700002</v>
      </c>
      <c r="J9" s="464"/>
      <c r="K9" s="465">
        <f>_xll.Get_Balance(A9,"YTD","USD","Total","A","","001","191000","GD","WA","DL")</f>
        <v>-2850780.51</v>
      </c>
      <c r="L9" s="466">
        <f t="shared" si="1"/>
        <v>0.21507000038400292</v>
      </c>
    </row>
    <row r="10" spans="1:16" s="457" customFormat="1">
      <c r="A10" s="463" t="s">
        <v>326</v>
      </c>
      <c r="B10" s="467">
        <v>3.7100000000000001E-2</v>
      </c>
      <c r="C10" s="468"/>
      <c r="D10" s="469">
        <v>0</v>
      </c>
      <c r="E10" s="469">
        <v>0</v>
      </c>
      <c r="F10" s="464">
        <f t="shared" si="2"/>
        <v>-2850780.7250700002</v>
      </c>
      <c r="G10" s="469">
        <v>1190246.3468200001</v>
      </c>
      <c r="H10" s="464">
        <f t="shared" si="0"/>
        <v>-6973.74</v>
      </c>
      <c r="I10" s="464">
        <f t="shared" si="3"/>
        <v>-1667508.1182500001</v>
      </c>
      <c r="J10" s="464"/>
      <c r="K10" s="465">
        <f>_xll.Get_Balance(A10,"YTD","USD","Total","A","","001","191000","GD","WA","DL")</f>
        <v>-1667507.9</v>
      </c>
      <c r="L10" s="466">
        <f t="shared" si="1"/>
        <v>0.21825000015087426</v>
      </c>
    </row>
    <row r="11" spans="1:16" s="457" customFormat="1">
      <c r="A11" s="463" t="s">
        <v>327</v>
      </c>
      <c r="B11" s="467">
        <v>3.7100000000000001E-2</v>
      </c>
      <c r="C11" s="468"/>
      <c r="D11" s="469">
        <v>0</v>
      </c>
      <c r="E11" s="469">
        <v>0</v>
      </c>
      <c r="F11" s="464">
        <f t="shared" si="2"/>
        <v>-1667508.1182500001</v>
      </c>
      <c r="G11" s="469">
        <v>643346.16116000002</v>
      </c>
      <c r="H11" s="464">
        <f t="shared" si="0"/>
        <v>-4160.87</v>
      </c>
      <c r="I11" s="464">
        <f t="shared" si="3"/>
        <v>-1028322.82709</v>
      </c>
      <c r="J11" s="464"/>
      <c r="K11" s="465">
        <f>_xll.Get_Balance(A11,"YTD","USD","Total","A","","001","191000","GD","WA","DL")</f>
        <v>-1028322.61</v>
      </c>
      <c r="L11" s="466">
        <f t="shared" si="1"/>
        <v>0.21709000004921108</v>
      </c>
    </row>
    <row r="12" spans="1:16" s="457" customFormat="1">
      <c r="A12" s="463" t="s">
        <v>328</v>
      </c>
      <c r="B12" s="467">
        <v>3.7100000000000001E-2</v>
      </c>
      <c r="C12" s="468"/>
      <c r="D12" s="469">
        <v>0</v>
      </c>
      <c r="E12" s="469">
        <v>0</v>
      </c>
      <c r="F12" s="464">
        <f t="shared" si="2"/>
        <v>-1028322.82709</v>
      </c>
      <c r="G12" s="469">
        <v>382561.98726999998</v>
      </c>
      <c r="H12" s="464">
        <f t="shared" si="0"/>
        <v>-2587.85</v>
      </c>
      <c r="I12" s="464">
        <f t="shared" si="3"/>
        <v>-648348.68982000009</v>
      </c>
      <c r="J12" s="464"/>
      <c r="K12" s="465">
        <f>_xll.Get_Balance(A12,"YTD","USD","Total","A","","001","191000","GD","WA","DL")</f>
        <v>-648348.48</v>
      </c>
      <c r="L12" s="466">
        <f t="shared" si="1"/>
        <v>0.20982000010553747</v>
      </c>
    </row>
    <row r="13" spans="1:16" s="457" customFormat="1">
      <c r="A13" s="463" t="s">
        <v>329</v>
      </c>
      <c r="B13" s="467">
        <v>3.9600000000000003E-2</v>
      </c>
      <c r="C13" s="468"/>
      <c r="D13" s="469">
        <v>0</v>
      </c>
      <c r="E13" s="469">
        <v>0</v>
      </c>
      <c r="F13" s="464">
        <f t="shared" si="2"/>
        <v>-648348.68982000009</v>
      </c>
      <c r="G13" s="469">
        <v>307250.94208999997</v>
      </c>
      <c r="H13" s="464">
        <f t="shared" si="0"/>
        <v>-1632.59</v>
      </c>
      <c r="I13" s="464">
        <f t="shared" si="3"/>
        <v>-342730.33773000014</v>
      </c>
      <c r="J13" s="464"/>
      <c r="K13" s="465">
        <f>_xll.Get_Balance(A13,"YTD","USD","Total","A","","001","191000","GD","WA","DL")</f>
        <v>-342730.12</v>
      </c>
      <c r="L13" s="466">
        <f t="shared" si="1"/>
        <v>0.21773000014945865</v>
      </c>
    </row>
    <row r="14" spans="1:16" s="457" customFormat="1">
      <c r="A14" s="463" t="s">
        <v>330</v>
      </c>
      <c r="B14" s="467">
        <v>3.9600000000000003E-2</v>
      </c>
      <c r="C14" s="468"/>
      <c r="D14" s="469">
        <v>0</v>
      </c>
      <c r="E14" s="469">
        <v>0</v>
      </c>
      <c r="F14" s="464">
        <f t="shared" si="2"/>
        <v>-342730.33773000014</v>
      </c>
      <c r="G14" s="469">
        <v>310200.28219000006</v>
      </c>
      <c r="H14" s="464">
        <f t="shared" si="0"/>
        <v>-619.17999999999995</v>
      </c>
      <c r="I14" s="464">
        <f t="shared" si="3"/>
        <v>-33149.235540000089</v>
      </c>
      <c r="J14" s="464"/>
      <c r="K14" s="465">
        <f>_xll.Get_Balance(A14,"YTD","USD","Total","A","","001","191000","GD","WA","DL")</f>
        <v>-33149.019999999997</v>
      </c>
      <c r="L14" s="466">
        <f t="shared" si="1"/>
        <v>0.21554000009200536</v>
      </c>
    </row>
    <row r="15" spans="1:16" s="457" customFormat="1">
      <c r="A15" s="463" t="s">
        <v>331</v>
      </c>
      <c r="B15" s="467">
        <v>3.9600000000000003E-2</v>
      </c>
      <c r="C15" s="468"/>
      <c r="D15" s="469">
        <v>0</v>
      </c>
      <c r="E15" s="469">
        <v>0</v>
      </c>
      <c r="F15" s="464">
        <f t="shared" si="2"/>
        <v>-33149.235540000089</v>
      </c>
      <c r="G15" s="469">
        <v>461554.45064999996</v>
      </c>
      <c r="H15" s="464">
        <f t="shared" si="0"/>
        <v>652.16999999999996</v>
      </c>
      <c r="I15" s="464">
        <f t="shared" si="3"/>
        <v>429057.38510999986</v>
      </c>
      <c r="J15" s="464"/>
      <c r="K15" s="465">
        <f>_xll.Get_Balance(A15,"YTD","USD","Total","A","","001","191000","GD","WA","DL")</f>
        <v>429057.6</v>
      </c>
      <c r="L15" s="466">
        <f t="shared" si="1"/>
        <v>0.21489000011933967</v>
      </c>
    </row>
    <row r="16" spans="1:16" s="457" customFormat="1">
      <c r="A16" s="463" t="s">
        <v>332</v>
      </c>
      <c r="B16" s="467">
        <v>4.2099999999999999E-2</v>
      </c>
      <c r="C16" s="468"/>
      <c r="D16" s="469">
        <v>0</v>
      </c>
      <c r="E16" s="469">
        <v>0</v>
      </c>
      <c r="F16" s="464">
        <f t="shared" si="2"/>
        <v>429057.38510999986</v>
      </c>
      <c r="G16" s="469">
        <v>1086057.4122600001</v>
      </c>
      <c r="H16" s="464">
        <f t="shared" si="0"/>
        <v>3410.4</v>
      </c>
      <c r="I16" s="464">
        <f t="shared" si="3"/>
        <v>1518525.19737</v>
      </c>
      <c r="J16" s="464"/>
      <c r="K16" s="465">
        <f>_xll.Get_Balance(A16,"YTD","USD","Total","A","","001","191000","GD","WA","DL")</f>
        <v>1518525.41</v>
      </c>
      <c r="L16" s="466">
        <f t="shared" si="1"/>
        <v>0.21262999996542931</v>
      </c>
    </row>
    <row r="17" spans="1:14" s="457" customFormat="1">
      <c r="A17" s="463" t="s">
        <v>333</v>
      </c>
      <c r="B17" s="467">
        <v>4.2099999999999999E-2</v>
      </c>
      <c r="C17" s="468"/>
      <c r="D17" s="469">
        <v>0</v>
      </c>
      <c r="E17" s="469">
        <v>-14771212.550000001</v>
      </c>
      <c r="F17" s="464">
        <f>I16</f>
        <v>1518525.19737</v>
      </c>
      <c r="G17" s="469">
        <v>1765228</v>
      </c>
      <c r="H17" s="464">
        <f>ROUND(((I16+E17)*(B17/12))+((G17/2)*(B17/12)),2)</f>
        <v>-43398.34</v>
      </c>
      <c r="I17" s="464">
        <f t="shared" si="3"/>
        <v>-11530857.69263</v>
      </c>
      <c r="J17" s="464"/>
      <c r="K17" s="465">
        <f>_xll.Get_Balance(A17,"YTD","USD","Total","A","","001","191000","GD","WA","DL")</f>
        <v>-11530628.439999999</v>
      </c>
      <c r="L17" s="466">
        <f t="shared" si="1"/>
        <v>229.252630000934</v>
      </c>
      <c r="M17" s="491"/>
    </row>
    <row r="18" spans="1:14" s="457" customFormat="1" ht="15.75" thickBot="1">
      <c r="A18" s="471" t="s">
        <v>334</v>
      </c>
      <c r="B18" s="472">
        <v>4.2099999999999999E-2</v>
      </c>
      <c r="C18" s="468"/>
      <c r="D18" s="473">
        <v>130571.12</v>
      </c>
      <c r="E18" s="473">
        <v>0</v>
      </c>
      <c r="F18" s="474">
        <f>I17</f>
        <v>-11530857.69263</v>
      </c>
      <c r="G18" s="473">
        <v>2662901</v>
      </c>
      <c r="H18" s="474">
        <f>ROUND(((I17+E18)*(B18/12))+(((G18+D18)/2)*(B18/12)),2)</f>
        <v>-35553.879999999997</v>
      </c>
      <c r="I18" s="474">
        <f>SUM(D18:H18)</f>
        <v>-8772939.4526300021</v>
      </c>
      <c r="J18" s="474"/>
      <c r="K18" s="475">
        <f>_xll.Get_Balance(A18,"YTD","USD","Total","A","","001","191000","GD","WA","DL")</f>
        <v>-8772480.3499999996</v>
      </c>
      <c r="L18" s="476">
        <f t="shared" si="1"/>
        <v>459.10263000242412</v>
      </c>
      <c r="N18" s="486"/>
    </row>
    <row r="19" spans="1:14" s="457" customFormat="1" collapsed="1">
      <c r="A19" s="477" t="s">
        <v>335</v>
      </c>
      <c r="B19" s="478">
        <v>4.2500000000000003E-2</v>
      </c>
      <c r="C19" s="468"/>
      <c r="D19" s="479">
        <v>0</v>
      </c>
      <c r="E19" s="479">
        <v>0</v>
      </c>
      <c r="F19" s="480">
        <f t="shared" ref="F19:F24" si="4">I18+E19</f>
        <v>-8772939.4526300021</v>
      </c>
      <c r="G19" s="479">
        <v>2350032.8516000002</v>
      </c>
      <c r="H19" s="480">
        <f>ROUND(((F19+G19/2)*B19/12),2)</f>
        <v>-26909.31</v>
      </c>
      <c r="I19" s="480">
        <f>SUM(D19:H19)</f>
        <v>-6449815.911030001</v>
      </c>
      <c r="J19" s="480"/>
      <c r="K19" s="465">
        <f>_xll.Get_Balance(A19,"YTD","USD","Total","A","","001","191000","GD","WA","DL")</f>
        <v>-6449815.9100000001</v>
      </c>
      <c r="L19" s="466">
        <f t="shared" si="1"/>
        <v>1.0300008580088615E-3</v>
      </c>
    </row>
    <row r="20" spans="1:14" s="457" customFormat="1">
      <c r="A20" s="463" t="s">
        <v>336</v>
      </c>
      <c r="B20" s="478">
        <v>4.2500000000000003E-2</v>
      </c>
      <c r="C20" s="468"/>
      <c r="D20" s="469">
        <v>-370.51</v>
      </c>
      <c r="E20" s="469">
        <v>0</v>
      </c>
      <c r="F20" s="480">
        <f t="shared" si="4"/>
        <v>-6449815.911030001</v>
      </c>
      <c r="G20" s="479">
        <v>2209994.9905999997</v>
      </c>
      <c r="H20" s="464">
        <f>ROUND(((I19+E20)*(B20/12))+((SUM(G20+D20)/2)*(B20/12)),2)</f>
        <v>-18930.22</v>
      </c>
      <c r="I20" s="464">
        <f t="shared" si="3"/>
        <v>-4259121.6504300004</v>
      </c>
      <c r="J20" s="464"/>
      <c r="K20" s="465">
        <f>_xll.Get_Balance(A20,"YTD","USD","Total","A","","001","191000","GD","WA","DL")</f>
        <v>-4259121.6500000004</v>
      </c>
      <c r="L20" s="466">
        <f t="shared" si="1"/>
        <v>4.3000001460313797E-4</v>
      </c>
    </row>
    <row r="21" spans="1:14" s="457" customFormat="1">
      <c r="A21" s="463" t="s">
        <v>337</v>
      </c>
      <c r="B21" s="478">
        <v>4.2500000000000003E-2</v>
      </c>
      <c r="C21" s="468"/>
      <c r="D21" s="469">
        <v>0</v>
      </c>
      <c r="E21" s="469">
        <v>0</v>
      </c>
      <c r="F21" s="480">
        <f t="shared" si="4"/>
        <v>-4259121.6504300004</v>
      </c>
      <c r="G21" s="479">
        <v>1867178.4966399998</v>
      </c>
      <c r="H21" s="464">
        <f>ROUND(((F21+G21/2)*B21/12),2)</f>
        <v>-11777.93</v>
      </c>
      <c r="I21" s="464">
        <f t="shared" si="3"/>
        <v>-2403721.083790001</v>
      </c>
      <c r="J21" s="464"/>
      <c r="K21" s="465">
        <f>_xll.Get_Balance(A21,"YTD","USD","Total","A","","001","191000","GD","WA","DL")</f>
        <v>-2403721.08</v>
      </c>
      <c r="L21" s="466">
        <f t="shared" si="1"/>
        <v>3.790000919252634E-3</v>
      </c>
      <c r="N21" s="486"/>
    </row>
    <row r="22" spans="1:14" s="457" customFormat="1" collapsed="1">
      <c r="A22" s="463" t="s">
        <v>344</v>
      </c>
      <c r="B22" s="478">
        <v>4.4699999999999997E-2</v>
      </c>
      <c r="C22" s="468"/>
      <c r="D22" s="479">
        <v>0</v>
      </c>
      <c r="E22" s="479">
        <v>0</v>
      </c>
      <c r="F22" s="480">
        <f t="shared" si="4"/>
        <v>-2403721.083790001</v>
      </c>
      <c r="G22" s="479">
        <v>1219451.78287</v>
      </c>
      <c r="H22" s="480">
        <f>ROUND(((F22+G22/2)*B22/12),2)</f>
        <v>-6682.63</v>
      </c>
      <c r="I22" s="480">
        <f>SUM(D22:H22)</f>
        <v>-1190951.9309200009</v>
      </c>
      <c r="J22" s="480"/>
      <c r="K22" s="465">
        <f>_xll.Get_Balance(A22,"YTD","USD","Total","A","","001","191000","GD","WA","DL")</f>
        <v>-1190951.93</v>
      </c>
      <c r="L22" s="466">
        <f t="shared" ref="L22:L24" si="5">K22-I22</f>
        <v>9.2000095173716545E-4</v>
      </c>
    </row>
    <row r="23" spans="1:14" s="457" customFormat="1">
      <c r="A23" s="463" t="s">
        <v>345</v>
      </c>
      <c r="B23" s="478">
        <v>4.4699999999999997E-2</v>
      </c>
      <c r="C23" s="468"/>
      <c r="D23" s="479">
        <v>0</v>
      </c>
      <c r="E23" s="469">
        <v>0</v>
      </c>
      <c r="F23" s="480">
        <f t="shared" si="4"/>
        <v>-1190951.9309200009</v>
      </c>
      <c r="G23" s="479">
        <v>474750.83091000002</v>
      </c>
      <c r="H23" s="464">
        <f>ROUND(((I22+E23)*(B23/12))+((SUM(G23+D23)/2)*(B23/12)),2)</f>
        <v>-3552.07</v>
      </c>
      <c r="I23" s="464">
        <f t="shared" ref="I23:I24" si="6">SUM(D23:H23)</f>
        <v>-719753.17001000082</v>
      </c>
      <c r="J23" s="464"/>
      <c r="K23" s="465">
        <f>_xll.Get_Balance(A23,"YTD","USD","Total","A","","001","191000","GD","WA","DL")</f>
        <v>-719753.17</v>
      </c>
      <c r="L23" s="466">
        <f t="shared" si="5"/>
        <v>1.0000774636864662E-5</v>
      </c>
    </row>
    <row r="24" spans="1:14" s="457" customFormat="1">
      <c r="A24" s="463" t="s">
        <v>346</v>
      </c>
      <c r="B24" s="478">
        <v>4.4699999999999997E-2</v>
      </c>
      <c r="C24" s="468"/>
      <c r="D24" s="469">
        <v>0</v>
      </c>
      <c r="E24" s="469">
        <v>0</v>
      </c>
      <c r="F24" s="480">
        <f t="shared" si="4"/>
        <v>-719753.17001000082</v>
      </c>
      <c r="G24" s="479">
        <v>397631.36375999998</v>
      </c>
      <c r="H24" s="464">
        <f>ROUND(((F24+G24/2)*B24/12),2)</f>
        <v>-1940.49</v>
      </c>
      <c r="I24" s="464">
        <f t="shared" si="6"/>
        <v>-324062.29625000083</v>
      </c>
      <c r="J24" s="464"/>
      <c r="K24" s="465">
        <f>_xll.Get_Balance(A24,"YTD","USD","Total","A","","001","191000","GD","WA","DL")</f>
        <v>-324062.3</v>
      </c>
      <c r="L24" s="466">
        <f t="shared" si="5"/>
        <v>-3.7499991594813764E-3</v>
      </c>
      <c r="N24" s="486"/>
    </row>
  </sheetData>
  <mergeCells count="1">
    <mergeCell ref="D5:I5"/>
  </mergeCells>
  <pageMargins left="0.7" right="0" top="0.75" bottom="0.75" header="0.3" footer="0.3"/>
  <pageSetup scale="5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P24"/>
  <sheetViews>
    <sheetView zoomScale="85" zoomScaleNormal="85" workbookViewId="0">
      <selection activeCell="M24" sqref="M24"/>
    </sheetView>
  </sheetViews>
  <sheetFormatPr defaultColWidth="8.85546875" defaultRowHeight="15"/>
  <cols>
    <col min="1" max="1" width="9.140625" style="454" customWidth="1"/>
    <col min="2" max="2" width="8.85546875" style="454"/>
    <col min="3" max="3" width="1.7109375" style="455" customWidth="1"/>
    <col min="4" max="4" width="11.7109375" style="455" customWidth="1"/>
    <col min="5" max="5" width="13.7109375" style="454" customWidth="1"/>
    <col min="6" max="7" width="14.28515625" style="485" customWidth="1"/>
    <col min="8" max="8" width="14.7109375" style="454" bestFit="1" customWidth="1"/>
    <col min="9" max="9" width="13.7109375" style="454" customWidth="1"/>
    <col min="10" max="10" width="1.7109375" style="454" customWidth="1"/>
    <col min="11" max="11" width="15.28515625" style="485" bestFit="1" customWidth="1"/>
    <col min="12" max="12" width="12.7109375" style="455" bestFit="1" customWidth="1"/>
    <col min="13" max="13" width="13.5703125" style="454" customWidth="1"/>
    <col min="14" max="14" width="13.85546875" style="454" bestFit="1" customWidth="1"/>
    <col min="15" max="17" width="8.85546875" style="454"/>
    <col min="18" max="18" width="12.7109375" style="454" customWidth="1"/>
    <col min="19" max="20" width="13.140625" style="454" bestFit="1" customWidth="1"/>
    <col min="21" max="16384" width="8.85546875" style="454"/>
  </cols>
  <sheetData>
    <row r="1" spans="1:16" s="449" customFormat="1" ht="15.75">
      <c r="A1" s="447" t="s">
        <v>13</v>
      </c>
      <c r="B1" s="448"/>
      <c r="C1" s="448"/>
      <c r="D1" s="448"/>
      <c r="E1" s="448"/>
      <c r="F1" s="448"/>
      <c r="G1" s="448"/>
      <c r="H1" s="448"/>
    </row>
    <row r="2" spans="1:16" s="449" customFormat="1" ht="15.75">
      <c r="A2" s="447" t="s">
        <v>46</v>
      </c>
      <c r="B2" s="448"/>
      <c r="C2" s="448"/>
      <c r="D2" s="448"/>
      <c r="E2" s="448"/>
      <c r="F2" s="448"/>
      <c r="G2" s="448"/>
      <c r="H2" s="448"/>
    </row>
    <row r="3" spans="1:16" s="449" customFormat="1" ht="15.75">
      <c r="A3" s="447" t="s">
        <v>340</v>
      </c>
      <c r="B3" s="448"/>
      <c r="C3" s="448"/>
      <c r="D3" s="448"/>
      <c r="E3" s="448"/>
      <c r="F3" s="448"/>
      <c r="G3" s="448"/>
      <c r="H3" s="448"/>
    </row>
    <row r="4" spans="1:16" s="452" customFormat="1" ht="18.75" thickBot="1">
      <c r="A4" s="450"/>
      <c r="B4" s="451"/>
      <c r="C4" s="451"/>
      <c r="D4" s="451"/>
      <c r="E4" s="451"/>
      <c r="F4" s="451"/>
      <c r="G4" s="451"/>
      <c r="H4" s="451"/>
    </row>
    <row r="5" spans="1:16" s="457" customFormat="1" ht="16.5" thickBot="1">
      <c r="A5" s="453"/>
      <c r="B5" s="454"/>
      <c r="C5" s="455"/>
      <c r="D5" s="521" t="s">
        <v>341</v>
      </c>
      <c r="E5" s="522"/>
      <c r="F5" s="522"/>
      <c r="G5" s="522"/>
      <c r="H5" s="522"/>
      <c r="I5" s="523"/>
      <c r="J5" s="488"/>
      <c r="K5" s="489"/>
      <c r="L5" s="490"/>
      <c r="M5" s="454"/>
      <c r="N5" s="454"/>
      <c r="O5" s="454"/>
      <c r="P5" s="454"/>
    </row>
    <row r="6" spans="1:16" s="457" customFormat="1" ht="56.45" customHeight="1">
      <c r="A6" s="458" t="s">
        <v>319</v>
      </c>
      <c r="B6" s="459" t="s">
        <v>252</v>
      </c>
      <c r="C6" s="460"/>
      <c r="D6" s="461" t="s">
        <v>320</v>
      </c>
      <c r="E6" s="461" t="s">
        <v>342</v>
      </c>
      <c r="F6" s="461" t="s">
        <v>249</v>
      </c>
      <c r="G6" s="461" t="s">
        <v>23</v>
      </c>
      <c r="H6" s="461" t="s">
        <v>4</v>
      </c>
      <c r="I6" s="461" t="s">
        <v>56</v>
      </c>
      <c r="J6" s="461"/>
      <c r="K6" s="487" t="s">
        <v>321</v>
      </c>
      <c r="L6" s="487" t="s">
        <v>322</v>
      </c>
    </row>
    <row r="7" spans="1:16" s="457" customFormat="1">
      <c r="A7" s="463" t="s">
        <v>323</v>
      </c>
      <c r="B7" s="467">
        <v>0.01</v>
      </c>
      <c r="C7" s="468"/>
      <c r="D7" s="469">
        <v>0</v>
      </c>
      <c r="E7" s="469">
        <v>0</v>
      </c>
      <c r="F7" s="464">
        <v>-4876312.2</v>
      </c>
      <c r="G7" s="469">
        <v>1485669.0544799999</v>
      </c>
      <c r="H7" s="464">
        <f t="shared" ref="H7:H16" si="0">ROUND(((F7)*(B7/12))+((SUM(G7)/2)*(B7/12)),2)</f>
        <v>-3444.56</v>
      </c>
      <c r="I7" s="464">
        <f>SUM(D7:H7)</f>
        <v>-3394087.7055200003</v>
      </c>
      <c r="J7" s="464"/>
      <c r="K7" s="465">
        <f>_xll.Get_Balance(A7,"YTD","USD","Total","A","","001","191000","GD","ID","DL")</f>
        <v>-3394087.71</v>
      </c>
      <c r="L7" s="466">
        <f t="shared" ref="L7:L21" si="1">K7-I7</f>
        <v>-4.4799996539950371E-3</v>
      </c>
    </row>
    <row r="8" spans="1:16" s="457" customFormat="1">
      <c r="A8" s="463" t="s">
        <v>324</v>
      </c>
      <c r="B8" s="467">
        <v>0.01</v>
      </c>
      <c r="C8" s="468"/>
      <c r="D8" s="469">
        <v>0</v>
      </c>
      <c r="E8" s="469">
        <v>0</v>
      </c>
      <c r="F8" s="464">
        <f t="shared" ref="F8:F16" si="2">I7+E8</f>
        <v>-3394087.7055200003</v>
      </c>
      <c r="G8" s="469">
        <v>1040390.9957999999</v>
      </c>
      <c r="H8" s="464">
        <f t="shared" si="0"/>
        <v>-2394.91</v>
      </c>
      <c r="I8" s="464">
        <f t="shared" ref="I8:I21" si="3">SUM(D8:H8)</f>
        <v>-2356091.6197200008</v>
      </c>
      <c r="J8" s="464"/>
      <c r="K8" s="465">
        <f>_xll.Get_Balance(A8,"YTD","USD","Total","A","","001","191000","GD","ID","DL")</f>
        <v>-2356091.62</v>
      </c>
      <c r="L8" s="466">
        <f t="shared" si="1"/>
        <v>-2.7999933809041977E-4</v>
      </c>
    </row>
    <row r="9" spans="1:16" s="457" customFormat="1">
      <c r="A9" s="463" t="s">
        <v>325</v>
      </c>
      <c r="B9" s="467">
        <v>0.01</v>
      </c>
      <c r="C9" s="468"/>
      <c r="D9" s="469">
        <v>0</v>
      </c>
      <c r="E9" s="469">
        <v>0</v>
      </c>
      <c r="F9" s="464">
        <f t="shared" si="2"/>
        <v>-2356091.6197200008</v>
      </c>
      <c r="G9" s="469">
        <v>891458.62103999988</v>
      </c>
      <c r="H9" s="464">
        <f t="shared" si="0"/>
        <v>-1591.97</v>
      </c>
      <c r="I9" s="464">
        <f t="shared" si="3"/>
        <v>-1466224.9686800009</v>
      </c>
      <c r="J9" s="464"/>
      <c r="K9" s="465">
        <f>_xll.Get_Balance(A9,"YTD","USD","Total","A","","001","191000","GD","ID","DL")</f>
        <v>-1466224.97</v>
      </c>
      <c r="L9" s="466">
        <f t="shared" si="1"/>
        <v>-1.3199991080909967E-3</v>
      </c>
    </row>
    <row r="10" spans="1:16" s="457" customFormat="1">
      <c r="A10" s="463" t="s">
        <v>326</v>
      </c>
      <c r="B10" s="467">
        <v>0.01</v>
      </c>
      <c r="C10" s="468"/>
      <c r="D10" s="469">
        <v>0</v>
      </c>
      <c r="E10" s="469">
        <v>0</v>
      </c>
      <c r="F10" s="464">
        <f t="shared" si="2"/>
        <v>-1466224.9686800009</v>
      </c>
      <c r="G10" s="469">
        <v>625286.12223999994</v>
      </c>
      <c r="H10" s="464">
        <f t="shared" si="0"/>
        <v>-961.32</v>
      </c>
      <c r="I10" s="464">
        <f t="shared" si="3"/>
        <v>-841900.16644000087</v>
      </c>
      <c r="J10" s="464"/>
      <c r="K10" s="465">
        <f>_xll.Get_Balance(A10,"YTD","USD","Total","A","","001","191000","GD","ID","DL")</f>
        <v>-841900.17</v>
      </c>
      <c r="L10" s="466">
        <f t="shared" si="1"/>
        <v>-3.5599991679191589E-3</v>
      </c>
    </row>
    <row r="11" spans="1:16" s="457" customFormat="1">
      <c r="A11" s="463" t="s">
        <v>327</v>
      </c>
      <c r="B11" s="467">
        <v>0.01</v>
      </c>
      <c r="C11" s="468"/>
      <c r="D11" s="469">
        <v>0</v>
      </c>
      <c r="E11" s="469">
        <v>0</v>
      </c>
      <c r="F11" s="464">
        <f t="shared" si="2"/>
        <v>-841900.16644000087</v>
      </c>
      <c r="G11" s="469">
        <v>365738.12703999999</v>
      </c>
      <c r="H11" s="464">
        <f t="shared" si="0"/>
        <v>-549.19000000000005</v>
      </c>
      <c r="I11" s="464">
        <f t="shared" si="3"/>
        <v>-476711.22940000088</v>
      </c>
      <c r="J11" s="464"/>
      <c r="K11" s="465">
        <f>_xll.Get_Balance(A11,"YTD","USD","Total","A","","001","191000","GD","ID","DL")</f>
        <v>-476711.24</v>
      </c>
      <c r="L11" s="466">
        <f t="shared" si="1"/>
        <v>-1.0599999106489122E-2</v>
      </c>
    </row>
    <row r="12" spans="1:16" s="457" customFormat="1">
      <c r="A12" s="463" t="s">
        <v>328</v>
      </c>
      <c r="B12" s="467">
        <v>0.01</v>
      </c>
      <c r="C12" s="468"/>
      <c r="D12" s="469">
        <v>0</v>
      </c>
      <c r="E12" s="469">
        <v>0</v>
      </c>
      <c r="F12" s="464">
        <f t="shared" si="2"/>
        <v>-476711.22940000088</v>
      </c>
      <c r="G12" s="469">
        <v>237611.55235999997</v>
      </c>
      <c r="H12" s="464">
        <f t="shared" si="0"/>
        <v>-298.25</v>
      </c>
      <c r="I12" s="464">
        <f t="shared" si="3"/>
        <v>-239397.92704000091</v>
      </c>
      <c r="J12" s="464"/>
      <c r="K12" s="465">
        <f>_xll.Get_Balance(A12,"YTD","USD","Total","A","","001","191000","GD","ID","DL")</f>
        <v>-239397.94</v>
      </c>
      <c r="L12" s="466">
        <f t="shared" si="1"/>
        <v>-1.2959999090526253E-2</v>
      </c>
    </row>
    <row r="13" spans="1:16" s="457" customFormat="1">
      <c r="A13" s="463" t="s">
        <v>329</v>
      </c>
      <c r="B13" s="467">
        <v>0.01</v>
      </c>
      <c r="C13" s="468"/>
      <c r="D13" s="469">
        <v>0</v>
      </c>
      <c r="E13" s="469">
        <v>0</v>
      </c>
      <c r="F13" s="464">
        <f t="shared" si="2"/>
        <v>-239397.92704000091</v>
      </c>
      <c r="G13" s="469">
        <v>187929.91619999998</v>
      </c>
      <c r="H13" s="464">
        <f t="shared" si="0"/>
        <v>-121.19</v>
      </c>
      <c r="I13" s="464">
        <f t="shared" si="3"/>
        <v>-51589.200840000936</v>
      </c>
      <c r="J13" s="464"/>
      <c r="K13" s="465">
        <f>_xll.Get_Balance(A13,"YTD","USD","Total","A","","001","191000","GD","ID","DL")</f>
        <v>-51589.22</v>
      </c>
      <c r="L13" s="466">
        <f t="shared" si="1"/>
        <v>-1.9159999064868316E-2</v>
      </c>
    </row>
    <row r="14" spans="1:16" s="457" customFormat="1">
      <c r="A14" s="463" t="s">
        <v>330</v>
      </c>
      <c r="B14" s="467">
        <v>0.01</v>
      </c>
      <c r="C14" s="468"/>
      <c r="D14" s="469">
        <v>0</v>
      </c>
      <c r="E14" s="469">
        <v>0</v>
      </c>
      <c r="F14" s="464">
        <f t="shared" si="2"/>
        <v>-51589.200840000936</v>
      </c>
      <c r="G14" s="469">
        <v>219009.42128000001</v>
      </c>
      <c r="H14" s="464">
        <f t="shared" si="0"/>
        <v>48.26</v>
      </c>
      <c r="I14" s="464">
        <f t="shared" si="3"/>
        <v>167468.48043999908</v>
      </c>
      <c r="J14" s="464"/>
      <c r="K14" s="465">
        <f>_xll.Get_Balance(A14,"YTD","USD","Total","A","","001","191000","GD","ID","DL")</f>
        <v>167468.46</v>
      </c>
      <c r="L14" s="466">
        <f t="shared" si="1"/>
        <v>-2.0439999090740457E-2</v>
      </c>
    </row>
    <row r="15" spans="1:16" s="457" customFormat="1">
      <c r="A15" s="463" t="s">
        <v>331</v>
      </c>
      <c r="B15" s="467">
        <v>0.01</v>
      </c>
      <c r="C15" s="468"/>
      <c r="D15" s="469">
        <v>0</v>
      </c>
      <c r="E15" s="469">
        <v>0</v>
      </c>
      <c r="F15" s="464">
        <f t="shared" si="2"/>
        <v>167468.48043999908</v>
      </c>
      <c r="G15" s="469">
        <v>226872.35427999997</v>
      </c>
      <c r="H15" s="464">
        <f t="shared" si="0"/>
        <v>234.09</v>
      </c>
      <c r="I15" s="464">
        <f t="shared" si="3"/>
        <v>394574.92471999908</v>
      </c>
      <c r="J15" s="464"/>
      <c r="K15" s="465">
        <f>_xll.Get_Balance(A15,"YTD","USD","Total","A","","001","191000","GD","ID","DL")</f>
        <v>394574.9</v>
      </c>
      <c r="L15" s="466">
        <f t="shared" si="1"/>
        <v>-2.4719999055378139E-2</v>
      </c>
    </row>
    <row r="16" spans="1:16" s="457" customFormat="1">
      <c r="A16" s="463" t="s">
        <v>332</v>
      </c>
      <c r="B16" s="467">
        <v>0.01</v>
      </c>
      <c r="C16" s="468"/>
      <c r="D16" s="469">
        <v>0</v>
      </c>
      <c r="E16" s="469">
        <v>0</v>
      </c>
      <c r="F16" s="464">
        <f t="shared" si="2"/>
        <v>394574.92471999908</v>
      </c>
      <c r="G16" s="469">
        <v>629393.18415999995</v>
      </c>
      <c r="H16" s="464">
        <f t="shared" si="0"/>
        <v>591.05999999999995</v>
      </c>
      <c r="I16" s="464">
        <f t="shared" si="3"/>
        <v>1024559.1688799991</v>
      </c>
      <c r="J16" s="464"/>
      <c r="K16" s="465">
        <f>_xll.Get_Balance(A16,"YTD","USD","Total","A","","001","191000","GD","ID","DL")</f>
        <v>1024559.14</v>
      </c>
      <c r="L16" s="466">
        <f t="shared" si="1"/>
        <v>-2.8879999066703022E-2</v>
      </c>
    </row>
    <row r="17" spans="1:14" s="457" customFormat="1">
      <c r="A17" s="463" t="s">
        <v>333</v>
      </c>
      <c r="B17" s="467">
        <v>0.01</v>
      </c>
      <c r="C17" s="468"/>
      <c r="D17" s="469">
        <v>-12233.26</v>
      </c>
      <c r="E17" s="469">
        <v>-7053834.8600000003</v>
      </c>
      <c r="F17" s="464">
        <f>I16</f>
        <v>1024559.1688799991</v>
      </c>
      <c r="G17" s="469">
        <v>886838</v>
      </c>
      <c r="H17" s="464">
        <f>ROUND(((I16+E17)*(B17/12))+((G17/2)*(B17/12)),2)</f>
        <v>-4654.88</v>
      </c>
      <c r="I17" s="464">
        <f t="shared" si="3"/>
        <v>-5159325.8311200012</v>
      </c>
      <c r="J17" s="464"/>
      <c r="K17" s="465">
        <f>_xll.Get_Balance(A17,"YTD","USD","Total","A","","001","191000","GD","ID","DL")</f>
        <v>-5159291.96</v>
      </c>
      <c r="L17" s="466">
        <f t="shared" si="1"/>
        <v>33.871120001189411</v>
      </c>
      <c r="M17" s="491"/>
    </row>
    <row r="18" spans="1:14" s="457" customFormat="1" ht="15.75" thickBot="1">
      <c r="A18" s="471" t="s">
        <v>334</v>
      </c>
      <c r="B18" s="472">
        <v>0.01</v>
      </c>
      <c r="C18" s="468"/>
      <c r="D18" s="473">
        <v>81340</v>
      </c>
      <c r="E18" s="473">
        <v>0</v>
      </c>
      <c r="F18" s="474">
        <f>I17</f>
        <v>-5159325.8311200012</v>
      </c>
      <c r="G18" s="473">
        <v>1270294</v>
      </c>
      <c r="H18" s="474">
        <f>ROUND(((F18+E18)*(B18/12))+(((G18+D18)/2)*(B18/12)),2)</f>
        <v>-3736.26</v>
      </c>
      <c r="I18" s="474">
        <f>SUM(D18:H18)</f>
        <v>-3811428.0911200009</v>
      </c>
      <c r="J18" s="474"/>
      <c r="K18" s="475">
        <f>_xll.Get_Balance(A18,"YTD","USD","Total","A","","001","191000","GD","ID","DL")</f>
        <v>-3811350.1</v>
      </c>
      <c r="L18" s="476">
        <f t="shared" si="1"/>
        <v>77.991120000835508</v>
      </c>
      <c r="N18" s="486"/>
    </row>
    <row r="19" spans="1:14" s="457" customFormat="1" collapsed="1">
      <c r="A19" s="477" t="s">
        <v>335</v>
      </c>
      <c r="B19" s="478">
        <v>0.01</v>
      </c>
      <c r="C19" s="468"/>
      <c r="D19" s="479">
        <v>0</v>
      </c>
      <c r="E19" s="479">
        <v>0</v>
      </c>
      <c r="F19" s="480">
        <f t="shared" ref="F19:F24" si="4">I18+E19</f>
        <v>-3811428.0911200009</v>
      </c>
      <c r="G19" s="479">
        <v>1020678.49</v>
      </c>
      <c r="H19" s="480">
        <f>ROUND(((F19+G19/2)*B19/12),2)</f>
        <v>-2750.91</v>
      </c>
      <c r="I19" s="480">
        <f>SUM(D19:H19)</f>
        <v>-2793500.5111200009</v>
      </c>
      <c r="J19" s="480"/>
      <c r="K19" s="481">
        <f>_xll.Get_Balance(A19,"YTD","USD","Total","A","","001","191000","GD","ID","DL")</f>
        <v>-2793500.52</v>
      </c>
      <c r="L19" s="466">
        <f t="shared" si="1"/>
        <v>-8.8799991644918919E-3</v>
      </c>
    </row>
    <row r="20" spans="1:14" s="457" customFormat="1">
      <c r="A20" s="463" t="s">
        <v>336</v>
      </c>
      <c r="B20" s="478">
        <v>0.01</v>
      </c>
      <c r="C20" s="468"/>
      <c r="D20" s="469">
        <v>0</v>
      </c>
      <c r="E20" s="469">
        <v>0</v>
      </c>
      <c r="F20" s="480">
        <f t="shared" si="4"/>
        <v>-2793500.5111200009</v>
      </c>
      <c r="G20" s="479">
        <v>1088930.17</v>
      </c>
      <c r="H20" s="464">
        <f>ROUND(((I19+E20)*(B20/12))+((SUM(G20+D20)/2)*(B20/12)),2)</f>
        <v>-1874.2</v>
      </c>
      <c r="I20" s="464">
        <f t="shared" si="3"/>
        <v>-1706444.5411200009</v>
      </c>
      <c r="J20" s="464"/>
      <c r="K20" s="465">
        <f>_xll.Get_Balance(A20,"YTD","USD","Total","A","","001","191000","GD","ID","DL")</f>
        <v>-1706444.55</v>
      </c>
      <c r="L20" s="466">
        <f t="shared" si="1"/>
        <v>-8.8799991644918919E-3</v>
      </c>
    </row>
    <row r="21" spans="1:14" s="457" customFormat="1">
      <c r="A21" s="463" t="s">
        <v>337</v>
      </c>
      <c r="B21" s="478">
        <v>0.01</v>
      </c>
      <c r="C21" s="468"/>
      <c r="D21" s="469">
        <v>0</v>
      </c>
      <c r="E21" s="469">
        <v>0</v>
      </c>
      <c r="F21" s="480">
        <f t="shared" si="4"/>
        <v>-1706444.5411200009</v>
      </c>
      <c r="G21" s="479">
        <v>888381.94</v>
      </c>
      <c r="H21" s="464">
        <f>ROUND(((F21+G21/2)*B21/12),2)</f>
        <v>-1051.8800000000001</v>
      </c>
      <c r="I21" s="464">
        <f t="shared" si="3"/>
        <v>-819114.48112000094</v>
      </c>
      <c r="J21" s="464"/>
      <c r="K21" s="465">
        <f>_xll.Get_Balance(A21,"YTD","USD","Total","A","","001","191000","GD","ID","DL")</f>
        <v>-819114.49</v>
      </c>
      <c r="L21" s="466">
        <f t="shared" si="1"/>
        <v>-8.87999904807657E-3</v>
      </c>
      <c r="N21" s="486"/>
    </row>
    <row r="22" spans="1:14" s="457" customFormat="1" collapsed="1">
      <c r="A22" s="463" t="s">
        <v>344</v>
      </c>
      <c r="B22" s="478">
        <v>0.01</v>
      </c>
      <c r="C22" s="468"/>
      <c r="D22" s="479">
        <v>0</v>
      </c>
      <c r="E22" s="479">
        <v>0</v>
      </c>
      <c r="F22" s="480">
        <f t="shared" si="4"/>
        <v>-819114.48112000094</v>
      </c>
      <c r="G22" s="479">
        <v>618723.13436999999</v>
      </c>
      <c r="H22" s="480">
        <f>ROUND(((F22+G22/2)*B22/12),2)</f>
        <v>-424.79</v>
      </c>
      <c r="I22" s="480">
        <f>SUM(D22:H22)</f>
        <v>-200816.13675000097</v>
      </c>
      <c r="J22" s="480"/>
      <c r="K22" s="481">
        <f>_xll.Get_Balance(A22,"YTD","USD","Total","A","","001","191000","GD","ID","DL")</f>
        <v>-200816.15</v>
      </c>
      <c r="L22" s="466">
        <f t="shared" ref="L22:L24" si="5">K22-I22</f>
        <v>-1.3249999028630555E-2</v>
      </c>
    </row>
    <row r="23" spans="1:14" s="457" customFormat="1">
      <c r="A23" s="463" t="s">
        <v>345</v>
      </c>
      <c r="B23" s="478">
        <v>0.01</v>
      </c>
      <c r="C23" s="468"/>
      <c r="D23" s="469">
        <v>0</v>
      </c>
      <c r="E23" s="469">
        <v>0</v>
      </c>
      <c r="F23" s="480">
        <f t="shared" si="4"/>
        <v>-200816.13675000097</v>
      </c>
      <c r="G23" s="479">
        <v>236698.52777999997</v>
      </c>
      <c r="H23" s="464">
        <f>ROUND(((I22+E23)*(B23/12))+((SUM(G23+D23)/2)*(B23/12)),2)</f>
        <v>-68.72</v>
      </c>
      <c r="I23" s="464">
        <f t="shared" ref="I23:I24" si="6">SUM(D23:H23)</f>
        <v>35813.671029999008</v>
      </c>
      <c r="J23" s="464"/>
      <c r="K23" s="465">
        <f>_xll.Get_Balance(A23,"YTD","USD","Total","A","","001","191000","GD","ID","DL")</f>
        <v>35813.660000000003</v>
      </c>
      <c r="L23" s="466">
        <f t="shared" si="5"/>
        <v>-1.1029999004676938E-2</v>
      </c>
    </row>
    <row r="24" spans="1:14" s="457" customFormat="1">
      <c r="A24" s="463" t="s">
        <v>346</v>
      </c>
      <c r="B24" s="478">
        <v>0.01</v>
      </c>
      <c r="C24" s="468"/>
      <c r="D24" s="469">
        <v>0</v>
      </c>
      <c r="E24" s="469">
        <v>0</v>
      </c>
      <c r="F24" s="480">
        <f t="shared" si="4"/>
        <v>35813.671029999008</v>
      </c>
      <c r="G24" s="479">
        <v>238941.36783</v>
      </c>
      <c r="H24" s="464">
        <f>ROUND(((F24+G24/2)*B24/12),2)</f>
        <v>129.4</v>
      </c>
      <c r="I24" s="464">
        <f t="shared" si="6"/>
        <v>274884.43885999906</v>
      </c>
      <c r="J24" s="464"/>
      <c r="K24" s="465">
        <f>_xll.Get_Balance(A24,"YTD","USD","Total","A","","001","191000","GD","ID","DL")</f>
        <v>274884.43</v>
      </c>
      <c r="L24" s="466">
        <f t="shared" si="5"/>
        <v>-8.8599990704096854E-3</v>
      </c>
      <c r="N24" s="486"/>
    </row>
  </sheetData>
  <mergeCells count="1">
    <mergeCell ref="D5:I5"/>
  </mergeCells>
  <pageMargins left="0.7" right="0" top="0.75" bottom="0.75" header="0.3" footer="0.3"/>
  <pageSetup scale="58"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1">
    <tabColor rgb="FF00CC66"/>
    <pageSetUpPr fitToPage="1"/>
  </sheetPr>
  <dimension ref="A1:U1485"/>
  <sheetViews>
    <sheetView showGridLines="0" zoomScale="70" zoomScaleNormal="70" workbookViewId="0">
      <selection sqref="A1:XFD1048576"/>
    </sheetView>
  </sheetViews>
  <sheetFormatPr defaultColWidth="16" defaultRowHeight="15"/>
  <cols>
    <col min="1" max="1" width="46.28515625" style="331" customWidth="1"/>
    <col min="2" max="2" width="25.5703125" style="331" customWidth="1"/>
    <col min="3" max="3" width="25.28515625" style="331" customWidth="1"/>
    <col min="4" max="4" width="2.7109375" style="331" customWidth="1"/>
    <col min="5" max="5" width="4.28515625" style="331" customWidth="1"/>
    <col min="6" max="6" width="26.7109375" style="331" customWidth="1"/>
    <col min="7" max="7" width="19" style="331" customWidth="1"/>
    <col min="8" max="8" width="22" style="331" customWidth="1"/>
    <col min="9" max="9" width="20.42578125" style="331" customWidth="1"/>
    <col min="10" max="10" width="26.28515625" style="331" customWidth="1"/>
    <col min="11" max="11" width="21.85546875" style="331" bestFit="1" customWidth="1"/>
    <col min="12" max="12" width="23.85546875" style="331" customWidth="1"/>
    <col min="13" max="13" width="20.85546875" style="331" bestFit="1" customWidth="1"/>
    <col min="14" max="15" width="16" style="331"/>
    <col min="16" max="16" width="16.28515625" style="331" bestFit="1" customWidth="1"/>
    <col min="17" max="16384" width="16" style="331"/>
  </cols>
  <sheetData>
    <row r="1" spans="1:12" ht="16.5" thickBot="1">
      <c r="A1" s="560" t="s">
        <v>64</v>
      </c>
      <c r="B1" s="561"/>
      <c r="C1" s="429">
        <v>201901</v>
      </c>
      <c r="F1" s="430">
        <f>C1</f>
        <v>201901</v>
      </c>
      <c r="H1" s="125" t="s">
        <v>69</v>
      </c>
      <c r="I1" s="92" t="s">
        <v>3</v>
      </c>
      <c r="J1" s="92" t="s">
        <v>3</v>
      </c>
      <c r="K1" s="92" t="s">
        <v>66</v>
      </c>
      <c r="L1" s="92" t="s">
        <v>66</v>
      </c>
    </row>
    <row r="2" spans="1:12" ht="15.75">
      <c r="C2" s="20"/>
      <c r="H2" s="126" t="s">
        <v>32</v>
      </c>
      <c r="I2" s="127" t="s">
        <v>65</v>
      </c>
      <c r="J2" s="127" t="s">
        <v>65</v>
      </c>
      <c r="K2" s="127" t="s">
        <v>67</v>
      </c>
      <c r="L2" s="127" t="s">
        <v>67</v>
      </c>
    </row>
    <row r="3" spans="1:12" ht="16.5" thickBot="1">
      <c r="A3" s="39" t="s">
        <v>110</v>
      </c>
      <c r="C3" s="21"/>
      <c r="D3" s="562"/>
      <c r="F3" s="26" t="s">
        <v>72</v>
      </c>
      <c r="H3" s="128" t="s">
        <v>68</v>
      </c>
      <c r="I3" s="128" t="s">
        <v>35</v>
      </c>
      <c r="J3" s="128" t="s">
        <v>63</v>
      </c>
      <c r="K3" s="128" t="s">
        <v>35</v>
      </c>
      <c r="L3" s="128" t="s">
        <v>63</v>
      </c>
    </row>
    <row r="4" spans="1:12" ht="15.75">
      <c r="A4" s="331" t="s">
        <v>88</v>
      </c>
      <c r="C4" s="89">
        <v>3631690.92</v>
      </c>
      <c r="D4" s="20"/>
      <c r="H4" s="11"/>
    </row>
    <row r="5" spans="1:12" ht="14.25" customHeight="1">
      <c r="A5" s="331" t="s">
        <v>31</v>
      </c>
      <c r="C5" s="89">
        <v>34684.239999999998</v>
      </c>
      <c r="D5" s="20"/>
      <c r="H5" s="11"/>
      <c r="I5" s="563">
        <v>0.69099999999999995</v>
      </c>
      <c r="J5" s="563">
        <v>0.309</v>
      </c>
      <c r="K5" s="388">
        <f>ROUND(G45/(G45+K43),4)</f>
        <v>0.69320000000000004</v>
      </c>
      <c r="L5" s="388">
        <f>1-K5</f>
        <v>0.30679999999999996</v>
      </c>
    </row>
    <row r="6" spans="1:12" ht="16.5" thickBot="1">
      <c r="A6" s="25" t="s">
        <v>30</v>
      </c>
      <c r="C6" s="440">
        <f>-1484819.23-423508.04-121002.3-136127.59-78046.48-97479.45</f>
        <v>-2340983.0900000003</v>
      </c>
      <c r="D6" s="20"/>
    </row>
    <row r="7" spans="1:12" ht="16.5" thickBot="1">
      <c r="A7" s="41" t="s">
        <v>140</v>
      </c>
      <c r="C7" s="69">
        <f>SUM(C4:C6)</f>
        <v>1325392.0699999998</v>
      </c>
      <c r="D7" s="21"/>
      <c r="F7" s="129" t="s">
        <v>139</v>
      </c>
      <c r="G7" s="129"/>
      <c r="H7" s="564">
        <f>C34</f>
        <v>2307166.2499999995</v>
      </c>
      <c r="I7" s="130">
        <f>H7*I5</f>
        <v>1594251.8787499995</v>
      </c>
      <c r="J7" s="130">
        <f>H7*J5</f>
        <v>712914.37124999985</v>
      </c>
      <c r="K7" s="130"/>
      <c r="L7" s="130"/>
    </row>
    <row r="8" spans="1:12" ht="15.75">
      <c r="A8" s="331" t="s">
        <v>89</v>
      </c>
      <c r="C8" s="89">
        <v>227591.4</v>
      </c>
      <c r="D8" s="21"/>
      <c r="H8" s="131"/>
      <c r="I8" s="131"/>
      <c r="J8" s="131"/>
      <c r="K8" s="131"/>
      <c r="L8" s="131"/>
    </row>
    <row r="9" spans="1:12" ht="15.75">
      <c r="A9" s="331" t="s">
        <v>90</v>
      </c>
      <c r="C9" s="89">
        <v>8966.93</v>
      </c>
      <c r="D9" s="565"/>
      <c r="F9" s="129" t="s">
        <v>119</v>
      </c>
      <c r="H9" s="130">
        <f>C56</f>
        <v>8636184.7400000021</v>
      </c>
      <c r="I9" s="130"/>
      <c r="J9" s="130"/>
      <c r="K9" s="130">
        <f>H9*K5</f>
        <v>5986603.2617680021</v>
      </c>
      <c r="L9" s="130">
        <f>H9*L5</f>
        <v>2649581.4782320005</v>
      </c>
    </row>
    <row r="10" spans="1:12" ht="15.75">
      <c r="A10" s="25" t="s">
        <v>91</v>
      </c>
      <c r="C10" s="440">
        <v>-3078.51</v>
      </c>
      <c r="D10" s="565"/>
      <c r="F10" s="132" t="s">
        <v>44</v>
      </c>
      <c r="H10" s="130">
        <f>C57</f>
        <v>-86575.44</v>
      </c>
      <c r="I10" s="130"/>
      <c r="J10" s="130"/>
      <c r="K10" s="130">
        <f>H10</f>
        <v>-86575.44</v>
      </c>
      <c r="L10" s="130"/>
    </row>
    <row r="11" spans="1:12">
      <c r="A11" s="41" t="s">
        <v>145</v>
      </c>
      <c r="C11" s="69">
        <f>SUM(C8:C10)</f>
        <v>233479.81999999998</v>
      </c>
      <c r="D11" s="565"/>
      <c r="F11" s="132" t="s">
        <v>45</v>
      </c>
      <c r="H11" s="133">
        <f>C58</f>
        <v>-40815.86</v>
      </c>
      <c r="I11" s="130"/>
      <c r="J11" s="130"/>
      <c r="K11" s="133"/>
      <c r="L11" s="133">
        <f>H11</f>
        <v>-40815.86</v>
      </c>
    </row>
    <row r="12" spans="1:12" ht="15.75">
      <c r="A12" s="331" t="s">
        <v>165</v>
      </c>
      <c r="C12" s="89">
        <f>3862.2+233493.03</f>
        <v>237355.23</v>
      </c>
      <c r="D12" s="565"/>
      <c r="F12" s="132" t="s">
        <v>138</v>
      </c>
      <c r="H12" s="130">
        <f>H9+H10+H11</f>
        <v>8508793.4400000032</v>
      </c>
      <c r="I12" s="130"/>
      <c r="J12" s="130"/>
      <c r="K12" s="130">
        <f>SUM(K9:K11)</f>
        <v>5900027.8217680017</v>
      </c>
      <c r="L12" s="130">
        <f>SUM(L9:L11)</f>
        <v>2608765.6182320006</v>
      </c>
    </row>
    <row r="13" spans="1:12" ht="16.5" thickBot="1">
      <c r="A13" s="25" t="s">
        <v>166</v>
      </c>
      <c r="C13" s="440">
        <v>0</v>
      </c>
      <c r="D13" s="565"/>
      <c r="F13" s="134"/>
      <c r="G13" s="135"/>
      <c r="H13" s="136"/>
      <c r="I13" s="137"/>
      <c r="J13" s="136"/>
      <c r="K13" s="131"/>
      <c r="L13" s="136"/>
    </row>
    <row r="14" spans="1:12" ht="16.5" thickBot="1">
      <c r="A14" s="41" t="s">
        <v>92</v>
      </c>
      <c r="C14" s="69">
        <f>SUM(C12:C13)</f>
        <v>237355.23</v>
      </c>
      <c r="D14" s="8"/>
      <c r="F14" s="26" t="s">
        <v>69</v>
      </c>
      <c r="G14" s="138"/>
      <c r="H14" s="564">
        <f>H12+H7</f>
        <v>10815959.690000003</v>
      </c>
      <c r="I14" s="139">
        <f>SUM(I7:I13)</f>
        <v>1594251.8787499995</v>
      </c>
      <c r="J14" s="139">
        <f>SUM(J7:J13)</f>
        <v>712914.37124999985</v>
      </c>
      <c r="K14" s="139">
        <f>K12</f>
        <v>5900027.8217680017</v>
      </c>
      <c r="L14" s="139">
        <f>L12</f>
        <v>2608765.6182320006</v>
      </c>
    </row>
    <row r="15" spans="1:12" ht="15.75">
      <c r="A15" s="331" t="s">
        <v>183</v>
      </c>
      <c r="C15" s="89">
        <f>8072.81+438297.17</f>
        <v>446369.98</v>
      </c>
      <c r="D15" s="565"/>
      <c r="F15" s="134"/>
      <c r="G15" s="135" t="s">
        <v>102</v>
      </c>
      <c r="H15" s="136">
        <f>H14-C61</f>
        <v>0</v>
      </c>
      <c r="I15" s="140"/>
      <c r="J15" s="136">
        <f>J7+I7-H7</f>
        <v>0</v>
      </c>
      <c r="L15" s="136">
        <f>H12-K14-L14</f>
        <v>0</v>
      </c>
    </row>
    <row r="16" spans="1:12" ht="15.75">
      <c r="A16" s="25" t="s">
        <v>184</v>
      </c>
      <c r="C16" s="440">
        <v>0</v>
      </c>
      <c r="D16" s="565"/>
      <c r="F16" s="141"/>
      <c r="G16" s="135"/>
      <c r="H16" s="142"/>
      <c r="I16" s="143"/>
      <c r="J16" s="142"/>
      <c r="L16" s="142"/>
    </row>
    <row r="17" spans="1:13" ht="15.75" thickBot="1">
      <c r="A17" s="41" t="s">
        <v>185</v>
      </c>
      <c r="C17" s="69">
        <f>SUM(C15:C16)</f>
        <v>446369.98</v>
      </c>
      <c r="D17" s="8"/>
      <c r="F17" s="134"/>
      <c r="G17" s="135"/>
      <c r="H17" s="142"/>
      <c r="I17" s="143"/>
      <c r="J17" s="146"/>
      <c r="L17" s="142"/>
    </row>
    <row r="18" spans="1:13" ht="16.5" thickBot="1">
      <c r="A18" s="331" t="s">
        <v>163</v>
      </c>
      <c r="C18" s="89">
        <f>1843.02+101498.56+9781.2</f>
        <v>113122.78</v>
      </c>
      <c r="D18" s="565"/>
      <c r="F18" s="526" t="s">
        <v>134</v>
      </c>
      <c r="G18" s="527"/>
      <c r="H18" s="527"/>
      <c r="I18" s="528"/>
      <c r="J18" s="526" t="s">
        <v>135</v>
      </c>
      <c r="K18" s="527"/>
      <c r="L18" s="527"/>
      <c r="M18" s="528"/>
    </row>
    <row r="19" spans="1:13" ht="15.75">
      <c r="A19" s="25" t="s">
        <v>164</v>
      </c>
      <c r="C19" s="440">
        <v>-24175.23</v>
      </c>
      <c r="D19" s="565"/>
      <c r="F19" s="164" t="s">
        <v>108</v>
      </c>
      <c r="G19" s="127" t="s">
        <v>33</v>
      </c>
      <c r="H19" s="127" t="s">
        <v>33</v>
      </c>
      <c r="I19" s="127" t="s">
        <v>33</v>
      </c>
      <c r="J19" s="164" t="s">
        <v>108</v>
      </c>
      <c r="K19" s="127" t="s">
        <v>33</v>
      </c>
      <c r="L19" s="127" t="s">
        <v>33</v>
      </c>
      <c r="M19" s="148" t="s">
        <v>33</v>
      </c>
    </row>
    <row r="20" spans="1:13" ht="16.5" thickBot="1">
      <c r="A20" s="40" t="s">
        <v>93</v>
      </c>
      <c r="C20" s="69">
        <f>SUM(C18:C19)</f>
        <v>88947.55</v>
      </c>
      <c r="D20" s="565"/>
      <c r="F20" s="158" t="s">
        <v>162</v>
      </c>
      <c r="G20" s="128" t="s">
        <v>101</v>
      </c>
      <c r="H20" s="128" t="s">
        <v>36</v>
      </c>
      <c r="I20" s="128" t="s">
        <v>34</v>
      </c>
      <c r="J20" s="158" t="s">
        <v>162</v>
      </c>
      <c r="K20" s="128" t="s">
        <v>101</v>
      </c>
      <c r="L20" s="128" t="s">
        <v>36</v>
      </c>
      <c r="M20" s="128" t="s">
        <v>34</v>
      </c>
    </row>
    <row r="21" spans="1:13" ht="15.75">
      <c r="A21" s="25" t="s">
        <v>149</v>
      </c>
      <c r="C21" s="440">
        <f>3366.75</f>
        <v>3366.75</v>
      </c>
      <c r="D21" s="565"/>
      <c r="F21" s="147"/>
      <c r="G21" s="12"/>
      <c r="H21" s="12"/>
      <c r="I21" s="148"/>
      <c r="J21" s="95"/>
      <c r="K21" s="13"/>
      <c r="L21" s="13"/>
      <c r="M21" s="167"/>
    </row>
    <row r="22" spans="1:13" ht="18" customHeight="1">
      <c r="A22" s="40" t="s">
        <v>149</v>
      </c>
      <c r="C22" s="69">
        <f>SUM(C21)</f>
        <v>3366.75</v>
      </c>
      <c r="D22" s="565"/>
      <c r="F22" s="162" t="s">
        <v>126</v>
      </c>
      <c r="G22" s="7"/>
      <c r="H22" s="7"/>
      <c r="I22" s="67"/>
      <c r="J22" s="162" t="s">
        <v>126</v>
      </c>
      <c r="K22" s="7"/>
      <c r="L22" s="7"/>
      <c r="M22" s="67"/>
    </row>
    <row r="23" spans="1:13" ht="15.75">
      <c r="A23" s="170" t="s">
        <v>180</v>
      </c>
      <c r="C23" s="69">
        <v>0</v>
      </c>
      <c r="D23" s="565"/>
      <c r="F23" s="163" t="s">
        <v>37</v>
      </c>
      <c r="G23" s="218">
        <v>21076213</v>
      </c>
      <c r="H23" s="333">
        <v>0.10238999999999999</v>
      </c>
      <c r="I23" s="159">
        <f t="shared" ref="I23:I31" si="0">G23*H23</f>
        <v>2157993.4490700001</v>
      </c>
      <c r="J23" s="163" t="s">
        <v>37</v>
      </c>
      <c r="K23" s="218">
        <v>9766779</v>
      </c>
      <c r="L23" s="333">
        <v>9.5839999999999995E-2</v>
      </c>
      <c r="M23" s="159">
        <f>K23*L23</f>
        <v>936048.09935999999</v>
      </c>
    </row>
    <row r="24" spans="1:13" ht="15.75">
      <c r="A24" s="170" t="s">
        <v>186</v>
      </c>
      <c r="C24" s="89">
        <v>0</v>
      </c>
      <c r="D24" s="565"/>
      <c r="F24" s="163" t="s">
        <v>304</v>
      </c>
      <c r="G24" s="218">
        <v>21566</v>
      </c>
      <c r="H24" s="333">
        <v>0.10238999999999999</v>
      </c>
      <c r="I24" s="159">
        <f t="shared" si="0"/>
        <v>2208.1427399999998</v>
      </c>
      <c r="J24" s="163" t="s">
        <v>38</v>
      </c>
      <c r="K24" s="218">
        <v>3268684</v>
      </c>
      <c r="L24" s="333">
        <v>9.5839999999999995E-2</v>
      </c>
      <c r="M24" s="159">
        <f t="shared" ref="M24:M27" si="1">K24*L24</f>
        <v>313270.67455999996</v>
      </c>
    </row>
    <row r="25" spans="1:13" ht="15.75">
      <c r="A25" s="170" t="s">
        <v>189</v>
      </c>
      <c r="C25" s="442">
        <v>0</v>
      </c>
      <c r="D25" s="565"/>
      <c r="F25" s="163" t="s">
        <v>38</v>
      </c>
      <c r="G25" s="218">
        <v>4326716</v>
      </c>
      <c r="H25" s="333">
        <v>9.239E-2</v>
      </c>
      <c r="I25" s="159">
        <f t="shared" si="0"/>
        <v>399745.29123999999</v>
      </c>
      <c r="J25" s="163" t="s">
        <v>39</v>
      </c>
      <c r="K25" s="218">
        <v>1075</v>
      </c>
      <c r="L25" s="333">
        <v>9.5839999999999995E-2</v>
      </c>
      <c r="M25" s="159">
        <f t="shared" si="1"/>
        <v>103.02799999999999</v>
      </c>
    </row>
    <row r="26" spans="1:13" ht="15.75">
      <c r="A26" s="171" t="s">
        <v>311</v>
      </c>
      <c r="C26" s="443">
        <v>0</v>
      </c>
      <c r="D26" s="565"/>
      <c r="F26" s="163" t="s">
        <v>39</v>
      </c>
      <c r="G26" s="218">
        <v>16283</v>
      </c>
      <c r="H26" s="333">
        <v>9.239E-2</v>
      </c>
      <c r="I26" s="159">
        <f t="shared" si="0"/>
        <v>1504.3863699999999</v>
      </c>
      <c r="J26" s="163" t="s">
        <v>40</v>
      </c>
      <c r="K26" s="218">
        <v>0</v>
      </c>
      <c r="L26" s="333">
        <v>9.5839999999999995E-2</v>
      </c>
      <c r="M26" s="159">
        <f t="shared" si="1"/>
        <v>0</v>
      </c>
    </row>
    <row r="27" spans="1:13" ht="15.75">
      <c r="A27" s="40" t="s">
        <v>96</v>
      </c>
      <c r="C27" s="69">
        <f>SUM(C23:C26)</f>
        <v>0</v>
      </c>
      <c r="D27" s="565"/>
      <c r="F27" s="163" t="s">
        <v>40</v>
      </c>
      <c r="G27" s="218">
        <v>3809625</v>
      </c>
      <c r="H27" s="333">
        <v>9.2249999999999999E-2</v>
      </c>
      <c r="I27" s="159">
        <f t="shared" si="0"/>
        <v>351437.90625</v>
      </c>
      <c r="J27" s="163" t="s">
        <v>41</v>
      </c>
      <c r="K27" s="218">
        <v>0</v>
      </c>
      <c r="L27" s="333">
        <v>9.5839999999999995E-2</v>
      </c>
      <c r="M27" s="159">
        <f t="shared" si="1"/>
        <v>0</v>
      </c>
    </row>
    <row r="28" spans="1:13" ht="16.5" thickBot="1">
      <c r="A28" s="172" t="s">
        <v>150</v>
      </c>
      <c r="C28" s="89">
        <v>0</v>
      </c>
      <c r="D28" s="8"/>
      <c r="F28" s="163" t="s">
        <v>41</v>
      </c>
      <c r="G28" s="218">
        <v>57768</v>
      </c>
      <c r="H28" s="333">
        <v>9.2249999999999999E-2</v>
      </c>
      <c r="I28" s="159">
        <f t="shared" si="0"/>
        <v>5329.098</v>
      </c>
      <c r="J28" s="162" t="s">
        <v>127</v>
      </c>
      <c r="K28" s="144">
        <f>SUM(K23:K27)</f>
        <v>13036538</v>
      </c>
      <c r="L28" s="145"/>
      <c r="M28" s="160">
        <f>SUM(M23:M27)</f>
        <v>1249421.80192</v>
      </c>
    </row>
    <row r="29" spans="1:13" ht="17.25" thickTop="1" thickBot="1">
      <c r="A29" s="172" t="s">
        <v>167</v>
      </c>
      <c r="C29" s="89">
        <v>0</v>
      </c>
      <c r="D29" s="565"/>
      <c r="F29" s="163" t="s">
        <v>42</v>
      </c>
      <c r="G29" s="218">
        <v>0</v>
      </c>
      <c r="H29" s="333">
        <v>5.9499999999999997E-2</v>
      </c>
      <c r="I29" s="159">
        <f t="shared" si="0"/>
        <v>0</v>
      </c>
      <c r="J29" s="162"/>
      <c r="K29" s="189">
        <v>13036538</v>
      </c>
      <c r="L29" s="150" t="s">
        <v>102</v>
      </c>
      <c r="M29" s="407">
        <f>M28/K28</f>
        <v>9.5839999999999995E-2</v>
      </c>
    </row>
    <row r="30" spans="1:13" ht="16.5" thickBot="1">
      <c r="A30" s="26" t="s">
        <v>111</v>
      </c>
      <c r="C30" s="564">
        <f>C7+C11+C14+C17+C20+C22+C27+C28+C29</f>
        <v>2334911.3999999994</v>
      </c>
      <c r="D30" s="8"/>
      <c r="F30" s="163" t="s">
        <v>43</v>
      </c>
      <c r="G30" s="218">
        <v>141224</v>
      </c>
      <c r="H30" s="333">
        <v>5.9499999999999997E-2</v>
      </c>
      <c r="I30" s="159">
        <f t="shared" si="0"/>
        <v>8402.8279999999995</v>
      </c>
      <c r="J30" s="163"/>
      <c r="K30" s="188">
        <f>K28-K29</f>
        <v>0</v>
      </c>
      <c r="L30" s="145"/>
      <c r="M30" s="161"/>
    </row>
    <row r="31" spans="1:13" ht="15.75">
      <c r="A31" s="331" t="s">
        <v>112</v>
      </c>
      <c r="C31" s="89">
        <v>-8269.2099999999991</v>
      </c>
      <c r="D31" s="566"/>
      <c r="F31" s="163" t="s">
        <v>74</v>
      </c>
      <c r="G31" s="218">
        <v>3921073</v>
      </c>
      <c r="H31" s="333">
        <v>5.4000000000000001E-4</v>
      </c>
      <c r="I31" s="159">
        <f t="shared" si="0"/>
        <v>2117.3794200000002</v>
      </c>
      <c r="J31" s="117"/>
      <c r="K31" s="7"/>
      <c r="L31" s="145"/>
      <c r="M31" s="161"/>
    </row>
    <row r="32" spans="1:13" ht="16.5" thickBot="1">
      <c r="A32" s="26" t="s">
        <v>116</v>
      </c>
      <c r="B32" s="26" t="s">
        <v>117</v>
      </c>
      <c r="C32" s="444">
        <f>C30+C31</f>
        <v>2326642.1899999995</v>
      </c>
      <c r="D32" s="567"/>
      <c r="F32" s="162" t="s">
        <v>127</v>
      </c>
      <c r="G32" s="144">
        <f>SUM(G23:G31)</f>
        <v>33370468</v>
      </c>
      <c r="H32" s="7"/>
      <c r="I32" s="160">
        <f>SUM(I23:I31)</f>
        <v>2928738.4810900008</v>
      </c>
      <c r="J32" s="155"/>
      <c r="K32" s="156"/>
      <c r="L32" s="7"/>
      <c r="M32" s="153"/>
    </row>
    <row r="33" spans="1:17" ht="17.25" thickTop="1" thickBot="1">
      <c r="A33" s="331" t="s">
        <v>113</v>
      </c>
      <c r="C33" s="444">
        <f>-C5-C9-C13-C16-C19</f>
        <v>-19475.939999999999</v>
      </c>
      <c r="D33" s="565"/>
      <c r="F33" s="149"/>
      <c r="G33" s="189">
        <v>33370468</v>
      </c>
      <c r="H33" s="150" t="s">
        <v>102</v>
      </c>
      <c r="I33" s="176">
        <f>I32/G32</f>
        <v>8.7764381401243777E-2</v>
      </c>
      <c r="J33" s="155"/>
      <c r="K33" s="156"/>
      <c r="L33" s="7"/>
      <c r="M33" s="67"/>
    </row>
    <row r="34" spans="1:17" ht="16.5" thickBot="1">
      <c r="A34" s="26" t="s">
        <v>114</v>
      </c>
      <c r="C34" s="564">
        <f>SUM(C32:C33)</f>
        <v>2307166.2499999995</v>
      </c>
      <c r="D34" s="565"/>
      <c r="F34" s="117"/>
      <c r="G34" s="188">
        <f>G32-G33</f>
        <v>0</v>
      </c>
      <c r="H34" s="7"/>
      <c r="I34" s="67"/>
      <c r="J34" s="155"/>
      <c r="K34" s="154"/>
      <c r="L34" s="7"/>
      <c r="M34" s="67"/>
    </row>
    <row r="35" spans="1:17" ht="18" customHeight="1">
      <c r="A35" s="26"/>
      <c r="C35" s="444"/>
      <c r="D35" s="565"/>
      <c r="F35" s="147"/>
      <c r="G35" s="12"/>
      <c r="H35" s="12"/>
      <c r="I35" s="148"/>
      <c r="J35" s="162" t="s">
        <v>128</v>
      </c>
      <c r="K35" s="524"/>
      <c r="L35" s="524"/>
      <c r="M35" s="525"/>
    </row>
    <row r="36" spans="1:17" ht="15.75">
      <c r="A36" s="11" t="s">
        <v>94</v>
      </c>
      <c r="B36" s="26"/>
      <c r="C36" s="69"/>
      <c r="D36" s="565"/>
      <c r="F36" s="162" t="s">
        <v>128</v>
      </c>
      <c r="G36" s="7"/>
      <c r="H36" s="7"/>
      <c r="I36" s="67"/>
      <c r="J36" s="163" t="s">
        <v>37</v>
      </c>
      <c r="K36" s="219">
        <f>K23</f>
        <v>9766779</v>
      </c>
      <c r="L36" s="333">
        <v>0.16886000000000001</v>
      </c>
      <c r="M36" s="159">
        <f t="shared" ref="M36:M42" si="2">K36*L36</f>
        <v>1649218.3019400002</v>
      </c>
      <c r="P36" s="498"/>
      <c r="Q36" s="498"/>
    </row>
    <row r="37" spans="1:17" ht="15.75">
      <c r="A37" s="7" t="s">
        <v>129</v>
      </c>
      <c r="B37" s="516" t="s">
        <v>115</v>
      </c>
      <c r="C37" s="89">
        <v>9867885.5199999996</v>
      </c>
      <c r="D37" s="565"/>
      <c r="F37" s="163" t="s">
        <v>37</v>
      </c>
      <c r="G37" s="219">
        <f t="shared" ref="G37:G44" si="3">G23</f>
        <v>21076213</v>
      </c>
      <c r="H37" s="333">
        <v>0.17066999999999999</v>
      </c>
      <c r="I37" s="159">
        <f t="shared" ref="I37:I44" si="4">G37*H37</f>
        <v>3597077.2727099997</v>
      </c>
      <c r="J37" s="163" t="s">
        <v>38</v>
      </c>
      <c r="K37" s="219">
        <f>K24</f>
        <v>3268684</v>
      </c>
      <c r="L37" s="333">
        <v>0.16886000000000001</v>
      </c>
      <c r="M37" s="159">
        <f t="shared" si="2"/>
        <v>551949.98024000006</v>
      </c>
      <c r="P37" s="498"/>
      <c r="Q37" s="498"/>
    </row>
    <row r="38" spans="1:17" ht="15.75">
      <c r="A38" s="173" t="s">
        <v>14</v>
      </c>
      <c r="B38" s="516" t="s">
        <v>115</v>
      </c>
      <c r="C38" s="89">
        <v>0</v>
      </c>
      <c r="D38" s="565"/>
      <c r="F38" s="163" t="s">
        <v>304</v>
      </c>
      <c r="G38" s="219">
        <f t="shared" si="3"/>
        <v>21566</v>
      </c>
      <c r="H38" s="333">
        <v>0.17066999999999999</v>
      </c>
      <c r="I38" s="159">
        <f t="shared" si="4"/>
        <v>3680.6692199999998</v>
      </c>
      <c r="J38" s="163" t="s">
        <v>39</v>
      </c>
      <c r="K38" s="219">
        <f>K25</f>
        <v>1075</v>
      </c>
      <c r="L38" s="333">
        <v>0.16886000000000001</v>
      </c>
      <c r="M38" s="159">
        <f t="shared" si="2"/>
        <v>181.52450000000002</v>
      </c>
      <c r="P38" s="498"/>
      <c r="Q38" s="498"/>
    </row>
    <row r="39" spans="1:17" ht="15.75">
      <c r="A39" s="7" t="s">
        <v>146</v>
      </c>
      <c r="B39" s="516" t="s">
        <v>147</v>
      </c>
      <c r="C39" s="89">
        <v>-51881.98</v>
      </c>
      <c r="D39" s="565"/>
      <c r="F39" s="163" t="s">
        <v>38</v>
      </c>
      <c r="G39" s="219">
        <f t="shared" si="3"/>
        <v>4326716</v>
      </c>
      <c r="H39" s="333">
        <v>0.17066999999999999</v>
      </c>
      <c r="I39" s="159">
        <f t="shared" si="4"/>
        <v>738440.61971999996</v>
      </c>
      <c r="J39" s="163" t="s">
        <v>40</v>
      </c>
      <c r="K39" s="219">
        <f>K26</f>
        <v>0</v>
      </c>
      <c r="L39" s="333">
        <v>0.16886000000000001</v>
      </c>
      <c r="M39" s="159">
        <f t="shared" si="2"/>
        <v>0</v>
      </c>
      <c r="P39" s="498"/>
      <c r="Q39" s="498"/>
    </row>
    <row r="40" spans="1:17" ht="15.75">
      <c r="A40" s="7" t="s">
        <v>131</v>
      </c>
      <c r="B40" s="516" t="s">
        <v>132</v>
      </c>
      <c r="C40" s="89">
        <v>2316715.67</v>
      </c>
      <c r="D40" s="565"/>
      <c r="F40" s="163" t="s">
        <v>39</v>
      </c>
      <c r="G40" s="219">
        <f t="shared" si="3"/>
        <v>16283</v>
      </c>
      <c r="H40" s="333">
        <v>0.17066999999999999</v>
      </c>
      <c r="I40" s="159">
        <f t="shared" si="4"/>
        <v>2779.0196099999998</v>
      </c>
      <c r="J40" s="163" t="s">
        <v>41</v>
      </c>
      <c r="K40" s="219">
        <f>K27</f>
        <v>0</v>
      </c>
      <c r="L40" s="333">
        <v>0.16886000000000001</v>
      </c>
      <c r="M40" s="159">
        <f t="shared" si="2"/>
        <v>0</v>
      </c>
      <c r="P40" s="498"/>
      <c r="Q40" s="498"/>
    </row>
    <row r="41" spans="1:17" ht="15.75">
      <c r="A41" s="7" t="s">
        <v>153</v>
      </c>
      <c r="B41" s="445" t="s">
        <v>155</v>
      </c>
      <c r="C41" s="89">
        <v>-64524.52</v>
      </c>
      <c r="D41" s="565"/>
      <c r="F41" s="163" t="s">
        <v>40</v>
      </c>
      <c r="G41" s="219">
        <f t="shared" si="3"/>
        <v>3809625</v>
      </c>
      <c r="H41" s="333">
        <v>0.17066999999999999</v>
      </c>
      <c r="I41" s="159">
        <f t="shared" si="4"/>
        <v>650188.69874999998</v>
      </c>
      <c r="J41" s="163" t="s">
        <v>42</v>
      </c>
      <c r="K41" s="219">
        <v>0</v>
      </c>
      <c r="L41" s="333">
        <v>0.16886000000000001</v>
      </c>
      <c r="M41" s="159">
        <f t="shared" si="2"/>
        <v>0</v>
      </c>
      <c r="P41" s="498"/>
      <c r="Q41" s="498"/>
    </row>
    <row r="42" spans="1:17" ht="16.5" thickBot="1">
      <c r="A42" s="7" t="s">
        <v>178</v>
      </c>
      <c r="B42" s="516" t="s">
        <v>179</v>
      </c>
      <c r="C42" s="89">
        <v>634409.76</v>
      </c>
      <c r="D42" s="8"/>
      <c r="F42" s="163" t="s">
        <v>41</v>
      </c>
      <c r="G42" s="219">
        <f t="shared" si="3"/>
        <v>57768</v>
      </c>
      <c r="H42" s="333">
        <v>0.17066999999999999</v>
      </c>
      <c r="I42" s="159">
        <f t="shared" si="4"/>
        <v>9859.2645599999996</v>
      </c>
      <c r="J42" s="163" t="s">
        <v>43</v>
      </c>
      <c r="K42" s="219">
        <v>0</v>
      </c>
      <c r="L42" s="333">
        <v>0.16886000000000001</v>
      </c>
      <c r="M42" s="159">
        <f t="shared" si="2"/>
        <v>0</v>
      </c>
      <c r="P42" s="498"/>
      <c r="Q42" s="498"/>
    </row>
    <row r="43" spans="1:17" ht="16.5" thickBot="1">
      <c r="A43" s="56" t="s">
        <v>123</v>
      </c>
      <c r="B43" s="12"/>
      <c r="C43" s="564">
        <f>SUM(C37:C42)</f>
        <v>12702604.449999999</v>
      </c>
      <c r="D43" s="565"/>
      <c r="F43" s="163" t="s">
        <v>42</v>
      </c>
      <c r="G43" s="219">
        <f t="shared" si="3"/>
        <v>0</v>
      </c>
      <c r="H43" s="333">
        <v>0.17066999999999999</v>
      </c>
      <c r="I43" s="159">
        <f t="shared" si="4"/>
        <v>0</v>
      </c>
      <c r="J43" s="162" t="s">
        <v>133</v>
      </c>
      <c r="K43" s="144">
        <f>SUM(K36:K42)</f>
        <v>13036538</v>
      </c>
      <c r="L43" s="145"/>
      <c r="M43" s="160">
        <f>SUM(M36:M42)</f>
        <v>2201349.8066799999</v>
      </c>
    </row>
    <row r="44" spans="1:17" ht="16.5" thickBot="1">
      <c r="A44" s="568" t="s">
        <v>177</v>
      </c>
      <c r="B44" s="569" t="s">
        <v>120</v>
      </c>
      <c r="C44" s="89">
        <f>-377535.13+4466016.75+41712.54</f>
        <v>4130194.16</v>
      </c>
      <c r="D44" s="8"/>
      <c r="F44" s="163" t="s">
        <v>43</v>
      </c>
      <c r="G44" s="219">
        <f t="shared" si="3"/>
        <v>141224</v>
      </c>
      <c r="H44" s="333">
        <v>0.17066999999999999</v>
      </c>
      <c r="I44" s="159">
        <f t="shared" si="4"/>
        <v>24102.700079999999</v>
      </c>
      <c r="J44" s="157"/>
      <c r="K44" s="190">
        <v>13036538</v>
      </c>
      <c r="L44" s="152" t="s">
        <v>102</v>
      </c>
      <c r="M44" s="177">
        <f>M43/K43</f>
        <v>0.16885999999999998</v>
      </c>
    </row>
    <row r="45" spans="1:17" ht="16.5" thickBot="1">
      <c r="A45" s="173" t="s">
        <v>168</v>
      </c>
      <c r="B45" s="445" t="s">
        <v>115</v>
      </c>
      <c r="C45" s="89">
        <v>0</v>
      </c>
      <c r="D45" s="566"/>
      <c r="F45" s="162" t="s">
        <v>133</v>
      </c>
      <c r="G45" s="144">
        <f>SUM(G37:G44)</f>
        <v>29449395</v>
      </c>
      <c r="H45" s="145"/>
      <c r="I45" s="160">
        <f>SUM(I37:I44)</f>
        <v>5026128.2446499998</v>
      </c>
      <c r="J45" s="91"/>
      <c r="K45" s="188">
        <f>K43-K44</f>
        <v>0</v>
      </c>
      <c r="M45" s="91"/>
    </row>
    <row r="46" spans="1:17" ht="19.5" customHeight="1" thickTop="1" thickBot="1">
      <c r="A46" s="173" t="s">
        <v>169</v>
      </c>
      <c r="B46" s="445" t="s">
        <v>115</v>
      </c>
      <c r="C46" s="89">
        <v>0</v>
      </c>
      <c r="D46" s="567"/>
      <c r="F46" s="151"/>
      <c r="G46" s="190">
        <v>29449395</v>
      </c>
      <c r="H46" s="152" t="s">
        <v>102</v>
      </c>
      <c r="I46" s="175">
        <f>I45/G45</f>
        <v>0.17066999999999999</v>
      </c>
      <c r="J46" s="91"/>
      <c r="K46" s="188"/>
      <c r="M46" s="91"/>
    </row>
    <row r="47" spans="1:17" ht="15.75">
      <c r="A47" s="331" t="s">
        <v>137</v>
      </c>
      <c r="B47" s="445" t="s">
        <v>115</v>
      </c>
      <c r="C47" s="89">
        <v>0</v>
      </c>
      <c r="D47" s="565"/>
      <c r="G47" s="188">
        <f>G45-G46</f>
        <v>0</v>
      </c>
      <c r="J47" s="91"/>
      <c r="K47" s="188"/>
      <c r="M47" s="91"/>
    </row>
    <row r="48" spans="1:17" ht="16.5" thickBot="1">
      <c r="A48" s="173" t="s">
        <v>303</v>
      </c>
      <c r="B48" s="445" t="s">
        <v>115</v>
      </c>
      <c r="C48" s="89">
        <v>7000</v>
      </c>
      <c r="D48" s="565"/>
      <c r="J48" s="91"/>
      <c r="K48" s="82"/>
      <c r="M48" s="42"/>
    </row>
    <row r="49" spans="1:21" ht="15.75">
      <c r="A49" s="7" t="s">
        <v>130</v>
      </c>
      <c r="B49" s="516" t="s">
        <v>152</v>
      </c>
      <c r="C49" s="89">
        <v>13860.96</v>
      </c>
      <c r="D49" s="565"/>
      <c r="G49" s="82"/>
      <c r="H49" s="95" t="s">
        <v>35</v>
      </c>
      <c r="I49" s="13" t="s">
        <v>35</v>
      </c>
      <c r="J49" s="13" t="s">
        <v>63</v>
      </c>
      <c r="K49" s="93" t="s">
        <v>70</v>
      </c>
      <c r="L49" s="91"/>
    </row>
    <row r="50" spans="1:21" ht="16.5" thickBot="1">
      <c r="A50" s="7" t="s">
        <v>221</v>
      </c>
      <c r="B50" s="516" t="s">
        <v>152</v>
      </c>
      <c r="C50" s="89">
        <v>5929.39</v>
      </c>
      <c r="D50" s="8"/>
      <c r="F50" s="26" t="s">
        <v>73</v>
      </c>
      <c r="H50" s="96" t="s">
        <v>2</v>
      </c>
      <c r="I50" s="97" t="s">
        <v>3</v>
      </c>
      <c r="J50" s="97" t="s">
        <v>2</v>
      </c>
      <c r="K50" s="94" t="s">
        <v>3</v>
      </c>
    </row>
    <row r="51" spans="1:21" ht="15.75">
      <c r="A51" s="7" t="s">
        <v>306</v>
      </c>
      <c r="B51" s="516" t="s">
        <v>152</v>
      </c>
      <c r="C51" s="89">
        <v>4613.72</v>
      </c>
      <c r="D51" s="565"/>
      <c r="H51" s="115"/>
      <c r="I51" s="116"/>
      <c r="J51" s="116"/>
      <c r="K51" s="116"/>
      <c r="L51" s="92" t="s">
        <v>103</v>
      </c>
    </row>
    <row r="52" spans="1:21" ht="15.75">
      <c r="A52" s="132" t="s">
        <v>118</v>
      </c>
      <c r="B52" s="445"/>
      <c r="C52" s="69">
        <f>-C33</f>
        <v>19475.939999999999</v>
      </c>
      <c r="D52" s="562"/>
      <c r="F52" s="331" t="s">
        <v>136</v>
      </c>
      <c r="H52" s="174">
        <f>K12</f>
        <v>5900027.8217680017</v>
      </c>
      <c r="I52" s="83">
        <f>I14</f>
        <v>1594251.8787499995</v>
      </c>
      <c r="J52" s="83">
        <f>L12</f>
        <v>2608765.6182320006</v>
      </c>
      <c r="K52" s="83">
        <f>J14</f>
        <v>712914.37124999985</v>
      </c>
      <c r="L52" s="98">
        <f>SUM(H52:K52)</f>
        <v>10815959.690000001</v>
      </c>
    </row>
    <row r="53" spans="1:21" ht="16.5" thickBot="1">
      <c r="A53" s="331" t="s">
        <v>313</v>
      </c>
      <c r="B53" s="516" t="s">
        <v>314</v>
      </c>
      <c r="C53" s="89">
        <v>8632.7999999999993</v>
      </c>
      <c r="D53" s="565"/>
      <c r="F53" s="331" t="s">
        <v>109</v>
      </c>
      <c r="H53" s="174">
        <f>-I45</f>
        <v>-5026128.2446499998</v>
      </c>
      <c r="I53" s="83">
        <f>-I32</f>
        <v>-2928738.4810900008</v>
      </c>
      <c r="J53" s="83">
        <f>-M43</f>
        <v>-2201349.8066799999</v>
      </c>
      <c r="K53" s="83">
        <f>-M28</f>
        <v>-1249421.80192</v>
      </c>
      <c r="L53" s="217">
        <f>SUM(H53:K53)</f>
        <v>-11405638.334340001</v>
      </c>
    </row>
    <row r="54" spans="1:21" ht="16.5" thickBot="1">
      <c r="A54" s="331" t="s">
        <v>124</v>
      </c>
      <c r="B54" s="445" t="s">
        <v>295</v>
      </c>
      <c r="C54" s="89">
        <f>2950523.33-6931061.8-3900588.21</f>
        <v>-7881126.6799999997</v>
      </c>
      <c r="D54" s="565"/>
      <c r="F54" s="331" t="s">
        <v>86</v>
      </c>
      <c r="H54" s="192">
        <v>0</v>
      </c>
      <c r="I54" s="193">
        <v>0</v>
      </c>
      <c r="J54" s="193">
        <v>0</v>
      </c>
      <c r="K54" s="194">
        <v>0</v>
      </c>
      <c r="L54" s="570">
        <f>SUM(L52:L53)</f>
        <v>-589678.64433999918</v>
      </c>
    </row>
    <row r="55" spans="1:21" ht="16.5" thickBot="1">
      <c r="A55" s="331" t="s">
        <v>310</v>
      </c>
      <c r="B55" s="445" t="s">
        <v>190</v>
      </c>
      <c r="C55" s="89">
        <v>-375000</v>
      </c>
      <c r="D55" s="565"/>
      <c r="F55" s="331" t="s">
        <v>71</v>
      </c>
      <c r="H55" s="564">
        <f>H52+H53+H54</f>
        <v>873899.57711800188</v>
      </c>
      <c r="I55" s="564">
        <f>I52+I53+I54</f>
        <v>-1334486.6023400014</v>
      </c>
      <c r="J55" s="564">
        <f>J52+J53+J54</f>
        <v>407415.8115520007</v>
      </c>
      <c r="K55" s="564">
        <f>K52+K53+K54</f>
        <v>-536507.43067000015</v>
      </c>
      <c r="L55" s="571">
        <f>SUM(H55:K55)</f>
        <v>-589678.64433999895</v>
      </c>
    </row>
    <row r="56" spans="1:21" ht="16.5" thickBot="1">
      <c r="A56" s="572" t="s">
        <v>119</v>
      </c>
      <c r="B56" s="569"/>
      <c r="C56" s="123">
        <f>SUM(C43:C55)</f>
        <v>8636184.7400000021</v>
      </c>
      <c r="D56" s="565"/>
      <c r="F56" s="573" t="s">
        <v>181</v>
      </c>
      <c r="H56" s="331" t="s">
        <v>173</v>
      </c>
      <c r="I56" s="7">
        <f>SUM(H55:I55)</f>
        <v>-460587.0252219995</v>
      </c>
      <c r="J56" s="41" t="s">
        <v>174</v>
      </c>
      <c r="K56" s="331">
        <f>SUM(J55:K55)</f>
        <v>-129091.61911799945</v>
      </c>
      <c r="L56" s="574">
        <f>ROUND(L54-L55,3)</f>
        <v>0</v>
      </c>
      <c r="T56" s="575"/>
    </row>
    <row r="57" spans="1:21" ht="16.5" thickTop="1">
      <c r="A57" s="331" t="s">
        <v>121</v>
      </c>
      <c r="B57" s="445" t="s">
        <v>115</v>
      </c>
      <c r="C57" s="89">
        <v>-86575.44</v>
      </c>
      <c r="D57" s="565"/>
      <c r="F57" s="576" t="s">
        <v>181</v>
      </c>
      <c r="H57" s="577"/>
    </row>
    <row r="58" spans="1:21" ht="16.5" thickBot="1">
      <c r="A58" s="331" t="s">
        <v>122</v>
      </c>
      <c r="B58" s="445" t="s">
        <v>115</v>
      </c>
      <c r="C58" s="89">
        <v>-40815.86</v>
      </c>
      <c r="D58" s="565"/>
      <c r="F58" s="576" t="s">
        <v>182</v>
      </c>
      <c r="H58" s="566"/>
      <c r="I58" s="578"/>
      <c r="J58" s="578"/>
      <c r="K58" s="579"/>
      <c r="L58" s="578"/>
    </row>
    <row r="59" spans="1:21" ht="16.5" thickBot="1">
      <c r="A59" s="26" t="s">
        <v>125</v>
      </c>
      <c r="B59" s="26"/>
      <c r="C59" s="123">
        <f>SUM(C56:C58)</f>
        <v>8508793.4400000032</v>
      </c>
      <c r="D59" s="565"/>
      <c r="F59" s="580" t="s">
        <v>302</v>
      </c>
      <c r="G59" s="437" t="str">
        <f>IF(OR(AND(I56&gt;0,K56&gt;0),AND(I56&lt;0,K56&lt;0)),"OK","ERROR")</f>
        <v>OK</v>
      </c>
      <c r="H59" s="115" t="s">
        <v>293</v>
      </c>
      <c r="I59" s="167"/>
    </row>
    <row r="60" spans="1:21" ht="17.25" thickTop="1" thickBot="1">
      <c r="A60" s="26"/>
      <c r="C60" s="444"/>
      <c r="D60" s="565"/>
      <c r="H60" s="118" t="s">
        <v>175</v>
      </c>
      <c r="I60" s="549" t="s">
        <v>176</v>
      </c>
      <c r="J60" s="7"/>
    </row>
    <row r="61" spans="1:21" ht="16.5" thickBot="1">
      <c r="A61" s="107"/>
      <c r="B61" s="107" t="s">
        <v>95</v>
      </c>
      <c r="C61" s="564">
        <f>C59+C34</f>
        <v>10815959.690000003</v>
      </c>
      <c r="D61" s="8"/>
      <c r="H61" s="297" t="e">
        <f>SUM('WA - Def-Amtz (current)'!BB5:BB41)+SUM(#REF!)+SUM(#REF!)+0.01</f>
        <v>#REF!</v>
      </c>
      <c r="I61" s="392" t="e">
        <f>SUM('WA - Def-Amtz (current)'!BC5:BC40)+SUM(#REF!)+SUM(#REF!)+0.01</f>
        <v>#REF!</v>
      </c>
      <c r="J61" s="331">
        <f>H53+I53+J53+K53</f>
        <v>-11405638.334340001</v>
      </c>
    </row>
    <row r="62" spans="1:21" ht="15.75">
      <c r="A62" s="26"/>
      <c r="B62" s="107" t="s">
        <v>160</v>
      </c>
      <c r="C62" s="446">
        <v>10815959.689999999</v>
      </c>
      <c r="G62" s="7"/>
      <c r="I62" s="69" t="e">
        <f>H61-I61</f>
        <v>#REF!</v>
      </c>
      <c r="N62" s="7"/>
      <c r="O62" s="7"/>
      <c r="P62" s="581"/>
    </row>
    <row r="63" spans="1:21" ht="15.75">
      <c r="A63" s="107"/>
      <c r="B63" s="107" t="s">
        <v>159</v>
      </c>
      <c r="C63" s="69">
        <f>ROUND(C61-C62,2)</f>
        <v>0</v>
      </c>
      <c r="D63" s="565"/>
      <c r="S63" s="445"/>
    </row>
    <row r="64" spans="1:21" ht="15.75">
      <c r="A64" s="57"/>
      <c r="C64" s="582"/>
      <c r="D64" s="583"/>
      <c r="N64" s="132"/>
      <c r="U64" s="26"/>
    </row>
    <row r="65" spans="1:21" ht="15.75">
      <c r="A65" s="57"/>
      <c r="C65" s="8"/>
      <c r="D65" s="565"/>
      <c r="N65" s="132"/>
      <c r="S65" s="584"/>
    </row>
    <row r="66" spans="1:21" ht="15.75">
      <c r="A66" s="26"/>
      <c r="C66" s="8"/>
      <c r="D66" s="565"/>
      <c r="H66" s="577"/>
      <c r="N66" s="132"/>
      <c r="S66" s="585"/>
    </row>
    <row r="67" spans="1:21">
      <c r="C67" s="69"/>
      <c r="D67" s="565"/>
      <c r="N67" s="132"/>
      <c r="S67" s="586"/>
    </row>
    <row r="68" spans="1:21">
      <c r="D68" s="565"/>
      <c r="N68" s="132"/>
      <c r="S68" s="585"/>
    </row>
    <row r="69" spans="1:21">
      <c r="D69" s="8"/>
      <c r="N69" s="132"/>
    </row>
    <row r="70" spans="1:21">
      <c r="D70" s="565"/>
      <c r="N70" s="132"/>
      <c r="S70" s="587"/>
    </row>
    <row r="71" spans="1:21">
      <c r="D71" s="565"/>
    </row>
    <row r="72" spans="1:21">
      <c r="D72" s="565"/>
    </row>
    <row r="73" spans="1:21">
      <c r="D73" s="154"/>
      <c r="S73" s="588"/>
    </row>
    <row r="74" spans="1:21">
      <c r="R74" s="445"/>
      <c r="S74" s="445"/>
      <c r="T74" s="445"/>
    </row>
    <row r="76" spans="1:21">
      <c r="U76" s="589"/>
    </row>
    <row r="1477" spans="3:3">
      <c r="C1477" s="331">
        <v>-2130</v>
      </c>
    </row>
    <row r="1485" spans="3:3">
      <c r="C1485" s="331">
        <f>7004298-2130</f>
        <v>7002168</v>
      </c>
    </row>
  </sheetData>
  <mergeCells count="3">
    <mergeCell ref="K35:M35"/>
    <mergeCell ref="J18:M18"/>
    <mergeCell ref="F18:I18"/>
  </mergeCells>
  <phoneticPr fontId="0" type="noConversion"/>
  <conditionalFormatting sqref="C63 L56 I62">
    <cfRule type="cellIs" dxfId="287" priority="27" stopIfTrue="1" operator="equal">
      <formula>0</formula>
    </cfRule>
    <cfRule type="cellIs" dxfId="286" priority="28" stopIfTrue="1" operator="notEqual">
      <formula>0</formula>
    </cfRule>
  </conditionalFormatting>
  <conditionalFormatting sqref="G34 G47 K30 K45:K47">
    <cfRule type="cellIs" dxfId="285" priority="20" operator="notEqual">
      <formula>0</formula>
    </cfRule>
  </conditionalFormatting>
  <conditionalFormatting sqref="C63">
    <cfRule type="cellIs" dxfId="284" priority="14" stopIfTrue="1" operator="equal">
      <formula>0</formula>
    </cfRule>
    <cfRule type="cellIs" dxfId="283" priority="15" stopIfTrue="1" operator="notEqual">
      <formula>0</formula>
    </cfRule>
  </conditionalFormatting>
  <conditionalFormatting sqref="K30">
    <cfRule type="cellIs" dxfId="282" priority="13" operator="notEqual">
      <formula>0</formula>
    </cfRule>
  </conditionalFormatting>
  <conditionalFormatting sqref="G59">
    <cfRule type="cellIs" dxfId="281" priority="2" operator="equal">
      <formula>"ERROR"</formula>
    </cfRule>
  </conditionalFormatting>
  <conditionalFormatting sqref="G59">
    <cfRule type="cellIs" dxfId="280" priority="1" operator="equal">
      <formula>"ERROR"</formula>
    </cfRule>
  </conditionalFormatting>
  <printOptions verticalCentered="1" gridLinesSet="0"/>
  <pageMargins left="0.5" right="0" top="0.25" bottom="0.5" header="0" footer="0.25"/>
  <pageSetup scale="47" orientation="landscape" cellComments="asDisplayed" r:id="rId1"/>
  <headerFooter alignWithMargins="0">
    <oddFooter>&amp;L&amp;F&amp;C&amp;A&amp;R&amp;D&amp;T</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7">
    <tabColor rgb="FF00CC66"/>
    <pageSetUpPr fitToPage="1"/>
  </sheetPr>
  <dimension ref="A1:U1485"/>
  <sheetViews>
    <sheetView showGridLines="0" zoomScale="70" zoomScaleNormal="70" workbookViewId="0">
      <selection sqref="A1:XFD1048576"/>
    </sheetView>
  </sheetViews>
  <sheetFormatPr defaultColWidth="16" defaultRowHeight="15"/>
  <cols>
    <col min="1" max="1" width="44.85546875" style="331" customWidth="1"/>
    <col min="2" max="2" width="25.5703125" style="331" customWidth="1"/>
    <col min="3" max="3" width="25.28515625" style="331" customWidth="1"/>
    <col min="4" max="4" width="2.7109375" style="331" customWidth="1"/>
    <col min="5" max="5" width="4.28515625" style="331" customWidth="1"/>
    <col min="6" max="6" width="26.7109375" style="331" customWidth="1"/>
    <col min="7" max="7" width="19" style="331" customWidth="1"/>
    <col min="8" max="8" width="22" style="331" customWidth="1"/>
    <col min="9" max="9" width="20.42578125" style="331" customWidth="1"/>
    <col min="10" max="10" width="26.28515625" style="331" customWidth="1"/>
    <col min="11" max="11" width="21.85546875" style="331" bestFit="1" customWidth="1"/>
    <col min="12" max="12" width="23.85546875" style="331" customWidth="1"/>
    <col min="13" max="13" width="20.85546875" style="331" bestFit="1" customWidth="1"/>
    <col min="14" max="14" width="16" style="331"/>
    <col min="15" max="16" width="16.28515625" style="331" bestFit="1" customWidth="1"/>
    <col min="17" max="16384" width="16" style="331"/>
  </cols>
  <sheetData>
    <row r="1" spans="1:12" ht="16.5" thickBot="1">
      <c r="A1" s="560" t="s">
        <v>64</v>
      </c>
      <c r="B1" s="561"/>
      <c r="C1" s="430">
        <f>Jan!C1+1</f>
        <v>201902</v>
      </c>
      <c r="F1" s="430">
        <f>C1</f>
        <v>201902</v>
      </c>
      <c r="H1" s="125" t="s">
        <v>69</v>
      </c>
      <c r="I1" s="92" t="s">
        <v>3</v>
      </c>
      <c r="J1" s="92" t="s">
        <v>3</v>
      </c>
      <c r="K1" s="92" t="s">
        <v>66</v>
      </c>
      <c r="L1" s="92" t="s">
        <v>66</v>
      </c>
    </row>
    <row r="2" spans="1:12" ht="15.75">
      <c r="C2" s="20"/>
      <c r="H2" s="126" t="s">
        <v>32</v>
      </c>
      <c r="I2" s="127" t="s">
        <v>65</v>
      </c>
      <c r="J2" s="127" t="s">
        <v>65</v>
      </c>
      <c r="K2" s="127" t="s">
        <v>67</v>
      </c>
      <c r="L2" s="127" t="s">
        <v>67</v>
      </c>
    </row>
    <row r="3" spans="1:12" ht="16.5" thickBot="1">
      <c r="A3" s="39" t="s">
        <v>110</v>
      </c>
      <c r="C3" s="21"/>
      <c r="D3" s="562"/>
      <c r="F3" s="26" t="s">
        <v>72</v>
      </c>
      <c r="H3" s="128" t="s">
        <v>68</v>
      </c>
      <c r="I3" s="128" t="s">
        <v>35</v>
      </c>
      <c r="J3" s="128" t="s">
        <v>63</v>
      </c>
      <c r="K3" s="128" t="s">
        <v>35</v>
      </c>
      <c r="L3" s="128" t="s">
        <v>63</v>
      </c>
    </row>
    <row r="4" spans="1:12" ht="15.75">
      <c r="A4" s="331" t="s">
        <v>88</v>
      </c>
      <c r="C4" s="89">
        <f>3280236.97</f>
        <v>3280236.97</v>
      </c>
      <c r="D4" s="20"/>
      <c r="H4" s="11"/>
    </row>
    <row r="5" spans="1:12" ht="14.25" customHeight="1">
      <c r="A5" s="331" t="s">
        <v>31</v>
      </c>
      <c r="C5" s="89">
        <f>37087.31</f>
        <v>37087.31</v>
      </c>
      <c r="D5" s="20"/>
      <c r="H5" s="11"/>
      <c r="I5" s="563">
        <v>0.69099999999999995</v>
      </c>
      <c r="J5" s="563">
        <v>0.309</v>
      </c>
      <c r="K5" s="388">
        <f>ROUND(G45/(G45+K43),4)</f>
        <v>0.67859999999999998</v>
      </c>
      <c r="L5" s="388">
        <f>1-K5</f>
        <v>0.32140000000000002</v>
      </c>
    </row>
    <row r="6" spans="1:12" ht="16.5" thickBot="1">
      <c r="A6" s="25" t="s">
        <v>30</v>
      </c>
      <c r="C6" s="440">
        <f>-1341127.05-382523.4-109292.4-122953.95-70493.6-88045.96</f>
        <v>-2114436.3600000003</v>
      </c>
      <c r="D6" s="20"/>
    </row>
    <row r="7" spans="1:12" ht="16.5" thickBot="1">
      <c r="A7" s="41" t="s">
        <v>140</v>
      </c>
      <c r="C7" s="69">
        <f>SUM(C4:C6)</f>
        <v>1202887.92</v>
      </c>
      <c r="D7" s="21"/>
      <c r="F7" s="129" t="s">
        <v>139</v>
      </c>
      <c r="G7" s="129"/>
      <c r="H7" s="564">
        <f>C34</f>
        <v>2136544.0099999998</v>
      </c>
      <c r="I7" s="130">
        <f>H7*I5</f>
        <v>1476351.9109099996</v>
      </c>
      <c r="J7" s="130">
        <f>H7*J5</f>
        <v>660192.09908999992</v>
      </c>
      <c r="K7" s="130"/>
      <c r="L7" s="130"/>
    </row>
    <row r="8" spans="1:12" ht="15.75">
      <c r="A8" s="331" t="s">
        <v>89</v>
      </c>
      <c r="C8" s="89">
        <f>205566.42</f>
        <v>205566.42</v>
      </c>
      <c r="D8" s="21"/>
      <c r="H8" s="131"/>
      <c r="I8" s="131"/>
      <c r="J8" s="131"/>
      <c r="K8" s="131"/>
      <c r="L8" s="131"/>
    </row>
    <row r="9" spans="1:12" ht="15.75">
      <c r="A9" s="331" t="s">
        <v>90</v>
      </c>
      <c r="C9" s="89">
        <f>8324.93-4780.02-2.16</f>
        <v>3542.75</v>
      </c>
      <c r="D9" s="565"/>
      <c r="F9" s="129" t="s">
        <v>119</v>
      </c>
      <c r="H9" s="130">
        <f>C56</f>
        <v>19373177.640000004</v>
      </c>
      <c r="I9" s="130"/>
      <c r="J9" s="130"/>
      <c r="K9" s="130">
        <f>H9*K5</f>
        <v>13146638.346504003</v>
      </c>
      <c r="L9" s="130">
        <f>H9*L5</f>
        <v>6226539.2934960015</v>
      </c>
    </row>
    <row r="10" spans="1:12" ht="15.75">
      <c r="A10" s="25" t="s">
        <v>91</v>
      </c>
      <c r="C10" s="440">
        <f>-2780.59</f>
        <v>-2780.59</v>
      </c>
      <c r="D10" s="565"/>
      <c r="F10" s="132" t="s">
        <v>44</v>
      </c>
      <c r="H10" s="130">
        <f>C57</f>
        <v>-83432.100000000006</v>
      </c>
      <c r="I10" s="130"/>
      <c r="J10" s="130"/>
      <c r="K10" s="130">
        <f>H10</f>
        <v>-83432.100000000006</v>
      </c>
      <c r="L10" s="130"/>
    </row>
    <row r="11" spans="1:12">
      <c r="A11" s="41" t="s">
        <v>145</v>
      </c>
      <c r="C11" s="69">
        <f>SUM(C8:C10)</f>
        <v>206328.58000000002</v>
      </c>
      <c r="D11" s="565"/>
      <c r="F11" s="132" t="s">
        <v>45</v>
      </c>
      <c r="H11" s="133">
        <f>C58</f>
        <v>-39315.85</v>
      </c>
      <c r="I11" s="130"/>
      <c r="J11" s="130"/>
      <c r="K11" s="133"/>
      <c r="L11" s="133">
        <f>H11</f>
        <v>-39315.85</v>
      </c>
    </row>
    <row r="12" spans="1:12" ht="15.75">
      <c r="A12" s="331" t="s">
        <v>165</v>
      </c>
      <c r="C12" s="89">
        <f>236130.84+1769.44</f>
        <v>237900.28</v>
      </c>
      <c r="D12" s="565"/>
      <c r="F12" s="132" t="s">
        <v>138</v>
      </c>
      <c r="H12" s="130">
        <f>H9+H10+H11</f>
        <v>19250429.690000001</v>
      </c>
      <c r="I12" s="130"/>
      <c r="J12" s="130"/>
      <c r="K12" s="130">
        <f>SUM(K9:K11)</f>
        <v>13063206.246504003</v>
      </c>
      <c r="L12" s="130">
        <f>SUM(L9:L11)</f>
        <v>6187223.4434960019</v>
      </c>
    </row>
    <row r="13" spans="1:12" ht="16.5" thickBot="1">
      <c r="A13" s="25" t="s">
        <v>166</v>
      </c>
      <c r="C13" s="440">
        <v>0</v>
      </c>
      <c r="D13" s="565"/>
      <c r="F13" s="134"/>
      <c r="G13" s="135"/>
      <c r="H13" s="136"/>
      <c r="I13" s="137"/>
      <c r="J13" s="136"/>
      <c r="K13" s="131"/>
      <c r="L13" s="136"/>
    </row>
    <row r="14" spans="1:12" ht="16.5" thickBot="1">
      <c r="A14" s="41" t="s">
        <v>92</v>
      </c>
      <c r="C14" s="69">
        <f>SUM(C12:C13)</f>
        <v>237900.28</v>
      </c>
      <c r="D14" s="8"/>
      <c r="F14" s="26" t="s">
        <v>69</v>
      </c>
      <c r="G14" s="138"/>
      <c r="H14" s="564">
        <f>H12+H7</f>
        <v>21386973.700000003</v>
      </c>
      <c r="I14" s="139">
        <f>SUM(I7:I13)</f>
        <v>1476351.9109099996</v>
      </c>
      <c r="J14" s="139">
        <f>SUM(J7:J13)</f>
        <v>660192.09908999992</v>
      </c>
      <c r="K14" s="139">
        <f>K12</f>
        <v>13063206.246504003</v>
      </c>
      <c r="L14" s="139">
        <f>L12</f>
        <v>6187223.4434960019</v>
      </c>
    </row>
    <row r="15" spans="1:12" ht="15.75">
      <c r="A15" s="331" t="s">
        <v>183</v>
      </c>
      <c r="C15" s="89">
        <f>442919.38+3323.95-329.31</f>
        <v>445914.02</v>
      </c>
      <c r="D15" s="565"/>
      <c r="F15" s="134"/>
      <c r="G15" s="135" t="s">
        <v>102</v>
      </c>
      <c r="H15" s="136">
        <f>H14-C61</f>
        <v>0</v>
      </c>
      <c r="I15" s="140"/>
      <c r="J15" s="136">
        <f>J7+I7-H7</f>
        <v>0</v>
      </c>
      <c r="L15" s="136">
        <f>H12-K14-L14</f>
        <v>0</v>
      </c>
    </row>
    <row r="16" spans="1:12" ht="15.75">
      <c r="A16" s="25" t="s">
        <v>184</v>
      </c>
      <c r="C16" s="440">
        <v>0</v>
      </c>
      <c r="D16" s="565"/>
      <c r="F16" s="141"/>
      <c r="G16" s="135"/>
      <c r="H16" s="142"/>
      <c r="I16" s="143"/>
      <c r="J16" s="142"/>
      <c r="L16" s="142"/>
    </row>
    <row r="17" spans="1:13" ht="15.75" thickBot="1">
      <c r="A17" s="41" t="s">
        <v>185</v>
      </c>
      <c r="C17" s="69">
        <f>SUM(C15:C16)</f>
        <v>445914.02</v>
      </c>
      <c r="D17" s="8"/>
      <c r="F17" s="134"/>
      <c r="G17" s="135"/>
      <c r="H17" s="142"/>
      <c r="I17" s="143"/>
      <c r="J17" s="146"/>
      <c r="L17" s="142"/>
    </row>
    <row r="18" spans="1:13" ht="16.5" thickBot="1">
      <c r="A18" s="331" t="s">
        <v>163</v>
      </c>
      <c r="C18" s="89">
        <f>851.75-20136.06+9891.7+102645.2</f>
        <v>93252.59</v>
      </c>
      <c r="D18" s="565"/>
      <c r="F18" s="526" t="s">
        <v>134</v>
      </c>
      <c r="G18" s="527"/>
      <c r="H18" s="527"/>
      <c r="I18" s="528"/>
      <c r="J18" s="526" t="s">
        <v>135</v>
      </c>
      <c r="K18" s="527"/>
      <c r="L18" s="527"/>
      <c r="M18" s="528"/>
    </row>
    <row r="19" spans="1:13" ht="15.75">
      <c r="A19" s="25" t="s">
        <v>164</v>
      </c>
      <c r="C19" s="440">
        <v>1009.96</v>
      </c>
      <c r="D19" s="565"/>
      <c r="F19" s="164" t="s">
        <v>108</v>
      </c>
      <c r="G19" s="127" t="s">
        <v>33</v>
      </c>
      <c r="H19" s="127" t="s">
        <v>33</v>
      </c>
      <c r="I19" s="127" t="s">
        <v>33</v>
      </c>
      <c r="J19" s="164" t="s">
        <v>108</v>
      </c>
      <c r="K19" s="127" t="s">
        <v>33</v>
      </c>
      <c r="L19" s="127" t="s">
        <v>33</v>
      </c>
      <c r="M19" s="148" t="s">
        <v>33</v>
      </c>
    </row>
    <row r="20" spans="1:13" ht="16.5" thickBot="1">
      <c r="A20" s="40" t="s">
        <v>93</v>
      </c>
      <c r="C20" s="69">
        <f>SUM(C18:C19)</f>
        <v>94262.55</v>
      </c>
      <c r="D20" s="565"/>
      <c r="F20" s="158" t="s">
        <v>162</v>
      </c>
      <c r="G20" s="128" t="s">
        <v>101</v>
      </c>
      <c r="H20" s="128" t="s">
        <v>36</v>
      </c>
      <c r="I20" s="128" t="s">
        <v>34</v>
      </c>
      <c r="J20" s="158" t="s">
        <v>162</v>
      </c>
      <c r="K20" s="128" t="s">
        <v>101</v>
      </c>
      <c r="L20" s="128" t="s">
        <v>36</v>
      </c>
      <c r="M20" s="128" t="s">
        <v>34</v>
      </c>
    </row>
    <row r="21" spans="1:13" ht="15.75">
      <c r="A21" s="25" t="s">
        <v>149</v>
      </c>
      <c r="C21" s="440">
        <v>-564.72</v>
      </c>
      <c r="D21" s="565"/>
      <c r="F21" s="147"/>
      <c r="G21" s="12"/>
      <c r="H21" s="12"/>
      <c r="I21" s="148"/>
      <c r="J21" s="95"/>
      <c r="K21" s="13"/>
      <c r="L21" s="13"/>
      <c r="M21" s="167"/>
    </row>
    <row r="22" spans="1:13" ht="18" customHeight="1">
      <c r="A22" s="40" t="s">
        <v>149</v>
      </c>
      <c r="C22" s="69">
        <f>SUM(C21)</f>
        <v>-564.72</v>
      </c>
      <c r="D22" s="565"/>
      <c r="F22" s="162" t="s">
        <v>126</v>
      </c>
      <c r="G22" s="7"/>
      <c r="H22" s="7"/>
      <c r="I22" s="67"/>
      <c r="J22" s="162" t="s">
        <v>126</v>
      </c>
      <c r="K22" s="7"/>
      <c r="L22" s="7"/>
      <c r="M22" s="67"/>
    </row>
    <row r="23" spans="1:13" ht="15.75">
      <c r="A23" s="170" t="s">
        <v>180</v>
      </c>
      <c r="C23" s="69">
        <v>0</v>
      </c>
      <c r="D23" s="565"/>
      <c r="F23" s="163" t="s">
        <v>37</v>
      </c>
      <c r="G23" s="218">
        <v>23394682</v>
      </c>
      <c r="H23" s="333">
        <v>0.10238999999999999</v>
      </c>
      <c r="I23" s="159">
        <f t="shared" ref="I23:I31" si="0">G23*H23</f>
        <v>2395381.4899800001</v>
      </c>
      <c r="J23" s="163" t="s">
        <v>37</v>
      </c>
      <c r="K23" s="218">
        <v>11758433</v>
      </c>
      <c r="L23" s="333">
        <v>9.5839999999999995E-2</v>
      </c>
      <c r="M23" s="159">
        <f>K23*L23</f>
        <v>1126928.21872</v>
      </c>
    </row>
    <row r="24" spans="1:13" ht="15.75">
      <c r="A24" s="170" t="s">
        <v>186</v>
      </c>
      <c r="C24" s="89">
        <v>0</v>
      </c>
      <c r="D24" s="565"/>
      <c r="F24" s="163" t="s">
        <v>304</v>
      </c>
      <c r="G24" s="218">
        <v>23936</v>
      </c>
      <c r="H24" s="333">
        <v>0.10238999999999999</v>
      </c>
      <c r="I24" s="159">
        <f t="shared" si="0"/>
        <v>2450.8070399999997</v>
      </c>
      <c r="J24" s="163" t="s">
        <v>38</v>
      </c>
      <c r="K24" s="218">
        <v>3777850</v>
      </c>
      <c r="L24" s="333">
        <v>9.5839999999999995E-2</v>
      </c>
      <c r="M24" s="159">
        <f t="shared" ref="M24:M27" si="1">K24*L24</f>
        <v>362069.14399999997</v>
      </c>
    </row>
    <row r="25" spans="1:13" ht="15.75">
      <c r="A25" s="170" t="s">
        <v>189</v>
      </c>
      <c r="C25" s="442">
        <v>0</v>
      </c>
      <c r="D25" s="565"/>
      <c r="F25" s="163" t="s">
        <v>38</v>
      </c>
      <c r="G25" s="218">
        <v>8977809</v>
      </c>
      <c r="H25" s="333">
        <v>9.239E-2</v>
      </c>
      <c r="I25" s="159">
        <f t="shared" si="0"/>
        <v>829459.77350999997</v>
      </c>
      <c r="J25" s="163" t="s">
        <v>39</v>
      </c>
      <c r="K25" s="218">
        <v>974</v>
      </c>
      <c r="L25" s="333">
        <v>9.5839999999999995E-2</v>
      </c>
      <c r="M25" s="159">
        <f t="shared" si="1"/>
        <v>93.348159999999993</v>
      </c>
    </row>
    <row r="26" spans="1:13" ht="15.75">
      <c r="A26" s="171" t="s">
        <v>188</v>
      </c>
      <c r="C26" s="443">
        <v>0</v>
      </c>
      <c r="D26" s="565"/>
      <c r="F26" s="163" t="s">
        <v>39</v>
      </c>
      <c r="G26" s="218">
        <v>26218</v>
      </c>
      <c r="H26" s="333">
        <v>9.239E-2</v>
      </c>
      <c r="I26" s="159">
        <f t="shared" si="0"/>
        <v>2422.2810199999999</v>
      </c>
      <c r="J26" s="163" t="s">
        <v>40</v>
      </c>
      <c r="K26" s="218">
        <v>0</v>
      </c>
      <c r="L26" s="333">
        <v>9.5839999999999995E-2</v>
      </c>
      <c r="M26" s="159">
        <f t="shared" si="1"/>
        <v>0</v>
      </c>
    </row>
    <row r="27" spans="1:13" ht="15.75">
      <c r="A27" s="40" t="s">
        <v>96</v>
      </c>
      <c r="C27" s="69">
        <f>SUM(C23:C26)</f>
        <v>0</v>
      </c>
      <c r="D27" s="565"/>
      <c r="F27" s="163" t="s">
        <v>40</v>
      </c>
      <c r="G27" s="218">
        <v>177522</v>
      </c>
      <c r="H27" s="333">
        <v>9.2249999999999999E-2</v>
      </c>
      <c r="I27" s="159">
        <f t="shared" si="0"/>
        <v>16376.404500000001</v>
      </c>
      <c r="J27" s="163" t="s">
        <v>41</v>
      </c>
      <c r="K27" s="218">
        <v>0</v>
      </c>
      <c r="L27" s="333">
        <v>9.5839999999999995E-2</v>
      </c>
      <c r="M27" s="159">
        <f t="shared" si="1"/>
        <v>0</v>
      </c>
    </row>
    <row r="28" spans="1:13" ht="16.5" thickBot="1">
      <c r="A28" s="172" t="s">
        <v>150</v>
      </c>
      <c r="C28" s="89">
        <v>0</v>
      </c>
      <c r="D28" s="8"/>
      <c r="F28" s="163" t="s">
        <v>41</v>
      </c>
      <c r="G28" s="218">
        <v>56745</v>
      </c>
      <c r="H28" s="333">
        <v>9.2249999999999999E-2</v>
      </c>
      <c r="I28" s="159">
        <f t="shared" si="0"/>
        <v>5234.7262499999997</v>
      </c>
      <c r="J28" s="162" t="s">
        <v>127</v>
      </c>
      <c r="K28" s="144">
        <f>SUM(K23:K27)</f>
        <v>15537257</v>
      </c>
      <c r="L28" s="145"/>
      <c r="M28" s="160">
        <f>SUM(M23:M27)</f>
        <v>1489090.7108800001</v>
      </c>
    </row>
    <row r="29" spans="1:13" ht="17.25" thickTop="1" thickBot="1">
      <c r="A29" s="172" t="s">
        <v>167</v>
      </c>
      <c r="C29" s="89">
        <v>0</v>
      </c>
      <c r="D29" s="565"/>
      <c r="F29" s="163" t="s">
        <v>42</v>
      </c>
      <c r="G29" s="218">
        <v>0</v>
      </c>
      <c r="H29" s="333">
        <v>5.9499999999999997E-2</v>
      </c>
      <c r="I29" s="159">
        <f t="shared" si="0"/>
        <v>0</v>
      </c>
      <c r="J29" s="162"/>
      <c r="K29" s="189">
        <v>15537257</v>
      </c>
      <c r="L29" s="150" t="s">
        <v>102</v>
      </c>
      <c r="M29" s="407">
        <f>M28/K28</f>
        <v>9.5840000000000009E-2</v>
      </c>
    </row>
    <row r="30" spans="1:13" ht="16.5" thickBot="1">
      <c r="A30" s="26" t="s">
        <v>111</v>
      </c>
      <c r="C30" s="564">
        <f>C7+C11+C14+C17+C20+C22+C27+C28+C29</f>
        <v>2186728.63</v>
      </c>
      <c r="D30" s="8"/>
      <c r="F30" s="163" t="s">
        <v>43</v>
      </c>
      <c r="G30" s="218">
        <v>142096</v>
      </c>
      <c r="H30" s="333">
        <v>5.9499999999999997E-2</v>
      </c>
      <c r="I30" s="159">
        <f t="shared" si="0"/>
        <v>8454.7119999999995</v>
      </c>
      <c r="J30" s="163"/>
      <c r="K30" s="188">
        <f>K28-K29</f>
        <v>0</v>
      </c>
      <c r="L30" s="145"/>
      <c r="M30" s="161"/>
    </row>
    <row r="31" spans="1:13" ht="15.75">
      <c r="A31" s="331" t="s">
        <v>112</v>
      </c>
      <c r="C31" s="89">
        <f>-8544.6</f>
        <v>-8544.6</v>
      </c>
      <c r="D31" s="566"/>
      <c r="F31" s="163" t="s">
        <v>74</v>
      </c>
      <c r="G31" s="218">
        <v>3900873</v>
      </c>
      <c r="H31" s="333">
        <v>5.4000000000000001E-4</v>
      </c>
      <c r="I31" s="159">
        <f t="shared" si="0"/>
        <v>2106.4714199999999</v>
      </c>
      <c r="J31" s="117"/>
      <c r="K31" s="7"/>
      <c r="L31" s="145"/>
      <c r="M31" s="161"/>
    </row>
    <row r="32" spans="1:13" ht="16.5" thickBot="1">
      <c r="A32" s="26" t="s">
        <v>116</v>
      </c>
      <c r="B32" s="26" t="s">
        <v>117</v>
      </c>
      <c r="C32" s="444">
        <f>C30+C31</f>
        <v>2178184.0299999998</v>
      </c>
      <c r="D32" s="567"/>
      <c r="F32" s="162" t="s">
        <v>127</v>
      </c>
      <c r="G32" s="144">
        <f>SUM(G23:G31)</f>
        <v>36699881</v>
      </c>
      <c r="H32" s="7"/>
      <c r="I32" s="160">
        <f>SUM(I23:I31)</f>
        <v>3261886.6657199999</v>
      </c>
      <c r="J32" s="155"/>
      <c r="K32" s="156"/>
      <c r="L32" s="7"/>
      <c r="M32" s="153"/>
    </row>
    <row r="33" spans="1:17" ht="17.25" thickTop="1" thickBot="1">
      <c r="A33" s="331" t="s">
        <v>113</v>
      </c>
      <c r="C33" s="444">
        <f>-C5-C9-C13-C16-C19</f>
        <v>-41640.019999999997</v>
      </c>
      <c r="D33" s="565"/>
      <c r="F33" s="149"/>
      <c r="G33" s="189">
        <v>36699881</v>
      </c>
      <c r="H33" s="150" t="s">
        <v>102</v>
      </c>
      <c r="I33" s="176">
        <f>I32/G32</f>
        <v>8.8880033854060722E-2</v>
      </c>
      <c r="J33" s="155"/>
      <c r="K33" s="156"/>
      <c r="L33" s="7"/>
      <c r="M33" s="67"/>
    </row>
    <row r="34" spans="1:17" ht="16.5" thickBot="1">
      <c r="A34" s="26" t="s">
        <v>114</v>
      </c>
      <c r="C34" s="564">
        <f>SUM(C32:C33)</f>
        <v>2136544.0099999998</v>
      </c>
      <c r="D34" s="565"/>
      <c r="F34" s="117"/>
      <c r="G34" s="188">
        <f>G32-G33</f>
        <v>0</v>
      </c>
      <c r="H34" s="7"/>
      <c r="I34" s="67"/>
      <c r="J34" s="155"/>
      <c r="K34" s="154"/>
      <c r="L34" s="7"/>
      <c r="M34" s="67"/>
    </row>
    <row r="35" spans="1:17" ht="18" customHeight="1">
      <c r="A35" s="26"/>
      <c r="C35" s="444"/>
      <c r="D35" s="565"/>
      <c r="F35" s="147"/>
      <c r="G35" s="12"/>
      <c r="H35" s="12"/>
      <c r="I35" s="148"/>
      <c r="J35" s="162" t="s">
        <v>128</v>
      </c>
      <c r="K35" s="524"/>
      <c r="L35" s="524"/>
      <c r="M35" s="525"/>
    </row>
    <row r="36" spans="1:17" ht="15.75">
      <c r="A36" s="11" t="s">
        <v>94</v>
      </c>
      <c r="B36" s="26"/>
      <c r="C36" s="69"/>
      <c r="D36" s="565"/>
      <c r="F36" s="162" t="s">
        <v>128</v>
      </c>
      <c r="G36" s="7"/>
      <c r="H36" s="7"/>
      <c r="I36" s="67"/>
      <c r="J36" s="163" t="s">
        <v>37</v>
      </c>
      <c r="K36" s="219">
        <f>K23</f>
        <v>11758433</v>
      </c>
      <c r="L36" s="333">
        <v>0.16886000000000001</v>
      </c>
      <c r="M36" s="159">
        <f t="shared" ref="M36:M42" si="2">K36*L36</f>
        <v>1985528.9963800001</v>
      </c>
      <c r="P36" s="498"/>
      <c r="Q36" s="498"/>
    </row>
    <row r="37" spans="1:17" ht="15.75">
      <c r="A37" s="7" t="s">
        <v>129</v>
      </c>
      <c r="B37" s="516" t="s">
        <v>115</v>
      </c>
      <c r="C37" s="89">
        <v>28728074.620000001</v>
      </c>
      <c r="D37" s="565"/>
      <c r="F37" s="163" t="s">
        <v>37</v>
      </c>
      <c r="G37" s="219">
        <f t="shared" ref="G37:G44" si="3">G23</f>
        <v>23394682</v>
      </c>
      <c r="H37" s="333">
        <v>0.17066999999999999</v>
      </c>
      <c r="I37" s="159">
        <f t="shared" ref="I37:I44" si="4">G37*H37</f>
        <v>3992770.3769399999</v>
      </c>
      <c r="J37" s="163" t="s">
        <v>38</v>
      </c>
      <c r="K37" s="219">
        <f>K24</f>
        <v>3777850</v>
      </c>
      <c r="L37" s="333">
        <v>0.16886000000000001</v>
      </c>
      <c r="M37" s="159">
        <f t="shared" si="2"/>
        <v>637927.75100000005</v>
      </c>
      <c r="P37" s="498"/>
      <c r="Q37" s="498"/>
    </row>
    <row r="38" spans="1:17" ht="15.75">
      <c r="A38" s="173" t="s">
        <v>14</v>
      </c>
      <c r="B38" s="516" t="s">
        <v>115</v>
      </c>
      <c r="C38" s="89">
        <v>0</v>
      </c>
      <c r="D38" s="565"/>
      <c r="F38" s="163" t="s">
        <v>304</v>
      </c>
      <c r="G38" s="219">
        <f t="shared" si="3"/>
        <v>23936</v>
      </c>
      <c r="H38" s="333">
        <v>0.17066999999999999</v>
      </c>
      <c r="I38" s="159">
        <f t="shared" si="4"/>
        <v>4085.1571199999998</v>
      </c>
      <c r="J38" s="163" t="s">
        <v>39</v>
      </c>
      <c r="K38" s="219">
        <f>K25</f>
        <v>974</v>
      </c>
      <c r="L38" s="333">
        <v>0.16886000000000001</v>
      </c>
      <c r="M38" s="159">
        <f t="shared" si="2"/>
        <v>164.46964</v>
      </c>
      <c r="P38" s="498"/>
      <c r="Q38" s="498"/>
    </row>
    <row r="39" spans="1:17" ht="15.75">
      <c r="A39" s="7" t="s">
        <v>146</v>
      </c>
      <c r="B39" s="516" t="s">
        <v>147</v>
      </c>
      <c r="C39" s="89">
        <v>-45562.48</v>
      </c>
      <c r="D39" s="565"/>
      <c r="F39" s="163" t="s">
        <v>38</v>
      </c>
      <c r="G39" s="219">
        <f t="shared" si="3"/>
        <v>8977809</v>
      </c>
      <c r="H39" s="333">
        <v>0.17066999999999999</v>
      </c>
      <c r="I39" s="159">
        <f t="shared" si="4"/>
        <v>1532242.66203</v>
      </c>
      <c r="J39" s="163" t="s">
        <v>40</v>
      </c>
      <c r="K39" s="219">
        <f>K26</f>
        <v>0</v>
      </c>
      <c r="L39" s="333">
        <v>0.16886000000000001</v>
      </c>
      <c r="M39" s="159">
        <f t="shared" si="2"/>
        <v>0</v>
      </c>
      <c r="P39" s="498"/>
      <c r="Q39" s="498"/>
    </row>
    <row r="40" spans="1:17" ht="15.75">
      <c r="A40" s="7" t="s">
        <v>131</v>
      </c>
      <c r="B40" s="516" t="s">
        <v>132</v>
      </c>
      <c r="C40" s="89">
        <v>1407712.05</v>
      </c>
      <c r="D40" s="565"/>
      <c r="F40" s="163" t="s">
        <v>39</v>
      </c>
      <c r="G40" s="219">
        <f t="shared" si="3"/>
        <v>26218</v>
      </c>
      <c r="H40" s="333">
        <v>0.17066999999999999</v>
      </c>
      <c r="I40" s="159">
        <f t="shared" si="4"/>
        <v>4474.6260599999996</v>
      </c>
      <c r="J40" s="163" t="s">
        <v>41</v>
      </c>
      <c r="K40" s="219">
        <f>K27</f>
        <v>0</v>
      </c>
      <c r="L40" s="333">
        <v>0.16886000000000001</v>
      </c>
      <c r="M40" s="159">
        <f t="shared" si="2"/>
        <v>0</v>
      </c>
      <c r="P40" s="498"/>
      <c r="Q40" s="498"/>
    </row>
    <row r="41" spans="1:17" ht="15.75">
      <c r="A41" s="7" t="s">
        <v>153</v>
      </c>
      <c r="B41" s="445" t="s">
        <v>155</v>
      </c>
      <c r="C41" s="89">
        <v>24888.82</v>
      </c>
      <c r="D41" s="565"/>
      <c r="F41" s="163" t="s">
        <v>40</v>
      </c>
      <c r="G41" s="219">
        <f t="shared" si="3"/>
        <v>177522</v>
      </c>
      <c r="H41" s="333">
        <v>0.17066999999999999</v>
      </c>
      <c r="I41" s="159">
        <f t="shared" si="4"/>
        <v>30297.67974</v>
      </c>
      <c r="J41" s="163" t="s">
        <v>42</v>
      </c>
      <c r="K41" s="219">
        <v>0</v>
      </c>
      <c r="L41" s="333">
        <v>0.16886000000000001</v>
      </c>
      <c r="M41" s="159">
        <f t="shared" si="2"/>
        <v>0</v>
      </c>
      <c r="P41" s="498"/>
      <c r="Q41" s="498"/>
    </row>
    <row r="42" spans="1:17" ht="16.5" thickBot="1">
      <c r="A42" s="7" t="s">
        <v>178</v>
      </c>
      <c r="B42" s="516" t="s">
        <v>179</v>
      </c>
      <c r="C42" s="89">
        <v>5568119.2000000002</v>
      </c>
      <c r="D42" s="8"/>
      <c r="F42" s="163" t="s">
        <v>41</v>
      </c>
      <c r="G42" s="219">
        <f t="shared" si="3"/>
        <v>56745</v>
      </c>
      <c r="H42" s="333">
        <v>0.17066999999999999</v>
      </c>
      <c r="I42" s="159">
        <f t="shared" si="4"/>
        <v>9684.6691499999997</v>
      </c>
      <c r="J42" s="163" t="s">
        <v>43</v>
      </c>
      <c r="K42" s="219">
        <v>0</v>
      </c>
      <c r="L42" s="333">
        <v>0.16886000000000001</v>
      </c>
      <c r="M42" s="159">
        <f t="shared" si="2"/>
        <v>0</v>
      </c>
      <c r="P42" s="498"/>
      <c r="Q42" s="498"/>
    </row>
    <row r="43" spans="1:17" ht="16.5" thickBot="1">
      <c r="A43" s="56" t="s">
        <v>123</v>
      </c>
      <c r="B43" s="12"/>
      <c r="C43" s="564">
        <f>SUM(C37:C42)</f>
        <v>35683232.210000001</v>
      </c>
      <c r="D43" s="565"/>
      <c r="F43" s="163" t="s">
        <v>42</v>
      </c>
      <c r="G43" s="219">
        <f t="shared" si="3"/>
        <v>0</v>
      </c>
      <c r="H43" s="333">
        <v>0.17066999999999999</v>
      </c>
      <c r="I43" s="159">
        <f t="shared" si="4"/>
        <v>0</v>
      </c>
      <c r="J43" s="162" t="s">
        <v>133</v>
      </c>
      <c r="K43" s="144">
        <f>SUM(K36:K42)</f>
        <v>15537257</v>
      </c>
      <c r="L43" s="145"/>
      <c r="M43" s="160">
        <f>SUM(M36:M42)</f>
        <v>2623621.2170199999</v>
      </c>
    </row>
    <row r="44" spans="1:17" ht="16.5" thickBot="1">
      <c r="A44" s="568" t="s">
        <v>177</v>
      </c>
      <c r="B44" s="569" t="s">
        <v>120</v>
      </c>
      <c r="C44" s="89">
        <f>-1554969.8+4124875.89-1241257.22+225.53</f>
        <v>1328874.3999999999</v>
      </c>
      <c r="D44" s="8"/>
      <c r="F44" s="163" t="s">
        <v>43</v>
      </c>
      <c r="G44" s="219">
        <f t="shared" si="3"/>
        <v>142096</v>
      </c>
      <c r="H44" s="333">
        <v>0.17066999999999999</v>
      </c>
      <c r="I44" s="159">
        <f t="shared" si="4"/>
        <v>24251.524319999997</v>
      </c>
      <c r="J44" s="157"/>
      <c r="K44" s="190">
        <v>15537257</v>
      </c>
      <c r="L44" s="152" t="s">
        <v>102</v>
      </c>
      <c r="M44" s="177">
        <f>M43/K43</f>
        <v>0.16885999999999998</v>
      </c>
    </row>
    <row r="45" spans="1:17" ht="16.5" thickBot="1">
      <c r="A45" s="173" t="s">
        <v>168</v>
      </c>
      <c r="B45" s="445" t="s">
        <v>115</v>
      </c>
      <c r="C45" s="89">
        <v>0</v>
      </c>
      <c r="D45" s="566"/>
      <c r="F45" s="162" t="s">
        <v>133</v>
      </c>
      <c r="G45" s="144">
        <f>SUM(G37:G44)</f>
        <v>32799008</v>
      </c>
      <c r="H45" s="145"/>
      <c r="I45" s="160">
        <f>SUM(I37:I44)</f>
        <v>5597806.6953599993</v>
      </c>
      <c r="J45" s="56"/>
      <c r="K45" s="188">
        <f>K43-K44</f>
        <v>0</v>
      </c>
      <c r="L45" s="150"/>
      <c r="M45" s="441"/>
    </row>
    <row r="46" spans="1:17" ht="19.5" customHeight="1" thickTop="1" thickBot="1">
      <c r="A46" s="173" t="s">
        <v>169</v>
      </c>
      <c r="B46" s="445" t="s">
        <v>115</v>
      </c>
      <c r="C46" s="89">
        <v>0</v>
      </c>
      <c r="D46" s="567"/>
      <c r="F46" s="151"/>
      <c r="G46" s="190">
        <v>32799008</v>
      </c>
      <c r="H46" s="152" t="s">
        <v>102</v>
      </c>
      <c r="I46" s="175">
        <f>I45/G45</f>
        <v>0.17066999999999999</v>
      </c>
      <c r="J46" s="56"/>
      <c r="K46" s="189"/>
      <c r="L46" s="150"/>
      <c r="M46" s="441"/>
    </row>
    <row r="47" spans="1:17" ht="15.75">
      <c r="A47" s="331" t="s">
        <v>137</v>
      </c>
      <c r="B47" s="445" t="s">
        <v>115</v>
      </c>
      <c r="C47" s="89">
        <v>0</v>
      </c>
      <c r="D47" s="565"/>
      <c r="G47" s="188">
        <f>G45-G46</f>
        <v>0</v>
      </c>
      <c r="J47" s="91"/>
      <c r="K47" s="188"/>
      <c r="M47" s="91"/>
    </row>
    <row r="48" spans="1:17" ht="16.5" thickBot="1">
      <c r="A48" s="173" t="s">
        <v>303</v>
      </c>
      <c r="B48" s="445" t="s">
        <v>115</v>
      </c>
      <c r="C48" s="89">
        <v>7000</v>
      </c>
      <c r="D48" s="565"/>
      <c r="J48" s="91"/>
      <c r="K48" s="82"/>
      <c r="M48" s="42"/>
    </row>
    <row r="49" spans="1:21" ht="15.75">
      <c r="A49" s="7" t="s">
        <v>130</v>
      </c>
      <c r="B49" s="516" t="s">
        <v>152</v>
      </c>
      <c r="C49" s="89">
        <v>20442.52</v>
      </c>
      <c r="D49" s="565"/>
      <c r="G49" s="82"/>
      <c r="H49" s="95" t="s">
        <v>35</v>
      </c>
      <c r="I49" s="13" t="s">
        <v>35</v>
      </c>
      <c r="J49" s="13" t="s">
        <v>63</v>
      </c>
      <c r="K49" s="93" t="s">
        <v>70</v>
      </c>
      <c r="L49" s="91"/>
    </row>
    <row r="50" spans="1:21" ht="16.5" thickBot="1">
      <c r="A50" s="7" t="s">
        <v>221</v>
      </c>
      <c r="B50" s="516" t="s">
        <v>152</v>
      </c>
      <c r="C50" s="89">
        <v>2963</v>
      </c>
      <c r="D50" s="8"/>
      <c r="F50" s="26" t="s">
        <v>73</v>
      </c>
      <c r="H50" s="96" t="s">
        <v>2</v>
      </c>
      <c r="I50" s="97" t="s">
        <v>3</v>
      </c>
      <c r="J50" s="97" t="s">
        <v>2</v>
      </c>
      <c r="K50" s="94" t="s">
        <v>3</v>
      </c>
    </row>
    <row r="51" spans="1:21" ht="15.75">
      <c r="A51" s="7" t="s">
        <v>306</v>
      </c>
      <c r="B51" s="516" t="s">
        <v>152</v>
      </c>
      <c r="C51" s="89">
        <v>3092.24</v>
      </c>
      <c r="D51" s="565"/>
      <c r="H51" s="115"/>
      <c r="I51" s="116"/>
      <c r="J51" s="116"/>
      <c r="K51" s="116"/>
      <c r="L51" s="92" t="s">
        <v>103</v>
      </c>
    </row>
    <row r="52" spans="1:21" ht="15.75">
      <c r="A52" s="132" t="s">
        <v>118</v>
      </c>
      <c r="B52" s="445"/>
      <c r="C52" s="69">
        <f>-C33</f>
        <v>41640.019999999997</v>
      </c>
      <c r="D52" s="562"/>
      <c r="F52" s="331" t="s">
        <v>136</v>
      </c>
      <c r="H52" s="174">
        <f>K12</f>
        <v>13063206.246504003</v>
      </c>
      <c r="I52" s="83">
        <f>I14</f>
        <v>1476351.9109099996</v>
      </c>
      <c r="J52" s="83">
        <f>L12</f>
        <v>6187223.4434960019</v>
      </c>
      <c r="K52" s="83">
        <f>J14</f>
        <v>660192.09908999992</v>
      </c>
      <c r="L52" s="98">
        <f>SUM(H52:K52)</f>
        <v>21386973.700000003</v>
      </c>
    </row>
    <row r="53" spans="1:21" ht="16.5" thickBot="1">
      <c r="A53" s="331" t="s">
        <v>313</v>
      </c>
      <c r="B53" s="516" t="s">
        <v>314</v>
      </c>
      <c r="C53" s="89">
        <v>6398.44</v>
      </c>
      <c r="D53" s="565"/>
      <c r="F53" s="331" t="s">
        <v>109</v>
      </c>
      <c r="H53" s="174">
        <f>-I45</f>
        <v>-5597806.6953599993</v>
      </c>
      <c r="I53" s="83">
        <f>-I32</f>
        <v>-3261886.6657199999</v>
      </c>
      <c r="J53" s="83">
        <f>-M43</f>
        <v>-2623621.2170199999</v>
      </c>
      <c r="K53" s="83">
        <f>-M28</f>
        <v>-1489090.7108800001</v>
      </c>
      <c r="L53" s="217">
        <f>SUM(H53:K53)</f>
        <v>-12972405.288979998</v>
      </c>
    </row>
    <row r="54" spans="1:21" ht="16.5" thickBot="1">
      <c r="A54" s="331" t="s">
        <v>124</v>
      </c>
      <c r="B54" s="445" t="s">
        <v>295</v>
      </c>
      <c r="C54" s="89">
        <f>528004.32-11236884.23-6636585.28</f>
        <v>-17345465.190000001</v>
      </c>
      <c r="D54" s="565"/>
      <c r="F54" s="331" t="s">
        <v>86</v>
      </c>
      <c r="H54" s="192">
        <v>0</v>
      </c>
      <c r="I54" s="193">
        <v>0</v>
      </c>
      <c r="J54" s="193">
        <v>0</v>
      </c>
      <c r="K54" s="194">
        <v>0</v>
      </c>
      <c r="L54" s="570">
        <f>SUM(L52:L53)</f>
        <v>8414568.4110200051</v>
      </c>
    </row>
    <row r="55" spans="1:21" ht="16.5" thickBot="1">
      <c r="A55" s="331" t="s">
        <v>310</v>
      </c>
      <c r="B55" s="445" t="s">
        <v>190</v>
      </c>
      <c r="C55" s="89">
        <v>-375000</v>
      </c>
      <c r="D55" s="565"/>
      <c r="F55" s="331" t="s">
        <v>71</v>
      </c>
      <c r="H55" s="564">
        <f>IFERROR(H52+H53+H54,0)</f>
        <v>7465399.5511440039</v>
      </c>
      <c r="I55" s="564">
        <f>I52+I53+I54</f>
        <v>-1785534.7548100003</v>
      </c>
      <c r="J55" s="564">
        <f>IFERROR(J52+J53+J54,0)</f>
        <v>3563602.226476002</v>
      </c>
      <c r="K55" s="564">
        <f>K52+K53+K54</f>
        <v>-828898.61179000023</v>
      </c>
      <c r="L55" s="571">
        <f>SUM(H55:K55)</f>
        <v>8414568.411020007</v>
      </c>
    </row>
    <row r="56" spans="1:21" ht="16.5" thickBot="1">
      <c r="A56" s="572" t="s">
        <v>119</v>
      </c>
      <c r="B56" s="569"/>
      <c r="C56" s="123">
        <f>SUM(C43:C55)</f>
        <v>19373177.640000004</v>
      </c>
      <c r="D56" s="565"/>
      <c r="F56" s="573" t="s">
        <v>181</v>
      </c>
      <c r="H56" s="331" t="s">
        <v>173</v>
      </c>
      <c r="I56" s="7">
        <f>SUM(H55:I55)</f>
        <v>5679864.796334004</v>
      </c>
      <c r="J56" s="41" t="s">
        <v>174</v>
      </c>
      <c r="K56" s="331">
        <f>SUM(J55:K55)</f>
        <v>2734703.614686002</v>
      </c>
      <c r="L56" s="574">
        <f>ROUND(L54-L55,3)</f>
        <v>0</v>
      </c>
      <c r="T56" s="575"/>
    </row>
    <row r="57" spans="1:21" ht="16.5" thickTop="1">
      <c r="A57" s="331" t="s">
        <v>121</v>
      </c>
      <c r="B57" s="445" t="s">
        <v>115</v>
      </c>
      <c r="C57" s="89">
        <v>-83432.100000000006</v>
      </c>
      <c r="D57" s="565"/>
      <c r="F57" s="576" t="s">
        <v>181</v>
      </c>
      <c r="H57" s="577"/>
    </row>
    <row r="58" spans="1:21" ht="16.5" thickBot="1">
      <c r="A58" s="331" t="s">
        <v>122</v>
      </c>
      <c r="B58" s="445" t="s">
        <v>115</v>
      </c>
      <c r="C58" s="89">
        <v>-39315.85</v>
      </c>
      <c r="D58" s="565"/>
      <c r="F58" s="576" t="s">
        <v>182</v>
      </c>
      <c r="H58" s="566"/>
      <c r="I58" s="578"/>
      <c r="J58" s="578"/>
      <c r="K58" s="579"/>
      <c r="L58" s="578"/>
    </row>
    <row r="59" spans="1:21" ht="16.5" thickBot="1">
      <c r="A59" s="26" t="s">
        <v>125</v>
      </c>
      <c r="B59" s="26"/>
      <c r="C59" s="123">
        <f>SUM(C56:C58)</f>
        <v>19250429.690000001</v>
      </c>
      <c r="D59" s="565"/>
      <c r="F59" s="580" t="s">
        <v>302</v>
      </c>
      <c r="G59" s="437" t="str">
        <f>IF(OR(AND(I56&gt;0,K56&gt;0),AND(I56&lt;0,K56&lt;0)),"OK","ERROR")</f>
        <v>OK</v>
      </c>
      <c r="H59" s="115" t="s">
        <v>293</v>
      </c>
      <c r="I59" s="167"/>
    </row>
    <row r="60" spans="1:21" ht="17.25" thickTop="1" thickBot="1">
      <c r="A60" s="26"/>
      <c r="C60" s="444"/>
      <c r="D60" s="565"/>
      <c r="H60" s="118" t="s">
        <v>175</v>
      </c>
      <c r="I60" s="549" t="s">
        <v>176</v>
      </c>
      <c r="J60" s="7"/>
    </row>
    <row r="61" spans="1:21" ht="16.5" thickBot="1">
      <c r="A61" s="107"/>
      <c r="B61" s="107" t="s">
        <v>95</v>
      </c>
      <c r="C61" s="564">
        <f>C59+C34</f>
        <v>21386973.700000003</v>
      </c>
      <c r="D61" s="8"/>
      <c r="H61" s="297" t="e">
        <f>SUM('WA - Def-Amtz (current)'!BB5:BB40)+SUM(#REF!)</f>
        <v>#REF!</v>
      </c>
      <c r="I61" s="392" t="e">
        <f>SUM('WA - Def-Amtz (current)'!BC5:BC41)+SUM(#REF!)</f>
        <v>#REF!</v>
      </c>
    </row>
    <row r="62" spans="1:21" ht="15.75">
      <c r="A62" s="26"/>
      <c r="B62" s="107" t="s">
        <v>160</v>
      </c>
      <c r="C62" s="446">
        <v>21386973.699999999</v>
      </c>
      <c r="G62" s="7"/>
      <c r="I62" s="69" t="e">
        <f>H61-I61</f>
        <v>#REF!</v>
      </c>
      <c r="N62" s="7"/>
      <c r="O62" s="7"/>
      <c r="P62" s="581"/>
    </row>
    <row r="63" spans="1:21" ht="15.75">
      <c r="A63" s="107"/>
      <c r="B63" s="107" t="s">
        <v>159</v>
      </c>
      <c r="C63" s="69">
        <f>ROUND(C61-C62,2)</f>
        <v>0</v>
      </c>
      <c r="D63" s="565"/>
      <c r="S63" s="445"/>
    </row>
    <row r="64" spans="1:21" ht="15.75">
      <c r="A64" s="57"/>
      <c r="C64" s="582"/>
      <c r="D64" s="583"/>
      <c r="N64" s="132"/>
      <c r="U64" s="26"/>
    </row>
    <row r="65" spans="1:21" ht="15.75">
      <c r="A65" s="57"/>
      <c r="C65" s="8"/>
      <c r="D65" s="565"/>
      <c r="N65" s="132"/>
      <c r="S65" s="584"/>
    </row>
    <row r="66" spans="1:21" ht="15.75">
      <c r="A66" s="26"/>
      <c r="C66" s="8"/>
      <c r="D66" s="565"/>
      <c r="H66" s="577"/>
      <c r="N66" s="132"/>
      <c r="S66" s="585"/>
    </row>
    <row r="67" spans="1:21">
      <c r="C67" s="69"/>
      <c r="D67" s="565"/>
      <c r="N67" s="132"/>
      <c r="S67" s="586"/>
    </row>
    <row r="68" spans="1:21">
      <c r="D68" s="565"/>
      <c r="N68" s="132"/>
      <c r="S68" s="585"/>
    </row>
    <row r="69" spans="1:21">
      <c r="D69" s="8"/>
      <c r="N69" s="132"/>
    </row>
    <row r="70" spans="1:21">
      <c r="D70" s="565"/>
      <c r="N70" s="132"/>
      <c r="S70" s="587"/>
    </row>
    <row r="71" spans="1:21">
      <c r="D71" s="565"/>
    </row>
    <row r="72" spans="1:21">
      <c r="D72" s="565"/>
    </row>
    <row r="73" spans="1:21">
      <c r="D73" s="154"/>
      <c r="S73" s="588"/>
    </row>
    <row r="74" spans="1:21">
      <c r="R74" s="445"/>
      <c r="S74" s="445"/>
      <c r="T74" s="445"/>
    </row>
    <row r="76" spans="1:21">
      <c r="U76" s="589"/>
    </row>
    <row r="1477" spans="3:3">
      <c r="C1477" s="331">
        <v>-2130</v>
      </c>
    </row>
    <row r="1485" spans="3:3">
      <c r="C1485" s="331">
        <f>7004298-2130</f>
        <v>7002168</v>
      </c>
    </row>
  </sheetData>
  <mergeCells count="3">
    <mergeCell ref="F18:I18"/>
    <mergeCell ref="J18:M18"/>
    <mergeCell ref="K35:M35"/>
  </mergeCells>
  <conditionalFormatting sqref="C63 L56 I62">
    <cfRule type="cellIs" dxfId="279" priority="9" stopIfTrue="1" operator="equal">
      <formula>0</formula>
    </cfRule>
    <cfRule type="cellIs" dxfId="278" priority="10" stopIfTrue="1" operator="notEqual">
      <formula>0</formula>
    </cfRule>
  </conditionalFormatting>
  <conditionalFormatting sqref="G34 G47 K30 K47">
    <cfRule type="cellIs" dxfId="277" priority="8" operator="notEqual">
      <formula>0</formula>
    </cfRule>
  </conditionalFormatting>
  <conditionalFormatting sqref="C63">
    <cfRule type="cellIs" dxfId="276" priority="6" stopIfTrue="1" operator="equal">
      <formula>0</formula>
    </cfRule>
    <cfRule type="cellIs" dxfId="275" priority="7" stopIfTrue="1" operator="notEqual">
      <formula>0</formula>
    </cfRule>
  </conditionalFormatting>
  <conditionalFormatting sqref="K30">
    <cfRule type="cellIs" dxfId="274" priority="5" operator="notEqual">
      <formula>0</formula>
    </cfRule>
  </conditionalFormatting>
  <conditionalFormatting sqref="G59">
    <cfRule type="cellIs" dxfId="273" priority="4" operator="equal">
      <formula>"""ERROR"""</formula>
    </cfRule>
  </conditionalFormatting>
  <conditionalFormatting sqref="G59">
    <cfRule type="cellIs" dxfId="272" priority="3" operator="equal">
      <formula>"ERROR"</formula>
    </cfRule>
  </conditionalFormatting>
  <conditionalFormatting sqref="G59">
    <cfRule type="cellIs" dxfId="271" priority="2" operator="equal">
      <formula>"ERROR"</formula>
    </cfRule>
  </conditionalFormatting>
  <conditionalFormatting sqref="K45">
    <cfRule type="cellIs" dxfId="270" priority="1" operator="notEqual">
      <formula>0</formula>
    </cfRule>
  </conditionalFormatting>
  <printOptions verticalCentered="1" gridLinesSet="0"/>
  <pageMargins left="0.5" right="0" top="0.25" bottom="0.5" header="0" footer="0.25"/>
  <pageSetup scale="47" orientation="landscape" cellComments="asDisplayed" r:id="rId1"/>
  <headerFooter alignWithMargins="0">
    <oddFooter>&amp;L&amp;F&amp;C&amp;A&amp;R&amp;D&amp;T</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8">
    <tabColor rgb="FF00CC66"/>
    <pageSetUpPr fitToPage="1"/>
  </sheetPr>
  <dimension ref="A1:U1485"/>
  <sheetViews>
    <sheetView showGridLines="0" zoomScale="70" zoomScaleNormal="70" workbookViewId="0">
      <selection activeCell="A43" sqref="A1:XFD1048576"/>
    </sheetView>
  </sheetViews>
  <sheetFormatPr defaultColWidth="16" defaultRowHeight="15"/>
  <cols>
    <col min="1" max="1" width="44.85546875" style="331" customWidth="1"/>
    <col min="2" max="2" width="25.5703125" style="331" customWidth="1"/>
    <col min="3" max="3" width="25.28515625" style="331" customWidth="1"/>
    <col min="4" max="4" width="2.7109375" style="331" customWidth="1"/>
    <col min="5" max="5" width="4.28515625" style="331" customWidth="1"/>
    <col min="6" max="6" width="26.7109375" style="331" customWidth="1"/>
    <col min="7" max="7" width="19" style="331" customWidth="1"/>
    <col min="8" max="8" width="22" style="331" customWidth="1"/>
    <col min="9" max="9" width="20.42578125" style="331" customWidth="1"/>
    <col min="10" max="10" width="26.28515625" style="331" customWidth="1"/>
    <col min="11" max="11" width="21.85546875" style="331" bestFit="1" customWidth="1"/>
    <col min="12" max="12" width="23.85546875" style="331" customWidth="1"/>
    <col min="13" max="13" width="20.85546875" style="331" bestFit="1" customWidth="1"/>
    <col min="14" max="15" width="16" style="331"/>
    <col min="16" max="16" width="16.28515625" style="331" bestFit="1" customWidth="1"/>
    <col min="17" max="16384" width="16" style="331"/>
  </cols>
  <sheetData>
    <row r="1" spans="1:12" ht="16.5" thickBot="1">
      <c r="A1" s="560" t="s">
        <v>64</v>
      </c>
      <c r="B1" s="561"/>
      <c r="C1" s="430">
        <f>Feb!C1+1</f>
        <v>201903</v>
      </c>
      <c r="F1" s="430">
        <f>C1</f>
        <v>201903</v>
      </c>
      <c r="H1" s="125" t="s">
        <v>69</v>
      </c>
      <c r="I1" s="92" t="s">
        <v>3</v>
      </c>
      <c r="J1" s="92" t="s">
        <v>3</v>
      </c>
      <c r="K1" s="92" t="s">
        <v>66</v>
      </c>
      <c r="L1" s="92" t="s">
        <v>66</v>
      </c>
    </row>
    <row r="2" spans="1:12" ht="15.75">
      <c r="C2" s="20"/>
      <c r="H2" s="126" t="s">
        <v>32</v>
      </c>
      <c r="I2" s="127" t="s">
        <v>65</v>
      </c>
      <c r="J2" s="127" t="s">
        <v>65</v>
      </c>
      <c r="K2" s="127" t="s">
        <v>67</v>
      </c>
      <c r="L2" s="127" t="s">
        <v>67</v>
      </c>
    </row>
    <row r="3" spans="1:12" ht="16.5" thickBot="1">
      <c r="A3" s="39" t="s">
        <v>110</v>
      </c>
      <c r="C3" s="21"/>
      <c r="D3" s="562"/>
      <c r="F3" s="26" t="s">
        <v>72</v>
      </c>
      <c r="H3" s="128" t="s">
        <v>68</v>
      </c>
      <c r="I3" s="128" t="s">
        <v>35</v>
      </c>
      <c r="J3" s="128" t="s">
        <v>63</v>
      </c>
      <c r="K3" s="128" t="s">
        <v>35</v>
      </c>
      <c r="L3" s="128" t="s">
        <v>63</v>
      </c>
    </row>
    <row r="4" spans="1:12" ht="15.75">
      <c r="A4" s="331" t="s">
        <v>88</v>
      </c>
      <c r="C4" s="89">
        <v>3631690.92</v>
      </c>
      <c r="D4" s="20"/>
      <c r="H4" s="11"/>
    </row>
    <row r="5" spans="1:12" ht="14.25" customHeight="1">
      <c r="A5" s="331" t="s">
        <v>31</v>
      </c>
      <c r="C5" s="89">
        <f>26750.12</f>
        <v>26750.12</v>
      </c>
      <c r="D5" s="20"/>
      <c r="H5" s="11"/>
      <c r="I5" s="563">
        <v>0.69099999999999995</v>
      </c>
      <c r="J5" s="563">
        <v>0.309</v>
      </c>
      <c r="K5" s="388">
        <f>ROUND(G45/(G45+K43),4)</f>
        <v>0.70130000000000003</v>
      </c>
      <c r="L5" s="388">
        <f>1-K5</f>
        <v>0.29869999999999997</v>
      </c>
    </row>
    <row r="6" spans="1:12" ht="16.5" thickBot="1">
      <c r="A6" s="25" t="s">
        <v>30</v>
      </c>
      <c r="C6" s="440">
        <f>-1484819.23-423508.04-121002.3-136127.59-78046.48-97479.45</f>
        <v>-2340983.0900000003</v>
      </c>
      <c r="D6" s="20"/>
    </row>
    <row r="7" spans="1:12" ht="16.5" thickBot="1">
      <c r="A7" s="41" t="s">
        <v>140</v>
      </c>
      <c r="C7" s="69">
        <f>SUM(C4:C6)</f>
        <v>1317457.9499999997</v>
      </c>
      <c r="D7" s="21"/>
      <c r="F7" s="129" t="s">
        <v>139</v>
      </c>
      <c r="G7" s="129"/>
      <c r="H7" s="564">
        <f>C34</f>
        <v>2265832.3899999992</v>
      </c>
      <c r="I7" s="130">
        <f>H7*I5</f>
        <v>1565690.1814899994</v>
      </c>
      <c r="J7" s="130">
        <f>H7*J5</f>
        <v>700142.20850999979</v>
      </c>
      <c r="K7" s="130"/>
      <c r="L7" s="130"/>
    </row>
    <row r="8" spans="1:12" ht="15.75">
      <c r="A8" s="331" t="s">
        <v>89</v>
      </c>
      <c r="C8" s="89">
        <v>227591.4</v>
      </c>
      <c r="D8" s="21"/>
      <c r="H8" s="131"/>
      <c r="I8" s="131"/>
      <c r="J8" s="131"/>
      <c r="K8" s="131"/>
      <c r="L8" s="131"/>
    </row>
    <row r="9" spans="1:12" ht="15.75">
      <c r="A9" s="331" t="s">
        <v>90</v>
      </c>
      <c r="C9" s="89">
        <f>8869.27+3000-1.57</f>
        <v>11867.7</v>
      </c>
      <c r="D9" s="565"/>
      <c r="F9" s="129" t="s">
        <v>119</v>
      </c>
      <c r="H9" s="130">
        <f>C56</f>
        <v>23616525.829999994</v>
      </c>
      <c r="I9" s="130"/>
      <c r="J9" s="130"/>
      <c r="K9" s="130">
        <f>H9*K5</f>
        <v>16562269.564578997</v>
      </c>
      <c r="L9" s="130">
        <f>H9*L5</f>
        <v>7054256.2654209975</v>
      </c>
    </row>
    <row r="10" spans="1:12" ht="15.75">
      <c r="A10" s="25" t="s">
        <v>91</v>
      </c>
      <c r="C10" s="440">
        <v>-3078.51</v>
      </c>
      <c r="D10" s="565"/>
      <c r="F10" s="132" t="s">
        <v>44</v>
      </c>
      <c r="H10" s="130">
        <f>C57</f>
        <v>-371444.74</v>
      </c>
      <c r="I10" s="130"/>
      <c r="J10" s="130"/>
      <c r="K10" s="130">
        <f>H10</f>
        <v>-371444.74</v>
      </c>
      <c r="L10" s="130"/>
    </row>
    <row r="11" spans="1:12">
      <c r="A11" s="41" t="s">
        <v>145</v>
      </c>
      <c r="C11" s="69">
        <f>SUM(C8:C10)</f>
        <v>236380.59</v>
      </c>
      <c r="D11" s="565"/>
      <c r="F11" s="132" t="s">
        <v>45</v>
      </c>
      <c r="H11" s="133">
        <f>C58</f>
        <v>-161904.72</v>
      </c>
      <c r="I11" s="130"/>
      <c r="J11" s="130"/>
      <c r="K11" s="133"/>
      <c r="L11" s="133">
        <f>H11</f>
        <v>-161904.72</v>
      </c>
    </row>
    <row r="12" spans="1:12" ht="15.75">
      <c r="A12" s="331" t="s">
        <v>165</v>
      </c>
      <c r="C12" s="89">
        <f>232468.93-4455.74</f>
        <v>228013.19</v>
      </c>
      <c r="D12" s="565"/>
      <c r="F12" s="132" t="s">
        <v>138</v>
      </c>
      <c r="H12" s="130">
        <f>H9+H10+H11</f>
        <v>23083176.369999997</v>
      </c>
      <c r="I12" s="130"/>
      <c r="J12" s="130"/>
      <c r="K12" s="130">
        <f>SUM(K9:K11)</f>
        <v>16190824.824578997</v>
      </c>
      <c r="L12" s="130">
        <f>SUM(L9:L11)</f>
        <v>6892351.5454209978</v>
      </c>
    </row>
    <row r="13" spans="1:12" ht="16.5" thickBot="1">
      <c r="A13" s="25" t="s">
        <v>166</v>
      </c>
      <c r="C13" s="440">
        <v>0</v>
      </c>
      <c r="D13" s="565"/>
      <c r="F13" s="134"/>
      <c r="G13" s="135"/>
      <c r="H13" s="136"/>
      <c r="I13" s="137"/>
      <c r="J13" s="136"/>
      <c r="K13" s="131"/>
      <c r="L13" s="136"/>
    </row>
    <row r="14" spans="1:12" ht="16.5" thickBot="1">
      <c r="A14" s="41" t="s">
        <v>92</v>
      </c>
      <c r="C14" s="69">
        <f>SUM(C12:C13)</f>
        <v>228013.19</v>
      </c>
      <c r="D14" s="8"/>
      <c r="F14" s="26" t="s">
        <v>69</v>
      </c>
      <c r="G14" s="138"/>
      <c r="H14" s="564">
        <f>H12+H7</f>
        <v>25349008.759999998</v>
      </c>
      <c r="I14" s="139">
        <f>SUM(I7:I13)</f>
        <v>1565690.1814899994</v>
      </c>
      <c r="J14" s="139">
        <f>SUM(J7:J13)</f>
        <v>700142.20850999979</v>
      </c>
      <c r="K14" s="139">
        <f>K12</f>
        <v>16190824.824578997</v>
      </c>
      <c r="L14" s="139">
        <f>L12</f>
        <v>6892351.5454209978</v>
      </c>
    </row>
    <row r="15" spans="1:12" ht="15.75">
      <c r="A15" s="331" t="s">
        <v>183</v>
      </c>
      <c r="C15" s="89">
        <f>436050.61-8357.78</f>
        <v>427692.82999999996</v>
      </c>
      <c r="D15" s="565"/>
      <c r="F15" s="134"/>
      <c r="G15" s="135" t="s">
        <v>102</v>
      </c>
      <c r="H15" s="136">
        <f>H14-C61</f>
        <v>0</v>
      </c>
      <c r="I15" s="140"/>
      <c r="J15" s="136">
        <f>J7+I7-H7</f>
        <v>0</v>
      </c>
      <c r="L15" s="136">
        <f>H12-K14-L14</f>
        <v>0</v>
      </c>
    </row>
    <row r="16" spans="1:12" ht="15.75">
      <c r="A16" s="25" t="s">
        <v>184</v>
      </c>
      <c r="C16" s="440">
        <v>0</v>
      </c>
      <c r="D16" s="565"/>
      <c r="F16" s="141"/>
      <c r="G16" s="135"/>
      <c r="H16" s="142"/>
      <c r="I16" s="143"/>
      <c r="J16" s="142"/>
      <c r="L16" s="142"/>
    </row>
    <row r="17" spans="1:13" ht="15.75" thickBot="1">
      <c r="A17" s="41" t="s">
        <v>185</v>
      </c>
      <c r="C17" s="69">
        <f>SUM(C15:C16)</f>
        <v>427692.82999999996</v>
      </c>
      <c r="D17" s="8"/>
      <c r="F17" s="134"/>
      <c r="G17" s="135"/>
      <c r="H17" s="142"/>
      <c r="I17" s="143"/>
      <c r="J17" s="146"/>
      <c r="L17" s="142"/>
    </row>
    <row r="18" spans="1:13" ht="16.5" thickBot="1">
      <c r="A18" s="331" t="s">
        <v>163</v>
      </c>
      <c r="C18" s="89">
        <f>101053.39-10037.72-2176.64+9738.3</f>
        <v>98577.33</v>
      </c>
      <c r="D18" s="565"/>
      <c r="F18" s="526" t="s">
        <v>134</v>
      </c>
      <c r="G18" s="527"/>
      <c r="H18" s="527"/>
      <c r="I18" s="528"/>
      <c r="J18" s="526" t="s">
        <v>135</v>
      </c>
      <c r="K18" s="527"/>
      <c r="L18" s="527"/>
      <c r="M18" s="528"/>
    </row>
    <row r="19" spans="1:13" ht="15.75">
      <c r="A19" s="25" t="s">
        <v>164</v>
      </c>
      <c r="C19" s="440">
        <f>978.92</f>
        <v>978.92</v>
      </c>
      <c r="D19" s="565"/>
      <c r="F19" s="164" t="s">
        <v>108</v>
      </c>
      <c r="G19" s="127" t="s">
        <v>33</v>
      </c>
      <c r="H19" s="127" t="s">
        <v>33</v>
      </c>
      <c r="I19" s="127" t="s">
        <v>33</v>
      </c>
      <c r="J19" s="164" t="s">
        <v>108</v>
      </c>
      <c r="K19" s="127" t="s">
        <v>33</v>
      </c>
      <c r="L19" s="127" t="s">
        <v>33</v>
      </c>
      <c r="M19" s="148" t="s">
        <v>33</v>
      </c>
    </row>
    <row r="20" spans="1:13" ht="16.5" thickBot="1">
      <c r="A20" s="40" t="s">
        <v>93</v>
      </c>
      <c r="C20" s="69">
        <f>SUM(C18:C19)</f>
        <v>99556.25</v>
      </c>
      <c r="D20" s="565"/>
      <c r="F20" s="158" t="s">
        <v>162</v>
      </c>
      <c r="G20" s="128" t="s">
        <v>101</v>
      </c>
      <c r="H20" s="128" t="s">
        <v>36</v>
      </c>
      <c r="I20" s="128" t="s">
        <v>34</v>
      </c>
      <c r="J20" s="158" t="s">
        <v>162</v>
      </c>
      <c r="K20" s="128" t="s">
        <v>101</v>
      </c>
      <c r="L20" s="128" t="s">
        <v>36</v>
      </c>
      <c r="M20" s="128" t="s">
        <v>34</v>
      </c>
    </row>
    <row r="21" spans="1:13" ht="15.75">
      <c r="A21" s="25" t="s">
        <v>149</v>
      </c>
      <c r="C21" s="440">
        <f>4046.25</f>
        <v>4046.25</v>
      </c>
      <c r="D21" s="565"/>
      <c r="F21" s="147"/>
      <c r="G21" s="12"/>
      <c r="H21" s="12"/>
      <c r="I21" s="148"/>
      <c r="J21" s="95"/>
      <c r="K21" s="13"/>
      <c r="L21" s="13"/>
      <c r="M21" s="167"/>
    </row>
    <row r="22" spans="1:13" ht="18" customHeight="1">
      <c r="A22" s="40" t="s">
        <v>149</v>
      </c>
      <c r="C22" s="69">
        <f>SUM(C21)</f>
        <v>4046.25</v>
      </c>
      <c r="D22" s="565"/>
      <c r="F22" s="162" t="s">
        <v>126</v>
      </c>
      <c r="G22" s="7"/>
      <c r="H22" s="7"/>
      <c r="I22" s="67"/>
      <c r="J22" s="162" t="s">
        <v>126</v>
      </c>
      <c r="K22" s="7"/>
      <c r="L22" s="7"/>
      <c r="M22" s="67"/>
    </row>
    <row r="23" spans="1:13" ht="15.75">
      <c r="A23" s="170" t="s">
        <v>180</v>
      </c>
      <c r="C23" s="69">
        <v>0</v>
      </c>
      <c r="D23" s="565"/>
      <c r="F23" s="163" t="s">
        <v>37</v>
      </c>
      <c r="G23" s="218">
        <v>18476572</v>
      </c>
      <c r="H23" s="333">
        <v>0.10238999999999999</v>
      </c>
      <c r="I23" s="159">
        <v>1689163</v>
      </c>
      <c r="J23" s="163" t="s">
        <v>37</v>
      </c>
      <c r="K23" s="218">
        <v>8099837</v>
      </c>
      <c r="L23" s="333">
        <v>9.5839999999999995E-2</v>
      </c>
      <c r="M23" s="159">
        <v>779254</v>
      </c>
    </row>
    <row r="24" spans="1:13" ht="15.75">
      <c r="A24" s="170" t="s">
        <v>186</v>
      </c>
      <c r="C24" s="89">
        <v>0</v>
      </c>
      <c r="D24" s="565"/>
      <c r="F24" s="163" t="s">
        <v>304</v>
      </c>
      <c r="G24" s="218">
        <v>18913</v>
      </c>
      <c r="H24" s="333">
        <v>0.10238999999999999</v>
      </c>
      <c r="I24" s="159">
        <v>2041</v>
      </c>
      <c r="J24" s="163" t="s">
        <v>38</v>
      </c>
      <c r="K24" s="218">
        <v>2821506</v>
      </c>
      <c r="L24" s="333">
        <v>9.5839999999999995E-2</v>
      </c>
      <c r="M24" s="159">
        <v>281330</v>
      </c>
    </row>
    <row r="25" spans="1:13" ht="15.75">
      <c r="A25" s="170" t="s">
        <v>189</v>
      </c>
      <c r="C25" s="442">
        <v>0</v>
      </c>
      <c r="D25" s="565"/>
      <c r="F25" s="163" t="s">
        <v>38</v>
      </c>
      <c r="G25" s="218">
        <v>6826624</v>
      </c>
      <c r="H25" s="333">
        <v>9.239E-2</v>
      </c>
      <c r="I25" s="159">
        <v>554510</v>
      </c>
      <c r="J25" s="163" t="s">
        <v>39</v>
      </c>
      <c r="K25" s="218">
        <v>1385</v>
      </c>
      <c r="L25" s="333">
        <v>9.5839999999999995E-2</v>
      </c>
      <c r="M25" s="159">
        <v>384</v>
      </c>
    </row>
    <row r="26" spans="1:13" ht="15.75">
      <c r="A26" s="171" t="s">
        <v>188</v>
      </c>
      <c r="C26" s="443">
        <v>0</v>
      </c>
      <c r="D26" s="565"/>
      <c r="F26" s="163" t="s">
        <v>39</v>
      </c>
      <c r="G26" s="218">
        <v>9819</v>
      </c>
      <c r="H26" s="333">
        <v>9.239E-2</v>
      </c>
      <c r="I26" s="159">
        <v>775</v>
      </c>
      <c r="J26" s="163" t="s">
        <v>40</v>
      </c>
      <c r="K26" s="218"/>
      <c r="L26" s="333">
        <v>9.5839999999999995E-2</v>
      </c>
      <c r="M26" s="159">
        <v>0</v>
      </c>
    </row>
    <row r="27" spans="1:13" ht="15.75">
      <c r="A27" s="40" t="s">
        <v>96</v>
      </c>
      <c r="C27" s="69">
        <f>SUM(C23:C26)</f>
        <v>0</v>
      </c>
      <c r="D27" s="565"/>
      <c r="F27" s="163" t="s">
        <v>40</v>
      </c>
      <c r="G27" s="218">
        <v>115935</v>
      </c>
      <c r="H27" s="333">
        <v>9.2249999999999999E-2</v>
      </c>
      <c r="I27" s="159">
        <v>35924</v>
      </c>
      <c r="J27" s="163" t="s">
        <v>41</v>
      </c>
      <c r="K27" s="218"/>
      <c r="L27" s="333">
        <v>9.5839999999999995E-2</v>
      </c>
      <c r="M27" s="159">
        <v>0</v>
      </c>
    </row>
    <row r="28" spans="1:13" ht="16.5" thickBot="1">
      <c r="A28" s="172" t="s">
        <v>150</v>
      </c>
      <c r="C28" s="89">
        <v>0</v>
      </c>
      <c r="D28" s="8"/>
      <c r="F28" s="163" t="s">
        <v>41</v>
      </c>
      <c r="G28" s="218">
        <v>58316</v>
      </c>
      <c r="H28" s="333">
        <v>9.2249999999999999E-2</v>
      </c>
      <c r="I28" s="159">
        <v>5193</v>
      </c>
      <c r="J28" s="162" t="s">
        <v>127</v>
      </c>
      <c r="K28" s="144">
        <f>SUM(K23:K27)</f>
        <v>10922728</v>
      </c>
      <c r="L28" s="145"/>
      <c r="M28" s="160">
        <f>SUM(M23:M27)</f>
        <v>1060968</v>
      </c>
    </row>
    <row r="29" spans="1:13" ht="17.25" thickTop="1" thickBot="1">
      <c r="A29" s="172" t="s">
        <v>167</v>
      </c>
      <c r="C29" s="89">
        <v>0</v>
      </c>
      <c r="D29" s="565"/>
      <c r="F29" s="163" t="s">
        <v>42</v>
      </c>
      <c r="G29" s="218">
        <v>0</v>
      </c>
      <c r="H29" s="333">
        <v>5.9499999999999997E-2</v>
      </c>
      <c r="I29" s="159">
        <v>0</v>
      </c>
      <c r="J29" s="162"/>
      <c r="K29" s="189">
        <v>10922728</v>
      </c>
      <c r="L29" s="150" t="s">
        <v>102</v>
      </c>
      <c r="M29" s="407">
        <f>M28/K28</f>
        <v>9.7133976054333673E-2</v>
      </c>
    </row>
    <row r="30" spans="1:13" ht="16.5" thickBot="1">
      <c r="A30" s="26" t="s">
        <v>111</v>
      </c>
      <c r="C30" s="564">
        <f>C7+C11+C14+C17+C20+C22+C27+C28+C29</f>
        <v>2313147.0599999996</v>
      </c>
      <c r="D30" s="8"/>
      <c r="F30" s="163" t="s">
        <v>43</v>
      </c>
      <c r="G30" s="218">
        <v>133435</v>
      </c>
      <c r="H30" s="333">
        <v>5.9499999999999997E-2</v>
      </c>
      <c r="I30" s="159">
        <v>7050</v>
      </c>
      <c r="J30" s="163"/>
      <c r="K30" s="188">
        <f>K28-K29</f>
        <v>0</v>
      </c>
      <c r="L30" s="145"/>
      <c r="M30" s="161"/>
    </row>
    <row r="31" spans="1:13" ht="15.75">
      <c r="A31" s="331" t="s">
        <v>112</v>
      </c>
      <c r="C31" s="89">
        <v>-7717.93</v>
      </c>
      <c r="D31" s="566"/>
      <c r="F31" s="163" t="s">
        <v>74</v>
      </c>
      <c r="G31" s="218">
        <v>3846520</v>
      </c>
      <c r="H31" s="333">
        <v>5.4000000000000001E-4</v>
      </c>
      <c r="I31" s="159">
        <v>1785</v>
      </c>
      <c r="J31" s="117"/>
      <c r="K31" s="7"/>
      <c r="L31" s="145"/>
      <c r="M31" s="161"/>
    </row>
    <row r="32" spans="1:13" ht="16.5" thickBot="1">
      <c r="A32" s="26" t="s">
        <v>116</v>
      </c>
      <c r="B32" s="26" t="s">
        <v>117</v>
      </c>
      <c r="C32" s="444">
        <f>C30+C31</f>
        <v>2305429.1299999994</v>
      </c>
      <c r="D32" s="567"/>
      <c r="F32" s="162" t="s">
        <v>127</v>
      </c>
      <c r="G32" s="144">
        <f>SUM(G23:G31)</f>
        <v>29486134</v>
      </c>
      <c r="H32" s="7"/>
      <c r="I32" s="160">
        <f>SUM(I23:I31)</f>
        <v>2296441</v>
      </c>
      <c r="J32" s="155"/>
      <c r="K32" s="156"/>
      <c r="L32" s="7"/>
      <c r="M32" s="153"/>
    </row>
    <row r="33" spans="1:17" ht="17.25" thickTop="1" thickBot="1">
      <c r="A33" s="331" t="s">
        <v>113</v>
      </c>
      <c r="C33" s="444">
        <f>-C5-C9-C13-C16-C19</f>
        <v>-39596.74</v>
      </c>
      <c r="D33" s="565"/>
      <c r="F33" s="149"/>
      <c r="G33" s="189">
        <v>29486134</v>
      </c>
      <c r="H33" s="150" t="s">
        <v>102</v>
      </c>
      <c r="I33" s="176">
        <f>I32/G32</f>
        <v>7.7882064837662343E-2</v>
      </c>
      <c r="J33" s="155"/>
      <c r="K33" s="156"/>
      <c r="L33" s="7"/>
      <c r="M33" s="67"/>
    </row>
    <row r="34" spans="1:17" ht="16.5" thickBot="1">
      <c r="A34" s="26" t="s">
        <v>114</v>
      </c>
      <c r="C34" s="564">
        <f>SUM(C32:C33)</f>
        <v>2265832.3899999992</v>
      </c>
      <c r="D34" s="565"/>
      <c r="F34" s="117"/>
      <c r="G34" s="188">
        <f>G32-G33</f>
        <v>0</v>
      </c>
      <c r="H34" s="7"/>
      <c r="I34" s="67"/>
      <c r="J34" s="155"/>
      <c r="K34" s="154"/>
      <c r="L34" s="7"/>
      <c r="M34" s="67"/>
    </row>
    <row r="35" spans="1:17" ht="18" customHeight="1">
      <c r="A35" s="26"/>
      <c r="C35" s="444"/>
      <c r="D35" s="565"/>
      <c r="F35" s="147"/>
      <c r="G35" s="12"/>
      <c r="H35" s="12"/>
      <c r="I35" s="148"/>
      <c r="J35" s="162" t="s">
        <v>128</v>
      </c>
      <c r="K35" s="524"/>
      <c r="L35" s="524"/>
      <c r="M35" s="525"/>
    </row>
    <row r="36" spans="1:17" ht="15.75">
      <c r="A36" s="11" t="s">
        <v>94</v>
      </c>
      <c r="B36" s="26"/>
      <c r="C36" s="69"/>
      <c r="D36" s="565"/>
      <c r="F36" s="162" t="s">
        <v>128</v>
      </c>
      <c r="G36" s="7"/>
      <c r="H36" s="7"/>
      <c r="I36" s="67"/>
      <c r="J36" s="163" t="s">
        <v>37</v>
      </c>
      <c r="K36" s="219">
        <f>K23</f>
        <v>8099837</v>
      </c>
      <c r="L36" s="333">
        <v>0.16886000000000001</v>
      </c>
      <c r="M36" s="159">
        <v>1205053</v>
      </c>
      <c r="P36" s="498"/>
      <c r="Q36" s="498"/>
    </row>
    <row r="37" spans="1:17" ht="15.75">
      <c r="A37" s="7" t="s">
        <v>129</v>
      </c>
      <c r="B37" s="516" t="s">
        <v>115</v>
      </c>
      <c r="C37" s="89">
        <v>29900191.030000001</v>
      </c>
      <c r="D37" s="565"/>
      <c r="F37" s="163" t="s">
        <v>37</v>
      </c>
      <c r="G37" s="219">
        <f>G23</f>
        <v>18476572</v>
      </c>
      <c r="H37" s="333">
        <v>0.17066999999999999</v>
      </c>
      <c r="I37" s="159">
        <v>2583934</v>
      </c>
      <c r="J37" s="163" t="s">
        <v>38</v>
      </c>
      <c r="K37" s="219">
        <f>K24</f>
        <v>2821506</v>
      </c>
      <c r="L37" s="333">
        <v>0.16886000000000001</v>
      </c>
      <c r="M37" s="159">
        <v>435058</v>
      </c>
      <c r="P37" s="498"/>
      <c r="Q37" s="498"/>
    </row>
    <row r="38" spans="1:17" ht="15.75">
      <c r="A38" s="173" t="s">
        <v>14</v>
      </c>
      <c r="B38" s="516" t="s">
        <v>115</v>
      </c>
      <c r="C38" s="89">
        <v>0</v>
      </c>
      <c r="D38" s="565"/>
      <c r="F38" s="163" t="s">
        <v>304</v>
      </c>
      <c r="G38" s="219">
        <f>G24</f>
        <v>18913</v>
      </c>
      <c r="H38" s="333">
        <v>0.17066999999999999</v>
      </c>
      <c r="I38" s="159">
        <v>3121</v>
      </c>
      <c r="J38" s="163" t="s">
        <v>39</v>
      </c>
      <c r="K38" s="219">
        <f>K25</f>
        <v>1385</v>
      </c>
      <c r="L38" s="333">
        <v>0.16886000000000001</v>
      </c>
      <c r="M38" s="159">
        <v>593</v>
      </c>
      <c r="P38" s="498"/>
      <c r="Q38" s="498"/>
    </row>
    <row r="39" spans="1:17" ht="15.75">
      <c r="A39" s="7" t="s">
        <v>146</v>
      </c>
      <c r="B39" s="516" t="s">
        <v>147</v>
      </c>
      <c r="C39" s="89">
        <v>-40268.019999999997</v>
      </c>
      <c r="D39" s="565"/>
      <c r="F39" s="163" t="s">
        <v>38</v>
      </c>
      <c r="G39" s="219">
        <f t="shared" ref="G39:G44" si="0">G25</f>
        <v>6826624</v>
      </c>
      <c r="H39" s="333">
        <v>0.17066999999999999</v>
      </c>
      <c r="I39" s="159">
        <v>923773</v>
      </c>
      <c r="J39" s="163" t="s">
        <v>40</v>
      </c>
      <c r="K39" s="219">
        <f>K26</f>
        <v>0</v>
      </c>
      <c r="L39" s="333">
        <v>0.16886000000000001</v>
      </c>
      <c r="M39" s="159">
        <v>0</v>
      </c>
      <c r="P39" s="498"/>
      <c r="Q39" s="498"/>
    </row>
    <row r="40" spans="1:17" ht="15.75">
      <c r="A40" s="7" t="s">
        <v>131</v>
      </c>
      <c r="B40" s="516" t="s">
        <v>132</v>
      </c>
      <c r="C40" s="89">
        <v>12348.87</v>
      </c>
      <c r="D40" s="565"/>
      <c r="F40" s="163" t="s">
        <v>39</v>
      </c>
      <c r="G40" s="219">
        <f t="shared" si="0"/>
        <v>9819</v>
      </c>
      <c r="H40" s="333">
        <v>0.17066999999999999</v>
      </c>
      <c r="I40" s="159">
        <v>1293</v>
      </c>
      <c r="J40" s="163" t="s">
        <v>41</v>
      </c>
      <c r="K40" s="219">
        <f>K27</f>
        <v>0</v>
      </c>
      <c r="L40" s="333">
        <v>0.16886000000000001</v>
      </c>
      <c r="M40" s="159">
        <f t="shared" ref="M40:M42" si="1">K40*L40</f>
        <v>0</v>
      </c>
      <c r="P40" s="498"/>
      <c r="Q40" s="498"/>
    </row>
    <row r="41" spans="1:17" ht="15.75">
      <c r="A41" s="7" t="s">
        <v>153</v>
      </c>
      <c r="B41" s="445" t="s">
        <v>155</v>
      </c>
      <c r="C41" s="89">
        <v>9724.4699999999993</v>
      </c>
      <c r="D41" s="565"/>
      <c r="F41" s="163" t="s">
        <v>40</v>
      </c>
      <c r="G41" s="219">
        <f t="shared" si="0"/>
        <v>115935</v>
      </c>
      <c r="H41" s="333">
        <v>0.17066999999999999</v>
      </c>
      <c r="I41" s="159">
        <v>56592</v>
      </c>
      <c r="J41" s="163" t="s">
        <v>42</v>
      </c>
      <c r="K41" s="218">
        <v>0</v>
      </c>
      <c r="L41" s="333">
        <v>0.16886000000000001</v>
      </c>
      <c r="M41" s="159">
        <f t="shared" si="1"/>
        <v>0</v>
      </c>
      <c r="P41" s="498"/>
      <c r="Q41" s="498"/>
    </row>
    <row r="42" spans="1:17" ht="16.5" thickBot="1">
      <c r="A42" s="7" t="s">
        <v>178</v>
      </c>
      <c r="B42" s="516" t="s">
        <v>179</v>
      </c>
      <c r="C42" s="89">
        <v>3059365.26</v>
      </c>
      <c r="D42" s="8"/>
      <c r="F42" s="163" t="s">
        <v>41</v>
      </c>
      <c r="G42" s="219">
        <f t="shared" si="0"/>
        <v>58316</v>
      </c>
      <c r="H42" s="333">
        <v>0.17066999999999999</v>
      </c>
      <c r="I42" s="159">
        <v>8652</v>
      </c>
      <c r="J42" s="163" t="s">
        <v>43</v>
      </c>
      <c r="K42" s="220">
        <v>0</v>
      </c>
      <c r="L42" s="333">
        <v>0.16886000000000001</v>
      </c>
      <c r="M42" s="159">
        <f t="shared" si="1"/>
        <v>0</v>
      </c>
      <c r="P42" s="498"/>
      <c r="Q42" s="498"/>
    </row>
    <row r="43" spans="1:17" ht="16.5" thickBot="1">
      <c r="A43" s="56" t="s">
        <v>123</v>
      </c>
      <c r="B43" s="12"/>
      <c r="C43" s="564">
        <f>SUM(C37:C42)</f>
        <v>32941361.609999999</v>
      </c>
      <c r="D43" s="565"/>
      <c r="F43" s="163" t="s">
        <v>42</v>
      </c>
      <c r="G43" s="219">
        <f t="shared" si="0"/>
        <v>0</v>
      </c>
      <c r="H43" s="333">
        <v>0.17066999999999999</v>
      </c>
      <c r="I43" s="159">
        <v>0</v>
      </c>
      <c r="J43" s="162" t="s">
        <v>133</v>
      </c>
      <c r="K43" s="144">
        <f>SUM(K36:K42)</f>
        <v>10922728</v>
      </c>
      <c r="L43" s="145"/>
      <c r="M43" s="160">
        <f>SUM(M36:M42)</f>
        <v>1640704</v>
      </c>
    </row>
    <row r="44" spans="1:17" ht="16.5" thickBot="1">
      <c r="A44" s="568" t="s">
        <v>177</v>
      </c>
      <c r="B44" s="569" t="s">
        <v>120</v>
      </c>
      <c r="C44" s="89">
        <f>14441.46-2262515.36</f>
        <v>-2248073.9</v>
      </c>
      <c r="D44" s="8"/>
      <c r="F44" s="163" t="s">
        <v>43</v>
      </c>
      <c r="G44" s="219">
        <f t="shared" si="0"/>
        <v>133435</v>
      </c>
      <c r="H44" s="333">
        <v>0.17066999999999999</v>
      </c>
      <c r="I44" s="159">
        <v>18549</v>
      </c>
      <c r="J44" s="157"/>
      <c r="K44" s="190">
        <v>10922728</v>
      </c>
      <c r="L44" s="152" t="s">
        <v>102</v>
      </c>
      <c r="M44" s="177">
        <f>M43/K43</f>
        <v>0.15021009403511651</v>
      </c>
    </row>
    <row r="45" spans="1:17" ht="16.5" thickBot="1">
      <c r="A45" s="173" t="s">
        <v>168</v>
      </c>
      <c r="B45" s="445" t="s">
        <v>115</v>
      </c>
      <c r="C45" s="89">
        <v>0</v>
      </c>
      <c r="D45" s="566"/>
      <c r="F45" s="162" t="s">
        <v>133</v>
      </c>
      <c r="G45" s="144">
        <f>SUM(G37:G44)</f>
        <v>25639614</v>
      </c>
      <c r="H45" s="145"/>
      <c r="I45" s="160">
        <f>SUM(I37:I44)</f>
        <v>3595914</v>
      </c>
      <c r="J45" s="56"/>
      <c r="K45" s="189"/>
      <c r="L45" s="150"/>
      <c r="M45" s="441"/>
    </row>
    <row r="46" spans="1:17" ht="19.5" customHeight="1" thickTop="1" thickBot="1">
      <c r="A46" s="173" t="s">
        <v>169</v>
      </c>
      <c r="B46" s="445" t="s">
        <v>115</v>
      </c>
      <c r="C46" s="89">
        <v>0</v>
      </c>
      <c r="D46" s="567"/>
      <c r="F46" s="151"/>
      <c r="G46" s="190">
        <v>25639614</v>
      </c>
      <c r="H46" s="152" t="s">
        <v>102</v>
      </c>
      <c r="I46" s="175">
        <f>I45/G45</f>
        <v>0.14024836723360967</v>
      </c>
      <c r="J46" s="56"/>
      <c r="K46" s="189"/>
      <c r="L46" s="150"/>
      <c r="M46" s="441"/>
    </row>
    <row r="47" spans="1:17" ht="19.5" customHeight="1">
      <c r="A47" s="331" t="s">
        <v>137</v>
      </c>
      <c r="B47" s="445" t="s">
        <v>115</v>
      </c>
      <c r="C47" s="89">
        <v>8738.2000000000007</v>
      </c>
      <c r="D47" s="565"/>
      <c r="G47" s="188">
        <f>G45-G46</f>
        <v>0</v>
      </c>
      <c r="J47" s="91"/>
      <c r="K47" s="188">
        <f>K43-K44</f>
        <v>0</v>
      </c>
      <c r="M47" s="91"/>
    </row>
    <row r="48" spans="1:17" ht="16.5" thickBot="1">
      <c r="A48" s="173" t="s">
        <v>303</v>
      </c>
      <c r="B48" s="445" t="s">
        <v>115</v>
      </c>
      <c r="C48" s="89">
        <v>7000</v>
      </c>
      <c r="D48" s="565"/>
      <c r="J48" s="91"/>
      <c r="K48" s="82"/>
      <c r="M48" s="42"/>
    </row>
    <row r="49" spans="1:21" ht="15.75">
      <c r="A49" s="7" t="s">
        <v>130</v>
      </c>
      <c r="B49" s="516" t="s">
        <v>152</v>
      </c>
      <c r="C49" s="89">
        <v>46773.98</v>
      </c>
      <c r="D49" s="565"/>
      <c r="G49" s="82"/>
      <c r="H49" s="95" t="s">
        <v>35</v>
      </c>
      <c r="I49" s="13" t="s">
        <v>35</v>
      </c>
      <c r="J49" s="13" t="s">
        <v>63</v>
      </c>
      <c r="K49" s="93" t="s">
        <v>70</v>
      </c>
      <c r="L49" s="91"/>
    </row>
    <row r="50" spans="1:21" ht="16.5" thickBot="1">
      <c r="A50" s="7" t="s">
        <v>221</v>
      </c>
      <c r="B50" s="516" t="s">
        <v>152</v>
      </c>
      <c r="C50" s="89">
        <v>3061.99</v>
      </c>
      <c r="D50" s="8"/>
      <c r="F50" s="26" t="s">
        <v>73</v>
      </c>
      <c r="H50" s="96" t="s">
        <v>2</v>
      </c>
      <c r="I50" s="97" t="s">
        <v>3</v>
      </c>
      <c r="J50" s="97" t="s">
        <v>2</v>
      </c>
      <c r="K50" s="94" t="s">
        <v>3</v>
      </c>
    </row>
    <row r="51" spans="1:21" ht="15.75">
      <c r="A51" s="7" t="s">
        <v>306</v>
      </c>
      <c r="B51" s="516" t="s">
        <v>152</v>
      </c>
      <c r="C51" s="89">
        <v>3411.7</v>
      </c>
      <c r="D51" s="565"/>
      <c r="H51" s="115"/>
      <c r="I51" s="116"/>
      <c r="J51" s="116"/>
      <c r="K51" s="116"/>
      <c r="L51" s="92" t="s">
        <v>103</v>
      </c>
    </row>
    <row r="52" spans="1:21" ht="15.75">
      <c r="A52" s="132" t="s">
        <v>118</v>
      </c>
      <c r="B52" s="445"/>
      <c r="C52" s="69">
        <f>-C33</f>
        <v>39596.74</v>
      </c>
      <c r="D52" s="562"/>
      <c r="F52" s="331" t="s">
        <v>136</v>
      </c>
      <c r="H52" s="174">
        <f>K12</f>
        <v>16190824.824578997</v>
      </c>
      <c r="I52" s="83">
        <f>I14</f>
        <v>1565690.1814899994</v>
      </c>
      <c r="J52" s="83">
        <f>L12</f>
        <v>6892351.5454209978</v>
      </c>
      <c r="K52" s="83">
        <f>J14</f>
        <v>700142.20850999979</v>
      </c>
      <c r="L52" s="98">
        <f>SUM(H52:K52)</f>
        <v>25349008.759999994</v>
      </c>
    </row>
    <row r="53" spans="1:21" ht="16.5" thickBot="1">
      <c r="A53" s="331" t="s">
        <v>313</v>
      </c>
      <c r="B53" s="516" t="s">
        <v>314</v>
      </c>
      <c r="C53" s="89">
        <v>8677.4</v>
      </c>
      <c r="D53" s="565"/>
      <c r="F53" s="331" t="s">
        <v>109</v>
      </c>
      <c r="H53" s="174">
        <f>-I45</f>
        <v>-3595914</v>
      </c>
      <c r="I53" s="83">
        <f>-I32</f>
        <v>-2296441</v>
      </c>
      <c r="J53" s="83">
        <f>-M43</f>
        <v>-1640704</v>
      </c>
      <c r="K53" s="83">
        <f>-M28</f>
        <v>-1060968</v>
      </c>
      <c r="L53" s="217">
        <f>SUM(H53:K53)</f>
        <v>-8594027</v>
      </c>
    </row>
    <row r="54" spans="1:21" ht="16.5" thickBot="1">
      <c r="A54" s="331" t="s">
        <v>124</v>
      </c>
      <c r="B54" s="445" t="s">
        <v>295</v>
      </c>
      <c r="C54" s="89">
        <f>7050255.97-8142068.33-5727209.53</f>
        <v>-6819021.8900000006</v>
      </c>
      <c r="D54" s="565"/>
      <c r="F54" s="331" t="s">
        <v>86</v>
      </c>
      <c r="H54" s="192">
        <v>0</v>
      </c>
      <c r="I54" s="193">
        <v>0</v>
      </c>
      <c r="J54" s="193">
        <v>0</v>
      </c>
      <c r="K54" s="194">
        <v>0</v>
      </c>
      <c r="L54" s="570">
        <f>SUM(L52:L53)</f>
        <v>16754981.759999994</v>
      </c>
    </row>
    <row r="55" spans="1:21" ht="16.5" thickBot="1">
      <c r="A55" s="331" t="s">
        <v>310</v>
      </c>
      <c r="B55" s="445" t="s">
        <v>190</v>
      </c>
      <c r="C55" s="89">
        <v>-375000</v>
      </c>
      <c r="D55" s="565"/>
      <c r="F55" s="331" t="s">
        <v>71</v>
      </c>
      <c r="H55" s="564">
        <f>IFERROR(H52+H53+H54,0)</f>
        <v>12594910.824578997</v>
      </c>
      <c r="I55" s="564">
        <f>I52+I53+I54</f>
        <v>-730750.81851000059</v>
      </c>
      <c r="J55" s="564">
        <f>IFERROR(J52+J53+J54,0)</f>
        <v>5251647.5454209978</v>
      </c>
      <c r="K55" s="564">
        <f>K52+K53+K54</f>
        <v>-360825.79149000021</v>
      </c>
      <c r="L55" s="571">
        <f>SUM(H55:K55)</f>
        <v>16754981.759999994</v>
      </c>
    </row>
    <row r="56" spans="1:21" ht="16.5" thickBot="1">
      <c r="A56" s="572" t="s">
        <v>119</v>
      </c>
      <c r="B56" s="569"/>
      <c r="C56" s="123">
        <f>SUM(C43:C55)</f>
        <v>23616525.829999994</v>
      </c>
      <c r="D56" s="565"/>
      <c r="F56" s="573" t="s">
        <v>181</v>
      </c>
      <c r="H56" s="331" t="s">
        <v>173</v>
      </c>
      <c r="I56" s="7">
        <f>SUM(H55:I55)</f>
        <v>11864160.006068997</v>
      </c>
      <c r="J56" s="41" t="s">
        <v>174</v>
      </c>
      <c r="K56" s="331">
        <f>SUM(J55:K55)</f>
        <v>4890821.7539309971</v>
      </c>
      <c r="L56" s="574">
        <f>ROUND(L54-L55,3)</f>
        <v>0</v>
      </c>
      <c r="T56" s="575"/>
    </row>
    <row r="57" spans="1:21" ht="16.5" thickTop="1">
      <c r="A57" s="331" t="s">
        <v>121</v>
      </c>
      <c r="B57" s="445" t="s">
        <v>115</v>
      </c>
      <c r="C57" s="89">
        <v>-371444.74</v>
      </c>
      <c r="D57" s="565"/>
      <c r="F57" s="576" t="s">
        <v>181</v>
      </c>
      <c r="H57" s="577"/>
    </row>
    <row r="58" spans="1:21" ht="16.5" thickBot="1">
      <c r="A58" s="331" t="s">
        <v>122</v>
      </c>
      <c r="B58" s="445" t="s">
        <v>115</v>
      </c>
      <c r="C58" s="89">
        <v>-161904.72</v>
      </c>
      <c r="D58" s="565"/>
      <c r="F58" s="576" t="s">
        <v>182</v>
      </c>
      <c r="H58" s="566"/>
      <c r="I58" s="578"/>
      <c r="J58" s="578"/>
      <c r="K58" s="579"/>
      <c r="L58" s="578"/>
    </row>
    <row r="59" spans="1:21" ht="16.5" thickBot="1">
      <c r="A59" s="26" t="s">
        <v>125</v>
      </c>
      <c r="B59" s="26"/>
      <c r="C59" s="123">
        <f>SUM(C56:C58)</f>
        <v>23083176.369999997</v>
      </c>
      <c r="D59" s="565"/>
      <c r="F59" s="580" t="s">
        <v>302</v>
      </c>
      <c r="G59" s="437" t="str">
        <f>IF(OR(AND(I56&gt;0,K56&gt;0),AND(I56&lt;0,K56&lt;0)),"OK","ERROR")</f>
        <v>OK</v>
      </c>
      <c r="H59" s="115" t="s">
        <v>293</v>
      </c>
      <c r="I59" s="167"/>
    </row>
    <row r="60" spans="1:21" ht="17.25" thickTop="1" thickBot="1">
      <c r="A60" s="26"/>
      <c r="C60" s="444"/>
      <c r="D60" s="565"/>
      <c r="H60" s="118" t="s">
        <v>175</v>
      </c>
      <c r="I60" s="549" t="s">
        <v>176</v>
      </c>
      <c r="J60" s="7"/>
    </row>
    <row r="61" spans="1:21" ht="16.5" thickBot="1">
      <c r="A61" s="107"/>
      <c r="B61" s="107" t="s">
        <v>95</v>
      </c>
      <c r="C61" s="564">
        <f>C59+C34</f>
        <v>25349008.759999998</v>
      </c>
      <c r="D61" s="8"/>
      <c r="H61" s="297" t="e">
        <f>SUM('WA - Def-Amtz (current)'!BB5:BB40)+SUM(#REF!)</f>
        <v>#REF!</v>
      </c>
      <c r="I61" s="392" t="e">
        <f>SUM('WA - Def-Amtz (current)'!BC5:BC41)+SUM(#REF!)</f>
        <v>#REF!</v>
      </c>
      <c r="J61" s="331">
        <f>H53+I53+J53+K53</f>
        <v>-8594027</v>
      </c>
    </row>
    <row r="62" spans="1:21" ht="15.75">
      <c r="A62" s="26"/>
      <c r="B62" s="107" t="s">
        <v>160</v>
      </c>
      <c r="C62" s="446">
        <v>25349008.760000002</v>
      </c>
      <c r="G62" s="7"/>
      <c r="I62" s="69" t="e">
        <f>H61-I61</f>
        <v>#REF!</v>
      </c>
      <c r="N62" s="7"/>
      <c r="O62" s="7"/>
      <c r="P62" s="581"/>
    </row>
    <row r="63" spans="1:21" ht="15.75">
      <c r="A63" s="107"/>
      <c r="B63" s="107" t="s">
        <v>159</v>
      </c>
      <c r="C63" s="69">
        <f>ROUND(C61-C62,2)</f>
        <v>0</v>
      </c>
      <c r="D63" s="565"/>
      <c r="S63" s="445"/>
    </row>
    <row r="64" spans="1:21" ht="15.75">
      <c r="A64" s="57"/>
      <c r="C64" s="582"/>
      <c r="D64" s="583"/>
      <c r="N64" s="132"/>
      <c r="U64" s="26"/>
    </row>
    <row r="65" spans="1:21" ht="15.75">
      <c r="A65" s="57"/>
      <c r="C65" s="8"/>
      <c r="D65" s="565"/>
      <c r="N65" s="132"/>
      <c r="S65" s="584"/>
    </row>
    <row r="66" spans="1:21" ht="15.75">
      <c r="A66" s="26"/>
      <c r="C66" s="8"/>
      <c r="D66" s="565"/>
      <c r="H66" s="577"/>
      <c r="N66" s="132"/>
      <c r="S66" s="585"/>
    </row>
    <row r="67" spans="1:21">
      <c r="C67" s="69"/>
      <c r="D67" s="565"/>
      <c r="N67" s="132"/>
      <c r="S67" s="586"/>
    </row>
    <row r="68" spans="1:21">
      <c r="D68" s="565"/>
      <c r="N68" s="132"/>
      <c r="S68" s="585"/>
    </row>
    <row r="69" spans="1:21">
      <c r="D69" s="8"/>
      <c r="N69" s="132"/>
    </row>
    <row r="70" spans="1:21">
      <c r="D70" s="565"/>
      <c r="N70" s="132"/>
      <c r="S70" s="587"/>
    </row>
    <row r="71" spans="1:21">
      <c r="D71" s="565"/>
    </row>
    <row r="72" spans="1:21">
      <c r="D72" s="565"/>
    </row>
    <row r="73" spans="1:21">
      <c r="D73" s="154"/>
      <c r="S73" s="588"/>
    </row>
    <row r="74" spans="1:21">
      <c r="R74" s="445"/>
      <c r="S74" s="445"/>
      <c r="T74" s="445"/>
    </row>
    <row r="76" spans="1:21">
      <c r="U76" s="589"/>
    </row>
    <row r="1477" spans="3:3">
      <c r="C1477" s="331">
        <v>-2130</v>
      </c>
    </row>
    <row r="1485" spans="3:3">
      <c r="C1485" s="331">
        <f>7004298-2130</f>
        <v>7002168</v>
      </c>
    </row>
  </sheetData>
  <mergeCells count="3">
    <mergeCell ref="F18:I18"/>
    <mergeCell ref="J18:M18"/>
    <mergeCell ref="K35:M35"/>
  </mergeCells>
  <conditionalFormatting sqref="C63 L56 I62">
    <cfRule type="cellIs" dxfId="269" priority="8" stopIfTrue="1" operator="equal">
      <formula>0</formula>
    </cfRule>
    <cfRule type="cellIs" dxfId="268" priority="9" stopIfTrue="1" operator="notEqual">
      <formula>0</formula>
    </cfRule>
  </conditionalFormatting>
  <conditionalFormatting sqref="G34 G47 K30 K47">
    <cfRule type="cellIs" dxfId="267" priority="7" operator="notEqual">
      <formula>0</formula>
    </cfRule>
  </conditionalFormatting>
  <conditionalFormatting sqref="C63">
    <cfRule type="cellIs" dxfId="266" priority="5" stopIfTrue="1" operator="equal">
      <formula>0</formula>
    </cfRule>
    <cfRule type="cellIs" dxfId="265" priority="6" stopIfTrue="1" operator="notEqual">
      <formula>0</formula>
    </cfRule>
  </conditionalFormatting>
  <conditionalFormatting sqref="K30">
    <cfRule type="cellIs" dxfId="264" priority="4" operator="notEqual">
      <formula>0</formula>
    </cfRule>
  </conditionalFormatting>
  <conditionalFormatting sqref="G59">
    <cfRule type="cellIs" dxfId="263" priority="3" operator="equal">
      <formula>"""ERROR"""</formula>
    </cfRule>
  </conditionalFormatting>
  <conditionalFormatting sqref="G59">
    <cfRule type="cellIs" dxfId="262" priority="2" operator="equal">
      <formula>"ERROR"</formula>
    </cfRule>
  </conditionalFormatting>
  <conditionalFormatting sqref="G59">
    <cfRule type="cellIs" dxfId="261" priority="1" operator="equal">
      <formula>"ERROR"</formula>
    </cfRule>
  </conditionalFormatting>
  <printOptions verticalCentered="1" gridLinesSet="0"/>
  <pageMargins left="0.5" right="0" top="0.25" bottom="0.5" header="0" footer="0.25"/>
  <pageSetup scale="47" orientation="landscape" cellComments="asDisplayed" r:id="rId1"/>
  <headerFooter alignWithMargins="0">
    <oddFooter>&amp;L&amp;F&amp;C&amp;A&amp;R&amp;D&amp;T</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57C8840655DF834D9146E3231B1BC14A" ma:contentTypeVersion="76" ma:contentTypeDescription="" ma:contentTypeScope="" ma:versionID="76b820c8eb875b714a0a368c59c6e24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a924c8152a3ca6d41f5defb10cfa585"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Document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2018-08-17T07:00:00+00:00</OpenedDate>
    <SignificantOrder xmlns="dc463f71-b30c-4ab2-9473-d307f9d35888">false</SignificantOrder>
    <Date1 xmlns="dc463f71-b30c-4ab2-9473-d307f9d35888">2019-09-27T07:00:00+00:00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180700</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7E42EADF-7EE3-4494-A41D-71A1EBDCEBCD}"/>
</file>

<file path=customXml/itemProps2.xml><?xml version="1.0" encoding="utf-8"?>
<ds:datastoreItem xmlns:ds="http://schemas.openxmlformats.org/officeDocument/2006/customXml" ds:itemID="{C8A3832B-39A3-434E-A029-E83AAA472D63}"/>
</file>

<file path=customXml/itemProps3.xml><?xml version="1.0" encoding="utf-8"?>
<ds:datastoreItem xmlns:ds="http://schemas.openxmlformats.org/officeDocument/2006/customXml" ds:itemID="{E7DE471E-C6FD-4EEF-A711-6E1AAA2D552D}"/>
</file>

<file path=customXml/itemProps4.xml><?xml version="1.0" encoding="utf-8"?>
<ds:datastoreItem xmlns:ds="http://schemas.openxmlformats.org/officeDocument/2006/customXml" ds:itemID="{E5A735BF-A294-43CF-ABC2-746BDFF9077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37</vt:i4>
      </vt:variant>
    </vt:vector>
  </HeadingPairs>
  <TitlesOfParts>
    <vt:vector size="62" baseType="lpstr">
      <vt:lpstr>PGA Graphs 2012-13</vt:lpstr>
      <vt:lpstr>JE</vt:lpstr>
      <vt:lpstr>191010 WA Summary</vt:lpstr>
      <vt:lpstr>191010 ID Summary</vt:lpstr>
      <vt:lpstr>191000 WA Summary</vt:lpstr>
      <vt:lpstr>191000 ID Summary</vt:lpstr>
      <vt:lpstr>Jan</vt:lpstr>
      <vt:lpstr>Feb</vt:lpstr>
      <vt:lpstr>Mar</vt:lpstr>
      <vt:lpstr>Apr</vt:lpstr>
      <vt:lpstr>May</vt:lpstr>
      <vt:lpstr>May Revised</vt:lpstr>
      <vt:lpstr>Jun</vt:lpstr>
      <vt:lpstr>Jul</vt:lpstr>
      <vt:lpstr>Aug</vt:lpstr>
      <vt:lpstr>WA - Def-Amtz (current)</vt:lpstr>
      <vt:lpstr>201905 WA_ID reclass Entry</vt:lpstr>
      <vt:lpstr>PGA Graphs 2013-14</vt:lpstr>
      <vt:lpstr>ID Amort 191015</vt:lpstr>
      <vt:lpstr>ID Amort 191000</vt:lpstr>
      <vt:lpstr>WA Def 191010</vt:lpstr>
      <vt:lpstr>ID Def 191010</vt:lpstr>
      <vt:lpstr>ID Holdback 191015</vt:lpstr>
      <vt:lpstr>Amortization of JP Deferral</vt:lpstr>
      <vt:lpstr>WA Amort 191000</vt:lpstr>
      <vt:lpstr>'191000 ID Summary'!Print_Area</vt:lpstr>
      <vt:lpstr>'191000 WA Summary'!Print_Area</vt:lpstr>
      <vt:lpstr>'191010 ID Summary'!Print_Area</vt:lpstr>
      <vt:lpstr>'191010 WA Summary'!Print_Area</vt:lpstr>
      <vt:lpstr>'201905 WA_ID reclass Entry'!Print_Area</vt:lpstr>
      <vt:lpstr>'Amortization of JP Deferral'!Print_Area</vt:lpstr>
      <vt:lpstr>Apr!Print_Area</vt:lpstr>
      <vt:lpstr>Aug!Print_Area</vt:lpstr>
      <vt:lpstr>Feb!Print_Area</vt:lpstr>
      <vt:lpstr>'ID Amort 191000'!Print_Area</vt:lpstr>
      <vt:lpstr>'ID Amort 191015'!Print_Area</vt:lpstr>
      <vt:lpstr>'ID Def 191010'!Print_Area</vt:lpstr>
      <vt:lpstr>'ID Holdback 191015'!Print_Area</vt:lpstr>
      <vt:lpstr>Jan!Print_Area</vt:lpstr>
      <vt:lpstr>JE!Print_Area</vt:lpstr>
      <vt:lpstr>Jul!Print_Area</vt:lpstr>
      <vt:lpstr>Jun!Print_Area</vt:lpstr>
      <vt:lpstr>Mar!Print_Area</vt:lpstr>
      <vt:lpstr>May!Print_Area</vt:lpstr>
      <vt:lpstr>'May Revised'!Print_Area</vt:lpstr>
      <vt:lpstr>'PGA Graphs 2012-13'!Print_Area</vt:lpstr>
      <vt:lpstr>'PGA Graphs 2013-14'!Print_Area</vt:lpstr>
      <vt:lpstr>'WA - Def-Amtz (current)'!Print_Area</vt:lpstr>
      <vt:lpstr>'WA Amort 191000'!Print_Area</vt:lpstr>
      <vt:lpstr>'WA Def 191010'!Print_Area</vt:lpstr>
      <vt:lpstr>Apr!Print_Titles</vt:lpstr>
      <vt:lpstr>Aug!Print_Titles</vt:lpstr>
      <vt:lpstr>Feb!Print_Titles</vt:lpstr>
      <vt:lpstr>'ID Def 191010'!Print_Titles</vt:lpstr>
      <vt:lpstr>'ID Holdback 191015'!Print_Titles</vt:lpstr>
      <vt:lpstr>Jan!Print_Titles</vt:lpstr>
      <vt:lpstr>Jul!Print_Titles</vt:lpstr>
      <vt:lpstr>Jun!Print_Titles</vt:lpstr>
      <vt:lpstr>Mar!Print_Titles</vt:lpstr>
      <vt:lpstr>May!Print_Titles</vt:lpstr>
      <vt:lpstr>'May Revised'!Print_Titles</vt:lpstr>
      <vt:lpstr>'WA Def 191010'!Print_Titles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Preferred Customer</dc:creator>
  <cp:lastModifiedBy>Kaylene Schultz</cp:lastModifiedBy>
  <cp:lastPrinted>2019-09-06T17:52:46Z</cp:lastPrinted>
  <dcterms:created xsi:type="dcterms:W3CDTF">2003-05-01T14:02:57Z</dcterms:created>
  <dcterms:modified xsi:type="dcterms:W3CDTF">2019-09-27T15:37:52Z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0x0101006E56B4D1795A2E4DB2F0B01679ED314A0057C8840655DF834D9146E3231B1BC14A</vt:lpwstr>
  </property>
  <property fmtid="{D5CDD505-2E9C-101B-9397-08002B2CF9AE}" pid="5" name="_docset_NoMedatataSyncRequired">
    <vt:lpwstr>False</vt:lpwstr>
  </property>
  <property fmtid="{D5CDD505-2E9C-101B-9397-08002B2CF9AE}" pid="6" name="IsEFSEC">
    <vt:bool>false</vt:bool>
  </property>
</Properties>
</file>