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charts/chart2.xml" ContentType="application/vnd.openxmlformats-officedocument.drawingml.chart+xml"/>
  <Override PartName="/xl/charts/chart1.xml" ContentType="application/vnd.openxmlformats-officedocument.drawingml.chart+xml"/>
  <Override PartName="/xl/drawings/drawing1.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comments1.xml" ContentType="application/vnd.openxmlformats-officedocument.spreadsheetml.comments+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omments4.xml" ContentType="application/vnd.openxmlformats-officedocument.spreadsheetml.comments+xml"/>
  <Override PartName="/xl/calcChain.xml" ContentType="application/vnd.openxmlformats-officedocument.spreadsheetml.calcChain+xml"/>
  <Override PartName="/xl/comments2.xml" ContentType="application/vnd.openxmlformats-officedocument.spreadsheetml.comments+xml"/>
  <Override PartName="/xl/comments3.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30" windowWidth="19920" windowHeight="7410" activeTab="4"/>
  </bookViews>
  <sheets>
    <sheet name="Calculations" sheetId="5" r:id="rId1"/>
    <sheet name="Site Specific" sheetId="8" r:id="rId2"/>
    <sheet name="Non res psc" sheetId="2" r:id="rId3"/>
    <sheet name="Residential" sheetId="7" r:id="rId4"/>
    <sheet name="Portfolio" sheetId="6" r:id="rId5"/>
    <sheet name="ACs" sheetId="3" r:id="rId6"/>
  </sheets>
  <externalReferences>
    <externalReference r:id="rId7"/>
    <externalReference r:id="rId8"/>
    <externalReference r:id="rId9"/>
    <externalReference r:id="rId10"/>
  </externalReferences>
  <definedNames>
    <definedName name="_xlnm.Print_Area" localSheetId="4">Portfolio!$A$1:$Q$60</definedName>
  </definedNames>
  <calcPr calcId="125725"/>
</workbook>
</file>

<file path=xl/calcChain.xml><?xml version="1.0" encoding="utf-8"?>
<calcChain xmlns="http://schemas.openxmlformats.org/spreadsheetml/2006/main">
  <c r="E7" i="6"/>
  <c r="BK1" i="3" l="1"/>
  <c r="BX4"/>
  <c r="BY4"/>
  <c r="BX5"/>
  <c r="BY5"/>
  <c r="BX6"/>
  <c r="BY6"/>
  <c r="BX7"/>
  <c r="BY7"/>
  <c r="BX8"/>
  <c r="BY8"/>
  <c r="BX9"/>
  <c r="BY9"/>
  <c r="BX10"/>
  <c r="BY10"/>
  <c r="BX11"/>
  <c r="BY11"/>
  <c r="BX12"/>
  <c r="BY12"/>
  <c r="BX13"/>
  <c r="BY13"/>
  <c r="BX14"/>
  <c r="BY14"/>
  <c r="BX15"/>
  <c r="BY15"/>
  <c r="BX16"/>
  <c r="BY16"/>
  <c r="BX17"/>
  <c r="BY17"/>
  <c r="BX18"/>
  <c r="BY18"/>
  <c r="BX19"/>
  <c r="BY19"/>
  <c r="BX20"/>
  <c r="BY20"/>
  <c r="BX21"/>
  <c r="BY21"/>
  <c r="BX22"/>
  <c r="BY22"/>
  <c r="BX23"/>
  <c r="BY23"/>
  <c r="BP25" l="1"/>
  <c r="BP26"/>
  <c r="BP27"/>
  <c r="BP28"/>
  <c r="BP29"/>
  <c r="BP30"/>
  <c r="BP31"/>
  <c r="BP32"/>
  <c r="BP33"/>
  <c r="BP34"/>
  <c r="BP35"/>
  <c r="BP36"/>
  <c r="BP37"/>
  <c r="BP38"/>
  <c r="BP39"/>
  <c r="BP40"/>
  <c r="BP41"/>
  <c r="BP42"/>
  <c r="BP43"/>
  <c r="BP44"/>
  <c r="BP45"/>
  <c r="BP46"/>
  <c r="BP47"/>
  <c r="BP48"/>
  <c r="BP24"/>
  <c r="BO25"/>
  <c r="BO26"/>
  <c r="BO27"/>
  <c r="BO28"/>
  <c r="BO29"/>
  <c r="BO30"/>
  <c r="BO31"/>
  <c r="BO32"/>
  <c r="BO33"/>
  <c r="BO34"/>
  <c r="BO35"/>
  <c r="BO36"/>
  <c r="BO37"/>
  <c r="BO38"/>
  <c r="BO39"/>
  <c r="BO40"/>
  <c r="BO41"/>
  <c r="BO42"/>
  <c r="BO43"/>
  <c r="BO44"/>
  <c r="BO45"/>
  <c r="BO46"/>
  <c r="BO47"/>
  <c r="BO48"/>
  <c r="BO24"/>
  <c r="BN48"/>
  <c r="BN47"/>
  <c r="BR47" s="1"/>
  <c r="BT47" s="1"/>
  <c r="BN46"/>
  <c r="BN45"/>
  <c r="BR45" s="1"/>
  <c r="BT45" s="1"/>
  <c r="BN44"/>
  <c r="BN43"/>
  <c r="BR43" s="1"/>
  <c r="BT43" s="1"/>
  <c r="BN42"/>
  <c r="BN41"/>
  <c r="BR41" s="1"/>
  <c r="BT41" s="1"/>
  <c r="BN40"/>
  <c r="BN39"/>
  <c r="BR39" s="1"/>
  <c r="BT39" s="1"/>
  <c r="BN38"/>
  <c r="BN37"/>
  <c r="BR37" s="1"/>
  <c r="BT37" s="1"/>
  <c r="BN36"/>
  <c r="BN35"/>
  <c r="BR35" s="1"/>
  <c r="BT35" s="1"/>
  <c r="BN34"/>
  <c r="BN33"/>
  <c r="BR33" s="1"/>
  <c r="BT33" s="1"/>
  <c r="BN32"/>
  <c r="BN31"/>
  <c r="BR31" s="1"/>
  <c r="BT31" s="1"/>
  <c r="BN30"/>
  <c r="BN29"/>
  <c r="BR29" s="1"/>
  <c r="BT29" s="1"/>
  <c r="BN28"/>
  <c r="BN27"/>
  <c r="BR27" s="1"/>
  <c r="BT27" s="1"/>
  <c r="BN26"/>
  <c r="BN25"/>
  <c r="BR25" s="1"/>
  <c r="BT25" s="1"/>
  <c r="BN24"/>
  <c r="BR24" s="1"/>
  <c r="BT24" s="1"/>
  <c r="BM25"/>
  <c r="BQ25" s="1"/>
  <c r="BS25" s="1"/>
  <c r="BM26"/>
  <c r="BM27"/>
  <c r="BQ27" s="1"/>
  <c r="BS27" s="1"/>
  <c r="BM28"/>
  <c r="BM29"/>
  <c r="BQ29" s="1"/>
  <c r="BS29" s="1"/>
  <c r="BM30"/>
  <c r="BM31"/>
  <c r="BQ31" s="1"/>
  <c r="BS31" s="1"/>
  <c r="BM32"/>
  <c r="BM33"/>
  <c r="BQ33" s="1"/>
  <c r="BS33" s="1"/>
  <c r="BM34"/>
  <c r="BM35"/>
  <c r="BQ35" s="1"/>
  <c r="BS35" s="1"/>
  <c r="BM36"/>
  <c r="BM37"/>
  <c r="BQ37" s="1"/>
  <c r="BS37" s="1"/>
  <c r="BM38"/>
  <c r="BM39"/>
  <c r="BQ39" s="1"/>
  <c r="BS39" s="1"/>
  <c r="BM40"/>
  <c r="BM41"/>
  <c r="BQ41" s="1"/>
  <c r="BS41" s="1"/>
  <c r="BM42"/>
  <c r="BM43"/>
  <c r="BQ43" s="1"/>
  <c r="BS43" s="1"/>
  <c r="BM44"/>
  <c r="BM45"/>
  <c r="BQ45" s="1"/>
  <c r="BS45" s="1"/>
  <c r="BM46"/>
  <c r="BM47"/>
  <c r="BQ47" s="1"/>
  <c r="BS47" s="1"/>
  <c r="BM48"/>
  <c r="BM24"/>
  <c r="BQ24" s="1"/>
  <c r="BS24" s="1"/>
  <c r="BL24"/>
  <c r="BL25" s="1"/>
  <c r="BL26" s="1"/>
  <c r="BL27" s="1"/>
  <c r="BL28" s="1"/>
  <c r="BL29" s="1"/>
  <c r="BL30" s="1"/>
  <c r="BL31" s="1"/>
  <c r="BL32" s="1"/>
  <c r="BL33" s="1"/>
  <c r="BL34" s="1"/>
  <c r="BL35" s="1"/>
  <c r="BL36" s="1"/>
  <c r="BL37" s="1"/>
  <c r="BL38" s="1"/>
  <c r="BL39" s="1"/>
  <c r="BL40" s="1"/>
  <c r="BL41" s="1"/>
  <c r="BL42" s="1"/>
  <c r="BL43" s="1"/>
  <c r="BL44" s="1"/>
  <c r="BL45" s="1"/>
  <c r="BL46" s="1"/>
  <c r="BL47" s="1"/>
  <c r="BL48" s="1"/>
  <c r="BK43"/>
  <c r="BK44"/>
  <c r="BK45" s="1"/>
  <c r="BK46" s="1"/>
  <c r="BK47" s="1"/>
  <c r="BK48" s="1"/>
  <c r="BK25"/>
  <c r="BK26" s="1"/>
  <c r="BK27" s="1"/>
  <c r="BK28" s="1"/>
  <c r="BK29" s="1"/>
  <c r="BK30" s="1"/>
  <c r="BK31" s="1"/>
  <c r="BK32" s="1"/>
  <c r="BK33" s="1"/>
  <c r="BK34" s="1"/>
  <c r="BK35" s="1"/>
  <c r="BK36" s="1"/>
  <c r="BK37" s="1"/>
  <c r="BK38" s="1"/>
  <c r="BK39" s="1"/>
  <c r="BK40" s="1"/>
  <c r="BK41" s="1"/>
  <c r="BK42" s="1"/>
  <c r="BK24"/>
  <c r="BN23"/>
  <c r="BN22"/>
  <c r="BN21"/>
  <c r="BN20"/>
  <c r="BN19"/>
  <c r="BN18"/>
  <c r="BN17"/>
  <c r="BN16"/>
  <c r="BN15"/>
  <c r="BN14"/>
  <c r="BN13"/>
  <c r="BN12"/>
  <c r="BN11"/>
  <c r="BN10"/>
  <c r="BN9"/>
  <c r="BN8"/>
  <c r="BN7"/>
  <c r="BN6"/>
  <c r="BN5"/>
  <c r="BN4"/>
  <c r="BM5"/>
  <c r="BM6"/>
  <c r="BM7"/>
  <c r="BM8"/>
  <c r="BM9"/>
  <c r="BM10"/>
  <c r="BM11"/>
  <c r="BM12"/>
  <c r="BM13"/>
  <c r="BM14"/>
  <c r="BM15"/>
  <c r="BM16"/>
  <c r="BM17"/>
  <c r="BM18"/>
  <c r="BM19"/>
  <c r="BM20"/>
  <c r="BM21"/>
  <c r="BM22"/>
  <c r="BM23"/>
  <c r="BM4"/>
  <c r="BP5"/>
  <c r="BP6"/>
  <c r="BP7"/>
  <c r="BP8"/>
  <c r="BP9"/>
  <c r="BP10"/>
  <c r="BP11"/>
  <c r="BP12"/>
  <c r="BP13"/>
  <c r="BP14"/>
  <c r="BP15"/>
  <c r="BP16"/>
  <c r="BP17"/>
  <c r="BP18"/>
  <c r="BP19"/>
  <c r="BP20"/>
  <c r="BP21"/>
  <c r="BP22"/>
  <c r="BP23"/>
  <c r="BP4"/>
  <c r="BO5"/>
  <c r="BO6"/>
  <c r="BO7"/>
  <c r="BO8"/>
  <c r="BO9"/>
  <c r="BO10"/>
  <c r="BO11"/>
  <c r="BO12"/>
  <c r="BO13"/>
  <c r="BO14"/>
  <c r="BO15"/>
  <c r="BO16"/>
  <c r="BO17"/>
  <c r="BO18"/>
  <c r="BO19"/>
  <c r="BO20"/>
  <c r="BO21"/>
  <c r="BO22"/>
  <c r="BO23"/>
  <c r="BO4"/>
  <c r="BL4"/>
  <c r="BK4"/>
  <c r="BI5"/>
  <c r="BK5" s="1"/>
  <c r="BJ5"/>
  <c r="BL5" s="1"/>
  <c r="BI6"/>
  <c r="BK6" s="1"/>
  <c r="BJ6"/>
  <c r="BL6" s="1"/>
  <c r="BI7"/>
  <c r="BK7" s="1"/>
  <c r="BJ7"/>
  <c r="BL7" s="1"/>
  <c r="BI8"/>
  <c r="BK8" s="1"/>
  <c r="BJ8"/>
  <c r="BL8" s="1"/>
  <c r="BI9"/>
  <c r="BK9" s="1"/>
  <c r="BJ9"/>
  <c r="BL9" s="1"/>
  <c r="BI10"/>
  <c r="BK10" s="1"/>
  <c r="BJ10"/>
  <c r="BL10" s="1"/>
  <c r="BI11"/>
  <c r="BK11" s="1"/>
  <c r="BJ11"/>
  <c r="BL11" s="1"/>
  <c r="BI12"/>
  <c r="BK12" s="1"/>
  <c r="BJ12"/>
  <c r="BL12" s="1"/>
  <c r="BI13"/>
  <c r="BK13" s="1"/>
  <c r="BJ13"/>
  <c r="BL13" s="1"/>
  <c r="BI14"/>
  <c r="BK14" s="1"/>
  <c r="BJ14"/>
  <c r="BL14" s="1"/>
  <c r="BI15"/>
  <c r="BK15" s="1"/>
  <c r="BJ15"/>
  <c r="BL15" s="1"/>
  <c r="BI16"/>
  <c r="BK16" s="1"/>
  <c r="BJ16"/>
  <c r="BL16" s="1"/>
  <c r="BI17"/>
  <c r="BK17" s="1"/>
  <c r="BJ17"/>
  <c r="BL17" s="1"/>
  <c r="BI18"/>
  <c r="BK18" s="1"/>
  <c r="BJ18"/>
  <c r="BL18" s="1"/>
  <c r="BI19"/>
  <c r="BK19" s="1"/>
  <c r="BJ19"/>
  <c r="BL19" s="1"/>
  <c r="BI20"/>
  <c r="BK20" s="1"/>
  <c r="BJ20"/>
  <c r="BL20" s="1"/>
  <c r="BI21"/>
  <c r="BK21" s="1"/>
  <c r="BJ21"/>
  <c r="BL21" s="1"/>
  <c r="BI22"/>
  <c r="BK22" s="1"/>
  <c r="BJ22"/>
  <c r="BL22" s="1"/>
  <c r="BI23"/>
  <c r="BK23" s="1"/>
  <c r="BJ23"/>
  <c r="BL23" s="1"/>
  <c r="BJ4"/>
  <c r="BI4"/>
  <c r="BH5"/>
  <c r="BH6"/>
  <c r="BH7"/>
  <c r="BH8"/>
  <c r="BH9"/>
  <c r="BH10"/>
  <c r="BH11"/>
  <c r="BH12"/>
  <c r="BH13"/>
  <c r="BH14"/>
  <c r="BH15"/>
  <c r="BH16"/>
  <c r="BH17"/>
  <c r="BH18"/>
  <c r="BH19"/>
  <c r="BH20"/>
  <c r="BH21"/>
  <c r="BH22"/>
  <c r="BH23"/>
  <c r="BH4"/>
  <c r="E8" i="6"/>
  <c r="E9"/>
  <c r="E10"/>
  <c r="E11"/>
  <c r="E12"/>
  <c r="E13"/>
  <c r="E14"/>
  <c r="E15"/>
  <c r="E16"/>
  <c r="BQ48" i="3" l="1"/>
  <c r="BS48" s="1"/>
  <c r="BQ46"/>
  <c r="BS46" s="1"/>
  <c r="BQ44"/>
  <c r="BS44" s="1"/>
  <c r="BQ42"/>
  <c r="BS42" s="1"/>
  <c r="BQ40"/>
  <c r="BS40" s="1"/>
  <c r="BQ38"/>
  <c r="BS38" s="1"/>
  <c r="BQ36"/>
  <c r="BS36" s="1"/>
  <c r="BQ34"/>
  <c r="BS34" s="1"/>
  <c r="BQ32"/>
  <c r="BS32" s="1"/>
  <c r="BQ30"/>
  <c r="BS30" s="1"/>
  <c r="BQ28"/>
  <c r="BS28" s="1"/>
  <c r="BQ26"/>
  <c r="BS26" s="1"/>
  <c r="BR26"/>
  <c r="BT26" s="1"/>
  <c r="BR28"/>
  <c r="BT28" s="1"/>
  <c r="BR30"/>
  <c r="BT30" s="1"/>
  <c r="BR32"/>
  <c r="BT32" s="1"/>
  <c r="BR34"/>
  <c r="BT34" s="1"/>
  <c r="BR36"/>
  <c r="BT36" s="1"/>
  <c r="BR38"/>
  <c r="BT38" s="1"/>
  <c r="BR40"/>
  <c r="BT40" s="1"/>
  <c r="BR42"/>
  <c r="BT42" s="1"/>
  <c r="BR44"/>
  <c r="BT44" s="1"/>
  <c r="BR46"/>
  <c r="BT46" s="1"/>
  <c r="BR48"/>
  <c r="BT48" s="1"/>
  <c r="BQ4"/>
  <c r="BS4" s="1"/>
  <c r="CA4" s="1"/>
  <c r="BQ20"/>
  <c r="BS20" s="1"/>
  <c r="CA20" s="1"/>
  <c r="BQ16"/>
  <c r="BS16" s="1"/>
  <c r="CA16" s="1"/>
  <c r="BQ12"/>
  <c r="BS12" s="1"/>
  <c r="CA12" s="1"/>
  <c r="BQ8"/>
  <c r="BS8" s="1"/>
  <c r="CA8" s="1"/>
  <c r="BR4"/>
  <c r="BT4" s="1"/>
  <c r="CB4" s="1"/>
  <c r="BR8"/>
  <c r="BT8" s="1"/>
  <c r="CB8" s="1"/>
  <c r="BR12"/>
  <c r="BT12" s="1"/>
  <c r="CB12" s="1"/>
  <c r="BR16"/>
  <c r="BT16" s="1"/>
  <c r="CB16" s="1"/>
  <c r="BR20"/>
  <c r="BT20" s="1"/>
  <c r="CB20" s="1"/>
  <c r="BQ21"/>
  <c r="BS21" s="1"/>
  <c r="CA21" s="1"/>
  <c r="BQ17"/>
  <c r="BS17" s="1"/>
  <c r="CA17" s="1"/>
  <c r="BQ13"/>
  <c r="BS13" s="1"/>
  <c r="CA13" s="1"/>
  <c r="BQ9"/>
  <c r="BS9" s="1"/>
  <c r="CA9" s="1"/>
  <c r="BQ5"/>
  <c r="BS5" s="1"/>
  <c r="CA5" s="1"/>
  <c r="BR7"/>
  <c r="BT7" s="1"/>
  <c r="CB7" s="1"/>
  <c r="BR11"/>
  <c r="BT11" s="1"/>
  <c r="CB11" s="1"/>
  <c r="BR15"/>
  <c r="BT15" s="1"/>
  <c r="CB15" s="1"/>
  <c r="BR19"/>
  <c r="BT19" s="1"/>
  <c r="CB19" s="1"/>
  <c r="BR23"/>
  <c r="BT23" s="1"/>
  <c r="CB23" s="1"/>
  <c r="BQ22"/>
  <c r="BS22" s="1"/>
  <c r="CA22" s="1"/>
  <c r="BQ18"/>
  <c r="BS18" s="1"/>
  <c r="CA18" s="1"/>
  <c r="BQ14"/>
  <c r="BS14" s="1"/>
  <c r="CA14" s="1"/>
  <c r="BQ10"/>
  <c r="BS10" s="1"/>
  <c r="CA10" s="1"/>
  <c r="BQ6"/>
  <c r="BS6" s="1"/>
  <c r="CA6" s="1"/>
  <c r="BR6"/>
  <c r="BT6" s="1"/>
  <c r="CB6" s="1"/>
  <c r="BR10"/>
  <c r="BT10" s="1"/>
  <c r="CB10" s="1"/>
  <c r="BR14"/>
  <c r="BT14" s="1"/>
  <c r="CB14" s="1"/>
  <c r="BR18"/>
  <c r="BT18" s="1"/>
  <c r="CB18" s="1"/>
  <c r="BR22"/>
  <c r="BT22" s="1"/>
  <c r="CB22" s="1"/>
  <c r="BQ23"/>
  <c r="BS23" s="1"/>
  <c r="CA23" s="1"/>
  <c r="BQ19"/>
  <c r="BS19" s="1"/>
  <c r="CA19" s="1"/>
  <c r="BQ15"/>
  <c r="BS15" s="1"/>
  <c r="CA15" s="1"/>
  <c r="BQ11"/>
  <c r="BS11" s="1"/>
  <c r="CA11" s="1"/>
  <c r="BQ7"/>
  <c r="BS7" s="1"/>
  <c r="CA7" s="1"/>
  <c r="BR5"/>
  <c r="BT5" s="1"/>
  <c r="CB5" s="1"/>
  <c r="BR9"/>
  <c r="BT9" s="1"/>
  <c r="CB9" s="1"/>
  <c r="BR13"/>
  <c r="BT13" s="1"/>
  <c r="CB13" s="1"/>
  <c r="BR17"/>
  <c r="BT17" s="1"/>
  <c r="CB17" s="1"/>
  <c r="BR21"/>
  <c r="BT21" s="1"/>
  <c r="CB21" s="1"/>
  <c r="I92" i="6"/>
  <c r="J92"/>
  <c r="K92"/>
  <c r="L92"/>
  <c r="M92"/>
  <c r="I90"/>
  <c r="C94"/>
  <c r="C95"/>
  <c r="C96"/>
  <c r="C97"/>
  <c r="C98"/>
  <c r="C99"/>
  <c r="C100"/>
  <c r="C101"/>
  <c r="C102"/>
  <c r="C93"/>
  <c r="E63"/>
  <c r="E92" s="1"/>
  <c r="F63"/>
  <c r="F92" s="1"/>
  <c r="G63"/>
  <c r="G92" s="1"/>
  <c r="H63"/>
  <c r="H92" s="1"/>
  <c r="D63"/>
  <c r="D92" s="1"/>
  <c r="I2" i="3"/>
  <c r="I22" s="1"/>
  <c r="D55" i="6"/>
  <c r="D26"/>
  <c r="W24" i="3"/>
  <c r="I23"/>
  <c r="H23"/>
  <c r="H22"/>
  <c r="H21"/>
  <c r="H20"/>
  <c r="I19"/>
  <c r="H19"/>
  <c r="H18"/>
  <c r="I17"/>
  <c r="H17"/>
  <c r="H16"/>
  <c r="I15"/>
  <c r="H15"/>
  <c r="H14"/>
  <c r="I13"/>
  <c r="H13"/>
  <c r="H12"/>
  <c r="I11"/>
  <c r="H11"/>
  <c r="H10"/>
  <c r="I9"/>
  <c r="H9"/>
  <c r="H8"/>
  <c r="I7"/>
  <c r="H7"/>
  <c r="H6"/>
  <c r="I5"/>
  <c r="H5"/>
  <c r="H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O32" i="7"/>
  <c r="O31"/>
  <c r="O30"/>
  <c r="O29"/>
  <c r="O28"/>
  <c r="I21" i="3" l="1"/>
  <c r="I4"/>
  <c r="I6"/>
  <c r="I8"/>
  <c r="I10"/>
  <c r="I12"/>
  <c r="I14"/>
  <c r="I16"/>
  <c r="I18"/>
  <c r="I24" s="1"/>
  <c r="I25" s="1"/>
  <c r="I26" s="1"/>
  <c r="I27" s="1"/>
  <c r="I28" s="1"/>
  <c r="I29" s="1"/>
  <c r="I30" s="1"/>
  <c r="I31" s="1"/>
  <c r="I32" s="1"/>
  <c r="I33" s="1"/>
  <c r="I34" s="1"/>
  <c r="I35" s="1"/>
  <c r="I36" s="1"/>
  <c r="I37" s="1"/>
  <c r="I38" s="1"/>
  <c r="I39" s="1"/>
  <c r="I40" s="1"/>
  <c r="I41" s="1"/>
  <c r="I42" s="1"/>
  <c r="I43" s="1"/>
  <c r="I44" s="1"/>
  <c r="I45" s="1"/>
  <c r="I46" s="1"/>
  <c r="I47" s="1"/>
  <c r="I48" s="1"/>
  <c r="I49" s="1"/>
  <c r="I50" s="1"/>
  <c r="I51" s="1"/>
  <c r="I52" s="1"/>
  <c r="I53" s="1"/>
  <c r="I20"/>
  <c r="H24"/>
  <c r="H25" s="1"/>
  <c r="H26" s="1"/>
  <c r="H27" s="1"/>
  <c r="H28" s="1"/>
  <c r="H29" s="1"/>
  <c r="H30" s="1"/>
  <c r="H31" s="1"/>
  <c r="H32" s="1"/>
  <c r="H33" s="1"/>
  <c r="H34" s="1"/>
  <c r="H35" s="1"/>
  <c r="H36" s="1"/>
  <c r="H37" s="1"/>
  <c r="H38" s="1"/>
  <c r="H39" s="1"/>
  <c r="H40" s="1"/>
  <c r="H41" s="1"/>
  <c r="H42" s="1"/>
  <c r="H43" s="1"/>
  <c r="H44" s="1"/>
  <c r="H45" s="1"/>
  <c r="H46" s="1"/>
  <c r="H47" s="1"/>
  <c r="H48" s="1"/>
  <c r="H49" s="1"/>
  <c r="H50" s="1"/>
  <c r="H51" s="1"/>
  <c r="H52" s="1"/>
  <c r="H53" s="1"/>
  <c r="B5" l="1"/>
  <c r="C5" s="1"/>
  <c r="B6"/>
  <c r="C6" s="1"/>
  <c r="B7"/>
  <c r="C7" s="1"/>
  <c r="B8"/>
  <c r="C8" s="1"/>
  <c r="B9"/>
  <c r="C9" s="1"/>
  <c r="B10"/>
  <c r="C10" s="1"/>
  <c r="B11"/>
  <c r="C11" s="1"/>
  <c r="B12"/>
  <c r="C12" s="1"/>
  <c r="B13"/>
  <c r="C13" s="1"/>
  <c r="B14"/>
  <c r="C14" s="1"/>
  <c r="B15"/>
  <c r="C15" s="1"/>
  <c r="B16"/>
  <c r="C16" s="1"/>
  <c r="B17"/>
  <c r="C17" s="1"/>
  <c r="B18"/>
  <c r="C18" s="1"/>
  <c r="B19"/>
  <c r="C19" s="1"/>
  <c r="B20"/>
  <c r="C20" s="1"/>
  <c r="B21"/>
  <c r="C21" s="1"/>
  <c r="B22"/>
  <c r="C22" s="1"/>
  <c r="B23"/>
  <c r="C23" s="1"/>
  <c r="B24"/>
  <c r="C24" s="1"/>
  <c r="B25"/>
  <c r="C25" s="1"/>
  <c r="B26"/>
  <c r="C26" s="1"/>
  <c r="B27"/>
  <c r="C27" s="1"/>
  <c r="B28"/>
  <c r="C28" s="1"/>
  <c r="B29"/>
  <c r="C29" s="1"/>
  <c r="B30"/>
  <c r="C30" s="1"/>
  <c r="B31"/>
  <c r="C31" s="1"/>
  <c r="B32"/>
  <c r="C32" s="1"/>
  <c r="B33"/>
  <c r="C33" s="1"/>
  <c r="B34"/>
  <c r="C34" s="1"/>
  <c r="B35"/>
  <c r="C35" s="1"/>
  <c r="B36"/>
  <c r="C36" s="1"/>
  <c r="B37"/>
  <c r="C37" s="1"/>
  <c r="B38"/>
  <c r="C38" s="1"/>
  <c r="B39"/>
  <c r="C39" s="1"/>
  <c r="B40"/>
  <c r="C40" s="1"/>
  <c r="B41"/>
  <c r="C41" s="1"/>
  <c r="B42"/>
  <c r="C42" s="1"/>
  <c r="B43"/>
  <c r="C43" s="1"/>
  <c r="B44"/>
  <c r="C44" s="1"/>
  <c r="B45"/>
  <c r="C45" s="1"/>
  <c r="B46"/>
  <c r="C46" s="1"/>
  <c r="B47"/>
  <c r="C47" s="1"/>
  <c r="B48"/>
  <c r="C48" s="1"/>
  <c r="B49"/>
  <c r="C49" s="1"/>
  <c r="B50"/>
  <c r="C50" s="1"/>
  <c r="B51"/>
  <c r="C51" s="1"/>
  <c r="B52"/>
  <c r="C52" s="1"/>
  <c r="B53"/>
  <c r="C53" s="1"/>
  <c r="B4"/>
  <c r="C4" s="1"/>
  <c r="D31" l="1"/>
  <c r="D32"/>
  <c r="D34"/>
  <c r="D36"/>
  <c r="D38"/>
  <c r="D40"/>
  <c r="D42"/>
  <c r="D44"/>
  <c r="D46"/>
  <c r="D48"/>
  <c r="D50"/>
  <c r="D52"/>
  <c r="D6"/>
  <c r="D10"/>
  <c r="D14"/>
  <c r="D18"/>
  <c r="D22"/>
  <c r="D26"/>
  <c r="D4"/>
  <c r="D5"/>
  <c r="D9"/>
  <c r="D13"/>
  <c r="D17"/>
  <c r="D21"/>
  <c r="D25"/>
  <c r="D29"/>
  <c r="D33"/>
  <c r="D35"/>
  <c r="D37"/>
  <c r="D39"/>
  <c r="D41"/>
  <c r="D43"/>
  <c r="D45"/>
  <c r="D47"/>
  <c r="D49"/>
  <c r="D51"/>
  <c r="D53"/>
  <c r="D8"/>
  <c r="D12"/>
  <c r="D16"/>
  <c r="D20"/>
  <c r="D24"/>
  <c r="D28"/>
  <c r="D30"/>
  <c r="D7"/>
  <c r="D11"/>
  <c r="D15"/>
  <c r="D19"/>
  <c r="D23"/>
  <c r="D27"/>
  <c r="H109"/>
  <c r="H112" s="1"/>
  <c r="H81" l="1"/>
  <c r="H80"/>
  <c r="H78"/>
  <c r="H79" s="1"/>
  <c r="H68"/>
  <c r="H71" l="1"/>
  <c r="J92"/>
  <c r="K92" s="1"/>
  <c r="J96"/>
  <c r="K96" s="1"/>
  <c r="J94"/>
  <c r="K94" s="1"/>
  <c r="J93"/>
  <c r="K93" s="1"/>
  <c r="J97"/>
  <c r="K97" s="1"/>
  <c r="J95"/>
  <c r="K95" s="1"/>
  <c r="J91"/>
  <c r="K91" s="1"/>
  <c r="H82"/>
  <c r="L97" l="1"/>
  <c r="H7" i="6"/>
  <c r="G7"/>
  <c r="G37" s="1"/>
  <c r="G64" s="1"/>
  <c r="G93" s="1"/>
  <c r="X23" i="3"/>
  <c r="W23"/>
  <c r="C38" i="6"/>
  <c r="C65" s="1"/>
  <c r="C39"/>
  <c r="C66" s="1"/>
  <c r="C40"/>
  <c r="C67" s="1"/>
  <c r="C41"/>
  <c r="C68" s="1"/>
  <c r="C42"/>
  <c r="C69" s="1"/>
  <c r="C43"/>
  <c r="C70" s="1"/>
  <c r="C44"/>
  <c r="C71" s="1"/>
  <c r="C45"/>
  <c r="C72" s="1"/>
  <c r="C46"/>
  <c r="C73" s="1"/>
  <c r="C37"/>
  <c r="C64" s="1"/>
  <c r="AF2" i="3"/>
  <c r="AE4"/>
  <c r="AG4" s="1"/>
  <c r="AE5"/>
  <c r="AG5" s="1"/>
  <c r="AE6"/>
  <c r="AG6" s="1"/>
  <c r="AE7"/>
  <c r="AG7" s="1"/>
  <c r="AE8"/>
  <c r="AG8" s="1"/>
  <c r="AE9"/>
  <c r="AG9" s="1"/>
  <c r="AE10"/>
  <c r="AG10" s="1"/>
  <c r="AE11"/>
  <c r="AG11" s="1"/>
  <c r="AE12"/>
  <c r="AG12" s="1"/>
  <c r="AE13"/>
  <c r="AG13" s="1"/>
  <c r="AE14"/>
  <c r="AG14" s="1"/>
  <c r="AE15"/>
  <c r="AG15" s="1"/>
  <c r="AE16"/>
  <c r="AG16" s="1"/>
  <c r="AE17"/>
  <c r="AG17" s="1"/>
  <c r="AE18"/>
  <c r="AG18" s="1"/>
  <c r="AE19"/>
  <c r="AG19" s="1"/>
  <c r="AE20"/>
  <c r="AG20" s="1"/>
  <c r="AE21"/>
  <c r="AG21" s="1"/>
  <c r="AE22"/>
  <c r="AG22" s="1"/>
  <c r="AE23"/>
  <c r="AE24" s="1"/>
  <c r="AD5"/>
  <c r="AF5" s="1"/>
  <c r="AD6"/>
  <c r="AF6" s="1"/>
  <c r="AD7"/>
  <c r="AF7" s="1"/>
  <c r="AD8"/>
  <c r="AF8" s="1"/>
  <c r="AD9"/>
  <c r="AF9" s="1"/>
  <c r="AD10"/>
  <c r="AF10" s="1"/>
  <c r="AD11"/>
  <c r="AF11" s="1"/>
  <c r="AD12"/>
  <c r="AF12" s="1"/>
  <c r="AD13"/>
  <c r="AF13" s="1"/>
  <c r="AD14"/>
  <c r="AF14" s="1"/>
  <c r="AD15"/>
  <c r="AF15" s="1"/>
  <c r="AD16"/>
  <c r="AF16" s="1"/>
  <c r="AD17"/>
  <c r="AF17" s="1"/>
  <c r="AD18"/>
  <c r="AF18" s="1"/>
  <c r="AD19"/>
  <c r="AF19" s="1"/>
  <c r="AD20"/>
  <c r="AF20" s="1"/>
  <c r="AD21"/>
  <c r="AF21" s="1"/>
  <c r="AD22"/>
  <c r="AF22" s="1"/>
  <c r="AD23"/>
  <c r="AF23" s="1"/>
  <c r="AD4"/>
  <c r="AF4" s="1"/>
  <c r="AM8"/>
  <c r="AM12"/>
  <c r="AM16"/>
  <c r="AM20"/>
  <c r="AM4"/>
  <c r="AL5"/>
  <c r="AL6"/>
  <c r="AL7"/>
  <c r="AL9"/>
  <c r="AL10"/>
  <c r="AL11"/>
  <c r="AL13"/>
  <c r="AL14"/>
  <c r="AL15"/>
  <c r="AL17"/>
  <c r="AL18"/>
  <c r="AL19"/>
  <c r="AL20"/>
  <c r="AL21"/>
  <c r="AL22"/>
  <c r="AL23"/>
  <c r="AL4"/>
  <c r="AN21" l="1"/>
  <c r="AN17"/>
  <c r="AN13"/>
  <c r="AN9"/>
  <c r="AN5"/>
  <c r="AN22"/>
  <c r="AN18"/>
  <c r="AN14"/>
  <c r="AN10"/>
  <c r="AN6"/>
  <c r="AN19"/>
  <c r="AN15"/>
  <c r="AN11"/>
  <c r="AN7"/>
  <c r="AN4"/>
  <c r="AN20"/>
  <c r="AO4"/>
  <c r="AO20"/>
  <c r="AO16"/>
  <c r="AO12"/>
  <c r="AO8"/>
  <c r="AH6"/>
  <c r="AH4"/>
  <c r="AH13"/>
  <c r="AE25"/>
  <c r="X25" s="1"/>
  <c r="X24"/>
  <c r="AI10"/>
  <c r="AI20"/>
  <c r="AI7"/>
  <c r="AI18"/>
  <c r="AI5"/>
  <c r="AI15"/>
  <c r="AI4"/>
  <c r="AI22"/>
  <c r="AG23"/>
  <c r="AD24"/>
  <c r="H37" i="6"/>
  <c r="H64" s="1"/>
  <c r="H93" s="1"/>
  <c r="Y23" i="3"/>
  <c r="Z23"/>
  <c r="AN23"/>
  <c r="AL24"/>
  <c r="AN24" s="1"/>
  <c r="AM23"/>
  <c r="AM21"/>
  <c r="AM19"/>
  <c r="AM17"/>
  <c r="AM15"/>
  <c r="AM13"/>
  <c r="AM11"/>
  <c r="AM9"/>
  <c r="AM7"/>
  <c r="AM5"/>
  <c r="AH11"/>
  <c r="AI11"/>
  <c r="AL16"/>
  <c r="AL12"/>
  <c r="AL8"/>
  <c r="AM22"/>
  <c r="AM18"/>
  <c r="AM14"/>
  <c r="AM10"/>
  <c r="AM6"/>
  <c r="AE26"/>
  <c r="X26" s="1"/>
  <c r="AG25"/>
  <c r="AG24"/>
  <c r="AQ4"/>
  <c r="AH21"/>
  <c r="AI16"/>
  <c r="AI13"/>
  <c r="AI8"/>
  <c r="AP6"/>
  <c r="AH22"/>
  <c r="AH20"/>
  <c r="AI17"/>
  <c r="AH15"/>
  <c r="AI12"/>
  <c r="AI9"/>
  <c r="AI6"/>
  <c r="AP5"/>
  <c r="AP7"/>
  <c r="AH23"/>
  <c r="AH19"/>
  <c r="AP4"/>
  <c r="AI23"/>
  <c r="AI21"/>
  <c r="AI19"/>
  <c r="AH17"/>
  <c r="AI14"/>
  <c r="AH9"/>
  <c r="AH7"/>
  <c r="AH5"/>
  <c r="AH18"/>
  <c r="AH16"/>
  <c r="AH14"/>
  <c r="AH12"/>
  <c r="AH10"/>
  <c r="AH8"/>
  <c r="AN16" l="1"/>
  <c r="AN12"/>
  <c r="AN8"/>
  <c r="AP15" s="1"/>
  <c r="AP12"/>
  <c r="AD25"/>
  <c r="AF24"/>
  <c r="AH24" s="1"/>
  <c r="AO6"/>
  <c r="AQ7" s="1"/>
  <c r="AO7"/>
  <c r="AO15"/>
  <c r="AO22"/>
  <c r="AO18"/>
  <c r="AO14"/>
  <c r="AO5"/>
  <c r="AO13"/>
  <c r="AO21"/>
  <c r="AO10"/>
  <c r="AO11"/>
  <c r="AO19"/>
  <c r="AP11"/>
  <c r="AO9"/>
  <c r="AO17"/>
  <c r="AP23"/>
  <c r="AL25"/>
  <c r="Y24"/>
  <c r="AP18"/>
  <c r="AP19"/>
  <c r="AP20"/>
  <c r="AI25"/>
  <c r="AM24"/>
  <c r="AO23"/>
  <c r="AP24"/>
  <c r="AI24"/>
  <c r="AG26"/>
  <c r="AE27"/>
  <c r="X27" s="1"/>
  <c r="AP8" l="1"/>
  <c r="AQ22"/>
  <c r="AP22"/>
  <c r="AP17"/>
  <c r="AP21"/>
  <c r="AP13"/>
  <c r="AP16"/>
  <c r="AP10"/>
  <c r="AP9"/>
  <c r="AP14"/>
  <c r="AQ20"/>
  <c r="W25"/>
  <c r="AD26"/>
  <c r="AF25"/>
  <c r="AH25" s="1"/>
  <c r="AQ18"/>
  <c r="AQ11"/>
  <c r="AQ17"/>
  <c r="AQ8"/>
  <c r="AQ19"/>
  <c r="Z24"/>
  <c r="AQ21"/>
  <c r="AQ12"/>
  <c r="AQ6"/>
  <c r="AQ13"/>
  <c r="AQ5"/>
  <c r="AQ9"/>
  <c r="AQ10"/>
  <c r="AQ15"/>
  <c r="AQ16"/>
  <c r="AQ14"/>
  <c r="Y25"/>
  <c r="AL26"/>
  <c r="AN25"/>
  <c r="AP25" s="1"/>
  <c r="AQ23"/>
  <c r="AM25"/>
  <c r="AO24"/>
  <c r="AI26"/>
  <c r="AE28"/>
  <c r="X28" s="1"/>
  <c r="AG27"/>
  <c r="AI27"/>
  <c r="W26" l="1"/>
  <c r="AF26"/>
  <c r="AH26" s="1"/>
  <c r="AD27"/>
  <c r="Z25"/>
  <c r="Y26"/>
  <c r="AN26"/>
  <c r="AP26" s="1"/>
  <c r="AL27"/>
  <c r="AQ24"/>
  <c r="AO25"/>
  <c r="AM26"/>
  <c r="AG28"/>
  <c r="AE29"/>
  <c r="X29" s="1"/>
  <c r="W27" l="1"/>
  <c r="AF27"/>
  <c r="AH27" s="1"/>
  <c r="AD28"/>
  <c r="Z26"/>
  <c r="Y27"/>
  <c r="AL28"/>
  <c r="AN27"/>
  <c r="AP27" s="1"/>
  <c r="AQ25"/>
  <c r="AM27"/>
  <c r="AO26"/>
  <c r="AQ26" s="1"/>
  <c r="AE30"/>
  <c r="X30" s="1"/>
  <c r="AG29"/>
  <c r="AI28"/>
  <c r="AI29"/>
  <c r="W28" l="1"/>
  <c r="AD29"/>
  <c r="AF28"/>
  <c r="AH28" s="1"/>
  <c r="Z27"/>
  <c r="Y28"/>
  <c r="AN28"/>
  <c r="AP28" s="1"/>
  <c r="AL29"/>
  <c r="AO27"/>
  <c r="AM28"/>
  <c r="AG30"/>
  <c r="AE31"/>
  <c r="X31" s="1"/>
  <c r="W29" l="1"/>
  <c r="AF29"/>
  <c r="AH29" s="1"/>
  <c r="AD30"/>
  <c r="Z28"/>
  <c r="Y29"/>
  <c r="AL30"/>
  <c r="AN29"/>
  <c r="AP29" s="1"/>
  <c r="AQ27"/>
  <c r="AO28"/>
  <c r="AQ28" s="1"/>
  <c r="AM29"/>
  <c r="AI30"/>
  <c r="AE32"/>
  <c r="X32" s="1"/>
  <c r="AG31"/>
  <c r="AI31" s="1"/>
  <c r="W30" l="1"/>
  <c r="AD31"/>
  <c r="AF30"/>
  <c r="AH30" s="1"/>
  <c r="Z29"/>
  <c r="Y30"/>
  <c r="AN30"/>
  <c r="AP30" s="1"/>
  <c r="AL31"/>
  <c r="AO29"/>
  <c r="AM30"/>
  <c r="AG32"/>
  <c r="AI32" s="1"/>
  <c r="AE33"/>
  <c r="X33" s="1"/>
  <c r="W31" l="1"/>
  <c r="AD32"/>
  <c r="AF31"/>
  <c r="AH31" s="1"/>
  <c r="Z30"/>
  <c r="Y31"/>
  <c r="AN31"/>
  <c r="AP31" s="1"/>
  <c r="AL32"/>
  <c r="AQ29"/>
  <c r="AO30"/>
  <c r="AQ30" s="1"/>
  <c r="AM31"/>
  <c r="AE34"/>
  <c r="X34" s="1"/>
  <c r="AG33"/>
  <c r="AI33" s="1"/>
  <c r="W32" l="1"/>
  <c r="AF32"/>
  <c r="AH32" s="1"/>
  <c r="AD33"/>
  <c r="Z31"/>
  <c r="Y32"/>
  <c r="AL33"/>
  <c r="AN32"/>
  <c r="AP32" s="1"/>
  <c r="AM32"/>
  <c r="AO31"/>
  <c r="AG34"/>
  <c r="AI34" s="1"/>
  <c r="AE35"/>
  <c r="X35" s="1"/>
  <c r="W33" l="1"/>
  <c r="AD34"/>
  <c r="AF33"/>
  <c r="AH33" s="1"/>
  <c r="Z32"/>
  <c r="Y33"/>
  <c r="AN33"/>
  <c r="AP33" s="1"/>
  <c r="AL34"/>
  <c r="AQ31"/>
  <c r="AO32"/>
  <c r="AQ32" s="1"/>
  <c r="AM33"/>
  <c r="AE36"/>
  <c r="X36" s="1"/>
  <c r="AG35"/>
  <c r="AI35" s="1"/>
  <c r="W34" l="1"/>
  <c r="AF34"/>
  <c r="AH34" s="1"/>
  <c r="AD35"/>
  <c r="Z33"/>
  <c r="Y34"/>
  <c r="AN34"/>
  <c r="AP34" s="1"/>
  <c r="AL35"/>
  <c r="AO33"/>
  <c r="AQ33" s="1"/>
  <c r="AM34"/>
  <c r="AG36"/>
  <c r="AI36" s="1"/>
  <c r="AE37"/>
  <c r="X37" s="1"/>
  <c r="W35" l="1"/>
  <c r="AF35"/>
  <c r="AH35" s="1"/>
  <c r="AD36"/>
  <c r="Z34"/>
  <c r="Y35"/>
  <c r="AN35"/>
  <c r="AP35" s="1"/>
  <c r="AL36"/>
  <c r="AO34"/>
  <c r="AQ34" s="1"/>
  <c r="AM35"/>
  <c r="AE38"/>
  <c r="X38" s="1"/>
  <c r="AG37"/>
  <c r="AI37" s="1"/>
  <c r="W36" l="1"/>
  <c r="AF36"/>
  <c r="AH36" s="1"/>
  <c r="AD37"/>
  <c r="Z35"/>
  <c r="Y36"/>
  <c r="AN36"/>
  <c r="AP36" s="1"/>
  <c r="AL37"/>
  <c r="AO35"/>
  <c r="AQ35" s="1"/>
  <c r="AM36"/>
  <c r="AG38"/>
  <c r="AI38" s="1"/>
  <c r="AE39"/>
  <c r="X39" s="1"/>
  <c r="W37" l="1"/>
  <c r="AD38"/>
  <c r="AF37"/>
  <c r="AH37" s="1"/>
  <c r="Z36"/>
  <c r="Y37"/>
  <c r="AN37"/>
  <c r="AP37" s="1"/>
  <c r="AL38"/>
  <c r="AO36"/>
  <c r="AQ36" s="1"/>
  <c r="AM37"/>
  <c r="AE40"/>
  <c r="X40" s="1"/>
  <c r="AG39"/>
  <c r="AI39" s="1"/>
  <c r="W38" l="1"/>
  <c r="AD39"/>
  <c r="AF38"/>
  <c r="AH38" s="1"/>
  <c r="Z37"/>
  <c r="Y38"/>
  <c r="AN38"/>
  <c r="AP38" s="1"/>
  <c r="AL39"/>
  <c r="AO37"/>
  <c r="AQ37" s="1"/>
  <c r="AM38"/>
  <c r="AG40"/>
  <c r="AI40" s="1"/>
  <c r="AE41"/>
  <c r="X41" s="1"/>
  <c r="W39" l="1"/>
  <c r="AF39"/>
  <c r="AH39" s="1"/>
  <c r="AD40"/>
  <c r="Z38"/>
  <c r="Y39"/>
  <c r="AN39"/>
  <c r="AP39" s="1"/>
  <c r="AL40"/>
  <c r="AO38"/>
  <c r="AQ38" s="1"/>
  <c r="AM39"/>
  <c r="AE42"/>
  <c r="X42" s="1"/>
  <c r="AG41"/>
  <c r="AI41" s="1"/>
  <c r="W40" l="1"/>
  <c r="AF40"/>
  <c r="AH40" s="1"/>
  <c r="AD41"/>
  <c r="Z39"/>
  <c r="Y40"/>
  <c r="AN40"/>
  <c r="AP40" s="1"/>
  <c r="AL41"/>
  <c r="AM40"/>
  <c r="AO39"/>
  <c r="AQ39" s="1"/>
  <c r="AG42"/>
  <c r="AI42" s="1"/>
  <c r="AE43"/>
  <c r="X43" s="1"/>
  <c r="D7" i="6"/>
  <c r="D37" l="1"/>
  <c r="D64" s="1"/>
  <c r="D93" s="1"/>
  <c r="E38"/>
  <c r="E65" s="1"/>
  <c r="E94" s="1"/>
  <c r="E39"/>
  <c r="E66" s="1"/>
  <c r="E95" s="1"/>
  <c r="E40"/>
  <c r="E67" s="1"/>
  <c r="E96" s="1"/>
  <c r="E41"/>
  <c r="E68" s="1"/>
  <c r="E97" s="1"/>
  <c r="W41" i="3"/>
  <c r="AF41"/>
  <c r="AH41" s="1"/>
  <c r="AD42"/>
  <c r="Z40"/>
  <c r="Y41"/>
  <c r="AN41"/>
  <c r="AP41" s="1"/>
  <c r="AL42"/>
  <c r="AO40"/>
  <c r="AQ40" s="1"/>
  <c r="AM41"/>
  <c r="AE44"/>
  <c r="X44" s="1"/>
  <c r="AG43"/>
  <c r="AI43" s="1"/>
  <c r="W42" l="1"/>
  <c r="AF42"/>
  <c r="AH42" s="1"/>
  <c r="AD43"/>
  <c r="Z41"/>
  <c r="Y42"/>
  <c r="AN42"/>
  <c r="AP42" s="1"/>
  <c r="AL43"/>
  <c r="AO41"/>
  <c r="AQ41" s="1"/>
  <c r="AM42"/>
  <c r="AG44"/>
  <c r="AI44" s="1"/>
  <c r="AE45"/>
  <c r="X45" s="1"/>
  <c r="W43" l="1"/>
  <c r="AF43"/>
  <c r="AH43" s="1"/>
  <c r="AD44"/>
  <c r="Z42"/>
  <c r="Y43"/>
  <c r="AN43"/>
  <c r="AP43" s="1"/>
  <c r="AL44"/>
  <c r="AM43"/>
  <c r="AO42"/>
  <c r="AQ42" s="1"/>
  <c r="AE46"/>
  <c r="X46" s="1"/>
  <c r="AG45"/>
  <c r="AI45" s="1"/>
  <c r="W44" l="1"/>
  <c r="AD45"/>
  <c r="AF44"/>
  <c r="AH44" s="1"/>
  <c r="Z43"/>
  <c r="Y44"/>
  <c r="AN44"/>
  <c r="AP44" s="1"/>
  <c r="AL45"/>
  <c r="AO43"/>
  <c r="AQ43" s="1"/>
  <c r="AM44"/>
  <c r="AG46"/>
  <c r="AI46" s="1"/>
  <c r="AE47"/>
  <c r="X47" s="1"/>
  <c r="W45" l="1"/>
  <c r="AF45"/>
  <c r="AH45" s="1"/>
  <c r="AD46"/>
  <c r="Z44"/>
  <c r="Y45"/>
  <c r="AL46"/>
  <c r="AN45"/>
  <c r="AP45" s="1"/>
  <c r="AO44"/>
  <c r="AQ44" s="1"/>
  <c r="AM45"/>
  <c r="AE48"/>
  <c r="X48" s="1"/>
  <c r="AG47"/>
  <c r="AI47" s="1"/>
  <c r="W46" l="1"/>
  <c r="AF46"/>
  <c r="AH46" s="1"/>
  <c r="AD47"/>
  <c r="Z45"/>
  <c r="Y46"/>
  <c r="AL47"/>
  <c r="AN46"/>
  <c r="AP46" s="1"/>
  <c r="AO45"/>
  <c r="AQ45" s="1"/>
  <c r="AM46"/>
  <c r="AG48"/>
  <c r="AI48" s="1"/>
  <c r="AE49"/>
  <c r="X49" s="1"/>
  <c r="W47" l="1"/>
  <c r="AF47"/>
  <c r="AH47" s="1"/>
  <c r="AD48"/>
  <c r="Z46"/>
  <c r="Y47"/>
  <c r="AL48"/>
  <c r="AN47"/>
  <c r="AP47" s="1"/>
  <c r="AM47"/>
  <c r="AO46"/>
  <c r="AQ46" s="1"/>
  <c r="AE50"/>
  <c r="X50" s="1"/>
  <c r="AG49"/>
  <c r="AI49" s="1"/>
  <c r="W48" l="1"/>
  <c r="AF48"/>
  <c r="AH48" s="1"/>
  <c r="AD49"/>
  <c r="Z47"/>
  <c r="Y48"/>
  <c r="AL49"/>
  <c r="AN48"/>
  <c r="AP48" s="1"/>
  <c r="AM48"/>
  <c r="AO47"/>
  <c r="AQ47" s="1"/>
  <c r="AG50"/>
  <c r="AI50" s="1"/>
  <c r="AE51"/>
  <c r="X51" s="1"/>
  <c r="W49" l="1"/>
  <c r="AF49"/>
  <c r="AH49" s="1"/>
  <c r="AD50"/>
  <c r="Z48"/>
  <c r="Y49"/>
  <c r="AN49"/>
  <c r="AP49" s="1"/>
  <c r="AL50"/>
  <c r="AO48"/>
  <c r="AQ48" s="1"/>
  <c r="AM49"/>
  <c r="AE52"/>
  <c r="X52" s="1"/>
  <c r="AG51"/>
  <c r="AI51" s="1"/>
  <c r="W50" l="1"/>
  <c r="AF50"/>
  <c r="AH50" s="1"/>
  <c r="AD51"/>
  <c r="Z49"/>
  <c r="Y50"/>
  <c r="AN50"/>
  <c r="AP50" s="1"/>
  <c r="AL51"/>
  <c r="AM50"/>
  <c r="AO49"/>
  <c r="AQ49" s="1"/>
  <c r="AG52"/>
  <c r="AI52" s="1"/>
  <c r="AE53"/>
  <c r="W51" l="1"/>
  <c r="AD52"/>
  <c r="AF51"/>
  <c r="AH51" s="1"/>
  <c r="AG53"/>
  <c r="AI53" s="1"/>
  <c r="X53"/>
  <c r="Z50"/>
  <c r="Y51"/>
  <c r="AN51"/>
  <c r="AP51" s="1"/>
  <c r="AL52"/>
  <c r="AO50"/>
  <c r="AQ50" s="1"/>
  <c r="AM51"/>
  <c r="W52" l="1"/>
  <c r="AD53"/>
  <c r="AF52"/>
  <c r="AH52" s="1"/>
  <c r="Z51"/>
  <c r="Y52"/>
  <c r="AN52"/>
  <c r="AP52" s="1"/>
  <c r="AL53"/>
  <c r="AM52"/>
  <c r="AO51"/>
  <c r="AQ51" s="1"/>
  <c r="AF53" l="1"/>
  <c r="AH53" s="1"/>
  <c r="W53"/>
  <c r="Z52"/>
  <c r="AN53"/>
  <c r="AP53" s="1"/>
  <c r="Y53"/>
  <c r="AO52"/>
  <c r="AQ52" s="1"/>
  <c r="AM53"/>
  <c r="AO53" l="1"/>
  <c r="AQ53" s="1"/>
  <c r="Z53"/>
  <c r="AJ36" i="8" l="1"/>
  <c r="AM36"/>
  <c r="S36"/>
  <c r="R36"/>
  <c r="I36"/>
  <c r="J36"/>
  <c r="K36"/>
  <c r="L36"/>
  <c r="M36"/>
  <c r="N36"/>
  <c r="O36"/>
  <c r="P36"/>
  <c r="H36"/>
  <c r="AJ35"/>
  <c r="AM35"/>
  <c r="S35"/>
  <c r="R35"/>
  <c r="I35"/>
  <c r="J35"/>
  <c r="K35"/>
  <c r="L35"/>
  <c r="M35"/>
  <c r="N35"/>
  <c r="O35"/>
  <c r="P35"/>
  <c r="H35"/>
  <c r="G35"/>
  <c r="G36" s="1"/>
  <c r="G34"/>
  <c r="S33"/>
  <c r="R33"/>
  <c r="I33"/>
  <c r="J33"/>
  <c r="K33"/>
  <c r="L33"/>
  <c r="M33"/>
  <c r="N33"/>
  <c r="O33"/>
  <c r="P33"/>
  <c r="H33"/>
  <c r="AP32"/>
  <c r="AC32"/>
  <c r="Y32"/>
  <c r="AB32" s="1"/>
  <c r="AP31"/>
  <c r="AC31"/>
  <c r="Y31"/>
  <c r="AE31" s="1"/>
  <c r="AG31" s="1"/>
  <c r="AP30"/>
  <c r="AC30"/>
  <c r="Y30"/>
  <c r="AD30" s="1"/>
  <c r="AF30" s="1"/>
  <c r="AH30" s="1"/>
  <c r="AP29"/>
  <c r="AC29"/>
  <c r="Y29"/>
  <c r="AB29" s="1"/>
  <c r="AE29" s="1"/>
  <c r="AG29" s="1"/>
  <c r="AP28"/>
  <c r="AC28"/>
  <c r="Y28"/>
  <c r="AB28" s="1"/>
  <c r="AP27"/>
  <c r="AC27"/>
  <c r="Y27"/>
  <c r="AB27" s="1"/>
  <c r="AP26"/>
  <c r="AC26"/>
  <c r="Y26"/>
  <c r="AA26" s="1"/>
  <c r="AL26" s="1"/>
  <c r="AP25"/>
  <c r="AC25"/>
  <c r="Y25"/>
  <c r="AE25" s="1"/>
  <c r="AG25" s="1"/>
  <c r="AP24"/>
  <c r="AC24"/>
  <c r="Y24"/>
  <c r="AB24" s="1"/>
  <c r="AP23"/>
  <c r="AC23"/>
  <c r="AB23"/>
  <c r="Y23"/>
  <c r="AE23" s="1"/>
  <c r="AG23" s="1"/>
  <c r="AP22"/>
  <c r="AC22"/>
  <c r="Y22"/>
  <c r="AD22" s="1"/>
  <c r="AF22" s="1"/>
  <c r="AH22" s="1"/>
  <c r="AP21"/>
  <c r="AC21"/>
  <c r="Z21"/>
  <c r="Y21"/>
  <c r="AE21" s="1"/>
  <c r="AG21" s="1"/>
  <c r="AP20"/>
  <c r="AC20"/>
  <c r="Y20"/>
  <c r="AB20" s="1"/>
  <c r="AP19"/>
  <c r="AC19"/>
  <c r="Y19"/>
  <c r="AE19" s="1"/>
  <c r="AG19" s="1"/>
  <c r="AP18"/>
  <c r="AC18"/>
  <c r="Y18"/>
  <c r="AD18" s="1"/>
  <c r="AF18" s="1"/>
  <c r="AH18" s="1"/>
  <c r="AP17"/>
  <c r="AC17"/>
  <c r="Y17"/>
  <c r="AE17" s="1"/>
  <c r="AG17" s="1"/>
  <c r="AP16"/>
  <c r="AC16"/>
  <c r="Y16"/>
  <c r="AB16" s="1"/>
  <c r="AP15"/>
  <c r="AC15"/>
  <c r="Y15"/>
  <c r="AB15" s="1"/>
  <c r="AP14"/>
  <c r="AC14"/>
  <c r="Y14"/>
  <c r="AA14" s="1"/>
  <c r="AL14" s="1"/>
  <c r="AP13"/>
  <c r="AC13"/>
  <c r="AD13" s="1"/>
  <c r="AF13" s="1"/>
  <c r="AH13" s="1"/>
  <c r="Y13"/>
  <c r="AP12"/>
  <c r="AC12"/>
  <c r="Y12"/>
  <c r="AB12" s="1"/>
  <c r="AP11"/>
  <c r="AC11"/>
  <c r="Y11"/>
  <c r="AE11" s="1"/>
  <c r="AG11" s="1"/>
  <c r="AP10"/>
  <c r="AC10"/>
  <c r="Y10"/>
  <c r="AA10" s="1"/>
  <c r="AP9"/>
  <c r="AC9"/>
  <c r="Y9"/>
  <c r="AD9" s="1"/>
  <c r="AF9" s="1"/>
  <c r="AH9" s="1"/>
  <c r="AP8"/>
  <c r="AC8"/>
  <c r="Y8"/>
  <c r="AB8" s="1"/>
  <c r="AP7"/>
  <c r="AC7"/>
  <c r="AB7"/>
  <c r="Y7"/>
  <c r="AE7" s="1"/>
  <c r="AG7" s="1"/>
  <c r="AP6"/>
  <c r="AC6"/>
  <c r="Y6"/>
  <c r="AA6" s="1"/>
  <c r="AL6" s="1"/>
  <c r="AP5"/>
  <c r="AC5"/>
  <c r="Y5"/>
  <c r="AE5" s="1"/>
  <c r="AG5" s="1"/>
  <c r="AP4"/>
  <c r="AC4"/>
  <c r="Y4"/>
  <c r="AB4" s="1"/>
  <c r="AP3"/>
  <c r="AC3"/>
  <c r="Y3"/>
  <c r="AE3" s="1"/>
  <c r="AG3" s="1"/>
  <c r="AP2"/>
  <c r="AC2"/>
  <c r="Y2"/>
  <c r="AA2" s="1"/>
  <c r="AL2" s="1"/>
  <c r="C21" i="5"/>
  <c r="AE18" i="8" l="1"/>
  <c r="AG18" s="1"/>
  <c r="AB26"/>
  <c r="AD6"/>
  <c r="AF6" s="1"/>
  <c r="AH6" s="1"/>
  <c r="AD21"/>
  <c r="AF21" s="1"/>
  <c r="AH21" s="1"/>
  <c r="AI21" s="1"/>
  <c r="AB3"/>
  <c r="AB11"/>
  <c r="AA18"/>
  <c r="AL18" s="1"/>
  <c r="AB30"/>
  <c r="AE30"/>
  <c r="AG30" s="1"/>
  <c r="Z5"/>
  <c r="AE15"/>
  <c r="AG15" s="1"/>
  <c r="Z17"/>
  <c r="AE22"/>
  <c r="AG22" s="1"/>
  <c r="AD25"/>
  <c r="AF25" s="1"/>
  <c r="AH25" s="1"/>
  <c r="AI25" s="1"/>
  <c r="AE27"/>
  <c r="AG27" s="1"/>
  <c r="AA29"/>
  <c r="AL29" s="1"/>
  <c r="AB31"/>
  <c r="AD2"/>
  <c r="AF2" s="1"/>
  <c r="AH2" s="1"/>
  <c r="AI2" s="1"/>
  <c r="AJ2" s="1"/>
  <c r="AQ2" s="1"/>
  <c r="AD10"/>
  <c r="AF10" s="1"/>
  <c r="AH10" s="1"/>
  <c r="AD14"/>
  <c r="AF14" s="1"/>
  <c r="AH14" s="1"/>
  <c r="AE2"/>
  <c r="AG2" s="1"/>
  <c r="AD5"/>
  <c r="AF5" s="1"/>
  <c r="AH5" s="1"/>
  <c r="AI5" s="1"/>
  <c r="AE10"/>
  <c r="AG10" s="1"/>
  <c r="AI10" s="1"/>
  <c r="AJ10" s="1"/>
  <c r="AQ10" s="1"/>
  <c r="AE14"/>
  <c r="AG14" s="1"/>
  <c r="AI14" s="1"/>
  <c r="AD17"/>
  <c r="AF17" s="1"/>
  <c r="AH17" s="1"/>
  <c r="AB19"/>
  <c r="AA22"/>
  <c r="AL22" s="1"/>
  <c r="Z25"/>
  <c r="AD26"/>
  <c r="AF26" s="1"/>
  <c r="AH26" s="1"/>
  <c r="AE26"/>
  <c r="AG26" s="1"/>
  <c r="AD29"/>
  <c r="AF29" s="1"/>
  <c r="AH29" s="1"/>
  <c r="AI29" s="1"/>
  <c r="AJ29" s="1"/>
  <c r="AQ29" s="1"/>
  <c r="AA30"/>
  <c r="AL30" s="1"/>
  <c r="AI30"/>
  <c r="AI22"/>
  <c r="AJ22" s="1"/>
  <c r="AQ22" s="1"/>
  <c r="AI17"/>
  <c r="AI18"/>
  <c r="AK2"/>
  <c r="Z3"/>
  <c r="AD3"/>
  <c r="AF3" s="1"/>
  <c r="AH3" s="1"/>
  <c r="AI3" s="1"/>
  <c r="AA4"/>
  <c r="AE4"/>
  <c r="AG4" s="1"/>
  <c r="AB5"/>
  <c r="AK6"/>
  <c r="Z6" s="1"/>
  <c r="AN6" s="1"/>
  <c r="Z7"/>
  <c r="AD7"/>
  <c r="AF7" s="1"/>
  <c r="AH7" s="1"/>
  <c r="AI7" s="1"/>
  <c r="AA8"/>
  <c r="AE8"/>
  <c r="AG8" s="1"/>
  <c r="AB9"/>
  <c r="AE9" s="1"/>
  <c r="AG9" s="1"/>
  <c r="AI9" s="1"/>
  <c r="AK10"/>
  <c r="Z11"/>
  <c r="AD11"/>
  <c r="AF11" s="1"/>
  <c r="AH11" s="1"/>
  <c r="AI11" s="1"/>
  <c r="AA12"/>
  <c r="AE12"/>
  <c r="AG12" s="1"/>
  <c r="AB13"/>
  <c r="AE13" s="1"/>
  <c r="AG13" s="1"/>
  <c r="AI13" s="1"/>
  <c r="AK14"/>
  <c r="AD15"/>
  <c r="AF15" s="1"/>
  <c r="AH15" s="1"/>
  <c r="AI15" s="1"/>
  <c r="AA16"/>
  <c r="AE16"/>
  <c r="AG16" s="1"/>
  <c r="AB17"/>
  <c r="AK18"/>
  <c r="Z19"/>
  <c r="AD19"/>
  <c r="AF19" s="1"/>
  <c r="AH19" s="1"/>
  <c r="AI19" s="1"/>
  <c r="AA20"/>
  <c r="AE20"/>
  <c r="AG20" s="1"/>
  <c r="AB21"/>
  <c r="AK22"/>
  <c r="Z23"/>
  <c r="AD23"/>
  <c r="AF23" s="1"/>
  <c r="AH23" s="1"/>
  <c r="AI23" s="1"/>
  <c r="AA24"/>
  <c r="AE24"/>
  <c r="AG24" s="1"/>
  <c r="AB25"/>
  <c r="AK26"/>
  <c r="AD27"/>
  <c r="AF27" s="1"/>
  <c r="AH27" s="1"/>
  <c r="AI27" s="1"/>
  <c r="AA28"/>
  <c r="AE28"/>
  <c r="AG28" s="1"/>
  <c r="AK30"/>
  <c r="Z31"/>
  <c r="AD31"/>
  <c r="AF31" s="1"/>
  <c r="AH31" s="1"/>
  <c r="AI31" s="1"/>
  <c r="AA32"/>
  <c r="AE32"/>
  <c r="AG32" s="1"/>
  <c r="AB2"/>
  <c r="AN2"/>
  <c r="Z4"/>
  <c r="AD4"/>
  <c r="AF4" s="1"/>
  <c r="AH4" s="1"/>
  <c r="AA5"/>
  <c r="AB6"/>
  <c r="AE6" s="1"/>
  <c r="AG6" s="1"/>
  <c r="AI6" s="1"/>
  <c r="AJ6" s="1"/>
  <c r="AQ6" s="1"/>
  <c r="Z8"/>
  <c r="AD8"/>
  <c r="AF8" s="1"/>
  <c r="AH8" s="1"/>
  <c r="AA9"/>
  <c r="AB10"/>
  <c r="AN10"/>
  <c r="AD12"/>
  <c r="AF12" s="1"/>
  <c r="AH12" s="1"/>
  <c r="AA13"/>
  <c r="AB14"/>
  <c r="AJ14"/>
  <c r="AQ14" s="1"/>
  <c r="AN14"/>
  <c r="AD16"/>
  <c r="AF16" s="1"/>
  <c r="AH16" s="1"/>
  <c r="AA17"/>
  <c r="AB18"/>
  <c r="AJ18"/>
  <c r="AQ18" s="1"/>
  <c r="AN18"/>
  <c r="Z20"/>
  <c r="AD20"/>
  <c r="AF20" s="1"/>
  <c r="AH20" s="1"/>
  <c r="AA21"/>
  <c r="AB22"/>
  <c r="AN22"/>
  <c r="Z24"/>
  <c r="AD24"/>
  <c r="AF24" s="1"/>
  <c r="AH24" s="1"/>
  <c r="AA25"/>
  <c r="Z28"/>
  <c r="AD28"/>
  <c r="AF28" s="1"/>
  <c r="AH28" s="1"/>
  <c r="AM29"/>
  <c r="AJ30"/>
  <c r="AQ30" s="1"/>
  <c r="Z32"/>
  <c r="AD32"/>
  <c r="AF32" s="1"/>
  <c r="AH32" s="1"/>
  <c r="AM2"/>
  <c r="AM6"/>
  <c r="AM10"/>
  <c r="AM14"/>
  <c r="AM18"/>
  <c r="AM22"/>
  <c r="AM26"/>
  <c r="AM30"/>
  <c r="Z2"/>
  <c r="AA3"/>
  <c r="AA7"/>
  <c r="Z10"/>
  <c r="AA11"/>
  <c r="Z14"/>
  <c r="AA15"/>
  <c r="Z18"/>
  <c r="AA19"/>
  <c r="Z22"/>
  <c r="AA23"/>
  <c r="Z26"/>
  <c r="AN26" s="1"/>
  <c r="AA27"/>
  <c r="AK29"/>
  <c r="Z29" s="1"/>
  <c r="AN29" s="1"/>
  <c r="AA31"/>
  <c r="H32" i="7"/>
  <c r="H31"/>
  <c r="H30"/>
  <c r="P19"/>
  <c r="O19"/>
  <c r="F19"/>
  <c r="U19" s="1"/>
  <c r="P18"/>
  <c r="O18"/>
  <c r="F18"/>
  <c r="V18" s="1"/>
  <c r="P17"/>
  <c r="O17"/>
  <c r="F17"/>
  <c r="T17" s="1"/>
  <c r="P16"/>
  <c r="J16"/>
  <c r="F16"/>
  <c r="U16" s="1"/>
  <c r="P15"/>
  <c r="O15"/>
  <c r="J15"/>
  <c r="T15" s="1"/>
  <c r="F15"/>
  <c r="U15" s="1"/>
  <c r="P14"/>
  <c r="J14"/>
  <c r="T14" s="1"/>
  <c r="F14"/>
  <c r="AM14" s="1"/>
  <c r="P13"/>
  <c r="E13"/>
  <c r="F13" s="1"/>
  <c r="P12"/>
  <c r="E12"/>
  <c r="F12" s="1"/>
  <c r="P11"/>
  <c r="E11"/>
  <c r="F11" s="1"/>
  <c r="T11" s="1"/>
  <c r="P10"/>
  <c r="E10"/>
  <c r="D10"/>
  <c r="F10" s="1"/>
  <c r="P9"/>
  <c r="D9"/>
  <c r="F9" s="1"/>
  <c r="P8"/>
  <c r="D8"/>
  <c r="F8" s="1"/>
  <c r="P7"/>
  <c r="F7"/>
  <c r="AM7" s="1"/>
  <c r="P6"/>
  <c r="F6"/>
  <c r="T6" s="1"/>
  <c r="P5"/>
  <c r="F5"/>
  <c r="V5" s="1"/>
  <c r="P4"/>
  <c r="F4"/>
  <c r="AM4" s="1"/>
  <c r="X5" i="2"/>
  <c r="X6"/>
  <c r="X7"/>
  <c r="X8"/>
  <c r="X9"/>
  <c r="X10"/>
  <c r="X11"/>
  <c r="X12"/>
  <c r="X13"/>
  <c r="X14"/>
  <c r="X15"/>
  <c r="X16"/>
  <c r="X17"/>
  <c r="X18"/>
  <c r="X19"/>
  <c r="X20"/>
  <c r="X21"/>
  <c r="X22"/>
  <c r="X23"/>
  <c r="X24"/>
  <c r="X25"/>
  <c r="X26"/>
  <c r="X27"/>
  <c r="X28"/>
  <c r="X29"/>
  <c r="X30"/>
  <c r="X31"/>
  <c r="X32"/>
  <c r="X33"/>
  <c r="X34"/>
  <c r="X35"/>
  <c r="X36"/>
  <c r="X37"/>
  <c r="X38"/>
  <c r="X39"/>
  <c r="X40"/>
  <c r="X41"/>
  <c r="X42"/>
  <c r="X43"/>
  <c r="X44"/>
  <c r="X45"/>
  <c r="X46"/>
  <c r="X47"/>
  <c r="X48"/>
  <c r="X49"/>
  <c r="X50"/>
  <c r="X51"/>
  <c r="X52"/>
  <c r="X53"/>
  <c r="X54"/>
  <c r="X55"/>
  <c r="X56"/>
  <c r="X57"/>
  <c r="X58"/>
  <c r="X59"/>
  <c r="X60"/>
  <c r="X61"/>
  <c r="X62"/>
  <c r="X63"/>
  <c r="X64"/>
  <c r="X65"/>
  <c r="X66"/>
  <c r="X67"/>
  <c r="X68"/>
  <c r="X69"/>
  <c r="X70"/>
  <c r="X71"/>
  <c r="X72"/>
  <c r="X73"/>
  <c r="X74"/>
  <c r="X75"/>
  <c r="X76"/>
  <c r="X77"/>
  <c r="X78"/>
  <c r="X79"/>
  <c r="X80"/>
  <c r="X81"/>
  <c r="X82"/>
  <c r="X83"/>
  <c r="X84"/>
  <c r="X85"/>
  <c r="X86"/>
  <c r="X87"/>
  <c r="X88"/>
  <c r="X89"/>
  <c r="X90"/>
  <c r="X91"/>
  <c r="X92"/>
  <c r="X93"/>
  <c r="X94"/>
  <c r="X95"/>
  <c r="X96"/>
  <c r="X97"/>
  <c r="X98"/>
  <c r="X99"/>
  <c r="X100"/>
  <c r="X101"/>
  <c r="X102"/>
  <c r="X103"/>
  <c r="X104"/>
  <c r="X105"/>
  <c r="X106"/>
  <c r="X107"/>
  <c r="X108"/>
  <c r="X109"/>
  <c r="X110"/>
  <c r="X111"/>
  <c r="X112"/>
  <c r="X113"/>
  <c r="X114"/>
  <c r="X115"/>
  <c r="X116"/>
  <c r="X117"/>
  <c r="X118"/>
  <c r="X119"/>
  <c r="X120"/>
  <c r="X121"/>
  <c r="X122"/>
  <c r="X123"/>
  <c r="X124"/>
  <c r="X125"/>
  <c r="X126"/>
  <c r="X127"/>
  <c r="X128"/>
  <c r="X129"/>
  <c r="X130"/>
  <c r="X131"/>
  <c r="X132"/>
  <c r="X133"/>
  <c r="X134"/>
  <c r="X135"/>
  <c r="X136"/>
  <c r="X137"/>
  <c r="X138"/>
  <c r="X139"/>
  <c r="X140"/>
  <c r="X141"/>
  <c r="X142"/>
  <c r="X143"/>
  <c r="X144"/>
  <c r="X145"/>
  <c r="X146"/>
  <c r="X147"/>
  <c r="X148"/>
  <c r="X149"/>
  <c r="X150"/>
  <c r="X151"/>
  <c r="X152"/>
  <c r="X153"/>
  <c r="X154"/>
  <c r="X155"/>
  <c r="X156"/>
  <c r="X157"/>
  <c r="X158"/>
  <c r="X159"/>
  <c r="X160"/>
  <c r="X161"/>
  <c r="V31"/>
  <c r="V33"/>
  <c r="V35"/>
  <c r="V37"/>
  <c r="V38"/>
  <c r="V39"/>
  <c r="V40"/>
  <c r="V41"/>
  <c r="V42"/>
  <c r="V43"/>
  <c r="V44"/>
  <c r="V45"/>
  <c r="V46"/>
  <c r="V47"/>
  <c r="V48"/>
  <c r="V49"/>
  <c r="V50"/>
  <c r="V51"/>
  <c r="V52"/>
  <c r="V53"/>
  <c r="V54"/>
  <c r="V55"/>
  <c r="V56"/>
  <c r="V57"/>
  <c r="V58"/>
  <c r="V59"/>
  <c r="V60"/>
  <c r="V61"/>
  <c r="V62"/>
  <c r="V63"/>
  <c r="V64"/>
  <c r="V65"/>
  <c r="V66"/>
  <c r="V67"/>
  <c r="V68"/>
  <c r="V69"/>
  <c r="V70"/>
  <c r="V71"/>
  <c r="V72"/>
  <c r="V73"/>
  <c r="V74"/>
  <c r="V75"/>
  <c r="V76"/>
  <c r="V77"/>
  <c r="V78"/>
  <c r="V79"/>
  <c r="V80"/>
  <c r="V81"/>
  <c r="V82"/>
  <c r="V83"/>
  <c r="V84"/>
  <c r="V85"/>
  <c r="V86"/>
  <c r="V87"/>
  <c r="V88"/>
  <c r="V89"/>
  <c r="V90"/>
  <c r="V91"/>
  <c r="V92"/>
  <c r="V93"/>
  <c r="V94"/>
  <c r="V95"/>
  <c r="V96"/>
  <c r="V97"/>
  <c r="V98"/>
  <c r="V99"/>
  <c r="V100"/>
  <c r="V101"/>
  <c r="V102"/>
  <c r="V104"/>
  <c r="V105"/>
  <c r="V106"/>
  <c r="V107"/>
  <c r="V108"/>
  <c r="V109"/>
  <c r="V110"/>
  <c r="V111"/>
  <c r="V112"/>
  <c r="V113"/>
  <c r="V122"/>
  <c r="V124"/>
  <c r="V126"/>
  <c r="V128"/>
  <c r="V5"/>
  <c r="V10"/>
  <c r="V11"/>
  <c r="V12"/>
  <c r="V13"/>
  <c r="V14"/>
  <c r="V15"/>
  <c r="V16"/>
  <c r="V17"/>
  <c r="V18"/>
  <c r="V19"/>
  <c r="V20"/>
  <c r="V21"/>
  <c r="V22"/>
  <c r="V23"/>
  <c r="V24"/>
  <c r="V25"/>
  <c r="V26"/>
  <c r="V28"/>
  <c r="V29"/>
  <c r="Z168"/>
  <c r="BD161"/>
  <c r="Z161"/>
  <c r="T161"/>
  <c r="BD160"/>
  <c r="BC160"/>
  <c r="Z160"/>
  <c r="T160"/>
  <c r="BD159"/>
  <c r="Z159"/>
  <c r="T159"/>
  <c r="BC158"/>
  <c r="Z158"/>
  <c r="Y158"/>
  <c r="T158"/>
  <c r="BD157"/>
  <c r="BC157"/>
  <c r="Z157"/>
  <c r="T157"/>
  <c r="BD156"/>
  <c r="Z156"/>
  <c r="T156"/>
  <c r="BD155"/>
  <c r="BC155"/>
  <c r="Z155"/>
  <c r="T155"/>
  <c r="BC154"/>
  <c r="AQ154"/>
  <c r="Z154"/>
  <c r="T154"/>
  <c r="BD153"/>
  <c r="Z153"/>
  <c r="T153"/>
  <c r="BD152"/>
  <c r="BC152"/>
  <c r="Z152"/>
  <c r="T152"/>
  <c r="BD151"/>
  <c r="Z151"/>
  <c r="T151"/>
  <c r="BC150"/>
  <c r="Z150"/>
  <c r="Y150"/>
  <c r="T150"/>
  <c r="BD149"/>
  <c r="BC149"/>
  <c r="Z149"/>
  <c r="T149"/>
  <c r="BC148"/>
  <c r="Z148"/>
  <c r="Y148"/>
  <c r="T148"/>
  <c r="BC147"/>
  <c r="AQ147"/>
  <c r="AA147"/>
  <c r="Z147"/>
  <c r="T147"/>
  <c r="BC146"/>
  <c r="Z146"/>
  <c r="T146"/>
  <c r="BC145"/>
  <c r="AQ145"/>
  <c r="AA145"/>
  <c r="Z145"/>
  <c r="Y145"/>
  <c r="T145"/>
  <c r="BC144"/>
  <c r="Z144"/>
  <c r="T144"/>
  <c r="BC143"/>
  <c r="Z143"/>
  <c r="T143"/>
  <c r="AQ143"/>
  <c r="BC142"/>
  <c r="Z142"/>
  <c r="T142"/>
  <c r="AQ142"/>
  <c r="BC141"/>
  <c r="Z141"/>
  <c r="T141"/>
  <c r="AQ141"/>
  <c r="BC140"/>
  <c r="Z140"/>
  <c r="T140"/>
  <c r="AQ140"/>
  <c r="BC139"/>
  <c r="Z139"/>
  <c r="T139"/>
  <c r="AQ139"/>
  <c r="BC138"/>
  <c r="Z138"/>
  <c r="T138"/>
  <c r="Y138"/>
  <c r="BC137"/>
  <c r="AQ137"/>
  <c r="Z137"/>
  <c r="T137"/>
  <c r="Y137"/>
  <c r="BC136"/>
  <c r="Z136"/>
  <c r="T136"/>
  <c r="BC135"/>
  <c r="AQ135"/>
  <c r="BB135" s="1"/>
  <c r="Z135"/>
  <c r="T135"/>
  <c r="Y135"/>
  <c r="BC134"/>
  <c r="Z134"/>
  <c r="Y134"/>
  <c r="T134"/>
  <c r="BC133"/>
  <c r="AQ133"/>
  <c r="BB133" s="1"/>
  <c r="Z133"/>
  <c r="T133"/>
  <c r="Y133"/>
  <c r="BC132"/>
  <c r="Z132"/>
  <c r="T132"/>
  <c r="BC131"/>
  <c r="Z131"/>
  <c r="Y131"/>
  <c r="T131"/>
  <c r="BC130"/>
  <c r="AQ130"/>
  <c r="Z130"/>
  <c r="T130"/>
  <c r="Y130"/>
  <c r="BC129"/>
  <c r="Z129"/>
  <c r="T129"/>
  <c r="BC128"/>
  <c r="AQ128"/>
  <c r="AA128"/>
  <c r="AD128" s="1"/>
  <c r="Z128"/>
  <c r="Y128"/>
  <c r="AB128" s="1"/>
  <c r="T128"/>
  <c r="BC127"/>
  <c r="AQ127"/>
  <c r="BB127" s="1"/>
  <c r="Z127"/>
  <c r="T127"/>
  <c r="Y127"/>
  <c r="BC126"/>
  <c r="Z126"/>
  <c r="T126"/>
  <c r="BC125"/>
  <c r="AQ125"/>
  <c r="Z125"/>
  <c r="T125"/>
  <c r="Y125"/>
  <c r="BC124"/>
  <c r="AQ124"/>
  <c r="BM124" s="1"/>
  <c r="AA124"/>
  <c r="AD124" s="1"/>
  <c r="Z124"/>
  <c r="Y124"/>
  <c r="AB124" s="1"/>
  <c r="T124"/>
  <c r="BC123"/>
  <c r="Z123"/>
  <c r="T123"/>
  <c r="AQ123"/>
  <c r="BC122"/>
  <c r="Z122"/>
  <c r="T122"/>
  <c r="Y122"/>
  <c r="BC121"/>
  <c r="AQ121"/>
  <c r="Z121"/>
  <c r="T121"/>
  <c r="BC120"/>
  <c r="AQ120"/>
  <c r="BH120" s="1"/>
  <c r="Z120"/>
  <c r="Y120"/>
  <c r="T120"/>
  <c r="BC119"/>
  <c r="Z119"/>
  <c r="Y119"/>
  <c r="T119"/>
  <c r="BC118"/>
  <c r="Z118"/>
  <c r="Y118"/>
  <c r="T118"/>
  <c r="AQ118"/>
  <c r="BC117"/>
  <c r="Z117"/>
  <c r="T117"/>
  <c r="BC116"/>
  <c r="AQ116"/>
  <c r="BH116" s="1"/>
  <c r="Z116"/>
  <c r="Y116"/>
  <c r="T116"/>
  <c r="BC115"/>
  <c r="Z115"/>
  <c r="Y115"/>
  <c r="T115"/>
  <c r="BC114"/>
  <c r="Z114"/>
  <c r="Y114"/>
  <c r="T114"/>
  <c r="BC113"/>
  <c r="AQ113"/>
  <c r="BB113" s="1"/>
  <c r="AA113"/>
  <c r="AD113" s="1"/>
  <c r="Z113"/>
  <c r="Y113"/>
  <c r="AC113" s="1"/>
  <c r="T113"/>
  <c r="BC112"/>
  <c r="Z112"/>
  <c r="T112"/>
  <c r="BC111"/>
  <c r="AA111"/>
  <c r="AD111" s="1"/>
  <c r="Z111"/>
  <c r="T111"/>
  <c r="BC110"/>
  <c r="AQ110"/>
  <c r="BB110" s="1"/>
  <c r="AA110"/>
  <c r="AD110" s="1"/>
  <c r="Z110"/>
  <c r="T110"/>
  <c r="Y110"/>
  <c r="AC110" s="1"/>
  <c r="BC109"/>
  <c r="AQ109"/>
  <c r="AA109"/>
  <c r="AD109" s="1"/>
  <c r="Z109"/>
  <c r="Y109"/>
  <c r="AC109" s="1"/>
  <c r="T109"/>
  <c r="BC108"/>
  <c r="Z108"/>
  <c r="Y108"/>
  <c r="T108"/>
  <c r="BC107"/>
  <c r="Z107"/>
  <c r="Y107"/>
  <c r="AB107" s="1"/>
  <c r="T107"/>
  <c r="AQ107"/>
  <c r="BC106"/>
  <c r="AA106"/>
  <c r="AD106" s="1"/>
  <c r="Z106"/>
  <c r="T106"/>
  <c r="BC105"/>
  <c r="AQ105"/>
  <c r="AA105"/>
  <c r="AD105" s="1"/>
  <c r="Z105"/>
  <c r="T105"/>
  <c r="BC104"/>
  <c r="Z104"/>
  <c r="T104"/>
  <c r="BD103"/>
  <c r="BC103"/>
  <c r="Z103"/>
  <c r="T103"/>
  <c r="BC102"/>
  <c r="AQ102"/>
  <c r="BH102" s="1"/>
  <c r="AA102"/>
  <c r="AD102" s="1"/>
  <c r="Z102"/>
  <c r="T102"/>
  <c r="BC101"/>
  <c r="AQ101"/>
  <c r="BH101" s="1"/>
  <c r="AA101"/>
  <c r="AD101" s="1"/>
  <c r="Z101"/>
  <c r="Y101"/>
  <c r="T101"/>
  <c r="BC100"/>
  <c r="Z100"/>
  <c r="T100"/>
  <c r="BC99"/>
  <c r="AA99"/>
  <c r="AD99" s="1"/>
  <c r="Z99"/>
  <c r="T99"/>
  <c r="BC98"/>
  <c r="AQ98"/>
  <c r="BH98" s="1"/>
  <c r="AA98"/>
  <c r="AD98" s="1"/>
  <c r="Z98"/>
  <c r="T98"/>
  <c r="BC97"/>
  <c r="AQ97"/>
  <c r="BH97" s="1"/>
  <c r="AA97"/>
  <c r="AD97" s="1"/>
  <c r="Z97"/>
  <c r="Y97"/>
  <c r="T97"/>
  <c r="BC96"/>
  <c r="Z96"/>
  <c r="T96"/>
  <c r="BC95"/>
  <c r="AA95"/>
  <c r="AD95" s="1"/>
  <c r="Z95"/>
  <c r="T95"/>
  <c r="BC94"/>
  <c r="AQ94"/>
  <c r="BH94" s="1"/>
  <c r="AA94"/>
  <c r="AD94" s="1"/>
  <c r="Z94"/>
  <c r="T94"/>
  <c r="BC93"/>
  <c r="BB93"/>
  <c r="AQ93"/>
  <c r="BH93" s="1"/>
  <c r="AA93"/>
  <c r="AD93" s="1"/>
  <c r="Z93"/>
  <c r="Y93"/>
  <c r="T93"/>
  <c r="BC92"/>
  <c r="Z92"/>
  <c r="Y92"/>
  <c r="AB92" s="1"/>
  <c r="T92"/>
  <c r="BC91"/>
  <c r="Z91"/>
  <c r="T91"/>
  <c r="BC90"/>
  <c r="AQ90"/>
  <c r="BB90" s="1"/>
  <c r="Y90"/>
  <c r="T90"/>
  <c r="BC89"/>
  <c r="Z89"/>
  <c r="Y89"/>
  <c r="AB89" s="1"/>
  <c r="T89"/>
  <c r="AQ89"/>
  <c r="BC88"/>
  <c r="Z88"/>
  <c r="T88"/>
  <c r="Y88"/>
  <c r="AC88" s="1"/>
  <c r="BC87"/>
  <c r="Z87"/>
  <c r="T87"/>
  <c r="Y87"/>
  <c r="BC86"/>
  <c r="Z86"/>
  <c r="T86"/>
  <c r="Y86"/>
  <c r="AC86" s="1"/>
  <c r="BC85"/>
  <c r="Z85"/>
  <c r="T85"/>
  <c r="Y85"/>
  <c r="AC85" s="1"/>
  <c r="BC84"/>
  <c r="Z84"/>
  <c r="T84"/>
  <c r="Y84"/>
  <c r="AC84" s="1"/>
  <c r="BC83"/>
  <c r="Z83"/>
  <c r="T83"/>
  <c r="Y83"/>
  <c r="BC82"/>
  <c r="T82"/>
  <c r="Y82"/>
  <c r="AC82" s="1"/>
  <c r="BC81"/>
  <c r="Z81"/>
  <c r="T81"/>
  <c r="Y81"/>
  <c r="AC81" s="1"/>
  <c r="BC80"/>
  <c r="Z80"/>
  <c r="T80"/>
  <c r="Y80"/>
  <c r="BC79"/>
  <c r="Z79"/>
  <c r="T79"/>
  <c r="Y79"/>
  <c r="AC79" s="1"/>
  <c r="BC78"/>
  <c r="Z78"/>
  <c r="T78"/>
  <c r="Y78"/>
  <c r="AC78" s="1"/>
  <c r="BC77"/>
  <c r="Z77"/>
  <c r="T77"/>
  <c r="Y77"/>
  <c r="AC77" s="1"/>
  <c r="BC76"/>
  <c r="Z76"/>
  <c r="T76"/>
  <c r="Y76"/>
  <c r="BC75"/>
  <c r="Z75"/>
  <c r="T75"/>
  <c r="Y75"/>
  <c r="AC75" s="1"/>
  <c r="BC74"/>
  <c r="Z74"/>
  <c r="T74"/>
  <c r="Y74"/>
  <c r="AC74" s="1"/>
  <c r="BC73"/>
  <c r="T73"/>
  <c r="Y73"/>
  <c r="AC73" s="1"/>
  <c r="BC72"/>
  <c r="Z72"/>
  <c r="T72"/>
  <c r="Y72"/>
  <c r="AC72" s="1"/>
  <c r="BC71"/>
  <c r="Z71"/>
  <c r="T71"/>
  <c r="Y71"/>
  <c r="AC71" s="1"/>
  <c r="BC70"/>
  <c r="Z70"/>
  <c r="T70"/>
  <c r="Y70"/>
  <c r="AC70" s="1"/>
  <c r="BC69"/>
  <c r="Z69"/>
  <c r="T69"/>
  <c r="Y69"/>
  <c r="BC68"/>
  <c r="Z68"/>
  <c r="T68"/>
  <c r="Y68"/>
  <c r="AC68" s="1"/>
  <c r="BC67"/>
  <c r="Z67"/>
  <c r="T67"/>
  <c r="Y67"/>
  <c r="AC67" s="1"/>
  <c r="BC66"/>
  <c r="Z66"/>
  <c r="T66"/>
  <c r="Y66"/>
  <c r="AC66" s="1"/>
  <c r="BC65"/>
  <c r="T65"/>
  <c r="Y65"/>
  <c r="AC65" s="1"/>
  <c r="BC64"/>
  <c r="Z64"/>
  <c r="T64"/>
  <c r="Y64"/>
  <c r="AC64" s="1"/>
  <c r="BC63"/>
  <c r="Z63"/>
  <c r="T63"/>
  <c r="Y63"/>
  <c r="AC63" s="1"/>
  <c r="BC62"/>
  <c r="Z62"/>
  <c r="T62"/>
  <c r="BC61"/>
  <c r="Z61"/>
  <c r="T61"/>
  <c r="Y61"/>
  <c r="AC61" s="1"/>
  <c r="BC60"/>
  <c r="AQ60"/>
  <c r="AA60"/>
  <c r="AD60" s="1"/>
  <c r="Z60"/>
  <c r="T60"/>
  <c r="Y60"/>
  <c r="AC60" s="1"/>
  <c r="BC59"/>
  <c r="AQ59"/>
  <c r="AT59" s="1"/>
  <c r="AA59"/>
  <c r="AD59" s="1"/>
  <c r="Z59"/>
  <c r="T59"/>
  <c r="Y59"/>
  <c r="AC59" s="1"/>
  <c r="BC58"/>
  <c r="Z58"/>
  <c r="T58"/>
  <c r="BC57"/>
  <c r="Z57"/>
  <c r="T57"/>
  <c r="Y57"/>
  <c r="AC57" s="1"/>
  <c r="BC56"/>
  <c r="AQ56"/>
  <c r="AA56"/>
  <c r="AD56" s="1"/>
  <c r="Z56"/>
  <c r="T56"/>
  <c r="Y56"/>
  <c r="AC56" s="1"/>
  <c r="BC55"/>
  <c r="AQ55"/>
  <c r="AA55"/>
  <c r="AD55" s="1"/>
  <c r="Z55"/>
  <c r="T55"/>
  <c r="Y55"/>
  <c r="AC55" s="1"/>
  <c r="BC54"/>
  <c r="Z54"/>
  <c r="T54"/>
  <c r="BC53"/>
  <c r="Z53"/>
  <c r="T53"/>
  <c r="Y53"/>
  <c r="AC53" s="1"/>
  <c r="BC52"/>
  <c r="AQ52"/>
  <c r="AA52"/>
  <c r="AD52" s="1"/>
  <c r="Z52"/>
  <c r="T52"/>
  <c r="Y52"/>
  <c r="AC52" s="1"/>
  <c r="BC51"/>
  <c r="AQ51"/>
  <c r="AT51" s="1"/>
  <c r="AA51"/>
  <c r="AD51" s="1"/>
  <c r="Z51"/>
  <c r="T51"/>
  <c r="Y51"/>
  <c r="AC51" s="1"/>
  <c r="BC50"/>
  <c r="Z50"/>
  <c r="T50"/>
  <c r="BC49"/>
  <c r="Z49"/>
  <c r="T49"/>
  <c r="Y49"/>
  <c r="AC49" s="1"/>
  <c r="BC48"/>
  <c r="AQ48"/>
  <c r="AA48"/>
  <c r="AD48" s="1"/>
  <c r="Z48"/>
  <c r="T48"/>
  <c r="Y48"/>
  <c r="AC48" s="1"/>
  <c r="BC47"/>
  <c r="AQ47"/>
  <c r="AA47"/>
  <c r="AD47" s="1"/>
  <c r="Z47"/>
  <c r="T47"/>
  <c r="Y47"/>
  <c r="AC47" s="1"/>
  <c r="BC46"/>
  <c r="Z46"/>
  <c r="T46"/>
  <c r="BC45"/>
  <c r="Z45"/>
  <c r="T45"/>
  <c r="Y45"/>
  <c r="AC45" s="1"/>
  <c r="BC44"/>
  <c r="AQ44"/>
  <c r="AA44"/>
  <c r="AD44" s="1"/>
  <c r="Z44"/>
  <c r="T44"/>
  <c r="Y44"/>
  <c r="AC44" s="1"/>
  <c r="BC43"/>
  <c r="AQ43"/>
  <c r="AA43"/>
  <c r="AD43" s="1"/>
  <c r="Z43"/>
  <c r="T43"/>
  <c r="Y43"/>
  <c r="AC43" s="1"/>
  <c r="BC42"/>
  <c r="Z42"/>
  <c r="T42"/>
  <c r="BC41"/>
  <c r="Z41"/>
  <c r="T41"/>
  <c r="Y41"/>
  <c r="AC41" s="1"/>
  <c r="BC40"/>
  <c r="AQ40"/>
  <c r="AA40"/>
  <c r="AD40" s="1"/>
  <c r="Z40"/>
  <c r="T40"/>
  <c r="Y40"/>
  <c r="AC40" s="1"/>
  <c r="BC39"/>
  <c r="AA39"/>
  <c r="AD39" s="1"/>
  <c r="Z39"/>
  <c r="T39"/>
  <c r="BC38"/>
  <c r="AQ38"/>
  <c r="AA38"/>
  <c r="AD38" s="1"/>
  <c r="Z38"/>
  <c r="T38"/>
  <c r="BC37"/>
  <c r="AQ37"/>
  <c r="AA37"/>
  <c r="AD37" s="1"/>
  <c r="Z37"/>
  <c r="T37"/>
  <c r="BD36"/>
  <c r="BC36"/>
  <c r="AQ36"/>
  <c r="BB36" s="1"/>
  <c r="Z36"/>
  <c r="T36"/>
  <c r="Y36"/>
  <c r="BC35"/>
  <c r="Z35"/>
  <c r="Y35"/>
  <c r="AB35" s="1"/>
  <c r="T35"/>
  <c r="AQ35"/>
  <c r="BB35" s="1"/>
  <c r="BD34"/>
  <c r="BC34"/>
  <c r="Z34"/>
  <c r="T34"/>
  <c r="AQ34"/>
  <c r="BC33"/>
  <c r="Z33"/>
  <c r="Y33"/>
  <c r="AB33" s="1"/>
  <c r="T33"/>
  <c r="AQ33"/>
  <c r="BB33" s="1"/>
  <c r="BD32"/>
  <c r="BC32"/>
  <c r="Z32"/>
  <c r="T32"/>
  <c r="BC31"/>
  <c r="Z31"/>
  <c r="T31"/>
  <c r="Y31"/>
  <c r="AC31" s="1"/>
  <c r="BD30"/>
  <c r="BC30"/>
  <c r="Z30"/>
  <c r="Y30"/>
  <c r="T30"/>
  <c r="BH29"/>
  <c r="BC29"/>
  <c r="Z29"/>
  <c r="Y29"/>
  <c r="AB29" s="1"/>
  <c r="T29"/>
  <c r="AQ29"/>
  <c r="BB29" s="1"/>
  <c r="BC28"/>
  <c r="Z28"/>
  <c r="Y28"/>
  <c r="AB28" s="1"/>
  <c r="T28"/>
  <c r="AQ28"/>
  <c r="BB28" s="1"/>
  <c r="BD27"/>
  <c r="BC27"/>
  <c r="AQ27"/>
  <c r="BH27" s="1"/>
  <c r="Z27"/>
  <c r="T27"/>
  <c r="BC26"/>
  <c r="Z26"/>
  <c r="T26"/>
  <c r="Y26"/>
  <c r="AC26" s="1"/>
  <c r="BC25"/>
  <c r="Z25"/>
  <c r="T25"/>
  <c r="Y25"/>
  <c r="AC25" s="1"/>
  <c r="BC24"/>
  <c r="Z24"/>
  <c r="T24"/>
  <c r="Y24"/>
  <c r="AC24" s="1"/>
  <c r="BC23"/>
  <c r="T23"/>
  <c r="Y23"/>
  <c r="AC23" s="1"/>
  <c r="BC22"/>
  <c r="Z22"/>
  <c r="T22"/>
  <c r="Y22"/>
  <c r="AC22" s="1"/>
  <c r="BC21"/>
  <c r="Z21"/>
  <c r="T21"/>
  <c r="Y21"/>
  <c r="AC21" s="1"/>
  <c r="BC20"/>
  <c r="Z20"/>
  <c r="T20"/>
  <c r="Y20"/>
  <c r="AC20" s="1"/>
  <c r="BC19"/>
  <c r="T19"/>
  <c r="Y19"/>
  <c r="AC19" s="1"/>
  <c r="BC18"/>
  <c r="Z18"/>
  <c r="T18"/>
  <c r="Y18"/>
  <c r="AC18" s="1"/>
  <c r="BC17"/>
  <c r="Z17"/>
  <c r="T17"/>
  <c r="Y17"/>
  <c r="AC17" s="1"/>
  <c r="BC16"/>
  <c r="Z16"/>
  <c r="T16"/>
  <c r="Y16"/>
  <c r="AC16" s="1"/>
  <c r="BC15"/>
  <c r="T15"/>
  <c r="Y15"/>
  <c r="AC15" s="1"/>
  <c r="BC14"/>
  <c r="Z14"/>
  <c r="T14"/>
  <c r="Y14"/>
  <c r="AC14" s="1"/>
  <c r="BC13"/>
  <c r="Z13"/>
  <c r="T13"/>
  <c r="Y13"/>
  <c r="AC13" s="1"/>
  <c r="BC12"/>
  <c r="Z12"/>
  <c r="T12"/>
  <c r="Y12"/>
  <c r="AC12" s="1"/>
  <c r="BC11"/>
  <c r="T11"/>
  <c r="Y11"/>
  <c r="AC11" s="1"/>
  <c r="BC10"/>
  <c r="Z10"/>
  <c r="T10"/>
  <c r="Y10"/>
  <c r="AC10" s="1"/>
  <c r="BC9"/>
  <c r="AQ9"/>
  <c r="BB9" s="1"/>
  <c r="Z9"/>
  <c r="T9"/>
  <c r="Y9"/>
  <c r="BC8"/>
  <c r="Z8"/>
  <c r="Y8"/>
  <c r="T8"/>
  <c r="BC7"/>
  <c r="Z7"/>
  <c r="Y7"/>
  <c r="T7"/>
  <c r="BC6"/>
  <c r="AQ6"/>
  <c r="BB6" s="1"/>
  <c r="Z6"/>
  <c r="T6"/>
  <c r="BC5"/>
  <c r="Z5"/>
  <c r="T5"/>
  <c r="Y5"/>
  <c r="BD4"/>
  <c r="BC4"/>
  <c r="Z4"/>
  <c r="T4"/>
  <c r="Y4"/>
  <c r="J5" i="3"/>
  <c r="J6"/>
  <c r="J7"/>
  <c r="J8"/>
  <c r="J9"/>
  <c r="J10"/>
  <c r="J11"/>
  <c r="J12"/>
  <c r="J13"/>
  <c r="J14"/>
  <c r="J15"/>
  <c r="J16"/>
  <c r="J17"/>
  <c r="J18"/>
  <c r="J19"/>
  <c r="J20"/>
  <c r="J21"/>
  <c r="J22"/>
  <c r="J23"/>
  <c r="J4"/>
  <c r="L4" s="1"/>
  <c r="N4" s="1"/>
  <c r="K5"/>
  <c r="K6"/>
  <c r="K7"/>
  <c r="K8"/>
  <c r="K9"/>
  <c r="K10"/>
  <c r="K11"/>
  <c r="K12"/>
  <c r="K13"/>
  <c r="K14"/>
  <c r="K15"/>
  <c r="K16"/>
  <c r="K17"/>
  <c r="K18"/>
  <c r="K19"/>
  <c r="K20"/>
  <c r="K21"/>
  <c r="K22"/>
  <c r="K23"/>
  <c r="K4"/>
  <c r="W153" i="2" l="1"/>
  <c r="S19" i="7"/>
  <c r="AC124" i="2"/>
  <c r="AT9"/>
  <c r="AB14"/>
  <c r="AB17"/>
  <c r="W144"/>
  <c r="S15" i="7"/>
  <c r="S16"/>
  <c r="AB25" i="2"/>
  <c r="BH28"/>
  <c r="AB86"/>
  <c r="BB124"/>
  <c r="S17" i="7"/>
  <c r="S14"/>
  <c r="W8" i="2"/>
  <c r="AB71"/>
  <c r="AB81"/>
  <c r="AB84"/>
  <c r="G63" i="3"/>
  <c r="J63" s="1"/>
  <c r="K63" s="1"/>
  <c r="W149" i="2"/>
  <c r="S7" i="7"/>
  <c r="S11"/>
  <c r="S6"/>
  <c r="S10"/>
  <c r="S13"/>
  <c r="S12"/>
  <c r="S18"/>
  <c r="S9"/>
  <c r="S8"/>
  <c r="S5"/>
  <c r="S4"/>
  <c r="W145" i="2"/>
  <c r="W141"/>
  <c r="W137"/>
  <c r="W133"/>
  <c r="W129"/>
  <c r="W125"/>
  <c r="W121"/>
  <c r="W117"/>
  <c r="W113"/>
  <c r="U113" s="1"/>
  <c r="W109"/>
  <c r="W105"/>
  <c r="AP105" s="1"/>
  <c r="W101"/>
  <c r="W97"/>
  <c r="W93"/>
  <c r="W89"/>
  <c r="W85"/>
  <c r="AN85" s="1"/>
  <c r="W81"/>
  <c r="AN81" s="1"/>
  <c r="W77"/>
  <c r="AP77" s="1"/>
  <c r="W73"/>
  <c r="AP73" s="1"/>
  <c r="W69"/>
  <c r="AN69" s="1"/>
  <c r="W65"/>
  <c r="AN65" s="1"/>
  <c r="W61"/>
  <c r="U61" s="1"/>
  <c r="AE61" s="1"/>
  <c r="BO61" s="1"/>
  <c r="W57"/>
  <c r="AN57" s="1"/>
  <c r="W53"/>
  <c r="AN53" s="1"/>
  <c r="W49"/>
  <c r="AP49" s="1"/>
  <c r="W45"/>
  <c r="AN45" s="1"/>
  <c r="W41"/>
  <c r="AN41" s="1"/>
  <c r="W37"/>
  <c r="AN37" s="1"/>
  <c r="W33"/>
  <c r="AP33" s="1"/>
  <c r="W29"/>
  <c r="AN29" s="1"/>
  <c r="W25"/>
  <c r="AN25" s="1"/>
  <c r="W21"/>
  <c r="AP21" s="1"/>
  <c r="W17"/>
  <c r="AN17" s="1"/>
  <c r="W13"/>
  <c r="AN13" s="1"/>
  <c r="W9"/>
  <c r="W5"/>
  <c r="U5" s="1"/>
  <c r="W158"/>
  <c r="W154"/>
  <c r="W150"/>
  <c r="W146"/>
  <c r="W142"/>
  <c r="W138"/>
  <c r="W134"/>
  <c r="W130"/>
  <c r="W126"/>
  <c r="AP126" s="1"/>
  <c r="W122"/>
  <c r="AN122" s="1"/>
  <c r="W118"/>
  <c r="W114"/>
  <c r="W110"/>
  <c r="U110" s="1"/>
  <c r="AE110" s="1"/>
  <c r="BO110" s="1"/>
  <c r="W106"/>
  <c r="AP106" s="1"/>
  <c r="W102"/>
  <c r="W98"/>
  <c r="W94"/>
  <c r="AN94" s="1"/>
  <c r="W90"/>
  <c r="AN90" s="1"/>
  <c r="W86"/>
  <c r="AN86" s="1"/>
  <c r="W82"/>
  <c r="AN82" s="1"/>
  <c r="W78"/>
  <c r="AN78" s="1"/>
  <c r="W74"/>
  <c r="AN74" s="1"/>
  <c r="W70"/>
  <c r="AN70" s="1"/>
  <c r="W66"/>
  <c r="U66" s="1"/>
  <c r="AE66" s="1"/>
  <c r="BO66" s="1"/>
  <c r="W62"/>
  <c r="AP62" s="1"/>
  <c r="W58"/>
  <c r="AN58" s="1"/>
  <c r="W54"/>
  <c r="AP54" s="1"/>
  <c r="W50"/>
  <c r="AP50" s="1"/>
  <c r="W46"/>
  <c r="AP46" s="1"/>
  <c r="W42"/>
  <c r="AP42" s="1"/>
  <c r="W38"/>
  <c r="AN38" s="1"/>
  <c r="W34"/>
  <c r="W30"/>
  <c r="W26"/>
  <c r="W22"/>
  <c r="AN22" s="1"/>
  <c r="W18"/>
  <c r="AP18" s="1"/>
  <c r="W14"/>
  <c r="AP14" s="1"/>
  <c r="W10"/>
  <c r="W6"/>
  <c r="W159"/>
  <c r="W155"/>
  <c r="W151"/>
  <c r="W147"/>
  <c r="W143"/>
  <c r="W139"/>
  <c r="W135"/>
  <c r="W131"/>
  <c r="W127"/>
  <c r="W123"/>
  <c r="W119"/>
  <c r="W115"/>
  <c r="W111"/>
  <c r="AN111" s="1"/>
  <c r="W107"/>
  <c r="AP107" s="1"/>
  <c r="W103"/>
  <c r="W99"/>
  <c r="AP99" s="1"/>
  <c r="W95"/>
  <c r="AN95" s="1"/>
  <c r="W91"/>
  <c r="U91" s="1"/>
  <c r="W87"/>
  <c r="AN87" s="1"/>
  <c r="W83"/>
  <c r="AP83" s="1"/>
  <c r="W79"/>
  <c r="AN79" s="1"/>
  <c r="W75"/>
  <c r="AP75" s="1"/>
  <c r="W71"/>
  <c r="AN71" s="1"/>
  <c r="W67"/>
  <c r="AN67" s="1"/>
  <c r="W63"/>
  <c r="AN63" s="1"/>
  <c r="W59"/>
  <c r="U59" s="1"/>
  <c r="W55"/>
  <c r="U55" s="1"/>
  <c r="W51"/>
  <c r="U51" s="1"/>
  <c r="W47"/>
  <c r="U47" s="1"/>
  <c r="W43"/>
  <c r="U43" s="1"/>
  <c r="W39"/>
  <c r="AP39" s="1"/>
  <c r="W35"/>
  <c r="AP35" s="1"/>
  <c r="W31"/>
  <c r="AN31" s="1"/>
  <c r="W27"/>
  <c r="W23"/>
  <c r="AP23" s="1"/>
  <c r="W19"/>
  <c r="AP19" s="1"/>
  <c r="W15"/>
  <c r="W11"/>
  <c r="AN11" s="1"/>
  <c r="W7"/>
  <c r="W160"/>
  <c r="W156"/>
  <c r="W152"/>
  <c r="W148"/>
  <c r="W140"/>
  <c r="W136"/>
  <c r="W132"/>
  <c r="W128"/>
  <c r="U128" s="1"/>
  <c r="AI128" s="1"/>
  <c r="AL128" s="1"/>
  <c r="W124"/>
  <c r="AP124" s="1"/>
  <c r="W120"/>
  <c r="W116"/>
  <c r="W112"/>
  <c r="AP112" s="1"/>
  <c r="W108"/>
  <c r="W104"/>
  <c r="AP104" s="1"/>
  <c r="W100"/>
  <c r="AN100" s="1"/>
  <c r="W96"/>
  <c r="AN96" s="1"/>
  <c r="W92"/>
  <c r="AN92" s="1"/>
  <c r="W88"/>
  <c r="AN88" s="1"/>
  <c r="W84"/>
  <c r="AN84" s="1"/>
  <c r="W80"/>
  <c r="AN80" s="1"/>
  <c r="W76"/>
  <c r="AN76" s="1"/>
  <c r="W72"/>
  <c r="AN72" s="1"/>
  <c r="W68"/>
  <c r="AP68" s="1"/>
  <c r="W64"/>
  <c r="AN64" s="1"/>
  <c r="W60"/>
  <c r="AN60" s="1"/>
  <c r="W56"/>
  <c r="AN56" s="1"/>
  <c r="W52"/>
  <c r="AN52" s="1"/>
  <c r="W48"/>
  <c r="AP48" s="1"/>
  <c r="W44"/>
  <c r="AN44" s="1"/>
  <c r="W40"/>
  <c r="AN40" s="1"/>
  <c r="W36"/>
  <c r="W32"/>
  <c r="W28"/>
  <c r="AP28" s="1"/>
  <c r="W24"/>
  <c r="AN24" s="1"/>
  <c r="W20"/>
  <c r="AN20" s="1"/>
  <c r="W16"/>
  <c r="AN16" s="1"/>
  <c r="W12"/>
  <c r="AN12" s="1"/>
  <c r="W161"/>
  <c r="W157"/>
  <c r="J25" i="3"/>
  <c r="J24"/>
  <c r="L24" s="1"/>
  <c r="N24" s="1"/>
  <c r="M6"/>
  <c r="O6" s="1"/>
  <c r="M8"/>
  <c r="O8" s="1"/>
  <c r="M10"/>
  <c r="O10" s="1"/>
  <c r="M12"/>
  <c r="O12" s="1"/>
  <c r="M14"/>
  <c r="O14" s="1"/>
  <c r="M16"/>
  <c r="O16" s="1"/>
  <c r="M18"/>
  <c r="M20"/>
  <c r="O20" s="1"/>
  <c r="M22"/>
  <c r="O22" s="1"/>
  <c r="M4"/>
  <c r="O4" s="1"/>
  <c r="M5"/>
  <c r="O5" s="1"/>
  <c r="M7"/>
  <c r="O7" s="1"/>
  <c r="M9"/>
  <c r="O9" s="1"/>
  <c r="M11"/>
  <c r="O11" s="1"/>
  <c r="M13"/>
  <c r="O13" s="1"/>
  <c r="M15"/>
  <c r="O15" s="1"/>
  <c r="M17"/>
  <c r="O17" s="1"/>
  <c r="M19"/>
  <c r="O19" s="1"/>
  <c r="M21"/>
  <c r="O21" s="1"/>
  <c r="M23"/>
  <c r="O23" s="1"/>
  <c r="L23"/>
  <c r="N23" s="1"/>
  <c r="L21"/>
  <c r="N21" s="1"/>
  <c r="L19"/>
  <c r="N19" s="1"/>
  <c r="L17"/>
  <c r="N17" s="1"/>
  <c r="L15"/>
  <c r="N15" s="1"/>
  <c r="L13"/>
  <c r="L11"/>
  <c r="N11" s="1"/>
  <c r="L9"/>
  <c r="N9" s="1"/>
  <c r="L7"/>
  <c r="N7" s="1"/>
  <c r="L5"/>
  <c r="N5" s="1"/>
  <c r="L22"/>
  <c r="N22" s="1"/>
  <c r="L20"/>
  <c r="N20" s="1"/>
  <c r="L18"/>
  <c r="N18" s="1"/>
  <c r="L16"/>
  <c r="N16" s="1"/>
  <c r="L14"/>
  <c r="N14" s="1"/>
  <c r="L12"/>
  <c r="L10"/>
  <c r="N10" s="1"/>
  <c r="L8"/>
  <c r="L6"/>
  <c r="N6" s="1"/>
  <c r="U124" i="2"/>
  <c r="AG124" s="1"/>
  <c r="Z30" i="8"/>
  <c r="AN30" s="1"/>
  <c r="AO30" s="1"/>
  <c r="AO14"/>
  <c r="AE128" i="2"/>
  <c r="BO128" s="1"/>
  <c r="AI26" i="8"/>
  <c r="AJ26" s="1"/>
  <c r="AQ26" s="1"/>
  <c r="AH33"/>
  <c r="AO18"/>
  <c r="AO2"/>
  <c r="AO22"/>
  <c r="AO6"/>
  <c r="AO26"/>
  <c r="AM31"/>
  <c r="AN31"/>
  <c r="AJ31"/>
  <c r="AQ31" s="1"/>
  <c r="AK31"/>
  <c r="AL31"/>
  <c r="AK16"/>
  <c r="AL16"/>
  <c r="AM16"/>
  <c r="AI20"/>
  <c r="AI4"/>
  <c r="AM27"/>
  <c r="AJ27"/>
  <c r="AQ27" s="1"/>
  <c r="AK27"/>
  <c r="AL27"/>
  <c r="Z27" s="1"/>
  <c r="AN27" s="1"/>
  <c r="AM19"/>
  <c r="AN19"/>
  <c r="AJ19"/>
  <c r="AQ19" s="1"/>
  <c r="AK19"/>
  <c r="AL19"/>
  <c r="AM11"/>
  <c r="AN11"/>
  <c r="AJ11"/>
  <c r="AQ11" s="1"/>
  <c r="AK11"/>
  <c r="AK33" s="1"/>
  <c r="AL11"/>
  <c r="AM3"/>
  <c r="AM33" s="1"/>
  <c r="AN3"/>
  <c r="AJ3"/>
  <c r="AQ3" s="1"/>
  <c r="AK3"/>
  <c r="AL3"/>
  <c r="AK25"/>
  <c r="AL25"/>
  <c r="AM25"/>
  <c r="AN25"/>
  <c r="AJ25"/>
  <c r="AQ25" s="1"/>
  <c r="AK17"/>
  <c r="AL17"/>
  <c r="AM17"/>
  <c r="AN17"/>
  <c r="AJ17"/>
  <c r="AQ17" s="1"/>
  <c r="AK9"/>
  <c r="AL9"/>
  <c r="AM9"/>
  <c r="AJ9"/>
  <c r="AQ9" s="1"/>
  <c r="AN32"/>
  <c r="AK32"/>
  <c r="AL32"/>
  <c r="AM32"/>
  <c r="AN28"/>
  <c r="AK28"/>
  <c r="AL28"/>
  <c r="AM28"/>
  <c r="AK12"/>
  <c r="AL12"/>
  <c r="AM12"/>
  <c r="AI16"/>
  <c r="AJ16" s="1"/>
  <c r="AQ16" s="1"/>
  <c r="AO29"/>
  <c r="AN24"/>
  <c r="AK24"/>
  <c r="AL24"/>
  <c r="AM24"/>
  <c r="AN8"/>
  <c r="AK8"/>
  <c r="AL8"/>
  <c r="AM8"/>
  <c r="AI32"/>
  <c r="AJ32" s="1"/>
  <c r="AQ32" s="1"/>
  <c r="AI28"/>
  <c r="AJ28" s="1"/>
  <c r="AQ28" s="1"/>
  <c r="AI12"/>
  <c r="AJ12" s="1"/>
  <c r="AQ12" s="1"/>
  <c r="AM23"/>
  <c r="AN23"/>
  <c r="AJ23"/>
  <c r="AQ23" s="1"/>
  <c r="AK23"/>
  <c r="AL23"/>
  <c r="AM15"/>
  <c r="AJ15"/>
  <c r="AQ15" s="1"/>
  <c r="AK15"/>
  <c r="AL15"/>
  <c r="AM7"/>
  <c r="AN7"/>
  <c r="AJ7"/>
  <c r="AQ7" s="1"/>
  <c r="AK7"/>
  <c r="AL7"/>
  <c r="AK21"/>
  <c r="AL21"/>
  <c r="AM21"/>
  <c r="AN21"/>
  <c r="AJ21"/>
  <c r="AQ21" s="1"/>
  <c r="AK13"/>
  <c r="AM13"/>
  <c r="AJ13"/>
  <c r="AQ13" s="1"/>
  <c r="AK5"/>
  <c r="AL5"/>
  <c r="AM5"/>
  <c r="AN5"/>
  <c r="AJ5"/>
  <c r="AQ5" s="1"/>
  <c r="AN20"/>
  <c r="AJ20"/>
  <c r="AQ20" s="1"/>
  <c r="AK20"/>
  <c r="AL20"/>
  <c r="AM20"/>
  <c r="AN4"/>
  <c r="AJ4"/>
  <c r="AQ4" s="1"/>
  <c r="AK4"/>
  <c r="AL4"/>
  <c r="AM4"/>
  <c r="AI24"/>
  <c r="AJ24" s="1"/>
  <c r="AQ24" s="1"/>
  <c r="AI8"/>
  <c r="AJ8" s="1"/>
  <c r="AQ8" s="1"/>
  <c r="V16" i="7"/>
  <c r="W9"/>
  <c r="Z9" s="1"/>
  <c r="AM9"/>
  <c r="AQ9" s="1"/>
  <c r="AZ9" s="1"/>
  <c r="V6"/>
  <c r="AM16"/>
  <c r="T18"/>
  <c r="U6"/>
  <c r="U7"/>
  <c r="T16"/>
  <c r="U17"/>
  <c r="X17" s="1"/>
  <c r="AM18"/>
  <c r="AV18" s="1"/>
  <c r="T7"/>
  <c r="U18"/>
  <c r="X18" s="1"/>
  <c r="U8"/>
  <c r="AM8"/>
  <c r="T8"/>
  <c r="V8"/>
  <c r="W8"/>
  <c r="Z8" s="1"/>
  <c r="AV4"/>
  <c r="AQ4"/>
  <c r="AV7"/>
  <c r="V4"/>
  <c r="W5"/>
  <c r="AM5"/>
  <c r="V10"/>
  <c r="T10"/>
  <c r="U10"/>
  <c r="Y19"/>
  <c r="X19"/>
  <c r="U4"/>
  <c r="AQ7"/>
  <c r="U5"/>
  <c r="T5"/>
  <c r="V9"/>
  <c r="T9"/>
  <c r="U9"/>
  <c r="AM11"/>
  <c r="AQ11" s="1"/>
  <c r="W11"/>
  <c r="U11"/>
  <c r="V11"/>
  <c r="U12"/>
  <c r="V12"/>
  <c r="AM12"/>
  <c r="W12"/>
  <c r="T12"/>
  <c r="T4"/>
  <c r="W10"/>
  <c r="Z10" s="1"/>
  <c r="AM10"/>
  <c r="AQ14"/>
  <c r="AV9"/>
  <c r="V13"/>
  <c r="AM13"/>
  <c r="W13"/>
  <c r="T13"/>
  <c r="U13"/>
  <c r="AV14"/>
  <c r="W4"/>
  <c r="W6"/>
  <c r="AM6"/>
  <c r="V7"/>
  <c r="V14"/>
  <c r="W15"/>
  <c r="Z15" s="1"/>
  <c r="AM15"/>
  <c r="AQ15" s="1"/>
  <c r="W17"/>
  <c r="Z17" s="1"/>
  <c r="AM17"/>
  <c r="AQ17" s="1"/>
  <c r="Y18"/>
  <c r="T19"/>
  <c r="U14"/>
  <c r="V15"/>
  <c r="W16"/>
  <c r="V17"/>
  <c r="W19"/>
  <c r="Z19" s="1"/>
  <c r="AM19"/>
  <c r="Y17"/>
  <c r="W18"/>
  <c r="Z18" s="1"/>
  <c r="V19"/>
  <c r="W7"/>
  <c r="W14"/>
  <c r="AQ18"/>
  <c r="BM28" i="2"/>
  <c r="BM29"/>
  <c r="BH34"/>
  <c r="AB64"/>
  <c r="AB67"/>
  <c r="AB70"/>
  <c r="AB78"/>
  <c r="AT93"/>
  <c r="BB94"/>
  <c r="BM97"/>
  <c r="BM98"/>
  <c r="AT101"/>
  <c r="AT102"/>
  <c r="AT109"/>
  <c r="BM110"/>
  <c r="BB116"/>
  <c r="BM127"/>
  <c r="AT36"/>
  <c r="AB43"/>
  <c r="AB47"/>
  <c r="AB51"/>
  <c r="AB55"/>
  <c r="AB59"/>
  <c r="AB75"/>
  <c r="AB88"/>
  <c r="AT94"/>
  <c r="BM102"/>
  <c r="BH110"/>
  <c r="BH127"/>
  <c r="BM133"/>
  <c r="AT135"/>
  <c r="AT140"/>
  <c r="AB10"/>
  <c r="AB20"/>
  <c r="AB63"/>
  <c r="AB66"/>
  <c r="AB77"/>
  <c r="AB79"/>
  <c r="AB85"/>
  <c r="BM94"/>
  <c r="AT97"/>
  <c r="BB98"/>
  <c r="BM101"/>
  <c r="AB109"/>
  <c r="AB113"/>
  <c r="BM135"/>
  <c r="AB13"/>
  <c r="AB16"/>
  <c r="AB26"/>
  <c r="AT28"/>
  <c r="AT29"/>
  <c r="BH36"/>
  <c r="AT43"/>
  <c r="AT47"/>
  <c r="AT55"/>
  <c r="AB74"/>
  <c r="BH90"/>
  <c r="AT98"/>
  <c r="BB102"/>
  <c r="AT110"/>
  <c r="AT124"/>
  <c r="AT127"/>
  <c r="AT133"/>
  <c r="BH135"/>
  <c r="AT142"/>
  <c r="W4"/>
  <c r="X4"/>
  <c r="AQ7"/>
  <c r="BB27"/>
  <c r="AT27"/>
  <c r="BM34"/>
  <c r="BB34"/>
  <c r="BB48"/>
  <c r="BM48"/>
  <c r="BH48"/>
  <c r="Y54"/>
  <c r="AQ54"/>
  <c r="AA54"/>
  <c r="AD54" s="1"/>
  <c r="Z15"/>
  <c r="AC87"/>
  <c r="AB87"/>
  <c r="AC122"/>
  <c r="AB122"/>
  <c r="AA5"/>
  <c r="AQ5"/>
  <c r="AB23"/>
  <c r="AC33"/>
  <c r="AT33"/>
  <c r="AC35"/>
  <c r="AT35"/>
  <c r="Y6"/>
  <c r="BB44"/>
  <c r="BM44"/>
  <c r="BH44"/>
  <c r="Y50"/>
  <c r="AQ50"/>
  <c r="AA50"/>
  <c r="AD50" s="1"/>
  <c r="Z11"/>
  <c r="BB60"/>
  <c r="BM60"/>
  <c r="BH60"/>
  <c r="AC76"/>
  <c r="AB76"/>
  <c r="AT6"/>
  <c r="BM6"/>
  <c r="AB11"/>
  <c r="AB18"/>
  <c r="AB21"/>
  <c r="AB24"/>
  <c r="BM27"/>
  <c r="AT34"/>
  <c r="AC5"/>
  <c r="BB37"/>
  <c r="BM37"/>
  <c r="BH37"/>
  <c r="AT37"/>
  <c r="BB38"/>
  <c r="BM38"/>
  <c r="BH38"/>
  <c r="AT38"/>
  <c r="BB40"/>
  <c r="BM40"/>
  <c r="BH40"/>
  <c r="Y46"/>
  <c r="AQ46"/>
  <c r="AA46"/>
  <c r="AD46" s="1"/>
  <c r="BB56"/>
  <c r="BM56"/>
  <c r="BH56"/>
  <c r="Y62"/>
  <c r="AQ62"/>
  <c r="AA62"/>
  <c r="AD62" s="1"/>
  <c r="Z23"/>
  <c r="AC83"/>
  <c r="AB83"/>
  <c r="AB12"/>
  <c r="AB15"/>
  <c r="AB22"/>
  <c r="AB31"/>
  <c r="AB73"/>
  <c r="AQ32"/>
  <c r="BH32" s="1"/>
  <c r="Y32"/>
  <c r="BM33"/>
  <c r="BH33"/>
  <c r="BM35"/>
  <c r="BH35"/>
  <c r="Y37"/>
  <c r="Y38"/>
  <c r="Y39"/>
  <c r="AQ39"/>
  <c r="Y42"/>
  <c r="AQ42"/>
  <c r="AA42"/>
  <c r="AD42" s="1"/>
  <c r="BB52"/>
  <c r="BM52"/>
  <c r="BH52"/>
  <c r="Y58"/>
  <c r="AQ58"/>
  <c r="AA58"/>
  <c r="AD58" s="1"/>
  <c r="Z19"/>
  <c r="AC69"/>
  <c r="AB69"/>
  <c r="AC80"/>
  <c r="AB80"/>
  <c r="AB5"/>
  <c r="AT5"/>
  <c r="BH6"/>
  <c r="AB19"/>
  <c r="BB43"/>
  <c r="BM43"/>
  <c r="BH43"/>
  <c r="BB47"/>
  <c r="BM47"/>
  <c r="BH47"/>
  <c r="BB51"/>
  <c r="BM51"/>
  <c r="BH51"/>
  <c r="BB55"/>
  <c r="BM55"/>
  <c r="BH55"/>
  <c r="BB59"/>
  <c r="BM59"/>
  <c r="BH59"/>
  <c r="AB90"/>
  <c r="AC90"/>
  <c r="AB108"/>
  <c r="AC108"/>
  <c r="AB114"/>
  <c r="AC114"/>
  <c r="Y121"/>
  <c r="Z82"/>
  <c r="AA10"/>
  <c r="AD10" s="1"/>
  <c r="AQ10"/>
  <c r="AT10" s="1"/>
  <c r="AA11"/>
  <c r="AD11" s="1"/>
  <c r="AQ11"/>
  <c r="AT11" s="1"/>
  <c r="AA12"/>
  <c r="AD12" s="1"/>
  <c r="AQ12"/>
  <c r="AT12" s="1"/>
  <c r="AA13"/>
  <c r="AD13" s="1"/>
  <c r="AQ13"/>
  <c r="AA14"/>
  <c r="AD14" s="1"/>
  <c r="AQ14"/>
  <c r="AT14" s="1"/>
  <c r="AA15"/>
  <c r="AD15" s="1"/>
  <c r="AQ15"/>
  <c r="AT15" s="1"/>
  <c r="AA16"/>
  <c r="AD16" s="1"/>
  <c r="AQ16"/>
  <c r="AT16" s="1"/>
  <c r="AA17"/>
  <c r="AD17" s="1"/>
  <c r="AQ17"/>
  <c r="AT17" s="1"/>
  <c r="AA18"/>
  <c r="AD18" s="1"/>
  <c r="AQ18"/>
  <c r="AT18" s="1"/>
  <c r="AA19"/>
  <c r="AD19" s="1"/>
  <c r="AQ19"/>
  <c r="AT19" s="1"/>
  <c r="AA20"/>
  <c r="AD20" s="1"/>
  <c r="AQ20"/>
  <c r="AA21"/>
  <c r="AD21" s="1"/>
  <c r="AQ21"/>
  <c r="AT21" s="1"/>
  <c r="AA22"/>
  <c r="AD22" s="1"/>
  <c r="AQ22"/>
  <c r="AT22" s="1"/>
  <c r="AA23"/>
  <c r="AD23" s="1"/>
  <c r="AQ23"/>
  <c r="AT23" s="1"/>
  <c r="AA24"/>
  <c r="AD24" s="1"/>
  <c r="AQ24"/>
  <c r="AT24" s="1"/>
  <c r="AA25"/>
  <c r="AD25" s="1"/>
  <c r="AQ25"/>
  <c r="AT25" s="1"/>
  <c r="AA26"/>
  <c r="AD26" s="1"/>
  <c r="AQ26"/>
  <c r="AT26" s="1"/>
  <c r="AC28"/>
  <c r="AC29"/>
  <c r="AA31"/>
  <c r="AD31" s="1"/>
  <c r="AQ31"/>
  <c r="AT31" s="1"/>
  <c r="Y34"/>
  <c r="BM36"/>
  <c r="AT42"/>
  <c r="AT46"/>
  <c r="AT50"/>
  <c r="AT54"/>
  <c r="AT58"/>
  <c r="BM89"/>
  <c r="BH89"/>
  <c r="BB89"/>
  <c r="Y104"/>
  <c r="AA104"/>
  <c r="AD104" s="1"/>
  <c r="Z65"/>
  <c r="AQ104"/>
  <c r="BM105"/>
  <c r="BH105"/>
  <c r="BB105"/>
  <c r="AQ112"/>
  <c r="AA112"/>
  <c r="AD112" s="1"/>
  <c r="Y112"/>
  <c r="Z73"/>
  <c r="AQ4"/>
  <c r="AQ8"/>
  <c r="BH9"/>
  <c r="BM9"/>
  <c r="Y27"/>
  <c r="AQ30"/>
  <c r="AA33"/>
  <c r="AD33" s="1"/>
  <c r="AA35"/>
  <c r="AD35" s="1"/>
  <c r="AB41"/>
  <c r="AB45"/>
  <c r="AB49"/>
  <c r="AB53"/>
  <c r="U54"/>
  <c r="AB57"/>
  <c r="AB61"/>
  <c r="AB68"/>
  <c r="AB72"/>
  <c r="AB82"/>
  <c r="U112"/>
  <c r="AE112" s="1"/>
  <c r="BO112" s="1"/>
  <c r="BM121"/>
  <c r="BH121"/>
  <c r="BB121"/>
  <c r="AQ129"/>
  <c r="Y129"/>
  <c r="Z90"/>
  <c r="AA28"/>
  <c r="AD28" s="1"/>
  <c r="AA29"/>
  <c r="AD29" s="1"/>
  <c r="AB40"/>
  <c r="AT40"/>
  <c r="AA41"/>
  <c r="AD41" s="1"/>
  <c r="AQ41"/>
  <c r="AB44"/>
  <c r="AT44"/>
  <c r="AA45"/>
  <c r="AD45" s="1"/>
  <c r="AQ45"/>
  <c r="AT45" s="1"/>
  <c r="AB48"/>
  <c r="AT48"/>
  <c r="AA49"/>
  <c r="AD49" s="1"/>
  <c r="AQ49"/>
  <c r="AB52"/>
  <c r="AT52"/>
  <c r="AA53"/>
  <c r="AD53" s="1"/>
  <c r="AQ53"/>
  <c r="AT53" s="1"/>
  <c r="AB56"/>
  <c r="AT56"/>
  <c r="AA57"/>
  <c r="AD57" s="1"/>
  <c r="AQ57"/>
  <c r="AB60"/>
  <c r="AT60"/>
  <c r="AA61"/>
  <c r="AD61" s="1"/>
  <c r="AQ61"/>
  <c r="AT61" s="1"/>
  <c r="AT62"/>
  <c r="AB65"/>
  <c r="AC89"/>
  <c r="Y95"/>
  <c r="Y99"/>
  <c r="AQ103"/>
  <c r="Y103"/>
  <c r="AQ114"/>
  <c r="AQ117"/>
  <c r="AT117" s="1"/>
  <c r="Y117"/>
  <c r="BB143"/>
  <c r="BM143"/>
  <c r="BH143"/>
  <c r="AA63"/>
  <c r="AD63" s="1"/>
  <c r="AQ63"/>
  <c r="AA64"/>
  <c r="AD64" s="1"/>
  <c r="AQ64"/>
  <c r="AA65"/>
  <c r="AD65" s="1"/>
  <c r="AQ65"/>
  <c r="AA66"/>
  <c r="AD66" s="1"/>
  <c r="AQ66"/>
  <c r="AA67"/>
  <c r="AD67" s="1"/>
  <c r="AQ67"/>
  <c r="AA68"/>
  <c r="AD68" s="1"/>
  <c r="AQ68"/>
  <c r="AA69"/>
  <c r="AD69" s="1"/>
  <c r="AQ69"/>
  <c r="AA70"/>
  <c r="AD70" s="1"/>
  <c r="AQ70"/>
  <c r="AA71"/>
  <c r="AD71" s="1"/>
  <c r="AQ71"/>
  <c r="AA72"/>
  <c r="AD72" s="1"/>
  <c r="AQ72"/>
  <c r="AA73"/>
  <c r="AD73" s="1"/>
  <c r="AQ73"/>
  <c r="AA74"/>
  <c r="AD74" s="1"/>
  <c r="AQ74"/>
  <c r="AA75"/>
  <c r="AD75" s="1"/>
  <c r="AQ75"/>
  <c r="AA76"/>
  <c r="AD76" s="1"/>
  <c r="AQ76"/>
  <c r="AA77"/>
  <c r="AD77" s="1"/>
  <c r="AQ77"/>
  <c r="AA78"/>
  <c r="AD78" s="1"/>
  <c r="AQ78"/>
  <c r="AA79"/>
  <c r="AD79" s="1"/>
  <c r="AQ79"/>
  <c r="AA80"/>
  <c r="AD80" s="1"/>
  <c r="AQ80"/>
  <c r="AA81"/>
  <c r="AD81" s="1"/>
  <c r="AQ81"/>
  <c r="AA82"/>
  <c r="AD82" s="1"/>
  <c r="AQ82"/>
  <c r="AA83"/>
  <c r="AD83" s="1"/>
  <c r="AQ83"/>
  <c r="AA84"/>
  <c r="AD84" s="1"/>
  <c r="AQ84"/>
  <c r="AA85"/>
  <c r="AD85" s="1"/>
  <c r="AQ85"/>
  <c r="AA86"/>
  <c r="AD86" s="1"/>
  <c r="AQ86"/>
  <c r="AA87"/>
  <c r="AD87" s="1"/>
  <c r="AQ87"/>
  <c r="AA88"/>
  <c r="AD88" s="1"/>
  <c r="AQ88"/>
  <c r="AT89"/>
  <c r="Y91"/>
  <c r="AT103"/>
  <c r="AQ92"/>
  <c r="AA92"/>
  <c r="AD92" s="1"/>
  <c r="AB93"/>
  <c r="AC93"/>
  <c r="AQ96"/>
  <c r="AA96"/>
  <c r="AD96" s="1"/>
  <c r="AB97"/>
  <c r="AC97"/>
  <c r="AQ100"/>
  <c r="AA100"/>
  <c r="AD100" s="1"/>
  <c r="AB101"/>
  <c r="AC101"/>
  <c r="Y106"/>
  <c r="BM107"/>
  <c r="AT107"/>
  <c r="BH107"/>
  <c r="BB107"/>
  <c r="Y111"/>
  <c r="BM118"/>
  <c r="AT118"/>
  <c r="BH118"/>
  <c r="BB118"/>
  <c r="BM120"/>
  <c r="AT120"/>
  <c r="BB123"/>
  <c r="BH123"/>
  <c r="BM123"/>
  <c r="AT123"/>
  <c r="BB130"/>
  <c r="BM130"/>
  <c r="BH130"/>
  <c r="AT130"/>
  <c r="BB141"/>
  <c r="BM141"/>
  <c r="BH141"/>
  <c r="AP53"/>
  <c r="AP80"/>
  <c r="AA89"/>
  <c r="AD89" s="1"/>
  <c r="BM90"/>
  <c r="AQ91"/>
  <c r="AQ95"/>
  <c r="Y96"/>
  <c r="AQ99"/>
  <c r="Y100"/>
  <c r="AQ106"/>
  <c r="AT106" s="1"/>
  <c r="AQ111"/>
  <c r="U99"/>
  <c r="AE99" s="1"/>
  <c r="BO99" s="1"/>
  <c r="Y105"/>
  <c r="BM113"/>
  <c r="BH113"/>
  <c r="BM116"/>
  <c r="AT116"/>
  <c r="BB139"/>
  <c r="BM139"/>
  <c r="BH139"/>
  <c r="AA90"/>
  <c r="AD90" s="1"/>
  <c r="AT90"/>
  <c r="AA91"/>
  <c r="AD91" s="1"/>
  <c r="AC92"/>
  <c r="BM93"/>
  <c r="AC107"/>
  <c r="BB120"/>
  <c r="AQ108"/>
  <c r="AA108"/>
  <c r="AD108" s="1"/>
  <c r="BM109"/>
  <c r="BH109"/>
  <c r="BB125"/>
  <c r="BM125"/>
  <c r="BH125"/>
  <c r="AT125"/>
  <c r="AQ131"/>
  <c r="AT131" s="1"/>
  <c r="BB137"/>
  <c r="BM137"/>
  <c r="AT137"/>
  <c r="BH137"/>
  <c r="BM145"/>
  <c r="BH145"/>
  <c r="AT145"/>
  <c r="BB145"/>
  <c r="Y94"/>
  <c r="Y98"/>
  <c r="Y102"/>
  <c r="AA107"/>
  <c r="AD107" s="1"/>
  <c r="BB109"/>
  <c r="AB110"/>
  <c r="AQ115"/>
  <c r="AQ119"/>
  <c r="AT129"/>
  <c r="AQ126"/>
  <c r="AA126"/>
  <c r="AD126" s="1"/>
  <c r="Y126"/>
  <c r="AB130"/>
  <c r="AC130"/>
  <c r="AQ136"/>
  <c r="Y136"/>
  <c r="BB140"/>
  <c r="BM140"/>
  <c r="BH140"/>
  <c r="BB142"/>
  <c r="BM142"/>
  <c r="BH142"/>
  <c r="BB97"/>
  <c r="AN101"/>
  <c r="BB101"/>
  <c r="BH103"/>
  <c r="AT104"/>
  <c r="AT105"/>
  <c r="AT113"/>
  <c r="AT139"/>
  <c r="AT141"/>
  <c r="AT143"/>
  <c r="BB128"/>
  <c r="BM128"/>
  <c r="BH128"/>
  <c r="AT128"/>
  <c r="AT121"/>
  <c r="AQ146"/>
  <c r="AA146"/>
  <c r="BM147"/>
  <c r="BH147"/>
  <c r="AT147"/>
  <c r="BB147"/>
  <c r="Y154"/>
  <c r="AA122"/>
  <c r="AD122" s="1"/>
  <c r="AQ122"/>
  <c r="AT122" s="1"/>
  <c r="Y123"/>
  <c r="AA139"/>
  <c r="AA140"/>
  <c r="AA141"/>
  <c r="AA142"/>
  <c r="AA143"/>
  <c r="AA144"/>
  <c r="AQ132"/>
  <c r="AT132" s="1"/>
  <c r="Y139"/>
  <c r="Y140"/>
  <c r="Y141"/>
  <c r="Y142"/>
  <c r="Y143"/>
  <c r="AQ144"/>
  <c r="Y144"/>
  <c r="AQ148"/>
  <c r="AT148" s="1"/>
  <c r="AA148"/>
  <c r="AB150"/>
  <c r="AC150"/>
  <c r="AQ152"/>
  <c r="Y152"/>
  <c r="BM154"/>
  <c r="BH154"/>
  <c r="AT154"/>
  <c r="BB154"/>
  <c r="Y157"/>
  <c r="AQ157"/>
  <c r="AC128"/>
  <c r="AQ134"/>
  <c r="Y155"/>
  <c r="AQ155"/>
  <c r="BH155" s="1"/>
  <c r="AQ160"/>
  <c r="BH160" s="1"/>
  <c r="Y160"/>
  <c r="BH124"/>
  <c r="Y132"/>
  <c r="BH133"/>
  <c r="AA138"/>
  <c r="AQ138"/>
  <c r="Y146"/>
  <c r="BH157"/>
  <c r="Y149"/>
  <c r="AQ149"/>
  <c r="BH149" s="1"/>
  <c r="AA149"/>
  <c r="AQ151"/>
  <c r="Y151"/>
  <c r="AQ153"/>
  <c r="AT153" s="1"/>
  <c r="Y153"/>
  <c r="Y156"/>
  <c r="AQ156"/>
  <c r="AT156" s="1"/>
  <c r="AQ159"/>
  <c r="AT159" s="1"/>
  <c r="Y159"/>
  <c r="AQ161"/>
  <c r="AT161" s="1"/>
  <c r="Y161"/>
  <c r="Y147"/>
  <c r="AQ150"/>
  <c r="BC151"/>
  <c r="BC153"/>
  <c r="BC156"/>
  <c r="AQ158"/>
  <c r="AT158" s="1"/>
  <c r="BC159"/>
  <c r="BC161"/>
  <c r="AP69" l="1"/>
  <c r="AP16"/>
  <c r="AN43"/>
  <c r="AN14"/>
  <c r="AN62"/>
  <c r="N13" i="3"/>
  <c r="V103" i="2"/>
  <c r="O18" i="3"/>
  <c r="N12"/>
  <c r="R15" i="7" s="1"/>
  <c r="AI33" i="8"/>
  <c r="AH35"/>
  <c r="AH36" s="1"/>
  <c r="N8" i="3"/>
  <c r="R16" i="7" s="1"/>
  <c r="Z16" s="1"/>
  <c r="AP58" i="2"/>
  <c r="AN106"/>
  <c r="AP31"/>
  <c r="AP95"/>
  <c r="AP44"/>
  <c r="AN49"/>
  <c r="U111"/>
  <c r="AE111" s="1"/>
  <c r="BO111" s="1"/>
  <c r="U95"/>
  <c r="AE95" s="1"/>
  <c r="BO95" s="1"/>
  <c r="AP76"/>
  <c r="AP60"/>
  <c r="AP47"/>
  <c r="AN47"/>
  <c r="U42"/>
  <c r="AE42" s="1"/>
  <c r="BO42" s="1"/>
  <c r="AP17"/>
  <c r="AN124"/>
  <c r="AP111"/>
  <c r="AP79"/>
  <c r="AP63"/>
  <c r="AN113"/>
  <c r="U58"/>
  <c r="AE58" s="1"/>
  <c r="BO58" s="1"/>
  <c r="AN42"/>
  <c r="AP113"/>
  <c r="AP65"/>
  <c r="AN77"/>
  <c r="U45"/>
  <c r="AE45" s="1"/>
  <c r="BO45" s="1"/>
  <c r="AP11"/>
  <c r="AP43"/>
  <c r="L98" i="3"/>
  <c r="L100" s="1"/>
  <c r="H113"/>
  <c r="H72"/>
  <c r="G61"/>
  <c r="J61" s="1"/>
  <c r="K61" s="1"/>
  <c r="AH112" i="2"/>
  <c r="AP25"/>
  <c r="AN18"/>
  <c r="AP12"/>
  <c r="U39"/>
  <c r="AE39" s="1"/>
  <c r="BO39" s="1"/>
  <c r="AN23"/>
  <c r="AN105"/>
  <c r="AP84"/>
  <c r="AP71"/>
  <c r="AN73"/>
  <c r="AN55"/>
  <c r="AN68"/>
  <c r="AN107"/>
  <c r="AP88"/>
  <c r="AP61"/>
  <c r="AP72"/>
  <c r="AP45"/>
  <c r="AN75"/>
  <c r="U38"/>
  <c r="AE38" s="1"/>
  <c r="BO38" s="1"/>
  <c r="AP22"/>
  <c r="AP13"/>
  <c r="AP91"/>
  <c r="AP59"/>
  <c r="U107"/>
  <c r="AE107" s="1"/>
  <c r="BO107" s="1"/>
  <c r="AN61"/>
  <c r="AE55"/>
  <c r="BO55" s="1"/>
  <c r="AH55"/>
  <c r="AP52"/>
  <c r="AP41"/>
  <c r="AN66"/>
  <c r="U105"/>
  <c r="AE105" s="1"/>
  <c r="BO105" s="1"/>
  <c r="AN39"/>
  <c r="AN50"/>
  <c r="AP87"/>
  <c r="AP66"/>
  <c r="AP55"/>
  <c r="U50"/>
  <c r="AH50" s="1"/>
  <c r="AP20"/>
  <c r="AP57"/>
  <c r="R17" i="7"/>
  <c r="R14"/>
  <c r="Z14" s="1"/>
  <c r="L25" i="3"/>
  <c r="N25" s="1"/>
  <c r="R19" i="7"/>
  <c r="AP24" i="2"/>
  <c r="R18" i="7"/>
  <c r="R9"/>
  <c r="R8"/>
  <c r="AI124" i="2"/>
  <c r="AL124" s="1"/>
  <c r="AP67"/>
  <c r="AP51"/>
  <c r="U46"/>
  <c r="AH46" s="1"/>
  <c r="U126"/>
  <c r="AE126" s="1"/>
  <c r="BO126" s="1"/>
  <c r="AF128"/>
  <c r="AN112"/>
  <c r="U62"/>
  <c r="AH62" s="1"/>
  <c r="AN21"/>
  <c r="AP128"/>
  <c r="AH124"/>
  <c r="AW124" s="1"/>
  <c r="AX124" s="1"/>
  <c r="AN83"/>
  <c r="AN48"/>
  <c r="AP5"/>
  <c r="AP37"/>
  <c r="AN19"/>
  <c r="AE124"/>
  <c r="AJ124"/>
  <c r="AK124"/>
  <c r="AE51"/>
  <c r="BO51" s="1"/>
  <c r="AH51"/>
  <c r="AE43"/>
  <c r="BO43" s="1"/>
  <c r="AH43"/>
  <c r="AE59"/>
  <c r="BO59" s="1"/>
  <c r="AH59"/>
  <c r="AG128"/>
  <c r="AJ128" s="1"/>
  <c r="AF124"/>
  <c r="BP124" s="1"/>
  <c r="AN91"/>
  <c r="AP64"/>
  <c r="AP56"/>
  <c r="U53"/>
  <c r="AE53" s="1"/>
  <c r="BO53" s="1"/>
  <c r="AN51"/>
  <c r="U37"/>
  <c r="AE37" s="1"/>
  <c r="BO37" s="1"/>
  <c r="AP38"/>
  <c r="AH128"/>
  <c r="AN59"/>
  <c r="V4"/>
  <c r="AN4" s="1"/>
  <c r="AN128"/>
  <c r="AN109"/>
  <c r="U109"/>
  <c r="AP109"/>
  <c r="J26" i="3"/>
  <c r="K24"/>
  <c r="V30" i="2"/>
  <c r="AB30" s="1"/>
  <c r="V34"/>
  <c r="AN34" s="1"/>
  <c r="V114"/>
  <c r="AP114" s="1"/>
  <c r="V118"/>
  <c r="U118" s="1"/>
  <c r="AE118" s="1"/>
  <c r="BO118" s="1"/>
  <c r="V130"/>
  <c r="U130" s="1"/>
  <c r="AE130" s="1"/>
  <c r="BO130" s="1"/>
  <c r="V134"/>
  <c r="AN134" s="1"/>
  <c r="V9"/>
  <c r="U9" s="1"/>
  <c r="AE9" s="1"/>
  <c r="BO9" s="1"/>
  <c r="V117"/>
  <c r="AN117" s="1"/>
  <c r="V121"/>
  <c r="U121" s="1"/>
  <c r="AE121" s="1"/>
  <c r="BO121" s="1"/>
  <c r="V125"/>
  <c r="AN125" s="1"/>
  <c r="V129"/>
  <c r="AC129" s="1"/>
  <c r="V133"/>
  <c r="V137"/>
  <c r="V8"/>
  <c r="U8" s="1"/>
  <c r="AE8" s="1"/>
  <c r="BO8" s="1"/>
  <c r="V32"/>
  <c r="U32" s="1"/>
  <c r="AE32" s="1"/>
  <c r="BO32" s="1"/>
  <c r="V36"/>
  <c r="U36" s="1"/>
  <c r="AE36" s="1"/>
  <c r="BO36" s="1"/>
  <c r="V116"/>
  <c r="V120"/>
  <c r="V132"/>
  <c r="U132" s="1"/>
  <c r="AE132" s="1"/>
  <c r="BO132" s="1"/>
  <c r="V136"/>
  <c r="AC136" s="1"/>
  <c r="V7"/>
  <c r="AN7" s="1"/>
  <c r="V27"/>
  <c r="U27" s="1"/>
  <c r="AE27" s="1"/>
  <c r="BO27" s="1"/>
  <c r="U103"/>
  <c r="AE103" s="1"/>
  <c r="BO103" s="1"/>
  <c r="V115"/>
  <c r="AC115" s="1"/>
  <c r="V119"/>
  <c r="AB119" s="1"/>
  <c r="V123"/>
  <c r="AB123" s="1"/>
  <c r="V127"/>
  <c r="V131"/>
  <c r="AB131" s="1"/>
  <c r="V135"/>
  <c r="V6"/>
  <c r="AC6" s="1"/>
  <c r="V138"/>
  <c r="AB138" s="1"/>
  <c r="V142"/>
  <c r="AB142" s="1"/>
  <c r="V141"/>
  <c r="AC141" s="1"/>
  <c r="V149"/>
  <c r="AN149" s="1"/>
  <c r="V140"/>
  <c r="AB140" s="1"/>
  <c r="V148"/>
  <c r="AD148" s="1"/>
  <c r="V139"/>
  <c r="AC139" s="1"/>
  <c r="V150"/>
  <c r="U150" s="1"/>
  <c r="AE150" s="1"/>
  <c r="BO150" s="1"/>
  <c r="V154"/>
  <c r="AN154" s="1"/>
  <c r="V158"/>
  <c r="AC158" s="1"/>
  <c r="V153"/>
  <c r="AB153" s="1"/>
  <c r="V157"/>
  <c r="AB157" s="1"/>
  <c r="V161"/>
  <c r="AN161" s="1"/>
  <c r="V152"/>
  <c r="U152" s="1"/>
  <c r="AE152" s="1"/>
  <c r="BO152" s="1"/>
  <c r="V156"/>
  <c r="AN156" s="1"/>
  <c r="V160"/>
  <c r="U160" s="1"/>
  <c r="AE160" s="1"/>
  <c r="BO160" s="1"/>
  <c r="V151"/>
  <c r="AC151" s="1"/>
  <c r="V155"/>
  <c r="U155" s="1"/>
  <c r="AE155" s="1"/>
  <c r="BO155" s="1"/>
  <c r="V159"/>
  <c r="AB159" s="1"/>
  <c r="Z12" i="8"/>
  <c r="AN12" s="1"/>
  <c r="AO12" s="1"/>
  <c r="AO28"/>
  <c r="AO19"/>
  <c r="AI5" i="2"/>
  <c r="AL5" s="1"/>
  <c r="AE5"/>
  <c r="BO5" s="1"/>
  <c r="AI91"/>
  <c r="AL91" s="1"/>
  <c r="AE91"/>
  <c r="BO91" s="1"/>
  <c r="AH113"/>
  <c r="AE113"/>
  <c r="BO113" s="1"/>
  <c r="AI54"/>
  <c r="AL54" s="1"/>
  <c r="AE54"/>
  <c r="BO54" s="1"/>
  <c r="AH47"/>
  <c r="AE47"/>
  <c r="BO47" s="1"/>
  <c r="BJ128"/>
  <c r="AO7" i="8"/>
  <c r="Z15"/>
  <c r="AN15" s="1"/>
  <c r="AO15" s="1"/>
  <c r="AO17"/>
  <c r="AO3"/>
  <c r="AO20"/>
  <c r="AO21"/>
  <c r="AO24"/>
  <c r="AO4"/>
  <c r="AO5"/>
  <c r="AO23"/>
  <c r="AO32"/>
  <c r="AO25"/>
  <c r="AO11"/>
  <c r="AO31"/>
  <c r="AO8"/>
  <c r="AO27"/>
  <c r="Z9"/>
  <c r="AN9" s="1"/>
  <c r="AO9" s="1"/>
  <c r="Z16"/>
  <c r="AN16" s="1"/>
  <c r="AO16" s="1"/>
  <c r="AQ16" i="7"/>
  <c r="AZ16" s="1"/>
  <c r="AV16"/>
  <c r="AM28" a="1"/>
  <c r="AM28" s="1"/>
  <c r="AM30" a="1"/>
  <c r="AM30" s="1"/>
  <c r="AZ17"/>
  <c r="AZ15"/>
  <c r="AZ11"/>
  <c r="AZ18"/>
  <c r="AZ14"/>
  <c r="T28" a="1"/>
  <c r="T28" s="1"/>
  <c r="T31" a="1"/>
  <c r="T31" s="1"/>
  <c r="T29" a="1"/>
  <c r="T29" s="1"/>
  <c r="T32" a="1"/>
  <c r="T32" s="1"/>
  <c r="T30" a="1"/>
  <c r="T30" s="1"/>
  <c r="U32" a="1"/>
  <c r="U32" s="1"/>
  <c r="U30" a="1"/>
  <c r="U30" s="1"/>
  <c r="U28" a="1"/>
  <c r="U28" s="1"/>
  <c r="U31" a="1"/>
  <c r="U31" s="1"/>
  <c r="U29" a="1"/>
  <c r="U29" s="1"/>
  <c r="AZ4"/>
  <c r="AQ6"/>
  <c r="AM32" a="1"/>
  <c r="AM32" s="1"/>
  <c r="AV13"/>
  <c r="AQ13"/>
  <c r="AV11"/>
  <c r="AQ8"/>
  <c r="AV8"/>
  <c r="AV19"/>
  <c r="AQ19"/>
  <c r="AV15"/>
  <c r="AV6"/>
  <c r="S32" a="1"/>
  <c r="S32" s="1"/>
  <c r="S30" a="1"/>
  <c r="S30" s="1"/>
  <c r="S28" a="1"/>
  <c r="S28" s="1"/>
  <c r="S31" a="1"/>
  <c r="S31" s="1"/>
  <c r="S29" a="1"/>
  <c r="S29" s="1"/>
  <c r="AV5"/>
  <c r="AQ5"/>
  <c r="V28" a="1"/>
  <c r="V28" s="1"/>
  <c r="V31" a="1"/>
  <c r="V31" s="1"/>
  <c r="V29" a="1"/>
  <c r="V29" s="1"/>
  <c r="V32" a="1"/>
  <c r="V32" s="1"/>
  <c r="V30" a="1"/>
  <c r="V30" s="1"/>
  <c r="AM31" a="1"/>
  <c r="AM31" s="1"/>
  <c r="AV17"/>
  <c r="W32" a="1"/>
  <c r="W32" s="1"/>
  <c r="W30" a="1"/>
  <c r="W30" s="1"/>
  <c r="W28" a="1"/>
  <c r="W28" s="1"/>
  <c r="W31" a="1"/>
  <c r="W31" s="1"/>
  <c r="W29" a="1"/>
  <c r="W29" s="1"/>
  <c r="AV10"/>
  <c r="AQ10"/>
  <c r="AV12"/>
  <c r="AQ12"/>
  <c r="AZ7"/>
  <c r="AM29" a="1"/>
  <c r="AM29" s="1"/>
  <c r="BC167" i="2" a="1"/>
  <c r="BC167" s="1"/>
  <c r="Y165" a="1"/>
  <c r="Y165" s="1"/>
  <c r="AH54"/>
  <c r="AF111"/>
  <c r="AG111"/>
  <c r="AH111"/>
  <c r="AI111"/>
  <c r="AL111" s="1"/>
  <c r="BM150"/>
  <c r="BH150"/>
  <c r="BB150"/>
  <c r="BM151"/>
  <c r="BB151"/>
  <c r="BB138"/>
  <c r="BM138"/>
  <c r="BH138"/>
  <c r="BM146"/>
  <c r="BH146"/>
  <c r="AT146"/>
  <c r="BB146"/>
  <c r="U102"/>
  <c r="AE102" s="1"/>
  <c r="BO102" s="1"/>
  <c r="AP102"/>
  <c r="BM119"/>
  <c r="BH119"/>
  <c r="BB119"/>
  <c r="BM115"/>
  <c r="BH115"/>
  <c r="BB115"/>
  <c r="AN110"/>
  <c r="AP110"/>
  <c r="AF99"/>
  <c r="AG99"/>
  <c r="AH99"/>
  <c r="BM96"/>
  <c r="AT96"/>
  <c r="BH96"/>
  <c r="BB96"/>
  <c r="BM88"/>
  <c r="BB88"/>
  <c r="BH88"/>
  <c r="BB87"/>
  <c r="BM87"/>
  <c r="BH87"/>
  <c r="BB86"/>
  <c r="BM86"/>
  <c r="BH86"/>
  <c r="BB85"/>
  <c r="BM85"/>
  <c r="BH85"/>
  <c r="BB84"/>
  <c r="BM84"/>
  <c r="BH84"/>
  <c r="BB83"/>
  <c r="BM83"/>
  <c r="BH83"/>
  <c r="BB82"/>
  <c r="BM82"/>
  <c r="BH82"/>
  <c r="BB81"/>
  <c r="BM81"/>
  <c r="BH81"/>
  <c r="BB80"/>
  <c r="BM80"/>
  <c r="BH80"/>
  <c r="BB79"/>
  <c r="BM79"/>
  <c r="BH79"/>
  <c r="BB78"/>
  <c r="BM78"/>
  <c r="BH78"/>
  <c r="BB77"/>
  <c r="BM77"/>
  <c r="BH77"/>
  <c r="BB76"/>
  <c r="BM76"/>
  <c r="BH76"/>
  <c r="BB75"/>
  <c r="BM75"/>
  <c r="BH75"/>
  <c r="BB74"/>
  <c r="BM74"/>
  <c r="BH74"/>
  <c r="BB73"/>
  <c r="BM73"/>
  <c r="BH73"/>
  <c r="BB72"/>
  <c r="BM72"/>
  <c r="BH72"/>
  <c r="BB71"/>
  <c r="BM71"/>
  <c r="BH71"/>
  <c r="BB70"/>
  <c r="BM70"/>
  <c r="BH70"/>
  <c r="BB69"/>
  <c r="BM69"/>
  <c r="BH69"/>
  <c r="BB68"/>
  <c r="BM68"/>
  <c r="BH68"/>
  <c r="BB67"/>
  <c r="BM67"/>
  <c r="BH67"/>
  <c r="BB66"/>
  <c r="BM66"/>
  <c r="BH66"/>
  <c r="BB65"/>
  <c r="BM65"/>
  <c r="BH65"/>
  <c r="BB64"/>
  <c r="BM64"/>
  <c r="BH64"/>
  <c r="BB63"/>
  <c r="BM63"/>
  <c r="BH63"/>
  <c r="AG66"/>
  <c r="AF66"/>
  <c r="AG61"/>
  <c r="AF61"/>
  <c r="BB49"/>
  <c r="BM49"/>
  <c r="BH49"/>
  <c r="BM4"/>
  <c r="BB4"/>
  <c r="AN104"/>
  <c r="U104"/>
  <c r="AE104" s="1"/>
  <c r="BO104" s="1"/>
  <c r="AB104"/>
  <c r="AC104"/>
  <c r="U26"/>
  <c r="AE26" s="1"/>
  <c r="BO26" s="1"/>
  <c r="AN26"/>
  <c r="U15"/>
  <c r="AE15" s="1"/>
  <c r="BO15" s="1"/>
  <c r="AN15"/>
  <c r="U10"/>
  <c r="AE10" s="1"/>
  <c r="BO10" s="1"/>
  <c r="AN10"/>
  <c r="AB39"/>
  <c r="AC39"/>
  <c r="AB37"/>
  <c r="AC37"/>
  <c r="AC62"/>
  <c r="AB62"/>
  <c r="AC46"/>
  <c r="AB46"/>
  <c r="BB50"/>
  <c r="BM50"/>
  <c r="BH50"/>
  <c r="AD5"/>
  <c r="BM7"/>
  <c r="AT7"/>
  <c r="BH7"/>
  <c r="BB7"/>
  <c r="BH159"/>
  <c r="BH151"/>
  <c r="AN126"/>
  <c r="AN102"/>
  <c r="U106"/>
  <c r="AE106" s="1"/>
  <c r="BO106" s="1"/>
  <c r="AI99"/>
  <c r="AL99" s="1"/>
  <c r="U84"/>
  <c r="AE84" s="1"/>
  <c r="BO84" s="1"/>
  <c r="U80"/>
  <c r="AE80" s="1"/>
  <c r="BO80" s="1"/>
  <c r="AT75"/>
  <c r="BC166" a="1"/>
  <c r="BC166" s="1"/>
  <c r="AT71"/>
  <c r="AH66"/>
  <c r="U85"/>
  <c r="AE85" s="1"/>
  <c r="BO85" s="1"/>
  <c r="U14"/>
  <c r="AE14" s="1"/>
  <c r="BO14" s="1"/>
  <c r="BH4"/>
  <c r="AP40"/>
  <c r="U29"/>
  <c r="AE29" s="1"/>
  <c r="BO29" s="1"/>
  <c r="AP10"/>
  <c r="AN46"/>
  <c r="Y167" a="1"/>
  <c r="Y167" s="1"/>
  <c r="AT73"/>
  <c r="AH61"/>
  <c r="AH45"/>
  <c r="AT84"/>
  <c r="U64"/>
  <c r="AE64" s="1"/>
  <c r="BO64" s="1"/>
  <c r="U21"/>
  <c r="AE21" s="1"/>
  <c r="BO21" s="1"/>
  <c r="BM153"/>
  <c r="BB153"/>
  <c r="BM160"/>
  <c r="BB160"/>
  <c r="AT160"/>
  <c r="BM152"/>
  <c r="BB152"/>
  <c r="AT152"/>
  <c r="AG110"/>
  <c r="AF110"/>
  <c r="AI110"/>
  <c r="AL110" s="1"/>
  <c r="U98"/>
  <c r="AE98" s="1"/>
  <c r="BO98" s="1"/>
  <c r="AP98"/>
  <c r="BB131"/>
  <c r="BM131"/>
  <c r="BH131"/>
  <c r="AP96"/>
  <c r="U96"/>
  <c r="AE96" s="1"/>
  <c r="BO96" s="1"/>
  <c r="BM99"/>
  <c r="AT99"/>
  <c r="BB99"/>
  <c r="BH99"/>
  <c r="BM95"/>
  <c r="AT95"/>
  <c r="BB95"/>
  <c r="BH95"/>
  <c r="BM91"/>
  <c r="AT91"/>
  <c r="BH91"/>
  <c r="BB91"/>
  <c r="AP90"/>
  <c r="U90"/>
  <c r="AE90" s="1"/>
  <c r="BO90" s="1"/>
  <c r="AC106"/>
  <c r="AB106"/>
  <c r="BM100"/>
  <c r="AT100"/>
  <c r="BH100"/>
  <c r="BB100"/>
  <c r="AG113"/>
  <c r="AI113"/>
  <c r="AL113" s="1"/>
  <c r="AF113"/>
  <c r="BP113" s="1"/>
  <c r="AB99"/>
  <c r="AC99"/>
  <c r="BB53"/>
  <c r="BM53"/>
  <c r="BH53"/>
  <c r="AG54"/>
  <c r="AF54"/>
  <c r="BP54" s="1"/>
  <c r="BM30"/>
  <c r="BB30"/>
  <c r="BM8"/>
  <c r="BH8"/>
  <c r="BB8"/>
  <c r="W167" a="1"/>
  <c r="W167" s="1"/>
  <c r="W166" a="1"/>
  <c r="W166" s="1"/>
  <c r="W165" a="1"/>
  <c r="W165" s="1"/>
  <c r="W164" a="1"/>
  <c r="W164" s="1"/>
  <c r="AN5"/>
  <c r="AC58"/>
  <c r="AB58"/>
  <c r="AC42"/>
  <c r="AB42"/>
  <c r="BB39"/>
  <c r="BM39"/>
  <c r="BH39"/>
  <c r="BM32"/>
  <c r="BB32"/>
  <c r="AT32"/>
  <c r="BB62"/>
  <c r="BM62"/>
  <c r="BH62"/>
  <c r="BB46"/>
  <c r="BM46"/>
  <c r="BH46"/>
  <c r="AT138"/>
  <c r="U123"/>
  <c r="AE123" s="1"/>
  <c r="BO123" s="1"/>
  <c r="AT80"/>
  <c r="U63"/>
  <c r="AE63" s="1"/>
  <c r="BO63" s="1"/>
  <c r="U49"/>
  <c r="AE49" s="1"/>
  <c r="BO49" s="1"/>
  <c r="AT86"/>
  <c r="U76"/>
  <c r="AE76" s="1"/>
  <c r="BO76" s="1"/>
  <c r="AT72"/>
  <c r="AT68"/>
  <c r="BC165" a="1"/>
  <c r="BC165" s="1"/>
  <c r="AT85"/>
  <c r="AT78"/>
  <c r="U72"/>
  <c r="AE72" s="1"/>
  <c r="BO72" s="1"/>
  <c r="AT67"/>
  <c r="U20"/>
  <c r="AE20" s="1"/>
  <c r="BO20" s="1"/>
  <c r="U11"/>
  <c r="AE11" s="1"/>
  <c r="BO11" s="1"/>
  <c r="AT88"/>
  <c r="AT66"/>
  <c r="AT4"/>
  <c r="AN28"/>
  <c r="Y166" a="1"/>
  <c r="Y166" s="1"/>
  <c r="AT63"/>
  <c r="U71"/>
  <c r="AE71" s="1"/>
  <c r="BO71" s="1"/>
  <c r="AT8"/>
  <c r="U159"/>
  <c r="AE159" s="1"/>
  <c r="BO159" s="1"/>
  <c r="BM161"/>
  <c r="BB161"/>
  <c r="AB156"/>
  <c r="BB149"/>
  <c r="BM149"/>
  <c r="AT149"/>
  <c r="BH134"/>
  <c r="BB134"/>
  <c r="BM134"/>
  <c r="AT134"/>
  <c r="BH144"/>
  <c r="BB144"/>
  <c r="AT144"/>
  <c r="BM144"/>
  <c r="BM132"/>
  <c r="BH132"/>
  <c r="BB132"/>
  <c r="U94"/>
  <c r="AE94" s="1"/>
  <c r="BO94" s="1"/>
  <c r="AP94"/>
  <c r="BM136"/>
  <c r="AT136"/>
  <c r="BB136"/>
  <c r="BH136"/>
  <c r="BB126"/>
  <c r="BH126"/>
  <c r="BM126"/>
  <c r="AT126"/>
  <c r="AP101"/>
  <c r="U101"/>
  <c r="AE101" s="1"/>
  <c r="BO101" s="1"/>
  <c r="AP97"/>
  <c r="U97"/>
  <c r="AE97" s="1"/>
  <c r="BO97" s="1"/>
  <c r="AP93"/>
  <c r="U93"/>
  <c r="AE93" s="1"/>
  <c r="BO93" s="1"/>
  <c r="AP108"/>
  <c r="U108"/>
  <c r="AE108" s="1"/>
  <c r="BO108" s="1"/>
  <c r="AN108"/>
  <c r="AF91"/>
  <c r="BP91" s="1"/>
  <c r="AH91"/>
  <c r="AG91"/>
  <c r="BH111"/>
  <c r="BM111"/>
  <c r="BB111"/>
  <c r="AT111"/>
  <c r="BB106"/>
  <c r="BM106"/>
  <c r="BH106"/>
  <c r="AB100"/>
  <c r="AC100"/>
  <c r="AB96"/>
  <c r="AC96"/>
  <c r="AP92"/>
  <c r="U92"/>
  <c r="AE92" s="1"/>
  <c r="BO92" s="1"/>
  <c r="AN89"/>
  <c r="U89"/>
  <c r="AE89" s="1"/>
  <c r="BO89" s="1"/>
  <c r="AB91"/>
  <c r="AC91"/>
  <c r="BM117"/>
  <c r="BH117"/>
  <c r="BB117"/>
  <c r="BH114"/>
  <c r="BB114"/>
  <c r="BM114"/>
  <c r="AT114"/>
  <c r="BM103"/>
  <c r="BB103"/>
  <c r="AB95"/>
  <c r="AC95"/>
  <c r="BB57"/>
  <c r="BM57"/>
  <c r="BH57"/>
  <c r="BB41"/>
  <c r="BM41"/>
  <c r="BH41"/>
  <c r="AG5"/>
  <c r="AF5"/>
  <c r="BP5" s="1"/>
  <c r="AF112"/>
  <c r="AG112"/>
  <c r="AN35"/>
  <c r="U35"/>
  <c r="AE35" s="1"/>
  <c r="BO35" s="1"/>
  <c r="AB9"/>
  <c r="BM112"/>
  <c r="BH112"/>
  <c r="BB112"/>
  <c r="AG59"/>
  <c r="AF59"/>
  <c r="BP59" s="1"/>
  <c r="AI59"/>
  <c r="AL59" s="1"/>
  <c r="AG55"/>
  <c r="AF55"/>
  <c r="BP55" s="1"/>
  <c r="AI55"/>
  <c r="AL55" s="1"/>
  <c r="AG51"/>
  <c r="AF51"/>
  <c r="BP51" s="1"/>
  <c r="AI51"/>
  <c r="AL51" s="1"/>
  <c r="AG47"/>
  <c r="AF47"/>
  <c r="BP47" s="1"/>
  <c r="AI47"/>
  <c r="AL47" s="1"/>
  <c r="AG43"/>
  <c r="AF43"/>
  <c r="BP43" s="1"/>
  <c r="AI43"/>
  <c r="AL43" s="1"/>
  <c r="BB31"/>
  <c r="BM31"/>
  <c r="BH31"/>
  <c r="BB58"/>
  <c r="BM58"/>
  <c r="BH58"/>
  <c r="BB42"/>
  <c r="BM42"/>
  <c r="BH42"/>
  <c r="AB38"/>
  <c r="AC38"/>
  <c r="X165" a="1"/>
  <c r="X165" s="1"/>
  <c r="X164" a="1"/>
  <c r="X164" s="1"/>
  <c r="X167" a="1"/>
  <c r="X167" s="1"/>
  <c r="X166" a="1"/>
  <c r="X166" s="1"/>
  <c r="AQ167" a="1"/>
  <c r="AQ167" s="1"/>
  <c r="AQ166" a="1"/>
  <c r="AQ166" s="1"/>
  <c r="AQ165" a="1"/>
  <c r="AQ165" s="1"/>
  <c r="AQ164" a="1"/>
  <c r="AQ164" s="1"/>
  <c r="BB5"/>
  <c r="BM5"/>
  <c r="BH5"/>
  <c r="AC54"/>
  <c r="AB54"/>
  <c r="BH161"/>
  <c r="U122"/>
  <c r="AE122" s="1"/>
  <c r="BO122" s="1"/>
  <c r="AN98"/>
  <c r="AN93"/>
  <c r="AN99"/>
  <c r="AP85"/>
  <c r="AP81"/>
  <c r="AH110"/>
  <c r="AT87"/>
  <c r="U81"/>
  <c r="AE81" s="1"/>
  <c r="BO81" s="1"/>
  <c r="AT76"/>
  <c r="AT69"/>
  <c r="AI61"/>
  <c r="AL61" s="1"/>
  <c r="U87"/>
  <c r="AE87" s="1"/>
  <c r="BO87" s="1"/>
  <c r="AT82"/>
  <c r="U73"/>
  <c r="AE73" s="1"/>
  <c r="BO73" s="1"/>
  <c r="U69"/>
  <c r="AE69" s="1"/>
  <c r="BO69" s="1"/>
  <c r="AT57"/>
  <c r="AT49"/>
  <c r="AT41"/>
  <c r="BC164" a="1"/>
  <c r="BC164" s="1"/>
  <c r="BC168" s="1"/>
  <c r="U86"/>
  <c r="AE86" s="1"/>
  <c r="BO86" s="1"/>
  <c r="U79"/>
  <c r="AE79" s="1"/>
  <c r="BO79" s="1"/>
  <c r="AT74"/>
  <c r="U68"/>
  <c r="AE68" s="1"/>
  <c r="BO68" s="1"/>
  <c r="AT64"/>
  <c r="AT77"/>
  <c r="U52"/>
  <c r="AE52" s="1"/>
  <c r="BO52" s="1"/>
  <c r="U17"/>
  <c r="AE17" s="1"/>
  <c r="BO17" s="1"/>
  <c r="U40"/>
  <c r="AE40" s="1"/>
  <c r="BO40" s="1"/>
  <c r="AP26"/>
  <c r="U16"/>
  <c r="AE16" s="1"/>
  <c r="BO16" s="1"/>
  <c r="U28"/>
  <c r="AE28" s="1"/>
  <c r="BO28" s="1"/>
  <c r="AT81"/>
  <c r="U67"/>
  <c r="AE67" s="1"/>
  <c r="BO67" s="1"/>
  <c r="U31"/>
  <c r="AE31" s="1"/>
  <c r="BO31" s="1"/>
  <c r="U25"/>
  <c r="AE25" s="1"/>
  <c r="BO25" s="1"/>
  <c r="U12"/>
  <c r="AE12" s="1"/>
  <c r="BO12" s="1"/>
  <c r="U74"/>
  <c r="AE74" s="1"/>
  <c r="BO74" s="1"/>
  <c r="U48"/>
  <c r="AE48" s="1"/>
  <c r="BO48" s="1"/>
  <c r="U18"/>
  <c r="AE18" s="1"/>
  <c r="BO18" s="1"/>
  <c r="AP29"/>
  <c r="BM158"/>
  <c r="BH158"/>
  <c r="BB158"/>
  <c r="BM159"/>
  <c r="BB159"/>
  <c r="AC153"/>
  <c r="U153"/>
  <c r="AE153" s="1"/>
  <c r="BO153" s="1"/>
  <c r="BB156"/>
  <c r="BM156"/>
  <c r="BB155"/>
  <c r="BM155"/>
  <c r="AT155"/>
  <c r="BB157"/>
  <c r="BM157"/>
  <c r="AT157"/>
  <c r="BM148"/>
  <c r="BH148"/>
  <c r="BB148"/>
  <c r="BB122"/>
  <c r="BM122"/>
  <c r="BH122"/>
  <c r="AO128"/>
  <c r="AB126"/>
  <c r="AC126"/>
  <c r="AB102"/>
  <c r="AC102"/>
  <c r="AB98"/>
  <c r="AC98"/>
  <c r="AB94"/>
  <c r="AC94"/>
  <c r="BH108"/>
  <c r="BB108"/>
  <c r="BM108"/>
  <c r="AT108"/>
  <c r="AP100"/>
  <c r="U100"/>
  <c r="AE100" s="1"/>
  <c r="BO100" s="1"/>
  <c r="AB105"/>
  <c r="AC105"/>
  <c r="AB111"/>
  <c r="AC111"/>
  <c r="BH92"/>
  <c r="BB92"/>
  <c r="BM92"/>
  <c r="AT92"/>
  <c r="AB117"/>
  <c r="BB61"/>
  <c r="BM61"/>
  <c r="BH61"/>
  <c r="BB45"/>
  <c r="BM45"/>
  <c r="BH45"/>
  <c r="BM129"/>
  <c r="BH129"/>
  <c r="BB129"/>
  <c r="AN33"/>
  <c r="U33"/>
  <c r="AE33" s="1"/>
  <c r="BO33" s="1"/>
  <c r="AC112"/>
  <c r="AB112"/>
  <c r="BM104"/>
  <c r="BH104"/>
  <c r="BB104"/>
  <c r="BB26"/>
  <c r="BM26"/>
  <c r="BH26"/>
  <c r="BB25"/>
  <c r="BM25"/>
  <c r="BH25"/>
  <c r="BB24"/>
  <c r="BM24"/>
  <c r="BH24"/>
  <c r="BB23"/>
  <c r="BM23"/>
  <c r="BH23"/>
  <c r="BB22"/>
  <c r="BM22"/>
  <c r="BH22"/>
  <c r="BB21"/>
  <c r="BM21"/>
  <c r="BH21"/>
  <c r="BB20"/>
  <c r="BM20"/>
  <c r="BH20"/>
  <c r="BB19"/>
  <c r="BM19"/>
  <c r="BH19"/>
  <c r="BB18"/>
  <c r="BM18"/>
  <c r="BH18"/>
  <c r="BB17"/>
  <c r="BM17"/>
  <c r="BH17"/>
  <c r="BB16"/>
  <c r="BM16"/>
  <c r="BH16"/>
  <c r="BB15"/>
  <c r="BM15"/>
  <c r="BH15"/>
  <c r="BB14"/>
  <c r="BM14"/>
  <c r="BH14"/>
  <c r="BB13"/>
  <c r="BM13"/>
  <c r="BH13"/>
  <c r="BB12"/>
  <c r="BM12"/>
  <c r="BH12"/>
  <c r="BB11"/>
  <c r="BM11"/>
  <c r="BH11"/>
  <c r="BB10"/>
  <c r="BM10"/>
  <c r="BH10"/>
  <c r="AC50"/>
  <c r="AB50"/>
  <c r="BB54"/>
  <c r="BM54"/>
  <c r="BH54"/>
  <c r="BH153"/>
  <c r="BH156"/>
  <c r="AT150"/>
  <c r="BH152"/>
  <c r="AP122"/>
  <c r="AT151"/>
  <c r="AN97"/>
  <c r="AP89"/>
  <c r="AP86"/>
  <c r="AP82"/>
  <c r="AP78"/>
  <c r="AP74"/>
  <c r="AP70"/>
  <c r="AT119"/>
  <c r="AT115"/>
  <c r="AI66"/>
  <c r="AL66" s="1"/>
  <c r="U88"/>
  <c r="AE88" s="1"/>
  <c r="BO88" s="1"/>
  <c r="AT83"/>
  <c r="U77"/>
  <c r="AE77" s="1"/>
  <c r="BO77" s="1"/>
  <c r="U70"/>
  <c r="AE70" s="1"/>
  <c r="BO70" s="1"/>
  <c r="AT65"/>
  <c r="U57"/>
  <c r="AE57" s="1"/>
  <c r="BO57" s="1"/>
  <c r="U41"/>
  <c r="AE41" s="1"/>
  <c r="BO41" s="1"/>
  <c r="U83"/>
  <c r="AE83" s="1"/>
  <c r="BO83" s="1"/>
  <c r="AT79"/>
  <c r="AI112"/>
  <c r="AL112" s="1"/>
  <c r="U75"/>
  <c r="AE75" s="1"/>
  <c r="BO75" s="1"/>
  <c r="U65"/>
  <c r="AE65" s="1"/>
  <c r="BO65" s="1"/>
  <c r="AT30"/>
  <c r="AT13"/>
  <c r="U78"/>
  <c r="AE78" s="1"/>
  <c r="BO78" s="1"/>
  <c r="U56"/>
  <c r="AE56" s="1"/>
  <c r="BO56" s="1"/>
  <c r="AT39"/>
  <c r="BH30"/>
  <c r="U23"/>
  <c r="U13"/>
  <c r="AE13" s="1"/>
  <c r="BO13" s="1"/>
  <c r="Y164" a="1"/>
  <c r="Y164" s="1"/>
  <c r="AT112"/>
  <c r="AT70"/>
  <c r="U60"/>
  <c r="AE60" s="1"/>
  <c r="BO60" s="1"/>
  <c r="U44"/>
  <c r="AE44" s="1"/>
  <c r="BO44" s="1"/>
  <c r="U22"/>
  <c r="AE22" s="1"/>
  <c r="BO22" s="1"/>
  <c r="U19"/>
  <c r="AH5"/>
  <c r="U82"/>
  <c r="U24"/>
  <c r="AE24" s="1"/>
  <c r="BO24" s="1"/>
  <c r="AT20"/>
  <c r="AP15"/>
  <c r="AN54"/>
  <c r="AG39" l="1"/>
  <c r="AJ39" s="1"/>
  <c r="AC138"/>
  <c r="AH39"/>
  <c r="AS39" s="1"/>
  <c r="AD140"/>
  <c r="AI39"/>
  <c r="AL39" s="1"/>
  <c r="AB32"/>
  <c r="AF39"/>
  <c r="AV39" s="1"/>
  <c r="AB151"/>
  <c r="AF132"/>
  <c r="BP132" s="1"/>
  <c r="BJ61"/>
  <c r="BP61"/>
  <c r="BJ99"/>
  <c r="BP99"/>
  <c r="BJ111"/>
  <c r="BP111"/>
  <c r="BJ110"/>
  <c r="BP110"/>
  <c r="BJ112"/>
  <c r="BP112"/>
  <c r="BJ66"/>
  <c r="BP66"/>
  <c r="AY128"/>
  <c r="BP128"/>
  <c r="AO124"/>
  <c r="BO124"/>
  <c r="AI35" i="8"/>
  <c r="AI36" s="1"/>
  <c r="AC9" i="2"/>
  <c r="AG42"/>
  <c r="AK42" s="1"/>
  <c r="AI45"/>
  <c r="AL45" s="1"/>
  <c r="AC32"/>
  <c r="AG105"/>
  <c r="AJ105" s="1"/>
  <c r="AN9"/>
  <c r="AG45"/>
  <c r="AN114"/>
  <c r="AH42"/>
  <c r="AD138"/>
  <c r="AF42"/>
  <c r="AC103"/>
  <c r="U140"/>
  <c r="AE140" s="1"/>
  <c r="BO140" s="1"/>
  <c r="AF45"/>
  <c r="BE45" s="1"/>
  <c r="AI42"/>
  <c r="AL42" s="1"/>
  <c r="AB103"/>
  <c r="BJ43"/>
  <c r="U129"/>
  <c r="AE129" s="1"/>
  <c r="BO129" s="1"/>
  <c r="AN132"/>
  <c r="AB129"/>
  <c r="AI105"/>
  <c r="AL105" s="1"/>
  <c r="AH53"/>
  <c r="AN118"/>
  <c r="AC36"/>
  <c r="AG53"/>
  <c r="AJ53" s="1"/>
  <c r="AS124"/>
  <c r="AC117"/>
  <c r="AF53"/>
  <c r="AY53" s="1"/>
  <c r="AB152"/>
  <c r="BF124"/>
  <c r="BG124" s="1"/>
  <c r="AI107"/>
  <c r="AL107" s="1"/>
  <c r="AZ124"/>
  <c r="BA124" s="1"/>
  <c r="AB155"/>
  <c r="BK124"/>
  <c r="BL124" s="1"/>
  <c r="AB6"/>
  <c r="AI95"/>
  <c r="AL95" s="1"/>
  <c r="AP149"/>
  <c r="AB8"/>
  <c r="AF37"/>
  <c r="AI58"/>
  <c r="AL58" s="1"/>
  <c r="AF95"/>
  <c r="AM95" s="1"/>
  <c r="AG58"/>
  <c r="AJ58" s="1"/>
  <c r="AG95"/>
  <c r="AF58"/>
  <c r="AH95"/>
  <c r="AH58"/>
  <c r="AC160"/>
  <c r="AV124"/>
  <c r="U7"/>
  <c r="AE7" s="1"/>
  <c r="BO7" s="1"/>
  <c r="AF50"/>
  <c r="BP50" s="1"/>
  <c r="BJ59"/>
  <c r="AN30"/>
  <c r="U158"/>
  <c r="AE158" s="1"/>
  <c r="BO158" s="1"/>
  <c r="AM124"/>
  <c r="AI37"/>
  <c r="AL37" s="1"/>
  <c r="AN8"/>
  <c r="AC125"/>
  <c r="AB34"/>
  <c r="AG38"/>
  <c r="AK38" s="1"/>
  <c r="AY124"/>
  <c r="U125"/>
  <c r="AE125" s="1"/>
  <c r="BO125" s="1"/>
  <c r="AC154"/>
  <c r="AD142"/>
  <c r="U34"/>
  <c r="AE34" s="1"/>
  <c r="BO34" s="1"/>
  <c r="BJ51"/>
  <c r="AF105"/>
  <c r="BE124"/>
  <c r="AN119"/>
  <c r="AI38"/>
  <c r="AL38" s="1"/>
  <c r="AI126"/>
  <c r="AL126" s="1"/>
  <c r="AF38"/>
  <c r="AG50"/>
  <c r="AK50" s="1"/>
  <c r="AV128"/>
  <c r="AC149"/>
  <c r="AC30"/>
  <c r="AB148"/>
  <c r="BJ55"/>
  <c r="AC132"/>
  <c r="AN32"/>
  <c r="U30"/>
  <c r="AE30" s="1"/>
  <c r="BO30" s="1"/>
  <c r="AC123"/>
  <c r="L99" i="3"/>
  <c r="L101" s="1"/>
  <c r="H114"/>
  <c r="AB158" i="2"/>
  <c r="BE128"/>
  <c r="AN158"/>
  <c r="AD141"/>
  <c r="U141"/>
  <c r="AE141" s="1"/>
  <c r="BO141" s="1"/>
  <c r="AH107"/>
  <c r="AC8"/>
  <c r="AC34"/>
  <c r="AB27"/>
  <c r="AM128"/>
  <c r="AG37"/>
  <c r="AK37" s="1"/>
  <c r="AC161"/>
  <c r="AC134"/>
  <c r="AB4"/>
  <c r="AF107"/>
  <c r="BE107" s="1"/>
  <c r="U134"/>
  <c r="AE134" s="1"/>
  <c r="BO134" s="1"/>
  <c r="AC27"/>
  <c r="AB125"/>
  <c r="AB161"/>
  <c r="AG107"/>
  <c r="AJ107" s="1"/>
  <c r="AB141"/>
  <c r="R11" i="7"/>
  <c r="Z11" s="1"/>
  <c r="H73" i="3"/>
  <c r="G62"/>
  <c r="J62" s="1"/>
  <c r="K62" s="1"/>
  <c r="U117" i="2"/>
  <c r="AE117" s="1"/>
  <c r="BO117" s="1"/>
  <c r="AH105"/>
  <c r="AS105" s="1"/>
  <c r="AF126"/>
  <c r="BE126" s="1"/>
  <c r="AH38"/>
  <c r="AN152"/>
  <c r="AP139"/>
  <c r="AN155"/>
  <c r="AN123"/>
  <c r="U149"/>
  <c r="U114"/>
  <c r="AE114" s="1"/>
  <c r="BO114" s="1"/>
  <c r="AB139"/>
  <c r="AH132"/>
  <c r="AE50"/>
  <c r="BO50" s="1"/>
  <c r="AD149"/>
  <c r="AC155"/>
  <c r="AD139"/>
  <c r="AN139"/>
  <c r="AC152"/>
  <c r="AB149"/>
  <c r="AN129"/>
  <c r="AB132"/>
  <c r="U139"/>
  <c r="AE139" s="1"/>
  <c r="BO139" s="1"/>
  <c r="AG132"/>
  <c r="AI50"/>
  <c r="AL50" s="1"/>
  <c r="BJ124"/>
  <c r="AF46"/>
  <c r="BP46" s="1"/>
  <c r="AG126"/>
  <c r="AK126" s="1"/>
  <c r="AP141"/>
  <c r="U151"/>
  <c r="AE151" s="1"/>
  <c r="BO151" s="1"/>
  <c r="AB134"/>
  <c r="AN27"/>
  <c r="U157"/>
  <c r="AE157" s="1"/>
  <c r="BO157" s="1"/>
  <c r="U161"/>
  <c r="AE161" s="1"/>
  <c r="BO161" s="1"/>
  <c r="AE46"/>
  <c r="AI53"/>
  <c r="AL53" s="1"/>
  <c r="AH11"/>
  <c r="AF62"/>
  <c r="BP62" s="1"/>
  <c r="AH126"/>
  <c r="AN141"/>
  <c r="AN151"/>
  <c r="AE62"/>
  <c r="R10" i="7"/>
  <c r="R6"/>
  <c r="Z6" s="1"/>
  <c r="R12"/>
  <c r="Z12" s="1"/>
  <c r="R13"/>
  <c r="Z13" s="1"/>
  <c r="R7"/>
  <c r="Z7" s="1"/>
  <c r="AW128" i="2"/>
  <c r="AX128" s="1"/>
  <c r="AB121"/>
  <c r="U142"/>
  <c r="AE142" s="1"/>
  <c r="BO142" s="1"/>
  <c r="AS128"/>
  <c r="AB160"/>
  <c r="AP130"/>
  <c r="AC148"/>
  <c r="AC121"/>
  <c r="AP142"/>
  <c r="AI62"/>
  <c r="AL62" s="1"/>
  <c r="AC142"/>
  <c r="U148"/>
  <c r="AE148" s="1"/>
  <c r="AN131"/>
  <c r="AN142"/>
  <c r="AN160"/>
  <c r="AI46"/>
  <c r="AL46" s="1"/>
  <c r="U154"/>
  <c r="AE154" s="1"/>
  <c r="AG46"/>
  <c r="AW46" s="1"/>
  <c r="AX46" s="1"/>
  <c r="AG62"/>
  <c r="AS62" s="1"/>
  <c r="BK128"/>
  <c r="BL128" s="1"/>
  <c r="AN157"/>
  <c r="AP140"/>
  <c r="AN153"/>
  <c r="AC159"/>
  <c r="AN103"/>
  <c r="AC140"/>
  <c r="AC157"/>
  <c r="AN138"/>
  <c r="AP150"/>
  <c r="U4"/>
  <c r="AE4" s="1"/>
  <c r="BO4" s="1"/>
  <c r="AK128"/>
  <c r="BF128"/>
  <c r="BG128" s="1"/>
  <c r="AP148"/>
  <c r="AB115"/>
  <c r="AN121"/>
  <c r="U131"/>
  <c r="AE131" s="1"/>
  <c r="BO131" s="1"/>
  <c r="AN130"/>
  <c r="AH37"/>
  <c r="AB154"/>
  <c r="AN140"/>
  <c r="AC131"/>
  <c r="AN136"/>
  <c r="AP138"/>
  <c r="AC4"/>
  <c r="AB36"/>
  <c r="AZ128"/>
  <c r="BA128" s="1"/>
  <c r="AN148"/>
  <c r="AG109"/>
  <c r="AE109"/>
  <c r="BO109" s="1"/>
  <c r="AI109"/>
  <c r="AL109" s="1"/>
  <c r="AF109"/>
  <c r="BP109" s="1"/>
  <c r="AH109"/>
  <c r="AS109" s="1"/>
  <c r="AH15"/>
  <c r="U136"/>
  <c r="AE136" s="1"/>
  <c r="BO136" s="1"/>
  <c r="AN150"/>
  <c r="AN159"/>
  <c r="AN36"/>
  <c r="AB136"/>
  <c r="U138"/>
  <c r="AE138" s="1"/>
  <c r="BO138" s="1"/>
  <c r="AC156"/>
  <c r="AH90"/>
  <c r="U156"/>
  <c r="AE156" s="1"/>
  <c r="BO156" s="1"/>
  <c r="J27" i="3"/>
  <c r="L27" s="1"/>
  <c r="N27" s="1"/>
  <c r="L26"/>
  <c r="N26" s="1"/>
  <c r="K25"/>
  <c r="M25" s="1"/>
  <c r="O25" s="1"/>
  <c r="M24"/>
  <c r="O24" s="1"/>
  <c r="AN115" i="2"/>
  <c r="U115"/>
  <c r="AC7"/>
  <c r="AB7"/>
  <c r="AC116"/>
  <c r="U116"/>
  <c r="AN116"/>
  <c r="AB116"/>
  <c r="U137"/>
  <c r="AB137"/>
  <c r="AC137"/>
  <c r="AN137"/>
  <c r="AB135"/>
  <c r="AN135"/>
  <c r="U135"/>
  <c r="AC135"/>
  <c r="AC119"/>
  <c r="U119"/>
  <c r="AC120"/>
  <c r="AN120"/>
  <c r="AB120"/>
  <c r="U120"/>
  <c r="U6"/>
  <c r="AN6"/>
  <c r="U127"/>
  <c r="AN127"/>
  <c r="AC127"/>
  <c r="AB127"/>
  <c r="U133"/>
  <c r="AN133"/>
  <c r="AC133"/>
  <c r="AB133"/>
  <c r="AC118"/>
  <c r="AB118"/>
  <c r="AK35" i="8"/>
  <c r="AK36" s="1"/>
  <c r="AH23" i="2"/>
  <c r="AE23"/>
  <c r="BO23" s="1"/>
  <c r="AH82"/>
  <c r="AE82"/>
  <c r="BO82" s="1"/>
  <c r="AH19"/>
  <c r="AE19"/>
  <c r="BO19" s="1"/>
  <c r="BJ47"/>
  <c r="BJ54"/>
  <c r="BJ113"/>
  <c r="BJ5"/>
  <c r="BJ91"/>
  <c r="AV28" i="7" a="1"/>
  <c r="AV28" s="1"/>
  <c r="D12" i="6" s="1"/>
  <c r="D42" s="1"/>
  <c r="D69" s="1"/>
  <c r="D98" s="1"/>
  <c r="AQ31" i="7" a="1"/>
  <c r="AQ31" s="1"/>
  <c r="AO31" s="1"/>
  <c r="E45" i="6" s="1"/>
  <c r="E72" s="1"/>
  <c r="E101" s="1"/>
  <c r="AV32" i="7" a="1"/>
  <c r="AV32" s="1"/>
  <c r="D16" i="6" s="1"/>
  <c r="D46" s="1"/>
  <c r="D73" s="1"/>
  <c r="D102" s="1"/>
  <c r="W34" i="7"/>
  <c r="AZ19"/>
  <c r="AZ13"/>
  <c r="AV31" a="1"/>
  <c r="AV31" s="1"/>
  <c r="D15" i="6" s="1"/>
  <c r="D45" s="1"/>
  <c r="D72" s="1"/>
  <c r="D101" s="1"/>
  <c r="V34" i="7"/>
  <c r="AQ30" a="1"/>
  <c r="AQ30" s="1"/>
  <c r="AO30" s="1"/>
  <c r="E44" i="6" s="1"/>
  <c r="E71" s="1"/>
  <c r="E100" s="1"/>
  <c r="AZ12" i="7"/>
  <c r="AZ6"/>
  <c r="AV29" a="1"/>
  <c r="AV29" s="1"/>
  <c r="D13" i="6" s="1"/>
  <c r="D43" s="1"/>
  <c r="D70" s="1"/>
  <c r="D99" s="1"/>
  <c r="AQ28" i="7" a="1"/>
  <c r="AQ28" s="1"/>
  <c r="AM34"/>
  <c r="AZ10"/>
  <c r="AZ8"/>
  <c r="U34"/>
  <c r="AV30" a="1"/>
  <c r="AV30" s="1"/>
  <c r="D14" i="6" s="1"/>
  <c r="D44" s="1"/>
  <c r="D71" s="1"/>
  <c r="D100" s="1"/>
  <c r="S34" i="7"/>
  <c r="T34"/>
  <c r="AZ5"/>
  <c r="AQ29" a="1"/>
  <c r="AQ29" s="1"/>
  <c r="AO29" s="1"/>
  <c r="E43" i="6" s="1"/>
  <c r="E70" s="1"/>
  <c r="E99" s="1"/>
  <c r="AQ32" i="7" a="1"/>
  <c r="AQ32" s="1"/>
  <c r="AO32" s="1"/>
  <c r="E46" i="6" s="1"/>
  <c r="E73" s="1"/>
  <c r="E102" s="1"/>
  <c r="X168" i="2"/>
  <c r="AT166" a="1"/>
  <c r="AT166" s="1"/>
  <c r="AR166" s="1"/>
  <c r="W168"/>
  <c r="BH167" a="1"/>
  <c r="BH167" s="1"/>
  <c r="BH166" a="1"/>
  <c r="BH166" s="1"/>
  <c r="BH165" a="1"/>
  <c r="BH165" s="1"/>
  <c r="BH164" a="1"/>
  <c r="BH164" s="1"/>
  <c r="AO37"/>
  <c r="AV37"/>
  <c r="AO53"/>
  <c r="BK91"/>
  <c r="BL91" s="1"/>
  <c r="BF91"/>
  <c r="BG91" s="1"/>
  <c r="AW91"/>
  <c r="AX91" s="1"/>
  <c r="AJ91"/>
  <c r="AZ91"/>
  <c r="BA91" s="1"/>
  <c r="AK91"/>
  <c r="AS91"/>
  <c r="AG159"/>
  <c r="AF159"/>
  <c r="AH159"/>
  <c r="AG11"/>
  <c r="AF11"/>
  <c r="AI11"/>
  <c r="AL11" s="1"/>
  <c r="AG36"/>
  <c r="AF36"/>
  <c r="AH36"/>
  <c r="AO54"/>
  <c r="AY54"/>
  <c r="BE54"/>
  <c r="AM54"/>
  <c r="AV54"/>
  <c r="AF90"/>
  <c r="AG90"/>
  <c r="AI90"/>
  <c r="AL90" s="1"/>
  <c r="AO95"/>
  <c r="AO110"/>
  <c r="BE110"/>
  <c r="AY110"/>
  <c r="AM110"/>
  <c r="AV110"/>
  <c r="AF125"/>
  <c r="AG21"/>
  <c r="AF21"/>
  <c r="AI21"/>
  <c r="AL21" s="1"/>
  <c r="AH21"/>
  <c r="AG84"/>
  <c r="AF84"/>
  <c r="AI84"/>
  <c r="AL84" s="1"/>
  <c r="AH84"/>
  <c r="AS45"/>
  <c r="AK45"/>
  <c r="BF45"/>
  <c r="BG45" s="1"/>
  <c r="AZ45"/>
  <c r="BA45" s="1"/>
  <c r="AJ45"/>
  <c r="BK45"/>
  <c r="BL45" s="1"/>
  <c r="AW45"/>
  <c r="AX45" s="1"/>
  <c r="AO66"/>
  <c r="AY66"/>
  <c r="BE66"/>
  <c r="AV66"/>
  <c r="AM66"/>
  <c r="AV132"/>
  <c r="AY132"/>
  <c r="BK111"/>
  <c r="BL111" s="1"/>
  <c r="BF111"/>
  <c r="BG111" s="1"/>
  <c r="AW111"/>
  <c r="AX111" s="1"/>
  <c r="AJ111"/>
  <c r="AS111"/>
  <c r="AZ111"/>
  <c r="BA111" s="1"/>
  <c r="AK111"/>
  <c r="AT165" a="1"/>
  <c r="AT165" s="1"/>
  <c r="AR165" s="1"/>
  <c r="AG83"/>
  <c r="AF83"/>
  <c r="AI83"/>
  <c r="AL83" s="1"/>
  <c r="AH83"/>
  <c r="AG70"/>
  <c r="AF70"/>
  <c r="AH70"/>
  <c r="AI70"/>
  <c r="AL70" s="1"/>
  <c r="AJ38"/>
  <c r="AO58"/>
  <c r="AF118"/>
  <c r="AG118"/>
  <c r="AH118"/>
  <c r="AF32"/>
  <c r="AG32"/>
  <c r="AH32"/>
  <c r="AG74"/>
  <c r="AF74"/>
  <c r="AH74"/>
  <c r="AI74"/>
  <c r="AL74" s="1"/>
  <c r="AG31"/>
  <c r="AF31"/>
  <c r="AI31"/>
  <c r="AL31" s="1"/>
  <c r="AH31"/>
  <c r="AF28"/>
  <c r="AG28"/>
  <c r="AH28"/>
  <c r="AI28"/>
  <c r="AL28" s="1"/>
  <c r="AG68"/>
  <c r="AF68"/>
  <c r="AI68"/>
  <c r="AL68" s="1"/>
  <c r="AH68"/>
  <c r="AG24"/>
  <c r="AF24"/>
  <c r="AI24"/>
  <c r="AL24" s="1"/>
  <c r="AH24"/>
  <c r="AG60"/>
  <c r="AF60"/>
  <c r="AI60"/>
  <c r="AL60" s="1"/>
  <c r="AH60"/>
  <c r="AG75"/>
  <c r="AF75"/>
  <c r="AI75"/>
  <c r="AL75" s="1"/>
  <c r="AH75"/>
  <c r="AG88"/>
  <c r="AF88"/>
  <c r="AH88"/>
  <c r="AI88"/>
  <c r="AL88" s="1"/>
  <c r="AO38"/>
  <c r="BE38"/>
  <c r="AG160"/>
  <c r="AF160"/>
  <c r="AH160"/>
  <c r="AG48"/>
  <c r="AF48"/>
  <c r="AI48"/>
  <c r="AL48" s="1"/>
  <c r="AH48"/>
  <c r="AG25"/>
  <c r="AF25"/>
  <c r="AH25"/>
  <c r="AI25"/>
  <c r="AL25" s="1"/>
  <c r="AG16"/>
  <c r="AF16"/>
  <c r="AI16"/>
  <c r="AL16" s="1"/>
  <c r="AH16"/>
  <c r="AG17"/>
  <c r="AF17"/>
  <c r="AI17"/>
  <c r="AL17" s="1"/>
  <c r="AH17"/>
  <c r="AG86"/>
  <c r="AF86"/>
  <c r="AI86"/>
  <c r="AL86" s="1"/>
  <c r="AH86"/>
  <c r="AG73"/>
  <c r="AF73"/>
  <c r="AI73"/>
  <c r="AL73" s="1"/>
  <c r="AS43"/>
  <c r="AK43"/>
  <c r="BK43"/>
  <c r="BL43" s="1"/>
  <c r="AW43"/>
  <c r="AX43" s="1"/>
  <c r="BF43"/>
  <c r="BG43" s="1"/>
  <c r="AZ43"/>
  <c r="BA43" s="1"/>
  <c r="AJ43"/>
  <c r="AS47"/>
  <c r="AK47"/>
  <c r="BK47"/>
  <c r="BL47" s="1"/>
  <c r="AW47"/>
  <c r="AX47" s="1"/>
  <c r="BF47"/>
  <c r="BG47" s="1"/>
  <c r="AZ47"/>
  <c r="BA47" s="1"/>
  <c r="AJ47"/>
  <c r="AS51"/>
  <c r="AK51"/>
  <c r="BK51"/>
  <c r="BL51" s="1"/>
  <c r="AW51"/>
  <c r="AX51" s="1"/>
  <c r="BF51"/>
  <c r="BG51" s="1"/>
  <c r="AZ51"/>
  <c r="BA51" s="1"/>
  <c r="AJ51"/>
  <c r="AS55"/>
  <c r="AK55"/>
  <c r="BK55"/>
  <c r="BL55" s="1"/>
  <c r="AW55"/>
  <c r="AX55" s="1"/>
  <c r="BF55"/>
  <c r="BG55" s="1"/>
  <c r="AZ55"/>
  <c r="BA55" s="1"/>
  <c r="AJ55"/>
  <c r="AS59"/>
  <c r="AK59"/>
  <c r="BK59"/>
  <c r="BL59" s="1"/>
  <c r="AW59"/>
  <c r="AX59" s="1"/>
  <c r="BF59"/>
  <c r="BG59" s="1"/>
  <c r="AZ59"/>
  <c r="BA59" s="1"/>
  <c r="AJ59"/>
  <c r="AZ112"/>
  <c r="BA112" s="1"/>
  <c r="BF112"/>
  <c r="BG112" s="1"/>
  <c r="AS112"/>
  <c r="AJ112"/>
  <c r="AW112"/>
  <c r="AX112" s="1"/>
  <c r="AK112"/>
  <c r="BK112"/>
  <c r="BL112" s="1"/>
  <c r="AS5"/>
  <c r="AK5"/>
  <c r="AJ5"/>
  <c r="BK5"/>
  <c r="AW5"/>
  <c r="BF5"/>
  <c r="AZ5"/>
  <c r="AF92"/>
  <c r="AG92"/>
  <c r="AH92"/>
  <c r="AI92"/>
  <c r="AL92" s="1"/>
  <c r="AF97"/>
  <c r="AG97"/>
  <c r="AI97"/>
  <c r="AL97" s="1"/>
  <c r="AH97"/>
  <c r="AG76"/>
  <c r="AF76"/>
  <c r="AI76"/>
  <c r="AL76" s="1"/>
  <c r="AH76"/>
  <c r="AG63"/>
  <c r="AF63"/>
  <c r="AI63"/>
  <c r="AL63" s="1"/>
  <c r="AH63"/>
  <c r="AF123"/>
  <c r="AG123"/>
  <c r="AH123"/>
  <c r="AY113"/>
  <c r="AM113"/>
  <c r="BE113"/>
  <c r="AV113"/>
  <c r="AO113"/>
  <c r="AJ95"/>
  <c r="AF29"/>
  <c r="AG29"/>
  <c r="AH29"/>
  <c r="AI29"/>
  <c r="AL29" s="1"/>
  <c r="AG85"/>
  <c r="AF85"/>
  <c r="AI85"/>
  <c r="AL85" s="1"/>
  <c r="AH85"/>
  <c r="AG80"/>
  <c r="AF80"/>
  <c r="AH80"/>
  <c r="AI80"/>
  <c r="AL80" s="1"/>
  <c r="AF121"/>
  <c r="AG121"/>
  <c r="AH121"/>
  <c r="AG10"/>
  <c r="AF10"/>
  <c r="AI10"/>
  <c r="AL10" s="1"/>
  <c r="AH10"/>
  <c r="AG26"/>
  <c r="AF26"/>
  <c r="AI26"/>
  <c r="AL26" s="1"/>
  <c r="AH26"/>
  <c r="AO45"/>
  <c r="AT164" a="1"/>
  <c r="AT164" s="1"/>
  <c r="AQ168"/>
  <c r="AG82"/>
  <c r="AF82"/>
  <c r="BP82" s="1"/>
  <c r="AI82"/>
  <c r="AL82" s="1"/>
  <c r="AG44"/>
  <c r="AF44"/>
  <c r="AI44"/>
  <c r="AL44" s="1"/>
  <c r="AH44"/>
  <c r="Y168"/>
  <c r="AG65"/>
  <c r="AF65"/>
  <c r="AI65"/>
  <c r="AL65" s="1"/>
  <c r="AG57"/>
  <c r="AF57"/>
  <c r="AI57"/>
  <c r="AL57" s="1"/>
  <c r="AH57"/>
  <c r="AO42"/>
  <c r="AY42"/>
  <c r="BE42"/>
  <c r="AV42"/>
  <c r="AM42"/>
  <c r="AK58"/>
  <c r="AF100"/>
  <c r="AG100"/>
  <c r="AH100"/>
  <c r="AI100"/>
  <c r="AL100" s="1"/>
  <c r="AG140"/>
  <c r="AG153"/>
  <c r="AF153"/>
  <c r="AH153"/>
  <c r="AG18"/>
  <c r="AF18"/>
  <c r="AH18"/>
  <c r="AI18"/>
  <c r="AL18" s="1"/>
  <c r="AG12"/>
  <c r="AF12"/>
  <c r="AH12"/>
  <c r="AI12"/>
  <c r="AL12" s="1"/>
  <c r="AG67"/>
  <c r="AF67"/>
  <c r="AH67"/>
  <c r="AI67"/>
  <c r="AL67" s="1"/>
  <c r="AF8"/>
  <c r="AG8"/>
  <c r="AH8"/>
  <c r="AG79"/>
  <c r="AF79"/>
  <c r="AI79"/>
  <c r="AL79" s="1"/>
  <c r="AH79"/>
  <c r="AG69"/>
  <c r="AF69"/>
  <c r="AI69"/>
  <c r="AL69" s="1"/>
  <c r="AH69"/>
  <c r="AG81"/>
  <c r="AF81"/>
  <c r="AH81"/>
  <c r="AI81"/>
  <c r="AL81" s="1"/>
  <c r="BB167" a="1"/>
  <c r="BB167" s="1"/>
  <c r="BB166" a="1"/>
  <c r="BB166" s="1"/>
  <c r="BB165" a="1"/>
  <c r="BB165" s="1"/>
  <c r="BB164" a="1"/>
  <c r="BB164" s="1"/>
  <c r="AO43"/>
  <c r="AY43"/>
  <c r="AV43"/>
  <c r="AM43"/>
  <c r="BE43"/>
  <c r="AO47"/>
  <c r="AY47"/>
  <c r="AV47"/>
  <c r="AM47"/>
  <c r="BE47"/>
  <c r="AO51"/>
  <c r="AY51"/>
  <c r="AV51"/>
  <c r="AM51"/>
  <c r="BE51"/>
  <c r="AO55"/>
  <c r="AY55"/>
  <c r="AV55"/>
  <c r="AM55"/>
  <c r="BE55"/>
  <c r="AO59"/>
  <c r="AY59"/>
  <c r="AV59"/>
  <c r="AM59"/>
  <c r="BE59"/>
  <c r="AK105"/>
  <c r="AF35"/>
  <c r="AG35"/>
  <c r="AH35"/>
  <c r="AI35"/>
  <c r="AL35" s="1"/>
  <c r="AO5"/>
  <c r="AY5"/>
  <c r="AV5"/>
  <c r="AM5"/>
  <c r="BE5"/>
  <c r="AF103"/>
  <c r="AG103"/>
  <c r="AH103"/>
  <c r="AV91"/>
  <c r="AO91"/>
  <c r="BE91"/>
  <c r="AY91"/>
  <c r="AM91"/>
  <c r="AG152"/>
  <c r="AF152"/>
  <c r="AH152"/>
  <c r="AG71"/>
  <c r="AF71"/>
  <c r="AH71"/>
  <c r="AI71"/>
  <c r="AL71" s="1"/>
  <c r="AG49"/>
  <c r="AF49"/>
  <c r="AH49"/>
  <c r="AI49"/>
  <c r="AL49" s="1"/>
  <c r="AS54"/>
  <c r="AK54"/>
  <c r="AW54"/>
  <c r="AX54" s="1"/>
  <c r="BF54"/>
  <c r="BG54" s="1"/>
  <c r="AZ54"/>
  <c r="BA54" s="1"/>
  <c r="AJ54"/>
  <c r="BK54"/>
  <c r="BL54" s="1"/>
  <c r="BK113"/>
  <c r="BL113" s="1"/>
  <c r="AZ113"/>
  <c r="BA113" s="1"/>
  <c r="AS113"/>
  <c r="AJ113"/>
  <c r="AK113"/>
  <c r="BF113"/>
  <c r="BG113" s="1"/>
  <c r="AW113"/>
  <c r="AX113" s="1"/>
  <c r="AF98"/>
  <c r="AG98"/>
  <c r="AH98"/>
  <c r="AI98"/>
  <c r="AL98" s="1"/>
  <c r="AS110"/>
  <c r="AK110"/>
  <c r="AW110"/>
  <c r="AX110" s="1"/>
  <c r="BK110"/>
  <c r="BL110" s="1"/>
  <c r="AJ110"/>
  <c r="BF110"/>
  <c r="BG110" s="1"/>
  <c r="AZ110"/>
  <c r="BA110" s="1"/>
  <c r="AO126"/>
  <c r="AG14"/>
  <c r="AF14"/>
  <c r="AH14"/>
  <c r="AI14"/>
  <c r="AL14" s="1"/>
  <c r="AG106"/>
  <c r="AF106"/>
  <c r="AH106"/>
  <c r="AI106"/>
  <c r="AL106" s="1"/>
  <c r="AK39"/>
  <c r="AS61"/>
  <c r="AK61"/>
  <c r="BF61"/>
  <c r="BG61" s="1"/>
  <c r="AZ61"/>
  <c r="BA61" s="1"/>
  <c r="AJ61"/>
  <c r="BK61"/>
  <c r="BL61" s="1"/>
  <c r="AW61"/>
  <c r="AX61" s="1"/>
  <c r="AO107"/>
  <c r="BE99"/>
  <c r="AY99"/>
  <c r="AO99"/>
  <c r="AM99"/>
  <c r="AV99"/>
  <c r="AF102"/>
  <c r="AG102"/>
  <c r="AH102"/>
  <c r="AI102"/>
  <c r="AL102" s="1"/>
  <c r="AF130"/>
  <c r="AG130"/>
  <c r="AH130"/>
  <c r="AT167" a="1"/>
  <c r="AT167" s="1"/>
  <c r="AR167" s="1"/>
  <c r="AH65"/>
  <c r="AG19"/>
  <c r="AF19"/>
  <c r="BP19" s="1"/>
  <c r="AI19"/>
  <c r="AL19" s="1"/>
  <c r="AG13"/>
  <c r="AF13"/>
  <c r="AI13"/>
  <c r="AL13" s="1"/>
  <c r="AH13"/>
  <c r="AG56"/>
  <c r="AF56"/>
  <c r="AI56"/>
  <c r="AL56" s="1"/>
  <c r="AH56"/>
  <c r="AG22"/>
  <c r="AF22"/>
  <c r="AH22"/>
  <c r="AI22"/>
  <c r="AL22" s="1"/>
  <c r="AG23"/>
  <c r="AF23"/>
  <c r="BP23" s="1"/>
  <c r="AI23"/>
  <c r="AL23" s="1"/>
  <c r="AG78"/>
  <c r="AF78"/>
  <c r="AI78"/>
  <c r="AL78" s="1"/>
  <c r="AH78"/>
  <c r="AG41"/>
  <c r="AF41"/>
  <c r="AH41"/>
  <c r="AI41"/>
  <c r="AL41" s="1"/>
  <c r="AG77"/>
  <c r="AF77"/>
  <c r="AI77"/>
  <c r="AL77" s="1"/>
  <c r="AH77"/>
  <c r="AF33"/>
  <c r="AG33"/>
  <c r="AH33"/>
  <c r="AI33"/>
  <c r="AL33" s="1"/>
  <c r="AG40"/>
  <c r="AF40"/>
  <c r="AI40"/>
  <c r="AL40" s="1"/>
  <c r="AH40"/>
  <c r="AG52"/>
  <c r="AF52"/>
  <c r="AI52"/>
  <c r="AL52" s="1"/>
  <c r="AH52"/>
  <c r="AG87"/>
  <c r="AF87"/>
  <c r="AI87"/>
  <c r="AL87" s="1"/>
  <c r="AH87"/>
  <c r="AG122"/>
  <c r="AF122"/>
  <c r="AI122"/>
  <c r="AL122" s="1"/>
  <c r="AH122"/>
  <c r="BM167" a="1"/>
  <c r="BM167" s="1"/>
  <c r="D11" i="6" s="1"/>
  <c r="BM166" i="2" a="1"/>
  <c r="BM166" s="1"/>
  <c r="D10" i="6" s="1"/>
  <c r="BM165" i="2" a="1"/>
  <c r="BM165" s="1"/>
  <c r="D9" i="6" s="1"/>
  <c r="BM164" i="2" a="1"/>
  <c r="BM164" s="1"/>
  <c r="D8" i="6" s="1"/>
  <c r="AO105" i="2"/>
  <c r="AG9"/>
  <c r="AF9"/>
  <c r="AH9"/>
  <c r="BE112"/>
  <c r="AV112"/>
  <c r="AM112"/>
  <c r="AY112"/>
  <c r="AO112"/>
  <c r="AK53"/>
  <c r="AF89"/>
  <c r="AG89"/>
  <c r="AI89"/>
  <c r="AL89" s="1"/>
  <c r="AH89"/>
  <c r="AF108"/>
  <c r="AG108"/>
  <c r="AH108"/>
  <c r="AI108"/>
  <c r="AL108" s="1"/>
  <c r="AF93"/>
  <c r="AG93"/>
  <c r="AI93"/>
  <c r="AL93" s="1"/>
  <c r="AH93"/>
  <c r="AF101"/>
  <c r="AG101"/>
  <c r="AI101"/>
  <c r="AL101" s="1"/>
  <c r="AH101"/>
  <c r="AF94"/>
  <c r="AG94"/>
  <c r="AH94"/>
  <c r="AI94"/>
  <c r="AL94" s="1"/>
  <c r="AH138"/>
  <c r="AF150"/>
  <c r="AG150"/>
  <c r="AH150"/>
  <c r="AG20"/>
  <c r="AF20"/>
  <c r="AI20"/>
  <c r="AL20" s="1"/>
  <c r="AH20"/>
  <c r="AG72"/>
  <c r="AF72"/>
  <c r="AI72"/>
  <c r="AL72" s="1"/>
  <c r="AH72"/>
  <c r="AK62"/>
  <c r="AF96"/>
  <c r="AG96"/>
  <c r="AH96"/>
  <c r="AI96"/>
  <c r="AL96" s="1"/>
  <c r="AG155"/>
  <c r="AF155"/>
  <c r="AH155"/>
  <c r="AG64"/>
  <c r="AF64"/>
  <c r="AI64"/>
  <c r="AL64" s="1"/>
  <c r="AH64"/>
  <c r="AG15"/>
  <c r="AF15"/>
  <c r="BP15" s="1"/>
  <c r="AI15"/>
  <c r="AL15" s="1"/>
  <c r="AF27"/>
  <c r="AG27"/>
  <c r="AH27"/>
  <c r="AG104"/>
  <c r="AF104"/>
  <c r="AI104"/>
  <c r="AL104" s="1"/>
  <c r="AH104"/>
  <c r="AO39"/>
  <c r="AO61"/>
  <c r="AY61"/>
  <c r="AV61"/>
  <c r="AM61"/>
  <c r="BE61"/>
  <c r="AS66"/>
  <c r="AK66"/>
  <c r="AZ66"/>
  <c r="BA66" s="1"/>
  <c r="BK66"/>
  <c r="BL66" s="1"/>
  <c r="AW66"/>
  <c r="AX66" s="1"/>
  <c r="AJ66"/>
  <c r="BF66"/>
  <c r="BG66" s="1"/>
  <c r="BK99"/>
  <c r="BL99" s="1"/>
  <c r="BF99"/>
  <c r="BG99" s="1"/>
  <c r="AW99"/>
  <c r="AX99" s="1"/>
  <c r="AJ99"/>
  <c r="AS99"/>
  <c r="AZ99"/>
  <c r="BA99" s="1"/>
  <c r="AK99"/>
  <c r="AM111"/>
  <c r="BE111"/>
  <c r="AY111"/>
  <c r="AO111"/>
  <c r="AV111"/>
  <c r="AH73"/>
  <c r="AY39" l="1"/>
  <c r="AG129"/>
  <c r="AM132"/>
  <c r="BE132"/>
  <c r="BF42"/>
  <c r="BG42" s="1"/>
  <c r="BJ132"/>
  <c r="BP39"/>
  <c r="BE39"/>
  <c r="AW39"/>
  <c r="AX39" s="1"/>
  <c r="BF39"/>
  <c r="BG39" s="1"/>
  <c r="AH140"/>
  <c r="AK140" s="1"/>
  <c r="AG7"/>
  <c r="AV95"/>
  <c r="AM39"/>
  <c r="AS53"/>
  <c r="BK39"/>
  <c r="BL39" s="1"/>
  <c r="AZ39"/>
  <c r="BA39" s="1"/>
  <c r="AI140"/>
  <c r="AH7"/>
  <c r="BE95"/>
  <c r="BJ39"/>
  <c r="AF158"/>
  <c r="AF140"/>
  <c r="BP140" s="1"/>
  <c r="AG125"/>
  <c r="BJ52"/>
  <c r="BP52"/>
  <c r="BJ22"/>
  <c r="BP22"/>
  <c r="BJ71"/>
  <c r="BP71"/>
  <c r="BJ81"/>
  <c r="BP81"/>
  <c r="BJ8"/>
  <c r="BP8"/>
  <c r="BJ26"/>
  <c r="BP26"/>
  <c r="BJ10"/>
  <c r="BP10"/>
  <c r="BJ121"/>
  <c r="BP121"/>
  <c r="BJ29"/>
  <c r="BP29"/>
  <c r="BJ63"/>
  <c r="BP63"/>
  <c r="BJ76"/>
  <c r="BP76"/>
  <c r="BJ73"/>
  <c r="BP73"/>
  <c r="BJ86"/>
  <c r="BP86"/>
  <c r="BJ17"/>
  <c r="BP17"/>
  <c r="BJ16"/>
  <c r="BP16"/>
  <c r="BJ25"/>
  <c r="BP25"/>
  <c r="BJ48"/>
  <c r="BP48"/>
  <c r="BJ118"/>
  <c r="BP118"/>
  <c r="BJ70"/>
  <c r="BP70"/>
  <c r="BJ83"/>
  <c r="BP83"/>
  <c r="BJ84"/>
  <c r="BP84"/>
  <c r="BJ21"/>
  <c r="BP21"/>
  <c r="BJ159"/>
  <c r="BP159"/>
  <c r="AE149"/>
  <c r="BO149" s="1"/>
  <c r="BJ58"/>
  <c r="BP58"/>
  <c r="BJ53"/>
  <c r="BP53"/>
  <c r="BJ96"/>
  <c r="BP96"/>
  <c r="BJ150"/>
  <c r="BP150"/>
  <c r="BJ56"/>
  <c r="BP56"/>
  <c r="BJ69"/>
  <c r="BP69"/>
  <c r="BJ155"/>
  <c r="BP155"/>
  <c r="BJ9"/>
  <c r="BP9"/>
  <c r="BJ98"/>
  <c r="BP98"/>
  <c r="BJ152"/>
  <c r="BP152"/>
  <c r="BJ67"/>
  <c r="BP67"/>
  <c r="BJ12"/>
  <c r="BP12"/>
  <c r="BJ18"/>
  <c r="BP18"/>
  <c r="BJ100"/>
  <c r="BP100"/>
  <c r="BJ80"/>
  <c r="BP80"/>
  <c r="BJ85"/>
  <c r="BP85"/>
  <c r="BJ160"/>
  <c r="BP160"/>
  <c r="BJ125"/>
  <c r="BP125"/>
  <c r="BJ90"/>
  <c r="BP90"/>
  <c r="BO148"/>
  <c r="BJ95"/>
  <c r="BP95"/>
  <c r="BJ72"/>
  <c r="BP72"/>
  <c r="BJ122"/>
  <c r="BP122"/>
  <c r="BJ79"/>
  <c r="BP79"/>
  <c r="BJ65"/>
  <c r="BP65"/>
  <c r="BJ104"/>
  <c r="BP104"/>
  <c r="BJ27"/>
  <c r="BP27"/>
  <c r="BJ158"/>
  <c r="BP158"/>
  <c r="BJ33"/>
  <c r="BP33"/>
  <c r="BJ35"/>
  <c r="BP35"/>
  <c r="BJ153"/>
  <c r="BP153"/>
  <c r="BJ140"/>
  <c r="BJ28"/>
  <c r="BP28"/>
  <c r="BJ36"/>
  <c r="BP36"/>
  <c r="BO154"/>
  <c r="BJ126"/>
  <c r="BP126"/>
  <c r="BJ107"/>
  <c r="BP107"/>
  <c r="BJ105"/>
  <c r="BP105"/>
  <c r="BJ45"/>
  <c r="BP45"/>
  <c r="BJ64"/>
  <c r="BP64"/>
  <c r="BJ20"/>
  <c r="BP20"/>
  <c r="BJ87"/>
  <c r="BP87"/>
  <c r="BJ40"/>
  <c r="BP40"/>
  <c r="BJ13"/>
  <c r="BP13"/>
  <c r="BJ49"/>
  <c r="BP49"/>
  <c r="BJ103"/>
  <c r="BP103"/>
  <c r="BJ94"/>
  <c r="BP94"/>
  <c r="BJ101"/>
  <c r="BP101"/>
  <c r="BJ93"/>
  <c r="BP93"/>
  <c r="BJ108"/>
  <c r="BP108"/>
  <c r="BJ89"/>
  <c r="BP89"/>
  <c r="BJ77"/>
  <c r="BP77"/>
  <c r="BJ41"/>
  <c r="BP41"/>
  <c r="BJ78"/>
  <c r="BP78"/>
  <c r="BJ130"/>
  <c r="BP130"/>
  <c r="BJ102"/>
  <c r="BP102"/>
  <c r="BJ106"/>
  <c r="BP106"/>
  <c r="BJ14"/>
  <c r="BP14"/>
  <c r="BJ57"/>
  <c r="BP57"/>
  <c r="BJ44"/>
  <c r="BP44"/>
  <c r="BJ123"/>
  <c r="BP123"/>
  <c r="BJ97"/>
  <c r="BP97"/>
  <c r="BJ92"/>
  <c r="BP92"/>
  <c r="BJ88"/>
  <c r="BP88"/>
  <c r="BJ75"/>
  <c r="BP75"/>
  <c r="BJ60"/>
  <c r="BP60"/>
  <c r="BJ24"/>
  <c r="BP24"/>
  <c r="BJ68"/>
  <c r="BP68"/>
  <c r="BJ31"/>
  <c r="BP31"/>
  <c r="BJ74"/>
  <c r="BP74"/>
  <c r="BJ32"/>
  <c r="BP32"/>
  <c r="BJ11"/>
  <c r="BP11"/>
  <c r="AM38"/>
  <c r="BP38"/>
  <c r="BE37"/>
  <c r="BP37"/>
  <c r="BJ42"/>
  <c r="BP42"/>
  <c r="AO62"/>
  <c r="BO62"/>
  <c r="BJ46"/>
  <c r="BO46"/>
  <c r="BF53"/>
  <c r="BG53" s="1"/>
  <c r="BF95"/>
  <c r="BG95" s="1"/>
  <c r="D39" i="6"/>
  <c r="F9"/>
  <c r="F39" s="1"/>
  <c r="F66" s="1"/>
  <c r="F95" s="1"/>
  <c r="D38"/>
  <c r="D65" s="1"/>
  <c r="D94" s="1"/>
  <c r="F8"/>
  <c r="F38" s="1"/>
  <c r="F65" s="1"/>
  <c r="F94" s="1"/>
  <c r="D41"/>
  <c r="D68" s="1"/>
  <c r="D97" s="1"/>
  <c r="F11"/>
  <c r="F41" s="1"/>
  <c r="F68" s="1"/>
  <c r="F97" s="1"/>
  <c r="D40"/>
  <c r="D67" s="1"/>
  <c r="D96" s="1"/>
  <c r="F10"/>
  <c r="F40" s="1"/>
  <c r="F67" s="1"/>
  <c r="F96" s="1"/>
  <c r="BF58" i="2"/>
  <c r="BG58" s="1"/>
  <c r="AZ53"/>
  <c r="BA53" s="1"/>
  <c r="AH114"/>
  <c r="AF129"/>
  <c r="BE129" s="1"/>
  <c r="AZ58"/>
  <c r="BA58" s="1"/>
  <c r="AS58"/>
  <c r="AM45"/>
  <c r="BK42"/>
  <c r="BL42" s="1"/>
  <c r="AW42"/>
  <c r="AX42" s="1"/>
  <c r="BJ50"/>
  <c r="BK53"/>
  <c r="BL53" s="1"/>
  <c r="AH129"/>
  <c r="AZ129" s="1"/>
  <c r="BK58"/>
  <c r="BL58" s="1"/>
  <c r="AW58"/>
  <c r="AX58" s="1"/>
  <c r="AY45"/>
  <c r="AZ42"/>
  <c r="BA42" s="1"/>
  <c r="AS42"/>
  <c r="AW53"/>
  <c r="AX53" s="1"/>
  <c r="AV45"/>
  <c r="AJ42"/>
  <c r="AM58"/>
  <c r="AM53"/>
  <c r="AZ50"/>
  <c r="BA50" s="1"/>
  <c r="BE53"/>
  <c r="AV53"/>
  <c r="AS95"/>
  <c r="AV38"/>
  <c r="AY37"/>
  <c r="BJ37"/>
  <c r="AZ37"/>
  <c r="BA37" s="1"/>
  <c r="AK132"/>
  <c r="BF38"/>
  <c r="BG38" s="1"/>
  <c r="AV107"/>
  <c r="AY126"/>
  <c r="AG154"/>
  <c r="AZ95"/>
  <c r="BA95" s="1"/>
  <c r="BK95"/>
  <c r="BL95" s="1"/>
  <c r="AY38"/>
  <c r="AM37"/>
  <c r="BJ38"/>
  <c r="AW95"/>
  <c r="AX95" s="1"/>
  <c r="AH154"/>
  <c r="AK95"/>
  <c r="AS126"/>
  <c r="AV58"/>
  <c r="AY58"/>
  <c r="BE58"/>
  <c r="AG158"/>
  <c r="AH134"/>
  <c r="AH125"/>
  <c r="AY95"/>
  <c r="AH158"/>
  <c r="AF141"/>
  <c r="AF7"/>
  <c r="AK107"/>
  <c r="AW50"/>
  <c r="AX50" s="1"/>
  <c r="AF134"/>
  <c r="AZ38"/>
  <c r="BA38" s="1"/>
  <c r="AW38"/>
  <c r="AX38" s="1"/>
  <c r="AW132"/>
  <c r="AX132" s="1"/>
  <c r="AF157"/>
  <c r="BK50"/>
  <c r="BL50" s="1"/>
  <c r="AS38"/>
  <c r="AS132"/>
  <c r="AG30"/>
  <c r="AH156"/>
  <c r="AS50"/>
  <c r="AG34"/>
  <c r="BK38"/>
  <c r="BL38" s="1"/>
  <c r="AY105"/>
  <c r="AH139"/>
  <c r="BE105"/>
  <c r="AZ107"/>
  <c r="BA107" s="1"/>
  <c r="BK107"/>
  <c r="BL107" s="1"/>
  <c r="AM105"/>
  <c r="AF30"/>
  <c r="BK105"/>
  <c r="BL105" s="1"/>
  <c r="AG157"/>
  <c r="BF50"/>
  <c r="BG50" s="1"/>
  <c r="AH34"/>
  <c r="AZ132"/>
  <c r="BA132" s="1"/>
  <c r="AV105"/>
  <c r="AH30"/>
  <c r="AH157"/>
  <c r="BF46"/>
  <c r="BG46" s="1"/>
  <c r="AJ50"/>
  <c r="AG134"/>
  <c r="AF34"/>
  <c r="AH141"/>
  <c r="AG161"/>
  <c r="AY62"/>
  <c r="AW107"/>
  <c r="AX107" s="1"/>
  <c r="AF142"/>
  <c r="AH151"/>
  <c r="AI141"/>
  <c r="AO141" s="1"/>
  <c r="BK126"/>
  <c r="BL126" s="1"/>
  <c r="AW37"/>
  <c r="AX37" s="1"/>
  <c r="AW62"/>
  <c r="AX62" s="1"/>
  <c r="BE50"/>
  <c r="AH149"/>
  <c r="AG141"/>
  <c r="AS141" s="1"/>
  <c r="AZ105"/>
  <c r="BA105" s="1"/>
  <c r="AG139"/>
  <c r="AW139" s="1"/>
  <c r="AM46"/>
  <c r="AJ37"/>
  <c r="BF132"/>
  <c r="BG132" s="1"/>
  <c r="AJ132"/>
  <c r="AY107"/>
  <c r="AG114"/>
  <c r="AM126"/>
  <c r="AF154"/>
  <c r="BP154" s="1"/>
  <c r="AG148"/>
  <c r="AI139"/>
  <c r="AJ126"/>
  <c r="BF107"/>
  <c r="BG107" s="1"/>
  <c r="BF105"/>
  <c r="BG105" s="1"/>
  <c r="AS107"/>
  <c r="AO46"/>
  <c r="BK132"/>
  <c r="BL132" s="1"/>
  <c r="AM107"/>
  <c r="AF114"/>
  <c r="AV126"/>
  <c r="AW105"/>
  <c r="AX105" s="1"/>
  <c r="AF139"/>
  <c r="BF37"/>
  <c r="BG37" s="1"/>
  <c r="AI138"/>
  <c r="AL138" s="1"/>
  <c r="AI142"/>
  <c r="AO142" s="1"/>
  <c r="AM50"/>
  <c r="AG149"/>
  <c r="AF117"/>
  <c r="AF161"/>
  <c r="BE62"/>
  <c r="AJ62"/>
  <c r="BF62"/>
  <c r="BG62" s="1"/>
  <c r="AG138"/>
  <c r="AH142"/>
  <c r="AV50"/>
  <c r="AO50"/>
  <c r="AF149"/>
  <c r="AG151"/>
  <c r="AG117"/>
  <c r="AH161"/>
  <c r="AV62"/>
  <c r="BJ62"/>
  <c r="AZ62"/>
  <c r="BA62" s="1"/>
  <c r="BK62"/>
  <c r="BL62" s="1"/>
  <c r="AF138"/>
  <c r="AG142"/>
  <c r="AZ142" s="1"/>
  <c r="AY50"/>
  <c r="AI149"/>
  <c r="AO149" s="1"/>
  <c r="AF151"/>
  <c r="AH117"/>
  <c r="AM62"/>
  <c r="AZ126"/>
  <c r="BA126" s="1"/>
  <c r="AY46"/>
  <c r="AI148"/>
  <c r="AO148" s="1"/>
  <c r="AF131"/>
  <c r="BF126"/>
  <c r="BG126" s="1"/>
  <c r="AH148"/>
  <c r="AG131"/>
  <c r="AW126"/>
  <c r="AX126" s="1"/>
  <c r="BE46"/>
  <c r="AV46"/>
  <c r="AF148"/>
  <c r="BP148" s="1"/>
  <c r="AH131"/>
  <c r="F14" i="6"/>
  <c r="F44" s="1"/>
  <c r="F71" s="1"/>
  <c r="F100" s="1"/>
  <c r="F13"/>
  <c r="F43" s="1"/>
  <c r="F70" s="1"/>
  <c r="F99" s="1"/>
  <c r="F16"/>
  <c r="F46" s="1"/>
  <c r="F73" s="1"/>
  <c r="F102" s="1"/>
  <c r="F15"/>
  <c r="F45" s="1"/>
  <c r="F72" s="1"/>
  <c r="F101" s="1"/>
  <c r="AG136" i="2"/>
  <c r="AG4"/>
  <c r="AZ46"/>
  <c r="BA46" s="1"/>
  <c r="AS46"/>
  <c r="AF136"/>
  <c r="AS37"/>
  <c r="BK37"/>
  <c r="BL37" s="1"/>
  <c r="AF4"/>
  <c r="AG156"/>
  <c r="AJ46"/>
  <c r="AK46"/>
  <c r="AH136"/>
  <c r="AH4"/>
  <c r="AF156"/>
  <c r="BK46"/>
  <c r="BL46" s="1"/>
  <c r="AK109"/>
  <c r="AJ109"/>
  <c r="BK109"/>
  <c r="BL109" s="1"/>
  <c r="BF109"/>
  <c r="BG109" s="1"/>
  <c r="AZ109"/>
  <c r="BA109" s="1"/>
  <c r="AW109"/>
  <c r="AX109" s="1"/>
  <c r="AY109"/>
  <c r="BE109"/>
  <c r="AM109"/>
  <c r="AO109"/>
  <c r="BJ109"/>
  <c r="AV109"/>
  <c r="J28" i="3"/>
  <c r="K26"/>
  <c r="AE137" i="2"/>
  <c r="BO137" s="1"/>
  <c r="AF137"/>
  <c r="BP137" s="1"/>
  <c r="AH137"/>
  <c r="AG137"/>
  <c r="AG133"/>
  <c r="AE133"/>
  <c r="BO133" s="1"/>
  <c r="AH133"/>
  <c r="AF133"/>
  <c r="BP133" s="1"/>
  <c r="AF127"/>
  <c r="BP127" s="1"/>
  <c r="AH127"/>
  <c r="AE127"/>
  <c r="BO127" s="1"/>
  <c r="AG127"/>
  <c r="AE120"/>
  <c r="BO120" s="1"/>
  <c r="AH120"/>
  <c r="AF120"/>
  <c r="BP120" s="1"/>
  <c r="AG120"/>
  <c r="AE119"/>
  <c r="BO119" s="1"/>
  <c r="AH119"/>
  <c r="AG119"/>
  <c r="AF119"/>
  <c r="BP119" s="1"/>
  <c r="AE116"/>
  <c r="BO116" s="1"/>
  <c r="AF116"/>
  <c r="BP116" s="1"/>
  <c r="AH116"/>
  <c r="AG116"/>
  <c r="AE115"/>
  <c r="BO115" s="1"/>
  <c r="AG115"/>
  <c r="AF115"/>
  <c r="BP115" s="1"/>
  <c r="AH115"/>
  <c r="AH6"/>
  <c r="AF6"/>
  <c r="BP6" s="1"/>
  <c r="AE6"/>
  <c r="BO6" s="1"/>
  <c r="AG6"/>
  <c r="AE135"/>
  <c r="BO135" s="1"/>
  <c r="AF135"/>
  <c r="BP135" s="1"/>
  <c r="AG135"/>
  <c r="AH135"/>
  <c r="D21" i="6"/>
  <c r="AZ32" i="7" a="1"/>
  <c r="AZ32" s="1"/>
  <c r="BJ19" i="2"/>
  <c r="BJ23"/>
  <c r="BJ15"/>
  <c r="BJ82"/>
  <c r="AV34" i="7"/>
  <c r="AN34"/>
  <c r="AN9"/>
  <c r="AN18"/>
  <c r="AN4"/>
  <c r="AN16"/>
  <c r="AN7"/>
  <c r="AN14"/>
  <c r="AN17"/>
  <c r="AN11"/>
  <c r="AN15"/>
  <c r="AN12"/>
  <c r="AN13"/>
  <c r="AN19"/>
  <c r="AN6"/>
  <c r="AN10"/>
  <c r="AN28"/>
  <c r="AN30"/>
  <c r="AN8"/>
  <c r="AN5"/>
  <c r="AZ30" a="1"/>
  <c r="AZ30" s="1"/>
  <c r="AZ28" a="1"/>
  <c r="AZ28" s="1"/>
  <c r="AN31"/>
  <c r="AN29"/>
  <c r="AN32"/>
  <c r="AZ31" a="1"/>
  <c r="AZ31" s="1"/>
  <c r="AQ34"/>
  <c r="AO34" s="1"/>
  <c r="AO28"/>
  <c r="AZ29" a="1"/>
  <c r="AZ29" s="1"/>
  <c r="AO122" i="2"/>
  <c r="AY122"/>
  <c r="BE122"/>
  <c r="AV122"/>
  <c r="AM122"/>
  <c r="AS40"/>
  <c r="AK40"/>
  <c r="BK40"/>
  <c r="BL40" s="1"/>
  <c r="AW40"/>
  <c r="AX40" s="1"/>
  <c r="AJ40"/>
  <c r="BF40"/>
  <c r="BG40" s="1"/>
  <c r="AZ40"/>
  <c r="BA40" s="1"/>
  <c r="AY158"/>
  <c r="BE158"/>
  <c r="AV158"/>
  <c r="AM158"/>
  <c r="AS77"/>
  <c r="AK77"/>
  <c r="AZ77"/>
  <c r="BA77" s="1"/>
  <c r="BK77"/>
  <c r="BL77" s="1"/>
  <c r="AW77"/>
  <c r="AX77" s="1"/>
  <c r="AJ77"/>
  <c r="BF77"/>
  <c r="BG77" s="1"/>
  <c r="AO41"/>
  <c r="AY41"/>
  <c r="AV41"/>
  <c r="AM41"/>
  <c r="BE41"/>
  <c r="AS56"/>
  <c r="AK56"/>
  <c r="AJ56"/>
  <c r="BK56"/>
  <c r="BL56" s="1"/>
  <c r="AW56"/>
  <c r="AX56" s="1"/>
  <c r="BF56"/>
  <c r="BG56" s="1"/>
  <c r="AZ56"/>
  <c r="BA56" s="1"/>
  <c r="AO13"/>
  <c r="AY13"/>
  <c r="BE13"/>
  <c r="AV13"/>
  <c r="AM13"/>
  <c r="AO19"/>
  <c r="AY19"/>
  <c r="BE19"/>
  <c r="AV19"/>
  <c r="AM19"/>
  <c r="BK102"/>
  <c r="BL102" s="1"/>
  <c r="BF102"/>
  <c r="BG102" s="1"/>
  <c r="AW102"/>
  <c r="AX102" s="1"/>
  <c r="AJ102"/>
  <c r="AS102"/>
  <c r="AZ102"/>
  <c r="BA102" s="1"/>
  <c r="AK102"/>
  <c r="AO106"/>
  <c r="AV106"/>
  <c r="AY106"/>
  <c r="AM106"/>
  <c r="BE106"/>
  <c r="AS71"/>
  <c r="AK71"/>
  <c r="AZ71"/>
  <c r="BA71" s="1"/>
  <c r="AJ71"/>
  <c r="BF71"/>
  <c r="BG71" s="1"/>
  <c r="AW71"/>
  <c r="AX71" s="1"/>
  <c r="BK71"/>
  <c r="BL71" s="1"/>
  <c r="AZ152"/>
  <c r="BK152"/>
  <c r="BL152" s="1"/>
  <c r="BF152"/>
  <c r="AS152"/>
  <c r="AK152"/>
  <c r="AJ152"/>
  <c r="AW152"/>
  <c r="AV103"/>
  <c r="AM103"/>
  <c r="AY103"/>
  <c r="BE103"/>
  <c r="AY35"/>
  <c r="BE35"/>
  <c r="AV35"/>
  <c r="AM35"/>
  <c r="AO35"/>
  <c r="AS79"/>
  <c r="AK79"/>
  <c r="AZ79"/>
  <c r="BA79" s="1"/>
  <c r="BF79"/>
  <c r="BG79" s="1"/>
  <c r="BK79"/>
  <c r="BL79" s="1"/>
  <c r="AW79"/>
  <c r="AX79" s="1"/>
  <c r="AJ79"/>
  <c r="AS18"/>
  <c r="AK18"/>
  <c r="AZ18"/>
  <c r="BA18" s="1"/>
  <c r="AJ18"/>
  <c r="BF18"/>
  <c r="BG18" s="1"/>
  <c r="BK18"/>
  <c r="BL18" s="1"/>
  <c r="AW18"/>
  <c r="AX18" s="1"/>
  <c r="AZ153"/>
  <c r="BK153"/>
  <c r="BL153" s="1"/>
  <c r="BF153"/>
  <c r="AS153"/>
  <c r="AK153"/>
  <c r="AW153"/>
  <c r="AJ153"/>
  <c r="AO57"/>
  <c r="AY57"/>
  <c r="AV57"/>
  <c r="AM57"/>
  <c r="BE57"/>
  <c r="AO65"/>
  <c r="AY65"/>
  <c r="BE65"/>
  <c r="AV65"/>
  <c r="AM65"/>
  <c r="AO44"/>
  <c r="AY44"/>
  <c r="AV44"/>
  <c r="AM44"/>
  <c r="BE44"/>
  <c r="AO82"/>
  <c r="AY82"/>
  <c r="BE82"/>
  <c r="AV82"/>
  <c r="AM82"/>
  <c r="AT168"/>
  <c r="AR164"/>
  <c r="AO80"/>
  <c r="AY80"/>
  <c r="BE80"/>
  <c r="AV80"/>
  <c r="AM80"/>
  <c r="AS85"/>
  <c r="AK85"/>
  <c r="AZ85"/>
  <c r="BA85" s="1"/>
  <c r="AJ85"/>
  <c r="BF85"/>
  <c r="BG85" s="1"/>
  <c r="BK85"/>
  <c r="BL85" s="1"/>
  <c r="AW85"/>
  <c r="AX85" s="1"/>
  <c r="AS63"/>
  <c r="AK63"/>
  <c r="AZ63"/>
  <c r="BA63" s="1"/>
  <c r="BK63"/>
  <c r="BL63" s="1"/>
  <c r="AW63"/>
  <c r="AX63" s="1"/>
  <c r="AJ63"/>
  <c r="BF63"/>
  <c r="BG63" s="1"/>
  <c r="AO76"/>
  <c r="AY76"/>
  <c r="BE76"/>
  <c r="AV76"/>
  <c r="AM76"/>
  <c r="BK97"/>
  <c r="BL97" s="1"/>
  <c r="BF97"/>
  <c r="BG97" s="1"/>
  <c r="AW97"/>
  <c r="AX97" s="1"/>
  <c r="AJ97"/>
  <c r="AS97"/>
  <c r="AZ97"/>
  <c r="BA97" s="1"/>
  <c r="AK97"/>
  <c r="AV92"/>
  <c r="BE92"/>
  <c r="AY92"/>
  <c r="AM92"/>
  <c r="AO92"/>
  <c r="BG5"/>
  <c r="AO73"/>
  <c r="AY73"/>
  <c r="BE73"/>
  <c r="AV73"/>
  <c r="AM73"/>
  <c r="AS16"/>
  <c r="AK16"/>
  <c r="AZ16"/>
  <c r="BA16" s="1"/>
  <c r="BF16"/>
  <c r="BG16" s="1"/>
  <c r="BK16"/>
  <c r="BL16" s="1"/>
  <c r="AW16"/>
  <c r="AX16" s="1"/>
  <c r="AJ16"/>
  <c r="AO25"/>
  <c r="AY25"/>
  <c r="BE25"/>
  <c r="AV25"/>
  <c r="AM25"/>
  <c r="AS60"/>
  <c r="AK60"/>
  <c r="AJ60"/>
  <c r="BK60"/>
  <c r="BL60" s="1"/>
  <c r="AW60"/>
  <c r="AX60" s="1"/>
  <c r="AZ60"/>
  <c r="BA60" s="1"/>
  <c r="BF60"/>
  <c r="BG60" s="1"/>
  <c r="AO24"/>
  <c r="AY24"/>
  <c r="BE24"/>
  <c r="AV24"/>
  <c r="AM24"/>
  <c r="AS31"/>
  <c r="AK31"/>
  <c r="AZ31"/>
  <c r="BA31" s="1"/>
  <c r="BF31"/>
  <c r="BG31" s="1"/>
  <c r="BK31"/>
  <c r="BL31" s="1"/>
  <c r="AW31"/>
  <c r="AX31" s="1"/>
  <c r="AJ31"/>
  <c r="AO74"/>
  <c r="AY74"/>
  <c r="BE74"/>
  <c r="AV74"/>
  <c r="AM74"/>
  <c r="AV118"/>
  <c r="AM118"/>
  <c r="AY118"/>
  <c r="BE118"/>
  <c r="AS21"/>
  <c r="AK21"/>
  <c r="AZ21"/>
  <c r="BA21" s="1"/>
  <c r="AJ21"/>
  <c r="BF21"/>
  <c r="BG21" s="1"/>
  <c r="BK21"/>
  <c r="BL21" s="1"/>
  <c r="AW21"/>
  <c r="AX21" s="1"/>
  <c r="BE90"/>
  <c r="AY90"/>
  <c r="AO90"/>
  <c r="AM90"/>
  <c r="AV90"/>
  <c r="AV159"/>
  <c r="AM159"/>
  <c r="BE159"/>
  <c r="AY159"/>
  <c r="AS9"/>
  <c r="AK9"/>
  <c r="AZ9"/>
  <c r="BF9"/>
  <c r="BK9"/>
  <c r="AW9"/>
  <c r="AJ9"/>
  <c r="AS52"/>
  <c r="AK52"/>
  <c r="AJ52"/>
  <c r="BK52"/>
  <c r="BL52" s="1"/>
  <c r="AW52"/>
  <c r="AX52" s="1"/>
  <c r="BF52"/>
  <c r="BG52" s="1"/>
  <c r="AZ52"/>
  <c r="BA52" s="1"/>
  <c r="AO40"/>
  <c r="AY40"/>
  <c r="AM40"/>
  <c r="AV40"/>
  <c r="BE40"/>
  <c r="AY33"/>
  <c r="BE33"/>
  <c r="AV33"/>
  <c r="AM33"/>
  <c r="AO33"/>
  <c r="AO77"/>
  <c r="AY77"/>
  <c r="BE77"/>
  <c r="AV77"/>
  <c r="AM77"/>
  <c r="AS22"/>
  <c r="AK22"/>
  <c r="AZ22"/>
  <c r="BA22" s="1"/>
  <c r="BF22"/>
  <c r="BG22" s="1"/>
  <c r="BK22"/>
  <c r="BL22" s="1"/>
  <c r="AW22"/>
  <c r="AX22" s="1"/>
  <c r="AJ22"/>
  <c r="AO56"/>
  <c r="AY56"/>
  <c r="AV56"/>
  <c r="AM56"/>
  <c r="BE56"/>
  <c r="BK130"/>
  <c r="BL130" s="1"/>
  <c r="BF130"/>
  <c r="BG130" s="1"/>
  <c r="AW130"/>
  <c r="AX130" s="1"/>
  <c r="AJ130"/>
  <c r="AS130"/>
  <c r="AK130"/>
  <c r="AZ130"/>
  <c r="BA130" s="1"/>
  <c r="AM102"/>
  <c r="BE102"/>
  <c r="AY102"/>
  <c r="AO102"/>
  <c r="AV102"/>
  <c r="AO114"/>
  <c r="AO71"/>
  <c r="AY71"/>
  <c r="BE71"/>
  <c r="AV71"/>
  <c r="AM71"/>
  <c r="AY129"/>
  <c r="AV129"/>
  <c r="AS69"/>
  <c r="AK69"/>
  <c r="AZ69"/>
  <c r="BA69" s="1"/>
  <c r="BF69"/>
  <c r="BG69" s="1"/>
  <c r="BK69"/>
  <c r="BL69" s="1"/>
  <c r="AW69"/>
  <c r="AX69" s="1"/>
  <c r="AJ69"/>
  <c r="AO79"/>
  <c r="AY79"/>
  <c r="BE79"/>
  <c r="AV79"/>
  <c r="AM79"/>
  <c r="AZ8"/>
  <c r="BK8"/>
  <c r="BF8"/>
  <c r="AW8"/>
  <c r="AS8"/>
  <c r="AJ8"/>
  <c r="AK8"/>
  <c r="AS12"/>
  <c r="AK12"/>
  <c r="AZ12"/>
  <c r="BA12" s="1"/>
  <c r="BF12"/>
  <c r="BG12" s="1"/>
  <c r="BK12"/>
  <c r="BL12" s="1"/>
  <c r="AW12"/>
  <c r="AX12" s="1"/>
  <c r="AJ12"/>
  <c r="AO18"/>
  <c r="AY18"/>
  <c r="BE18"/>
  <c r="AV18"/>
  <c r="AM18"/>
  <c r="AS10"/>
  <c r="AK10"/>
  <c r="AZ10"/>
  <c r="BA10" s="1"/>
  <c r="BF10"/>
  <c r="BG10" s="1"/>
  <c r="BK10"/>
  <c r="BL10" s="1"/>
  <c r="AW10"/>
  <c r="AX10" s="1"/>
  <c r="AJ10"/>
  <c r="AY121"/>
  <c r="BE121"/>
  <c r="AV121"/>
  <c r="AM121"/>
  <c r="AO85"/>
  <c r="AY85"/>
  <c r="BE85"/>
  <c r="AV85"/>
  <c r="AM85"/>
  <c r="AZ29"/>
  <c r="BA29" s="1"/>
  <c r="BK29"/>
  <c r="BL29" s="1"/>
  <c r="BF29"/>
  <c r="BG29" s="1"/>
  <c r="AW29"/>
  <c r="AX29" s="1"/>
  <c r="AJ29"/>
  <c r="AS29"/>
  <c r="AK29"/>
  <c r="BE123"/>
  <c r="AV123"/>
  <c r="AM123"/>
  <c r="AY123"/>
  <c r="AO63"/>
  <c r="AY63"/>
  <c r="BE63"/>
  <c r="AV63"/>
  <c r="AM63"/>
  <c r="AV97"/>
  <c r="AM97"/>
  <c r="AO97"/>
  <c r="BE97"/>
  <c r="AY97"/>
  <c r="BA5"/>
  <c r="AS17"/>
  <c r="AK17"/>
  <c r="AZ17"/>
  <c r="BA17" s="1"/>
  <c r="BK17"/>
  <c r="BL17" s="1"/>
  <c r="AW17"/>
  <c r="AX17" s="1"/>
  <c r="AJ17"/>
  <c r="BF17"/>
  <c r="BG17" s="1"/>
  <c r="AO16"/>
  <c r="AY16"/>
  <c r="BE16"/>
  <c r="AV16"/>
  <c r="AM16"/>
  <c r="AV160"/>
  <c r="AM160"/>
  <c r="BE160"/>
  <c r="AY160"/>
  <c r="AS75"/>
  <c r="AK75"/>
  <c r="AZ75"/>
  <c r="BA75" s="1"/>
  <c r="BF75"/>
  <c r="BG75" s="1"/>
  <c r="BK75"/>
  <c r="BL75" s="1"/>
  <c r="AW75"/>
  <c r="AX75" s="1"/>
  <c r="AJ75"/>
  <c r="AO60"/>
  <c r="AY60"/>
  <c r="AV60"/>
  <c r="AM60"/>
  <c r="BE60"/>
  <c r="BE28"/>
  <c r="AV28"/>
  <c r="AM28"/>
  <c r="AO28"/>
  <c r="AY28"/>
  <c r="AO31"/>
  <c r="AY31"/>
  <c r="BE31"/>
  <c r="AV31"/>
  <c r="AM31"/>
  <c r="AV32"/>
  <c r="AM32"/>
  <c r="BE32"/>
  <c r="AY32"/>
  <c r="BK118"/>
  <c r="BF118"/>
  <c r="AW118"/>
  <c r="AJ118"/>
  <c r="AZ118"/>
  <c r="AK118"/>
  <c r="AS118"/>
  <c r="BF7"/>
  <c r="AS83"/>
  <c r="AK83"/>
  <c r="AZ83"/>
  <c r="BA83" s="1"/>
  <c r="BF83"/>
  <c r="BG83" s="1"/>
  <c r="BK83"/>
  <c r="BL83" s="1"/>
  <c r="AW83"/>
  <c r="AX83" s="1"/>
  <c r="AJ83"/>
  <c r="AS84"/>
  <c r="AK84"/>
  <c r="AZ84"/>
  <c r="BA84" s="1"/>
  <c r="BK84"/>
  <c r="BL84" s="1"/>
  <c r="AW84"/>
  <c r="AX84" s="1"/>
  <c r="AJ84"/>
  <c r="BF84"/>
  <c r="BG84" s="1"/>
  <c r="AO21"/>
  <c r="AY21"/>
  <c r="BE21"/>
  <c r="AV21"/>
  <c r="AM21"/>
  <c r="BK36"/>
  <c r="BL36" s="1"/>
  <c r="BF36"/>
  <c r="AS36"/>
  <c r="AK36"/>
  <c r="AZ36"/>
  <c r="AW36"/>
  <c r="AJ36"/>
  <c r="AS11"/>
  <c r="AK11"/>
  <c r="AZ11"/>
  <c r="BA11" s="1"/>
  <c r="AJ11"/>
  <c r="BF11"/>
  <c r="BG11" s="1"/>
  <c r="BK11"/>
  <c r="BL11" s="1"/>
  <c r="AW11"/>
  <c r="AX11" s="1"/>
  <c r="AZ159"/>
  <c r="BK159"/>
  <c r="BL159" s="1"/>
  <c r="BF159"/>
  <c r="AS159"/>
  <c r="AK159"/>
  <c r="AW159"/>
  <c r="AJ159"/>
  <c r="BE27"/>
  <c r="AY27"/>
  <c r="AV27"/>
  <c r="AM27"/>
  <c r="AO72"/>
  <c r="AY72"/>
  <c r="BE72"/>
  <c r="AV72"/>
  <c r="AM72"/>
  <c r="BK150"/>
  <c r="BL150" s="1"/>
  <c r="BF150"/>
  <c r="BG150" s="1"/>
  <c r="AW150"/>
  <c r="AX150" s="1"/>
  <c r="AJ150"/>
  <c r="AZ150"/>
  <c r="BA150" s="1"/>
  <c r="AK150"/>
  <c r="AS150"/>
  <c r="AM94"/>
  <c r="BE94"/>
  <c r="AY94"/>
  <c r="AO94"/>
  <c r="AV94"/>
  <c r="AZ108"/>
  <c r="BA108" s="1"/>
  <c r="AW108"/>
  <c r="AX108" s="1"/>
  <c r="AK108"/>
  <c r="BK108"/>
  <c r="BL108" s="1"/>
  <c r="AS108"/>
  <c r="AJ108"/>
  <c r="BF108"/>
  <c r="BG108" s="1"/>
  <c r="AV155"/>
  <c r="AM155"/>
  <c r="BE155"/>
  <c r="AY155"/>
  <c r="AY150"/>
  <c r="BE150"/>
  <c r="AV150"/>
  <c r="AM150"/>
  <c r="AO150"/>
  <c r="BK101"/>
  <c r="BL101" s="1"/>
  <c r="BF101"/>
  <c r="BG101" s="1"/>
  <c r="AW101"/>
  <c r="AX101" s="1"/>
  <c r="AJ101"/>
  <c r="AS101"/>
  <c r="AZ101"/>
  <c r="BA101" s="1"/>
  <c r="AK101"/>
  <c r="BK93"/>
  <c r="BL93" s="1"/>
  <c r="BF93"/>
  <c r="BG93" s="1"/>
  <c r="AW93"/>
  <c r="AX93" s="1"/>
  <c r="AJ93"/>
  <c r="AK93"/>
  <c r="AZ93"/>
  <c r="BA93" s="1"/>
  <c r="AS93"/>
  <c r="AY89"/>
  <c r="AV89"/>
  <c r="AO89"/>
  <c r="AM89"/>
  <c r="BE89"/>
  <c r="AY9"/>
  <c r="BE9"/>
  <c r="AV9"/>
  <c r="AM9"/>
  <c r="AS87"/>
  <c r="AK87"/>
  <c r="AZ87"/>
  <c r="BA87" s="1"/>
  <c r="BF87"/>
  <c r="BG87" s="1"/>
  <c r="BK87"/>
  <c r="BL87" s="1"/>
  <c r="AW87"/>
  <c r="AX87" s="1"/>
  <c r="AJ87"/>
  <c r="AO52"/>
  <c r="AY52"/>
  <c r="AV52"/>
  <c r="AM52"/>
  <c r="BE52"/>
  <c r="AS78"/>
  <c r="AK78"/>
  <c r="AZ78"/>
  <c r="BA78" s="1"/>
  <c r="AJ78"/>
  <c r="BF78"/>
  <c r="BG78" s="1"/>
  <c r="BK78"/>
  <c r="BL78" s="1"/>
  <c r="AW78"/>
  <c r="AX78" s="1"/>
  <c r="AS23"/>
  <c r="AK23"/>
  <c r="AZ23"/>
  <c r="BA23" s="1"/>
  <c r="BK23"/>
  <c r="BL23" s="1"/>
  <c r="AW23"/>
  <c r="AX23" s="1"/>
  <c r="AJ23"/>
  <c r="BF23"/>
  <c r="BG23" s="1"/>
  <c r="AO22"/>
  <c r="AY22"/>
  <c r="BE22"/>
  <c r="AV22"/>
  <c r="AM22"/>
  <c r="AO130"/>
  <c r="AY130"/>
  <c r="BE130"/>
  <c r="AV130"/>
  <c r="AM130"/>
  <c r="AS14"/>
  <c r="AK14"/>
  <c r="AZ14"/>
  <c r="BA14" s="1"/>
  <c r="BK14"/>
  <c r="BL14" s="1"/>
  <c r="AW14"/>
  <c r="AX14" s="1"/>
  <c r="AJ14"/>
  <c r="BF14"/>
  <c r="BG14" s="1"/>
  <c r="BK98"/>
  <c r="BL98" s="1"/>
  <c r="BF98"/>
  <c r="BG98" s="1"/>
  <c r="AW98"/>
  <c r="AX98" s="1"/>
  <c r="AJ98"/>
  <c r="AS98"/>
  <c r="AZ98"/>
  <c r="BA98" s="1"/>
  <c r="AK98"/>
  <c r="AS49"/>
  <c r="AK49"/>
  <c r="BF49"/>
  <c r="BG49" s="1"/>
  <c r="AZ49"/>
  <c r="BA49" s="1"/>
  <c r="AJ49"/>
  <c r="BK49"/>
  <c r="BL49" s="1"/>
  <c r="AW49"/>
  <c r="AX49" s="1"/>
  <c r="AZ103"/>
  <c r="AS103"/>
  <c r="BK103"/>
  <c r="BL103" s="1"/>
  <c r="AJ103"/>
  <c r="BF103"/>
  <c r="AK103"/>
  <c r="AW103"/>
  <c r="AZ35"/>
  <c r="BA35" s="1"/>
  <c r="BK35"/>
  <c r="BL35" s="1"/>
  <c r="BF35"/>
  <c r="BG35" s="1"/>
  <c r="AW35"/>
  <c r="AX35" s="1"/>
  <c r="AJ35"/>
  <c r="AS35"/>
  <c r="AK35"/>
  <c r="AS81"/>
  <c r="AK81"/>
  <c r="AZ81"/>
  <c r="BA81" s="1"/>
  <c r="BK81"/>
  <c r="BL81" s="1"/>
  <c r="AW81"/>
  <c r="AX81" s="1"/>
  <c r="AJ81"/>
  <c r="BF81"/>
  <c r="BG81" s="1"/>
  <c r="AO69"/>
  <c r="AY69"/>
  <c r="BE69"/>
  <c r="AV69"/>
  <c r="AM69"/>
  <c r="AS67"/>
  <c r="AK67"/>
  <c r="AZ67"/>
  <c r="BA67" s="1"/>
  <c r="AJ67"/>
  <c r="BF67"/>
  <c r="BG67" s="1"/>
  <c r="AW67"/>
  <c r="AX67" s="1"/>
  <c r="BK67"/>
  <c r="BL67" s="1"/>
  <c r="AO12"/>
  <c r="AY12"/>
  <c r="BE12"/>
  <c r="AV12"/>
  <c r="AM12"/>
  <c r="AS140"/>
  <c r="BK140"/>
  <c r="BF140"/>
  <c r="AJ140"/>
  <c r="AV100"/>
  <c r="AY100"/>
  <c r="AO100"/>
  <c r="BE100"/>
  <c r="AM100"/>
  <c r="AS26"/>
  <c r="AK26"/>
  <c r="AZ26"/>
  <c r="BA26" s="1"/>
  <c r="BF26"/>
  <c r="BG26" s="1"/>
  <c r="BK26"/>
  <c r="BL26" s="1"/>
  <c r="AW26"/>
  <c r="AX26" s="1"/>
  <c r="AJ26"/>
  <c r="AO10"/>
  <c r="AY10"/>
  <c r="BE10"/>
  <c r="AV10"/>
  <c r="AM10"/>
  <c r="AZ121"/>
  <c r="BK121"/>
  <c r="BF121"/>
  <c r="AW121"/>
  <c r="AJ121"/>
  <c r="AK121"/>
  <c r="AS121"/>
  <c r="BL5"/>
  <c r="AS86"/>
  <c r="AK86"/>
  <c r="AZ86"/>
  <c r="BA86" s="1"/>
  <c r="BF86"/>
  <c r="BG86" s="1"/>
  <c r="BK86"/>
  <c r="BL86" s="1"/>
  <c r="AW86"/>
  <c r="AX86" s="1"/>
  <c r="AJ86"/>
  <c r="AO17"/>
  <c r="AY17"/>
  <c r="BE17"/>
  <c r="AV17"/>
  <c r="AM17"/>
  <c r="AS48"/>
  <c r="AK48"/>
  <c r="AJ48"/>
  <c r="BK48"/>
  <c r="BL48" s="1"/>
  <c r="AW48"/>
  <c r="AX48" s="1"/>
  <c r="AZ48"/>
  <c r="BA48" s="1"/>
  <c r="BF48"/>
  <c r="BG48" s="1"/>
  <c r="AZ160"/>
  <c r="BK160"/>
  <c r="BL160" s="1"/>
  <c r="BF160"/>
  <c r="AS160"/>
  <c r="AK160"/>
  <c r="AJ160"/>
  <c r="AW160"/>
  <c r="AS88"/>
  <c r="AK88"/>
  <c r="AZ88"/>
  <c r="BA88" s="1"/>
  <c r="BK88"/>
  <c r="BL88" s="1"/>
  <c r="AW88"/>
  <c r="AX88" s="1"/>
  <c r="AJ88"/>
  <c r="BF88"/>
  <c r="BG88" s="1"/>
  <c r="AO75"/>
  <c r="AY75"/>
  <c r="BE75"/>
  <c r="AV75"/>
  <c r="AM75"/>
  <c r="AS68"/>
  <c r="AK68"/>
  <c r="AZ68"/>
  <c r="BA68" s="1"/>
  <c r="BF68"/>
  <c r="BG68" s="1"/>
  <c r="BK68"/>
  <c r="BL68" s="1"/>
  <c r="AW68"/>
  <c r="AX68" s="1"/>
  <c r="AJ68"/>
  <c r="AS70"/>
  <c r="AK70"/>
  <c r="AZ70"/>
  <c r="BA70" s="1"/>
  <c r="BK70"/>
  <c r="BL70" s="1"/>
  <c r="AW70"/>
  <c r="AX70" s="1"/>
  <c r="AJ70"/>
  <c r="BF70"/>
  <c r="BG70" s="1"/>
  <c r="AO83"/>
  <c r="AY83"/>
  <c r="BE83"/>
  <c r="AV83"/>
  <c r="AM83"/>
  <c r="AO84"/>
  <c r="AY84"/>
  <c r="BE84"/>
  <c r="AV84"/>
  <c r="AM84"/>
  <c r="AY36"/>
  <c r="AV36"/>
  <c r="AM36"/>
  <c r="BE36"/>
  <c r="AO11"/>
  <c r="AY11"/>
  <c r="BE11"/>
  <c r="AV11"/>
  <c r="AM11"/>
  <c r="BB168"/>
  <c r="AL140"/>
  <c r="BH168"/>
  <c r="BK104"/>
  <c r="BL104" s="1"/>
  <c r="AZ104"/>
  <c r="BA104" s="1"/>
  <c r="AS104"/>
  <c r="AK104"/>
  <c r="BF104"/>
  <c r="BG104" s="1"/>
  <c r="AW104"/>
  <c r="AX104" s="1"/>
  <c r="AJ104"/>
  <c r="AW27"/>
  <c r="AJ27"/>
  <c r="BK27"/>
  <c r="BL27" s="1"/>
  <c r="BF27"/>
  <c r="AS27"/>
  <c r="AK27"/>
  <c r="AZ27"/>
  <c r="AO15"/>
  <c r="AY15"/>
  <c r="BE15"/>
  <c r="AV15"/>
  <c r="AM15"/>
  <c r="BK96"/>
  <c r="BL96" s="1"/>
  <c r="BF96"/>
  <c r="BG96" s="1"/>
  <c r="AW96"/>
  <c r="AX96" s="1"/>
  <c r="AJ96"/>
  <c r="AZ96"/>
  <c r="BA96" s="1"/>
  <c r="AK96"/>
  <c r="AS96"/>
  <c r="AS72"/>
  <c r="AK72"/>
  <c r="AZ72"/>
  <c r="BA72" s="1"/>
  <c r="BF72"/>
  <c r="BG72" s="1"/>
  <c r="BK72"/>
  <c r="BL72" s="1"/>
  <c r="AW72"/>
  <c r="AX72" s="1"/>
  <c r="AJ72"/>
  <c r="AO20"/>
  <c r="AY20"/>
  <c r="BE20"/>
  <c r="AV20"/>
  <c r="AM20"/>
  <c r="BK94"/>
  <c r="BL94" s="1"/>
  <c r="BF94"/>
  <c r="BG94" s="1"/>
  <c r="AW94"/>
  <c r="AX94" s="1"/>
  <c r="AJ94"/>
  <c r="AS94"/>
  <c r="AZ94"/>
  <c r="BA94" s="1"/>
  <c r="AK94"/>
  <c r="BF89"/>
  <c r="BG89" s="1"/>
  <c r="AJ89"/>
  <c r="AW89"/>
  <c r="AX89" s="1"/>
  <c r="AK89"/>
  <c r="BK89"/>
  <c r="BL89" s="1"/>
  <c r="AS89"/>
  <c r="AZ89"/>
  <c r="BA89" s="1"/>
  <c r="AY104"/>
  <c r="AM104"/>
  <c r="BE104"/>
  <c r="AV104"/>
  <c r="AO104"/>
  <c r="BK155"/>
  <c r="BL155" s="1"/>
  <c r="BF155"/>
  <c r="AS155"/>
  <c r="AK155"/>
  <c r="AZ155"/>
  <c r="AJ155"/>
  <c r="AW155"/>
  <c r="AM93"/>
  <c r="AV93"/>
  <c r="BE93"/>
  <c r="AY93"/>
  <c r="AO93"/>
  <c r="AS64"/>
  <c r="AK64"/>
  <c r="AZ64"/>
  <c r="BA64" s="1"/>
  <c r="AJ64"/>
  <c r="BF64"/>
  <c r="BG64" s="1"/>
  <c r="AW64"/>
  <c r="AX64" s="1"/>
  <c r="BK64"/>
  <c r="BL64" s="1"/>
  <c r="AS15"/>
  <c r="AK15"/>
  <c r="AZ15"/>
  <c r="BA15" s="1"/>
  <c r="BF15"/>
  <c r="BG15" s="1"/>
  <c r="BK15"/>
  <c r="BL15" s="1"/>
  <c r="AW15"/>
  <c r="AX15" s="1"/>
  <c r="AJ15"/>
  <c r="AO64"/>
  <c r="AY64"/>
  <c r="BE64"/>
  <c r="AV64"/>
  <c r="AM64"/>
  <c r="AV96"/>
  <c r="AY96"/>
  <c r="AO96"/>
  <c r="BE96"/>
  <c r="AM96"/>
  <c r="AS20"/>
  <c r="AK20"/>
  <c r="AZ20"/>
  <c r="BA20" s="1"/>
  <c r="BK20"/>
  <c r="BL20" s="1"/>
  <c r="AW20"/>
  <c r="AX20" s="1"/>
  <c r="AJ20"/>
  <c r="BF20"/>
  <c r="BG20" s="1"/>
  <c r="AV101"/>
  <c r="AM101"/>
  <c r="AO101"/>
  <c r="BE101"/>
  <c r="AY101"/>
  <c r="BE108"/>
  <c r="AV108"/>
  <c r="AM108"/>
  <c r="AY108"/>
  <c r="AO108"/>
  <c r="AS122"/>
  <c r="AK122"/>
  <c r="AZ122"/>
  <c r="BA122" s="1"/>
  <c r="BF122"/>
  <c r="BG122" s="1"/>
  <c r="BK122"/>
  <c r="BL122" s="1"/>
  <c r="AW122"/>
  <c r="AX122" s="1"/>
  <c r="AJ122"/>
  <c r="AO87"/>
  <c r="AY87"/>
  <c r="BE87"/>
  <c r="AV87"/>
  <c r="AM87"/>
  <c r="AZ33"/>
  <c r="BA33" s="1"/>
  <c r="BK33"/>
  <c r="BL33" s="1"/>
  <c r="BF33"/>
  <c r="BG33" s="1"/>
  <c r="AW33"/>
  <c r="AX33" s="1"/>
  <c r="AJ33"/>
  <c r="AS33"/>
  <c r="AK33"/>
  <c r="AS41"/>
  <c r="AK41"/>
  <c r="BF41"/>
  <c r="BG41" s="1"/>
  <c r="AZ41"/>
  <c r="BA41" s="1"/>
  <c r="AJ41"/>
  <c r="BK41"/>
  <c r="BL41" s="1"/>
  <c r="AW41"/>
  <c r="AX41" s="1"/>
  <c r="AO78"/>
  <c r="AY78"/>
  <c r="BE78"/>
  <c r="AV78"/>
  <c r="AM78"/>
  <c r="AO23"/>
  <c r="AY23"/>
  <c r="BE23"/>
  <c r="AV23"/>
  <c r="AM23"/>
  <c r="AS13"/>
  <c r="AK13"/>
  <c r="AZ13"/>
  <c r="BA13" s="1"/>
  <c r="BF13"/>
  <c r="BG13" s="1"/>
  <c r="BK13"/>
  <c r="BL13" s="1"/>
  <c r="AW13"/>
  <c r="AX13" s="1"/>
  <c r="AJ13"/>
  <c r="AS19"/>
  <c r="AK19"/>
  <c r="AZ19"/>
  <c r="BA19" s="1"/>
  <c r="BF19"/>
  <c r="BG19" s="1"/>
  <c r="BK19"/>
  <c r="BL19" s="1"/>
  <c r="AW19"/>
  <c r="AX19" s="1"/>
  <c r="AJ19"/>
  <c r="AS106"/>
  <c r="AK106"/>
  <c r="BF106"/>
  <c r="BG106" s="1"/>
  <c r="AZ106"/>
  <c r="BA106" s="1"/>
  <c r="AJ106"/>
  <c r="BK106"/>
  <c r="BL106" s="1"/>
  <c r="AW106"/>
  <c r="AX106" s="1"/>
  <c r="AO14"/>
  <c r="AY14"/>
  <c r="BE14"/>
  <c r="AV14"/>
  <c r="AM14"/>
  <c r="AM98"/>
  <c r="BE98"/>
  <c r="AY98"/>
  <c r="AO98"/>
  <c r="AV98"/>
  <c r="AO49"/>
  <c r="AY49"/>
  <c r="AV49"/>
  <c r="AM49"/>
  <c r="BE49"/>
  <c r="AW30"/>
  <c r="AV152"/>
  <c r="AM152"/>
  <c r="BE152"/>
  <c r="AY152"/>
  <c r="BK129"/>
  <c r="AW129"/>
  <c r="AK129"/>
  <c r="AO81"/>
  <c r="AY81"/>
  <c r="BE81"/>
  <c r="AV81"/>
  <c r="AM81"/>
  <c r="AY8"/>
  <c r="BE8"/>
  <c r="AV8"/>
  <c r="AM8"/>
  <c r="AO67"/>
  <c r="AY67"/>
  <c r="BE67"/>
  <c r="AV67"/>
  <c r="AM67"/>
  <c r="AV153"/>
  <c r="AM153"/>
  <c r="BE153"/>
  <c r="AY153"/>
  <c r="AO140"/>
  <c r="AV140"/>
  <c r="BE140"/>
  <c r="BK100"/>
  <c r="BL100" s="1"/>
  <c r="BF100"/>
  <c r="BG100" s="1"/>
  <c r="AW100"/>
  <c r="AX100" s="1"/>
  <c r="AJ100"/>
  <c r="AZ100"/>
  <c r="BA100" s="1"/>
  <c r="AK100"/>
  <c r="AS100"/>
  <c r="AS57"/>
  <c r="AK57"/>
  <c r="BF57"/>
  <c r="BG57" s="1"/>
  <c r="AZ57"/>
  <c r="BA57" s="1"/>
  <c r="AJ57"/>
  <c r="BK57"/>
  <c r="BL57" s="1"/>
  <c r="AW57"/>
  <c r="AX57" s="1"/>
  <c r="AS65"/>
  <c r="AK65"/>
  <c r="AZ65"/>
  <c r="BA65" s="1"/>
  <c r="BF65"/>
  <c r="BG65" s="1"/>
  <c r="BK65"/>
  <c r="BL65" s="1"/>
  <c r="AW65"/>
  <c r="AX65" s="1"/>
  <c r="AJ65"/>
  <c r="AS44"/>
  <c r="AK44"/>
  <c r="AJ44"/>
  <c r="BK44"/>
  <c r="BL44" s="1"/>
  <c r="AW44"/>
  <c r="AX44" s="1"/>
  <c r="AZ44"/>
  <c r="BA44" s="1"/>
  <c r="BF44"/>
  <c r="BG44" s="1"/>
  <c r="AS82"/>
  <c r="AK82"/>
  <c r="AZ82"/>
  <c r="BA82" s="1"/>
  <c r="BF82"/>
  <c r="BG82" s="1"/>
  <c r="BK82"/>
  <c r="BL82" s="1"/>
  <c r="AW82"/>
  <c r="AX82" s="1"/>
  <c r="AJ82"/>
  <c r="AO26"/>
  <c r="AY26"/>
  <c r="BE26"/>
  <c r="AV26"/>
  <c r="AM26"/>
  <c r="AS80"/>
  <c r="AK80"/>
  <c r="AZ80"/>
  <c r="BA80" s="1"/>
  <c r="BF80"/>
  <c r="BG80" s="1"/>
  <c r="BK80"/>
  <c r="BL80" s="1"/>
  <c r="AW80"/>
  <c r="AX80" s="1"/>
  <c r="AJ80"/>
  <c r="BE29"/>
  <c r="AV29"/>
  <c r="AM29"/>
  <c r="AO29"/>
  <c r="AY29"/>
  <c r="AZ123"/>
  <c r="BK123"/>
  <c r="BF123"/>
  <c r="AW123"/>
  <c r="AJ123"/>
  <c r="AS123"/>
  <c r="AK123"/>
  <c r="AS76"/>
  <c r="AK76"/>
  <c r="AZ76"/>
  <c r="BA76" s="1"/>
  <c r="BF76"/>
  <c r="BG76" s="1"/>
  <c r="BK76"/>
  <c r="BL76" s="1"/>
  <c r="AW76"/>
  <c r="AX76" s="1"/>
  <c r="AJ76"/>
  <c r="BK92"/>
  <c r="BL92" s="1"/>
  <c r="BF92"/>
  <c r="BG92" s="1"/>
  <c r="AW92"/>
  <c r="AX92" s="1"/>
  <c r="AJ92"/>
  <c r="AK92"/>
  <c r="AZ92"/>
  <c r="BA92" s="1"/>
  <c r="AS92"/>
  <c r="AX5"/>
  <c r="AS73"/>
  <c r="AK73"/>
  <c r="AZ73"/>
  <c r="BA73" s="1"/>
  <c r="BK73"/>
  <c r="BL73" s="1"/>
  <c r="AW73"/>
  <c r="AX73" s="1"/>
  <c r="AJ73"/>
  <c r="BF73"/>
  <c r="BG73" s="1"/>
  <c r="AO86"/>
  <c r="AY86"/>
  <c r="BE86"/>
  <c r="AV86"/>
  <c r="AM86"/>
  <c r="AS25"/>
  <c r="AK25"/>
  <c r="AZ25"/>
  <c r="BA25" s="1"/>
  <c r="BF25"/>
  <c r="BG25" s="1"/>
  <c r="BK25"/>
  <c r="BL25" s="1"/>
  <c r="AW25"/>
  <c r="AX25" s="1"/>
  <c r="AJ25"/>
  <c r="AO48"/>
  <c r="AY48"/>
  <c r="AV48"/>
  <c r="AM48"/>
  <c r="BE48"/>
  <c r="AO88"/>
  <c r="AY88"/>
  <c r="BE88"/>
  <c r="AV88"/>
  <c r="AM88"/>
  <c r="AS24"/>
  <c r="AK24"/>
  <c r="AZ24"/>
  <c r="BA24" s="1"/>
  <c r="AJ24"/>
  <c r="BF24"/>
  <c r="BG24" s="1"/>
  <c r="BK24"/>
  <c r="BL24" s="1"/>
  <c r="AW24"/>
  <c r="AX24" s="1"/>
  <c r="AO68"/>
  <c r="AY68"/>
  <c r="BE68"/>
  <c r="AV68"/>
  <c r="AM68"/>
  <c r="AZ28"/>
  <c r="BA28" s="1"/>
  <c r="BK28"/>
  <c r="BL28" s="1"/>
  <c r="BF28"/>
  <c r="BG28" s="1"/>
  <c r="AW28"/>
  <c r="AX28" s="1"/>
  <c r="AJ28"/>
  <c r="AS28"/>
  <c r="AK28"/>
  <c r="AS74"/>
  <c r="AK74"/>
  <c r="AZ74"/>
  <c r="BA74" s="1"/>
  <c r="AJ74"/>
  <c r="BF74"/>
  <c r="BG74" s="1"/>
  <c r="AW74"/>
  <c r="AX74" s="1"/>
  <c r="BK74"/>
  <c r="BL74" s="1"/>
  <c r="AZ32"/>
  <c r="AW32"/>
  <c r="AJ32"/>
  <c r="BK32"/>
  <c r="BL32" s="1"/>
  <c r="BF32"/>
  <c r="AS32"/>
  <c r="AK32"/>
  <c r="AO70"/>
  <c r="AY70"/>
  <c r="BE70"/>
  <c r="AV70"/>
  <c r="AM70"/>
  <c r="AY125"/>
  <c r="AV125"/>
  <c r="AM125"/>
  <c r="BE125"/>
  <c r="BK90"/>
  <c r="BL90" s="1"/>
  <c r="BF90"/>
  <c r="BG90" s="1"/>
  <c r="AW90"/>
  <c r="AX90" s="1"/>
  <c r="AJ90"/>
  <c r="AS90"/>
  <c r="AK90"/>
  <c r="AZ90"/>
  <c r="BA90" s="1"/>
  <c r="BM168"/>
  <c r="AM140" l="1"/>
  <c r="AY140"/>
  <c r="BA140" s="1"/>
  <c r="AS129"/>
  <c r="AJ129"/>
  <c r="BF129"/>
  <c r="BL121"/>
  <c r="AZ140"/>
  <c r="AW140"/>
  <c r="AX140" s="1"/>
  <c r="AM129"/>
  <c r="BE149"/>
  <c r="BK7"/>
  <c r="AW7"/>
  <c r="AK7"/>
  <c r="AZ7"/>
  <c r="BF139"/>
  <c r="AS7"/>
  <c r="BF125"/>
  <c r="BJ148"/>
  <c r="BJ136"/>
  <c r="BP136"/>
  <c r="BJ117"/>
  <c r="BP117"/>
  <c r="BJ7"/>
  <c r="BP7"/>
  <c r="BJ156"/>
  <c r="BP156"/>
  <c r="BJ151"/>
  <c r="BP151"/>
  <c r="BJ138"/>
  <c r="BP138"/>
  <c r="BJ149"/>
  <c r="BP149"/>
  <c r="BJ161"/>
  <c r="BP161"/>
  <c r="BJ139"/>
  <c r="BP139"/>
  <c r="BJ34"/>
  <c r="BP34"/>
  <c r="BJ30"/>
  <c r="BP30"/>
  <c r="BJ129"/>
  <c r="BL129" s="1"/>
  <c r="BP129"/>
  <c r="BJ154"/>
  <c r="BJ4"/>
  <c r="BP4"/>
  <c r="BJ131"/>
  <c r="BP131"/>
  <c r="BJ114"/>
  <c r="BP114"/>
  <c r="BJ142"/>
  <c r="BP142"/>
  <c r="BJ157"/>
  <c r="BP157"/>
  <c r="BJ134"/>
  <c r="BP134"/>
  <c r="BJ141"/>
  <c r="BP141"/>
  <c r="AW134"/>
  <c r="D50" i="6"/>
  <c r="D66"/>
  <c r="D95" s="1"/>
  <c r="D104" s="1"/>
  <c r="AS134" i="2"/>
  <c r="AY142"/>
  <c r="BE157"/>
  <c r="AM134"/>
  <c r="AM141"/>
  <c r="AY114"/>
  <c r="BK30"/>
  <c r="BL30" s="1"/>
  <c r="AJ138"/>
  <c r="AM151"/>
  <c r="AM138"/>
  <c r="AV154"/>
  <c r="BK138"/>
  <c r="BL138" s="1"/>
  <c r="AV161"/>
  <c r="BA159"/>
  <c r="AL139"/>
  <c r="BJ115"/>
  <c r="BF154"/>
  <c r="BK114"/>
  <c r="BL114" s="1"/>
  <c r="AM7"/>
  <c r="BA27"/>
  <c r="BF114"/>
  <c r="BG114" s="1"/>
  <c r="BK154"/>
  <c r="AJ125"/>
  <c r="AW34"/>
  <c r="AJ158"/>
  <c r="AZ30"/>
  <c r="AZ134"/>
  <c r="AY134"/>
  <c r="AS30"/>
  <c r="AM142"/>
  <c r="BE141"/>
  <c r="AJ134"/>
  <c r="AK134"/>
  <c r="AK141"/>
  <c r="AY157"/>
  <c r="AV114"/>
  <c r="AW154"/>
  <c r="AW114"/>
  <c r="AX114" s="1"/>
  <c r="BF30"/>
  <c r="AO139"/>
  <c r="AY141"/>
  <c r="BK134"/>
  <c r="BL134" s="1"/>
  <c r="AW141"/>
  <c r="AV157"/>
  <c r="BE114"/>
  <c r="AZ154"/>
  <c r="AS114"/>
  <c r="BE134"/>
  <c r="AV134"/>
  <c r="AK30"/>
  <c r="AV141"/>
  <c r="AX103"/>
  <c r="BF134"/>
  <c r="AZ141"/>
  <c r="AM157"/>
  <c r="AK154"/>
  <c r="AZ114"/>
  <c r="BA114" s="1"/>
  <c r="AS142"/>
  <c r="BE7"/>
  <c r="BG7" s="1"/>
  <c r="AV7"/>
  <c r="AX7" s="1"/>
  <c r="AZ125"/>
  <c r="BA125" s="1"/>
  <c r="AW125"/>
  <c r="AX125" s="1"/>
  <c r="AY7"/>
  <c r="AS125"/>
  <c r="BK125"/>
  <c r="BL125" s="1"/>
  <c r="BF156"/>
  <c r="AK125"/>
  <c r="AJ7"/>
  <c r="BK148"/>
  <c r="AS149"/>
  <c r="AS34"/>
  <c r="AW158"/>
  <c r="AX158" s="1"/>
  <c r="AM139"/>
  <c r="AV34"/>
  <c r="AZ158"/>
  <c r="BA158" s="1"/>
  <c r="BK158"/>
  <c r="BL158" s="1"/>
  <c r="AZ148"/>
  <c r="BK34"/>
  <c r="BL34" s="1"/>
  <c r="AK158"/>
  <c r="BF158"/>
  <c r="BG158" s="1"/>
  <c r="BE148"/>
  <c r="AM30"/>
  <c r="AS158"/>
  <c r="AS138"/>
  <c r="AJ30"/>
  <c r="AV151"/>
  <c r="AZ138"/>
  <c r="AK138"/>
  <c r="AY138"/>
  <c r="AV139"/>
  <c r="AX139" s="1"/>
  <c r="BE161"/>
  <c r="AY34"/>
  <c r="AY136"/>
  <c r="AV30"/>
  <c r="AX30" s="1"/>
  <c r="AM149"/>
  <c r="BF34"/>
  <c r="AZ34"/>
  <c r="AW136"/>
  <c r="AY151"/>
  <c r="AW138"/>
  <c r="AV138"/>
  <c r="BE139"/>
  <c r="BG139" s="1"/>
  <c r="AM161"/>
  <c r="AM34"/>
  <c r="BE30"/>
  <c r="AY149"/>
  <c r="AK34"/>
  <c r="AJ34"/>
  <c r="BE151"/>
  <c r="BF138"/>
  <c r="BE138"/>
  <c r="AY139"/>
  <c r="AY161"/>
  <c r="BE34"/>
  <c r="AY30"/>
  <c r="AV149"/>
  <c r="BF149"/>
  <c r="AJ151"/>
  <c r="AJ161"/>
  <c r="BF157"/>
  <c r="BG157" s="1"/>
  <c r="AS157"/>
  <c r="AW157"/>
  <c r="AK161"/>
  <c r="BG32"/>
  <c r="AK157"/>
  <c r="BK161"/>
  <c r="BL161" s="1"/>
  <c r="AV156"/>
  <c r="AZ157"/>
  <c r="BK157"/>
  <c r="BL157" s="1"/>
  <c r="BE131"/>
  <c r="AJ157"/>
  <c r="BK151"/>
  <c r="BL151" s="1"/>
  <c r="AS139"/>
  <c r="AY117"/>
  <c r="BF161"/>
  <c r="BG161" s="1"/>
  <c r="AY154"/>
  <c r="BK139"/>
  <c r="BL139" s="1"/>
  <c r="BE117"/>
  <c r="AJ154"/>
  <c r="AZ161"/>
  <c r="AJ139"/>
  <c r="AL141"/>
  <c r="BF117"/>
  <c r="AS161"/>
  <c r="BE154"/>
  <c r="AV4"/>
  <c r="BE142"/>
  <c r="AK142"/>
  <c r="AZ139"/>
  <c r="AK139"/>
  <c r="AV117"/>
  <c r="AJ141"/>
  <c r="BK141"/>
  <c r="AJ114"/>
  <c r="AL149"/>
  <c r="BK131"/>
  <c r="BL131" s="1"/>
  <c r="BK117"/>
  <c r="BL117" s="1"/>
  <c r="AW161"/>
  <c r="AX32"/>
  <c r="BG123"/>
  <c r="AM154"/>
  <c r="AV142"/>
  <c r="BG118"/>
  <c r="AM117"/>
  <c r="BF141"/>
  <c r="AM114"/>
  <c r="AS154"/>
  <c r="BF151"/>
  <c r="AK114"/>
  <c r="AM156"/>
  <c r="AY131"/>
  <c r="AS156"/>
  <c r="AW149"/>
  <c r="BF131"/>
  <c r="BG131" s="1"/>
  <c r="BA123"/>
  <c r="AY156"/>
  <c r="AV131"/>
  <c r="AJ156"/>
  <c r="BE156"/>
  <c r="AM131"/>
  <c r="AK117"/>
  <c r="AJ131"/>
  <c r="AK4"/>
  <c r="AL142"/>
  <c r="AS131"/>
  <c r="AZ131"/>
  <c r="BA32"/>
  <c r="AO138"/>
  <c r="AJ142"/>
  <c r="BK142"/>
  <c r="BL142" s="1"/>
  <c r="AZ117"/>
  <c r="BK4"/>
  <c r="BL4" s="1"/>
  <c r="AS151"/>
  <c r="AK149"/>
  <c r="AW142"/>
  <c r="AS117"/>
  <c r="AW117"/>
  <c r="BF4"/>
  <c r="AK151"/>
  <c r="AZ151"/>
  <c r="AZ149"/>
  <c r="BK149"/>
  <c r="BL149" s="1"/>
  <c r="AK131"/>
  <c r="AW131"/>
  <c r="AM148"/>
  <c r="AV148"/>
  <c r="AY148"/>
  <c r="BF142"/>
  <c r="AJ117"/>
  <c r="AW151"/>
  <c r="AJ149"/>
  <c r="BF136"/>
  <c r="AZ4"/>
  <c r="AM4"/>
  <c r="BG27"/>
  <c r="AX159"/>
  <c r="AX118"/>
  <c r="AW4"/>
  <c r="AJ4"/>
  <c r="BE4"/>
  <c r="BA129"/>
  <c r="AY4"/>
  <c r="AS4"/>
  <c r="AJ148"/>
  <c r="BK136"/>
  <c r="BL136" s="1"/>
  <c r="AS136"/>
  <c r="BE136"/>
  <c r="AK156"/>
  <c r="AK148"/>
  <c r="BF148"/>
  <c r="AJ136"/>
  <c r="AZ136"/>
  <c r="AV136"/>
  <c r="AZ156"/>
  <c r="BK156"/>
  <c r="BL156" s="1"/>
  <c r="AS148"/>
  <c r="AW148"/>
  <c r="AL148"/>
  <c r="AK136"/>
  <c r="AM136"/>
  <c r="AW156"/>
  <c r="F12" i="6"/>
  <c r="F42" s="1"/>
  <c r="F69" s="1"/>
  <c r="E42"/>
  <c r="E69" s="1"/>
  <c r="E98" s="1"/>
  <c r="AX123" i="2"/>
  <c r="AX155"/>
  <c r="BJ137"/>
  <c r="K27" i="3"/>
  <c r="M27" s="1"/>
  <c r="O27" s="1"/>
  <c r="J29"/>
  <c r="L29" s="1"/>
  <c r="N29" s="1"/>
  <c r="M26"/>
  <c r="O26" s="1"/>
  <c r="L28"/>
  <c r="N28" s="1"/>
  <c r="BJ135" i="2"/>
  <c r="BJ116"/>
  <c r="BK116"/>
  <c r="AS116"/>
  <c r="AW116"/>
  <c r="AK116"/>
  <c r="AZ116"/>
  <c r="AJ116"/>
  <c r="BF116"/>
  <c r="AW120"/>
  <c r="AK120"/>
  <c r="BF120"/>
  <c r="AZ120"/>
  <c r="BK120"/>
  <c r="AS120"/>
  <c r="AJ120"/>
  <c r="AZ127"/>
  <c r="BK127"/>
  <c r="AK127"/>
  <c r="AJ127"/>
  <c r="AS127"/>
  <c r="AW127"/>
  <c r="BF127"/>
  <c r="AV137"/>
  <c r="AM137"/>
  <c r="AY137"/>
  <c r="BE137"/>
  <c r="BJ119"/>
  <c r="AW135"/>
  <c r="AK135"/>
  <c r="AZ135"/>
  <c r="AS135"/>
  <c r="BF135"/>
  <c r="BK135"/>
  <c r="AJ135"/>
  <c r="BJ6"/>
  <c r="AM6"/>
  <c r="AY6"/>
  <c r="AV6"/>
  <c r="BE6"/>
  <c r="BE115"/>
  <c r="AM115"/>
  <c r="AV115"/>
  <c r="AY115"/>
  <c r="AV116"/>
  <c r="AY116"/>
  <c r="BE116"/>
  <c r="AM116"/>
  <c r="AY119"/>
  <c r="AM119"/>
  <c r="AV119"/>
  <c r="BE119"/>
  <c r="AV120"/>
  <c r="AY120"/>
  <c r="BE120"/>
  <c r="AM120"/>
  <c r="BF133"/>
  <c r="AW133"/>
  <c r="AZ133"/>
  <c r="AS133"/>
  <c r="AK133"/>
  <c r="AJ133"/>
  <c r="AJ6"/>
  <c r="BF6"/>
  <c r="AW6"/>
  <c r="AZ6"/>
  <c r="BA6" s="1"/>
  <c r="AK6"/>
  <c r="AS6"/>
  <c r="BK6"/>
  <c r="AS115"/>
  <c r="AJ115"/>
  <c r="AZ115"/>
  <c r="AK115"/>
  <c r="BF115"/>
  <c r="BK115"/>
  <c r="AW115"/>
  <c r="BE133"/>
  <c r="BJ133"/>
  <c r="AV133"/>
  <c r="AM133"/>
  <c r="AY133"/>
  <c r="AM135"/>
  <c r="AY135"/>
  <c r="BE135"/>
  <c r="AV135"/>
  <c r="AS119"/>
  <c r="AK119"/>
  <c r="AJ119"/>
  <c r="BF119"/>
  <c r="AZ119"/>
  <c r="AW119"/>
  <c r="AX119" s="1"/>
  <c r="BK119"/>
  <c r="BL119" s="1"/>
  <c r="BJ127"/>
  <c r="AM127"/>
  <c r="AV127"/>
  <c r="BE127"/>
  <c r="AY127"/>
  <c r="AS137"/>
  <c r="AZ137"/>
  <c r="BF137"/>
  <c r="BK137"/>
  <c r="AW137"/>
  <c r="AK137"/>
  <c r="AJ137"/>
  <c r="BJ120"/>
  <c r="BK133"/>
  <c r="BG129"/>
  <c r="BG155"/>
  <c r="BG103"/>
  <c r="BA103"/>
  <c r="BG160"/>
  <c r="BG159"/>
  <c r="AZ34" i="7"/>
  <c r="BA160" i="2"/>
  <c r="BA155"/>
  <c r="AX160"/>
  <c r="AX153"/>
  <c r="BA152"/>
  <c r="BG153"/>
  <c r="AX152"/>
  <c r="BG152"/>
  <c r="BA153"/>
  <c r="BG121"/>
  <c r="BL123"/>
  <c r="AX27"/>
  <c r="AX129"/>
  <c r="BA121"/>
  <c r="AX121"/>
  <c r="BA118"/>
  <c r="BL118"/>
  <c r="BA142"/>
  <c r="BG125"/>
  <c r="BL7"/>
  <c r="AX141"/>
  <c r="BG8"/>
  <c r="BA9"/>
  <c r="BG140"/>
  <c r="AX8"/>
  <c r="BG9"/>
  <c r="BA36"/>
  <c r="BA8"/>
  <c r="BL9"/>
  <c r="BL140"/>
  <c r="AX36"/>
  <c r="BG36"/>
  <c r="BL8"/>
  <c r="AX9"/>
  <c r="BL154"/>
  <c r="BG149" l="1"/>
  <c r="BL148"/>
  <c r="BA7"/>
  <c r="AX134"/>
  <c r="BL141"/>
  <c r="D75" i="6"/>
  <c r="AX154" i="2"/>
  <c r="F98" i="6"/>
  <c r="AX161" i="2"/>
  <c r="AX34"/>
  <c r="AX131"/>
  <c r="BG151"/>
  <c r="BA141"/>
  <c r="BG154"/>
  <c r="BG30"/>
  <c r="BA134"/>
  <c r="BA157"/>
  <c r="BA34"/>
  <c r="BG134"/>
  <c r="BG141"/>
  <c r="BA117"/>
  <c r="BG156"/>
  <c r="BA154"/>
  <c r="BA30"/>
  <c r="BG4"/>
  <c r="BA156"/>
  <c r="AX157"/>
  <c r="BA149"/>
  <c r="AX149"/>
  <c r="BA139"/>
  <c r="AX138"/>
  <c r="BG34"/>
  <c r="BG142"/>
  <c r="BA151"/>
  <c r="BA161"/>
  <c r="BA148"/>
  <c r="BA131"/>
  <c r="BA136"/>
  <c r="AX4"/>
  <c r="BG138"/>
  <c r="BA138"/>
  <c r="BG148"/>
  <c r="AX151"/>
  <c r="AX136"/>
  <c r="BG117"/>
  <c r="AX156"/>
  <c r="AX117"/>
  <c r="AX148"/>
  <c r="BA4"/>
  <c r="AX142"/>
  <c r="BG137"/>
  <c r="BG136"/>
  <c r="BL137"/>
  <c r="AX137"/>
  <c r="BL6"/>
  <c r="AX6"/>
  <c r="BG115"/>
  <c r="BL135"/>
  <c r="BL133"/>
  <c r="BA137"/>
  <c r="BL116"/>
  <c r="J30" i="3"/>
  <c r="L30" s="1"/>
  <c r="N30" s="1"/>
  <c r="K28"/>
  <c r="BA119" i="2"/>
  <c r="BG119"/>
  <c r="AX133"/>
  <c r="BG120"/>
  <c r="BA133"/>
  <c r="BG135"/>
  <c r="AX135"/>
  <c r="BA127"/>
  <c r="BA120"/>
  <c r="BG116"/>
  <c r="AX116"/>
  <c r="BL115"/>
  <c r="AX127"/>
  <c r="BL127"/>
  <c r="BL120"/>
  <c r="AX120"/>
  <c r="AX115"/>
  <c r="BA115"/>
  <c r="BG6"/>
  <c r="BG133"/>
  <c r="BA135"/>
  <c r="BG127"/>
  <c r="BA116"/>
  <c r="K29" i="3" l="1"/>
  <c r="M29" s="1"/>
  <c r="O29" s="1"/>
  <c r="M28"/>
  <c r="O28" s="1"/>
  <c r="J31"/>
  <c r="L31" l="1"/>
  <c r="N31" s="1"/>
  <c r="V144" i="2"/>
  <c r="V145"/>
  <c r="V147"/>
  <c r="V146"/>
  <c r="V143"/>
  <c r="J32" i="3"/>
  <c r="K30"/>
  <c r="M30" l="1"/>
  <c r="O30" s="1"/>
  <c r="AD146" i="2"/>
  <c r="AN146"/>
  <c r="AC146"/>
  <c r="AP146"/>
  <c r="AB146"/>
  <c r="U146"/>
  <c r="AN144"/>
  <c r="AB144"/>
  <c r="AD144"/>
  <c r="AP144"/>
  <c r="AC144"/>
  <c r="U144"/>
  <c r="AN145"/>
  <c r="AP145"/>
  <c r="AB145"/>
  <c r="AC145"/>
  <c r="AD145"/>
  <c r="U145"/>
  <c r="AB143"/>
  <c r="V164" a="1"/>
  <c r="V164" s="1"/>
  <c r="AC143"/>
  <c r="AN143"/>
  <c r="V167" a="1"/>
  <c r="V167" s="1"/>
  <c r="AP143"/>
  <c r="AD143"/>
  <c r="V166" a="1"/>
  <c r="V166" s="1"/>
  <c r="U143"/>
  <c r="V165" a="1"/>
  <c r="V165" s="1"/>
  <c r="L32" i="3"/>
  <c r="N32" s="1"/>
  <c r="J33"/>
  <c r="K31"/>
  <c r="AD147" i="2"/>
  <c r="AC147"/>
  <c r="AN147"/>
  <c r="U147"/>
  <c r="AB147"/>
  <c r="AP147"/>
  <c r="AE147" l="1"/>
  <c r="BO147" s="1"/>
  <c r="AI147"/>
  <c r="AG147"/>
  <c r="AF147"/>
  <c r="BP147" s="1"/>
  <c r="AH147"/>
  <c r="AE143"/>
  <c r="BO143" s="1"/>
  <c r="AH143"/>
  <c r="AF143"/>
  <c r="BP143" s="1"/>
  <c r="AI143"/>
  <c r="AG143"/>
  <c r="AN167"/>
  <c r="AC167"/>
  <c r="AB167"/>
  <c r="J34" i="3"/>
  <c r="AC164" i="2"/>
  <c r="AN164"/>
  <c r="AB164"/>
  <c r="V168"/>
  <c r="AE146"/>
  <c r="BO146" s="1"/>
  <c r="AI146"/>
  <c r="AG146"/>
  <c r="AF146"/>
  <c r="BP146" s="1"/>
  <c r="AH146"/>
  <c r="M31" i="3"/>
  <c r="O31" s="1"/>
  <c r="AN165" i="2"/>
  <c r="AC165"/>
  <c r="AB165"/>
  <c r="L33" i="3"/>
  <c r="N33" s="1"/>
  <c r="AG145" i="2"/>
  <c r="AH145"/>
  <c r="AF145"/>
  <c r="BP145" s="1"/>
  <c r="AE145"/>
  <c r="BO145" s="1"/>
  <c r="AI145"/>
  <c r="K32" i="3"/>
  <c r="M32" s="1"/>
  <c r="O32" s="1"/>
  <c r="AC166" i="2"/>
  <c r="AN166"/>
  <c r="AB166"/>
  <c r="AE144"/>
  <c r="BO144" s="1"/>
  <c r="AG144"/>
  <c r="AH144"/>
  <c r="AI144"/>
  <c r="AF144"/>
  <c r="BJ144" l="1"/>
  <c r="BP144"/>
  <c r="BP166" s="1" a="1"/>
  <c r="BP166" s="1"/>
  <c r="BP164" a="1"/>
  <c r="BP164" s="1"/>
  <c r="BO167" a="1"/>
  <c r="BO167" s="1"/>
  <c r="BO164" a="1"/>
  <c r="BO164" s="1"/>
  <c r="BO165" a="1"/>
  <c r="BO165" s="1"/>
  <c r="BO166" a="1"/>
  <c r="BO166" s="1"/>
  <c r="AL146"/>
  <c r="AL147"/>
  <c r="AL143"/>
  <c r="K33" i="3"/>
  <c r="M33" s="1"/>
  <c r="BE145" i="2"/>
  <c r="AM145"/>
  <c r="AV145"/>
  <c r="BJ145"/>
  <c r="AO145"/>
  <c r="AY145"/>
  <c r="BF144"/>
  <c r="AS144"/>
  <c r="AZ144"/>
  <c r="AJ144"/>
  <c r="AW144"/>
  <c r="AK144"/>
  <c r="BK144"/>
  <c r="BL144" s="1"/>
  <c r="AB168"/>
  <c r="AC168"/>
  <c r="AN168"/>
  <c r="L34" i="3"/>
  <c r="N34" s="1"/>
  <c r="BJ143" i="2"/>
  <c r="AF165" a="1"/>
  <c r="AF165" s="1"/>
  <c r="AF167" a="1"/>
  <c r="AF167" s="1"/>
  <c r="AF166" a="1"/>
  <c r="AF166" s="1"/>
  <c r="AF164" a="1"/>
  <c r="AF164" s="1"/>
  <c r="BJ146"/>
  <c r="BJ147"/>
  <c r="AV146"/>
  <c r="AY146"/>
  <c r="AO146"/>
  <c r="AM146"/>
  <c r="BE146"/>
  <c r="AY147"/>
  <c r="BE147"/>
  <c r="AO147"/>
  <c r="AV147"/>
  <c r="AM147"/>
  <c r="AG164" a="1"/>
  <c r="AG164" s="1"/>
  <c r="BK143"/>
  <c r="AJ143"/>
  <c r="AG166" a="1"/>
  <c r="AG166" s="1"/>
  <c r="AG165" a="1"/>
  <c r="AG165" s="1"/>
  <c r="AS143"/>
  <c r="BF143"/>
  <c r="AG167" a="1"/>
  <c r="AG167" s="1"/>
  <c r="AW143"/>
  <c r="AK143"/>
  <c r="AZ143"/>
  <c r="AV143"/>
  <c r="AY143"/>
  <c r="AE167" a="1"/>
  <c r="AE167" s="1"/>
  <c r="AM167" s="1"/>
  <c r="AO143"/>
  <c r="BE143"/>
  <c r="AE164" a="1"/>
  <c r="AE164" s="1"/>
  <c r="AM143"/>
  <c r="AE166" a="1"/>
  <c r="AE166" s="1"/>
  <c r="AM166" s="1"/>
  <c r="AE165" a="1"/>
  <c r="AE165" s="1"/>
  <c r="AM165" s="1"/>
  <c r="AV144"/>
  <c r="AY144"/>
  <c r="AO144"/>
  <c r="BE144"/>
  <c r="AM144"/>
  <c r="BK145"/>
  <c r="BL145" s="1"/>
  <c r="AW145"/>
  <c r="AX145" s="1"/>
  <c r="AK145"/>
  <c r="AZ145"/>
  <c r="AJ145"/>
  <c r="AS145"/>
  <c r="BF145"/>
  <c r="BF146"/>
  <c r="AK146"/>
  <c r="BK146"/>
  <c r="AZ146"/>
  <c r="BA146" s="1"/>
  <c r="AJ146"/>
  <c r="AW146"/>
  <c r="AS146"/>
  <c r="J35" i="3"/>
  <c r="L35" s="1"/>
  <c r="N35" s="1"/>
  <c r="AH167" i="2" a="1"/>
  <c r="AH167" s="1"/>
  <c r="AH165" a="1"/>
  <c r="AH165" s="1"/>
  <c r="AH166" a="1"/>
  <c r="AH166" s="1"/>
  <c r="AH164" a="1"/>
  <c r="AH164" s="1"/>
  <c r="BK147"/>
  <c r="BL147" s="1"/>
  <c r="AS147"/>
  <c r="AJ147"/>
  <c r="AW147"/>
  <c r="AK147"/>
  <c r="BF147"/>
  <c r="BG147" s="1"/>
  <c r="AZ147"/>
  <c r="AL144"/>
  <c r="AL145"/>
  <c r="BL146" l="1"/>
  <c r="BP167" a="1"/>
  <c r="BP167" s="1"/>
  <c r="BP165" a="1"/>
  <c r="BP165" s="1"/>
  <c r="K66" i="6"/>
  <c r="K95" s="1"/>
  <c r="K67"/>
  <c r="K96" s="1"/>
  <c r="K68"/>
  <c r="K97" s="1"/>
  <c r="BJ165" i="2" a="1"/>
  <c r="BJ165" s="1"/>
  <c r="I9" i="6" s="1"/>
  <c r="BO168" i="2"/>
  <c r="K65" i="6"/>
  <c r="BJ164" i="2" a="1"/>
  <c r="BJ164" s="1"/>
  <c r="I8" i="6" s="1"/>
  <c r="O33" i="3"/>
  <c r="R5" i="7" s="1"/>
  <c r="Z5" s="1"/>
  <c r="BA147" i="2"/>
  <c r="BA145"/>
  <c r="BG145"/>
  <c r="AX147"/>
  <c r="BG146"/>
  <c r="AX146"/>
  <c r="AM164"/>
  <c r="AE168"/>
  <c r="AY166" a="1"/>
  <c r="AY166" s="1"/>
  <c r="AY167" a="1"/>
  <c r="AY167" s="1"/>
  <c r="AY165" a="1"/>
  <c r="AY165" s="1"/>
  <c r="AY164" a="1"/>
  <c r="AY164" s="1"/>
  <c r="AX143"/>
  <c r="AW164" a="1"/>
  <c r="AW164" s="1"/>
  <c r="AW165" a="1"/>
  <c r="AW165" s="1"/>
  <c r="AW166" a="1"/>
  <c r="AW166" s="1"/>
  <c r="AW167" a="1"/>
  <c r="AW167" s="1"/>
  <c r="AK165"/>
  <c r="AS165"/>
  <c r="AJ165"/>
  <c r="AK164"/>
  <c r="AS164"/>
  <c r="AJ164"/>
  <c r="AG168"/>
  <c r="K34" i="3"/>
  <c r="M34" s="1"/>
  <c r="O34" s="1"/>
  <c r="AX144" i="2"/>
  <c r="BG144"/>
  <c r="J36" i="3"/>
  <c r="L36" s="1"/>
  <c r="N36" s="1"/>
  <c r="BL143" i="2"/>
  <c r="BK167" a="1"/>
  <c r="BK167" s="1"/>
  <c r="BK166" a="1"/>
  <c r="BK166" s="1"/>
  <c r="BK164" a="1"/>
  <c r="BK164" s="1"/>
  <c r="BK165" a="1"/>
  <c r="BK165" s="1"/>
  <c r="BA143"/>
  <c r="AZ164" a="1"/>
  <c r="AZ164" s="1"/>
  <c r="AZ166" a="1"/>
  <c r="AZ166" s="1"/>
  <c r="AZ165" a="1"/>
  <c r="AZ165" s="1"/>
  <c r="AZ167" a="1"/>
  <c r="AZ167" s="1"/>
  <c r="BA167" s="1"/>
  <c r="BG143"/>
  <c r="BF165" a="1"/>
  <c r="BF165" s="1"/>
  <c r="BF167" a="1"/>
  <c r="BF167" s="1"/>
  <c r="BF164" a="1"/>
  <c r="BF164" s="1"/>
  <c r="BF166" a="1"/>
  <c r="BF166" s="1"/>
  <c r="AH168"/>
  <c r="BA144"/>
  <c r="BE167" a="1"/>
  <c r="BE167" s="1"/>
  <c r="BE166" a="1"/>
  <c r="BE166" s="1"/>
  <c r="BE164" a="1"/>
  <c r="BE164" s="1"/>
  <c r="BE165" a="1"/>
  <c r="BE165" s="1"/>
  <c r="AV166" a="1"/>
  <c r="AV166" s="1"/>
  <c r="AV167" a="1"/>
  <c r="AV167" s="1"/>
  <c r="AV164" a="1"/>
  <c r="AV164" s="1"/>
  <c r="AV165" a="1"/>
  <c r="AV165" s="1"/>
  <c r="AJ167"/>
  <c r="AS167"/>
  <c r="AK167"/>
  <c r="AK166"/>
  <c r="AS166"/>
  <c r="AJ166"/>
  <c r="BJ167" a="1"/>
  <c r="BJ167" s="1"/>
  <c r="I11" i="6" s="1"/>
  <c r="BJ166" i="2" a="1"/>
  <c r="BJ166" s="1"/>
  <c r="I10" i="6" s="1"/>
  <c r="AF168" i="2"/>
  <c r="BP168" l="1"/>
  <c r="K94" i="6"/>
  <c r="BG166" i="2"/>
  <c r="R4" i="7"/>
  <c r="Z4" s="1"/>
  <c r="I40" i="6"/>
  <c r="I39"/>
  <c r="I41"/>
  <c r="BA165" i="2"/>
  <c r="AY168"/>
  <c r="J9" i="6"/>
  <c r="BL165" i="2"/>
  <c r="BG167"/>
  <c r="AX165"/>
  <c r="BG164"/>
  <c r="BF168"/>
  <c r="J11" i="6"/>
  <c r="BL167" i="2"/>
  <c r="AK168"/>
  <c r="AJ168"/>
  <c r="AX166"/>
  <c r="AM168"/>
  <c r="BA164"/>
  <c r="AZ168"/>
  <c r="J10" i="6"/>
  <c r="BL166" i="2"/>
  <c r="J37" i="3"/>
  <c r="L37" s="1"/>
  <c r="N37" s="1"/>
  <c r="K35"/>
  <c r="M35" s="1"/>
  <c r="O35" s="1"/>
  <c r="AX167" i="2"/>
  <c r="BA166"/>
  <c r="BJ168"/>
  <c r="J8" i="6"/>
  <c r="BL164" i="2"/>
  <c r="BK168"/>
  <c r="AW168"/>
  <c r="AX164"/>
  <c r="AV168"/>
  <c r="BE168"/>
  <c r="BG165"/>
  <c r="J38" i="6" l="1"/>
  <c r="J39"/>
  <c r="K8"/>
  <c r="I38"/>
  <c r="J40"/>
  <c r="J41"/>
  <c r="K9"/>
  <c r="K11"/>
  <c r="K10"/>
  <c r="BA168" i="2"/>
  <c r="BL168"/>
  <c r="J38" i="3"/>
  <c r="L38" s="1"/>
  <c r="N38" s="1"/>
  <c r="BG168" i="2"/>
  <c r="K36" i="3"/>
  <c r="M36" s="1"/>
  <c r="O36" s="1"/>
  <c r="AX168" i="2"/>
  <c r="K41" i="6" l="1"/>
  <c r="K38"/>
  <c r="K40"/>
  <c r="K39"/>
  <c r="J39" i="3"/>
  <c r="L39" s="1"/>
  <c r="N39" s="1"/>
  <c r="K37"/>
  <c r="M37" s="1"/>
  <c r="O37" s="1"/>
  <c r="J40" l="1"/>
  <c r="L40" s="1"/>
  <c r="N40" s="1"/>
  <c r="K38"/>
  <c r="M38" s="1"/>
  <c r="O38" s="1"/>
  <c r="J41" l="1"/>
  <c r="L41" s="1"/>
  <c r="N41" s="1"/>
  <c r="K39"/>
  <c r="M39" s="1"/>
  <c r="O39" s="1"/>
  <c r="J42" l="1"/>
  <c r="L42" s="1"/>
  <c r="N42" s="1"/>
  <c r="K40"/>
  <c r="M40" s="1"/>
  <c r="O40" s="1"/>
  <c r="J43" l="1"/>
  <c r="L43" s="1"/>
  <c r="N43" s="1"/>
  <c r="K41"/>
  <c r="M41" s="1"/>
  <c r="O41" s="1"/>
  <c r="J44" l="1"/>
  <c r="L44" s="1"/>
  <c r="N44" s="1"/>
  <c r="K42"/>
  <c r="M42" s="1"/>
  <c r="O42" s="1"/>
  <c r="J45" l="1"/>
  <c r="L45" s="1"/>
  <c r="N45" s="1"/>
  <c r="K43"/>
  <c r="M43" s="1"/>
  <c r="O43" s="1"/>
  <c r="J46" l="1"/>
  <c r="L46" s="1"/>
  <c r="N46" s="1"/>
  <c r="K44"/>
  <c r="M44" s="1"/>
  <c r="O44" s="1"/>
  <c r="J47" l="1"/>
  <c r="L47" s="1"/>
  <c r="N47" s="1"/>
  <c r="K45"/>
  <c r="M45" s="1"/>
  <c r="O45" s="1"/>
  <c r="J48" l="1"/>
  <c r="L48" s="1"/>
  <c r="N48" s="1"/>
  <c r="K46"/>
  <c r="M46" s="1"/>
  <c r="O46" s="1"/>
  <c r="J49" l="1"/>
  <c r="L49" s="1"/>
  <c r="N49" s="1"/>
  <c r="K47"/>
  <c r="M47" s="1"/>
  <c r="O47" s="1"/>
  <c r="J50" l="1"/>
  <c r="L50" s="1"/>
  <c r="N50" s="1"/>
  <c r="K48"/>
  <c r="M48" s="1"/>
  <c r="O48" s="1"/>
  <c r="J51" l="1"/>
  <c r="L51" s="1"/>
  <c r="N51" s="1"/>
  <c r="K49"/>
  <c r="M49" s="1"/>
  <c r="O49" s="1"/>
  <c r="J53" l="1"/>
  <c r="J52"/>
  <c r="L52" s="1"/>
  <c r="N52" s="1"/>
  <c r="K50"/>
  <c r="M50" s="1"/>
  <c r="O50" s="1"/>
  <c r="L53" l="1"/>
  <c r="N53" s="1"/>
  <c r="K51"/>
  <c r="M51" s="1"/>
  <c r="O51" s="1"/>
  <c r="K53" l="1"/>
  <c r="K52"/>
  <c r="M52" s="1"/>
  <c r="O52" s="1"/>
  <c r="M53" l="1"/>
  <c r="O53" s="1"/>
  <c r="AA154" i="2" l="1"/>
  <c r="AI154"/>
  <c r="AA150"/>
  <c r="AD150" s="1"/>
  <c r="AI150"/>
  <c r="AL150" s="1"/>
  <c r="AA159"/>
  <c r="AI159"/>
  <c r="AA158"/>
  <c r="AI158"/>
  <c r="AA151"/>
  <c r="AI151"/>
  <c r="AA155"/>
  <c r="AI155"/>
  <c r="AA157"/>
  <c r="AI157"/>
  <c r="AA152"/>
  <c r="AI152"/>
  <c r="AA161"/>
  <c r="AI161"/>
  <c r="AA156"/>
  <c r="AI156"/>
  <c r="AA153"/>
  <c r="AI153"/>
  <c r="AA160"/>
  <c r="AI160"/>
  <c r="AI32" l="1"/>
  <c r="AI7"/>
  <c r="AD153"/>
  <c r="AP153"/>
  <c r="AD161"/>
  <c r="AP161"/>
  <c r="AD157"/>
  <c r="AP157"/>
  <c r="AD151"/>
  <c r="AP151"/>
  <c r="AD159"/>
  <c r="AP159"/>
  <c r="AP154"/>
  <c r="AD154"/>
  <c r="AL153"/>
  <c r="AO153"/>
  <c r="AL161"/>
  <c r="AO161"/>
  <c r="AL157"/>
  <c r="AO157"/>
  <c r="AL151"/>
  <c r="AO151"/>
  <c r="AL159"/>
  <c r="AO159"/>
  <c r="AL154"/>
  <c r="AO154"/>
  <c r="AD160"/>
  <c r="AP160"/>
  <c r="AD156"/>
  <c r="AP156"/>
  <c r="AD152"/>
  <c r="AP152"/>
  <c r="AD155"/>
  <c r="AP155"/>
  <c r="AD158"/>
  <c r="AP158"/>
  <c r="AL160"/>
  <c r="AO160"/>
  <c r="AL156"/>
  <c r="AO156"/>
  <c r="AL152"/>
  <c r="AO152"/>
  <c r="AO155"/>
  <c r="AL155"/>
  <c r="AO158"/>
  <c r="AL158"/>
  <c r="AA7" l="1"/>
  <c r="AA32"/>
  <c r="AP7"/>
  <c r="AD7"/>
  <c r="AI127"/>
  <c r="AA127"/>
  <c r="AA135"/>
  <c r="AI135"/>
  <c r="AA131"/>
  <c r="AI131"/>
  <c r="AA120"/>
  <c r="AI120"/>
  <c r="AA116"/>
  <c r="AI116"/>
  <c r="AA34"/>
  <c r="AI34"/>
  <c r="AA8"/>
  <c r="AI8"/>
  <c r="AA123"/>
  <c r="AI123"/>
  <c r="AA103"/>
  <c r="AI103"/>
  <c r="AA6"/>
  <c r="AI6"/>
  <c r="AA134"/>
  <c r="AI134"/>
  <c r="AA129"/>
  <c r="AI129"/>
  <c r="AA119"/>
  <c r="AI119"/>
  <c r="AA115"/>
  <c r="AI115"/>
  <c r="AO7"/>
  <c r="AL7"/>
  <c r="AD32"/>
  <c r="AP32"/>
  <c r="AA130"/>
  <c r="AD130" s="1"/>
  <c r="AI130"/>
  <c r="AL130" s="1"/>
  <c r="AA30"/>
  <c r="AI30"/>
  <c r="AA137"/>
  <c r="AI137"/>
  <c r="AA133"/>
  <c r="AI133"/>
  <c r="AA125"/>
  <c r="AI125"/>
  <c r="AA118"/>
  <c r="AI118"/>
  <c r="AA36"/>
  <c r="AI36"/>
  <c r="AL32"/>
  <c r="AO32"/>
  <c r="AA4"/>
  <c r="AI4"/>
  <c r="AA114"/>
  <c r="AD114" s="1"/>
  <c r="AI114"/>
  <c r="AL114" s="1"/>
  <c r="AA9"/>
  <c r="AI9"/>
  <c r="AA136"/>
  <c r="AI136"/>
  <c r="AA132"/>
  <c r="AI132"/>
  <c r="AA121"/>
  <c r="AI121"/>
  <c r="AA117"/>
  <c r="AI117"/>
  <c r="AA27"/>
  <c r="AI27"/>
  <c r="AD27" l="1"/>
  <c r="AP27"/>
  <c r="AD121"/>
  <c r="AP121"/>
  <c r="AP136"/>
  <c r="AD136"/>
  <c r="AD118"/>
  <c r="AP118"/>
  <c r="AD133"/>
  <c r="AP133"/>
  <c r="AD30"/>
  <c r="AP30"/>
  <c r="AD115"/>
  <c r="AP115"/>
  <c r="AD129"/>
  <c r="AP129"/>
  <c r="AD6"/>
  <c r="AP6"/>
  <c r="AA167" a="1"/>
  <c r="AA167" s="1"/>
  <c r="AA164" a="1"/>
  <c r="AA164" s="1"/>
  <c r="AA165" a="1"/>
  <c r="AA165" s="1"/>
  <c r="AA166" a="1"/>
  <c r="AA166" s="1"/>
  <c r="AD123"/>
  <c r="AP123"/>
  <c r="AD34"/>
  <c r="AP34"/>
  <c r="AP120"/>
  <c r="AD120"/>
  <c r="AD135"/>
  <c r="AP135"/>
  <c r="AO27"/>
  <c r="AL27"/>
  <c r="AL121"/>
  <c r="AO121"/>
  <c r="AL136"/>
  <c r="AO136"/>
  <c r="AO118"/>
  <c r="AL118"/>
  <c r="AL133"/>
  <c r="AO133"/>
  <c r="AO30"/>
  <c r="AL30"/>
  <c r="AL115"/>
  <c r="AO115"/>
  <c r="AL129"/>
  <c r="AO129"/>
  <c r="AL6"/>
  <c r="AO6"/>
  <c r="AI166" a="1"/>
  <c r="AI166" s="1"/>
  <c r="H10" i="6" s="1"/>
  <c r="AI164" i="2" a="1"/>
  <c r="AI164" s="1"/>
  <c r="AI165" a="1"/>
  <c r="AI165" s="1"/>
  <c r="H9" i="6" s="1"/>
  <c r="AI167" i="2" a="1"/>
  <c r="AI167" s="1"/>
  <c r="H11" i="6" s="1"/>
  <c r="AO123" i="2"/>
  <c r="AL123"/>
  <c r="AL34"/>
  <c r="AO34"/>
  <c r="AL120"/>
  <c r="AO120"/>
  <c r="AO135"/>
  <c r="AL135"/>
  <c r="AD117"/>
  <c r="AP117"/>
  <c r="AD132"/>
  <c r="AP132"/>
  <c r="AP9"/>
  <c r="AD9"/>
  <c r="AD4"/>
  <c r="AP4"/>
  <c r="AD36"/>
  <c r="AP36"/>
  <c r="AD125"/>
  <c r="AP125"/>
  <c r="AP137"/>
  <c r="AD137"/>
  <c r="AP119"/>
  <c r="AD119"/>
  <c r="AD134"/>
  <c r="AP134"/>
  <c r="AD103"/>
  <c r="AP103"/>
  <c r="AP8"/>
  <c r="AD8"/>
  <c r="AD116"/>
  <c r="AP116"/>
  <c r="AD131"/>
  <c r="AP131"/>
  <c r="AL127"/>
  <c r="AO127"/>
  <c r="AO117"/>
  <c r="AL117"/>
  <c r="AL132"/>
  <c r="AO132"/>
  <c r="AL9"/>
  <c r="AO9"/>
  <c r="AL4"/>
  <c r="AO4"/>
  <c r="AO36"/>
  <c r="AL36"/>
  <c r="AL125"/>
  <c r="AO125"/>
  <c r="AO137"/>
  <c r="AL137"/>
  <c r="AO119"/>
  <c r="AL119"/>
  <c r="AL134"/>
  <c r="AO134"/>
  <c r="AL103"/>
  <c r="AO103"/>
  <c r="AL8"/>
  <c r="AO8"/>
  <c r="AL116"/>
  <c r="AO116"/>
  <c r="AO131"/>
  <c r="AL131"/>
  <c r="AD127"/>
  <c r="AP127"/>
  <c r="H41" i="6" l="1"/>
  <c r="H68" s="1"/>
  <c r="H97" s="1"/>
  <c r="H40"/>
  <c r="H67" s="1"/>
  <c r="H96" s="1"/>
  <c r="H39"/>
  <c r="H66" s="1"/>
  <c r="H95" s="1"/>
  <c r="G9"/>
  <c r="G39" s="1"/>
  <c r="G66" s="1"/>
  <c r="G95" s="1"/>
  <c r="G10"/>
  <c r="G40" s="1"/>
  <c r="G67" s="1"/>
  <c r="G96" s="1"/>
  <c r="G11"/>
  <c r="G41" s="1"/>
  <c r="G68" s="1"/>
  <c r="G97" s="1"/>
  <c r="H8"/>
  <c r="G8"/>
  <c r="AL166" i="2"/>
  <c r="AO166"/>
  <c r="AD165"/>
  <c r="AP165"/>
  <c r="AL164"/>
  <c r="AO164"/>
  <c r="AI168"/>
  <c r="AD166"/>
  <c r="AP166"/>
  <c r="AO165"/>
  <c r="AL165"/>
  <c r="AD167"/>
  <c r="AP167"/>
  <c r="AL167"/>
  <c r="AO167"/>
  <c r="AD164"/>
  <c r="AP164"/>
  <c r="AA168"/>
  <c r="H38" i="6" l="1"/>
  <c r="H65" s="1"/>
  <c r="H94" s="1"/>
  <c r="G38"/>
  <c r="G65" s="1"/>
  <c r="G94" s="1"/>
  <c r="AD168" i="2"/>
  <c r="AP168"/>
  <c r="AL168"/>
  <c r="AO168"/>
  <c r="Q16" i="7" l="1"/>
  <c r="AA16" s="1"/>
  <c r="AJ16"/>
  <c r="X16"/>
  <c r="Y16"/>
  <c r="AL16"/>
  <c r="X14"/>
  <c r="Q14"/>
  <c r="AA14" s="1"/>
  <c r="AJ14"/>
  <c r="Y14"/>
  <c r="AL14"/>
  <c r="N32"/>
  <c r="AL13" i="8"/>
  <c r="AL10"/>
  <c r="X15" i="7"/>
  <c r="AJ15"/>
  <c r="AL15"/>
  <c r="Y15"/>
  <c r="Q15"/>
  <c r="AA15" s="1"/>
  <c r="AL17"/>
  <c r="Q17"/>
  <c r="AA17" s="1"/>
  <c r="AJ17"/>
  <c r="Q19"/>
  <c r="AA19" s="1"/>
  <c r="AL19"/>
  <c r="AJ19"/>
  <c r="BB16" l="1"/>
  <c r="BD16"/>
  <c r="BB19"/>
  <c r="BD19"/>
  <c r="BB14"/>
  <c r="BD14"/>
  <c r="BB15"/>
  <c r="BD15"/>
  <c r="BB17"/>
  <c r="BD17"/>
  <c r="Z13" i="8"/>
  <c r="AN13" s="1"/>
  <c r="AN33" s="1"/>
  <c r="Q13" i="7"/>
  <c r="AA13" s="1"/>
  <c r="X13"/>
  <c r="AL13"/>
  <c r="AJ13"/>
  <c r="Y13"/>
  <c r="AJ10"/>
  <c r="X10"/>
  <c r="AL10"/>
  <c r="Q10"/>
  <c r="AA10" s="1"/>
  <c r="N31"/>
  <c r="Y10"/>
  <c r="AD17"/>
  <c r="AC17"/>
  <c r="AB17"/>
  <c r="AE17"/>
  <c r="AH17" s="1"/>
  <c r="AE16"/>
  <c r="AB16"/>
  <c r="AD16"/>
  <c r="AC16"/>
  <c r="AD19"/>
  <c r="AE19"/>
  <c r="AH19" s="1"/>
  <c r="AC19"/>
  <c r="AB19"/>
  <c r="Q6"/>
  <c r="AA6" s="1"/>
  <c r="AJ6"/>
  <c r="N29"/>
  <c r="X6"/>
  <c r="AL6"/>
  <c r="Y6"/>
  <c r="AL9"/>
  <c r="Y9"/>
  <c r="X9"/>
  <c r="AJ9"/>
  <c r="Q9"/>
  <c r="AA9" s="1"/>
  <c r="Q5"/>
  <c r="AA5" s="1"/>
  <c r="AJ5"/>
  <c r="AL5"/>
  <c r="X5"/>
  <c r="Y5"/>
  <c r="X11"/>
  <c r="AL11"/>
  <c r="Q11"/>
  <c r="AA11" s="1"/>
  <c r="AJ11"/>
  <c r="Y11"/>
  <c r="AD15"/>
  <c r="AC15"/>
  <c r="AE15"/>
  <c r="AH15" s="1"/>
  <c r="AB15"/>
  <c r="Q18"/>
  <c r="AA18" s="1"/>
  <c r="AL18"/>
  <c r="AJ18"/>
  <c r="R29" a="1"/>
  <c r="R29" s="1"/>
  <c r="Z29" s="1"/>
  <c r="Q4"/>
  <c r="Y4"/>
  <c r="R30" a="1"/>
  <c r="R30" s="1"/>
  <c r="Z30" s="1"/>
  <c r="R31" a="1"/>
  <c r="R31" s="1"/>
  <c r="Z31" s="1"/>
  <c r="AJ4"/>
  <c r="R28" a="1"/>
  <c r="R28" s="1"/>
  <c r="Z28" s="1"/>
  <c r="N28"/>
  <c r="X4"/>
  <c r="R32" a="1"/>
  <c r="R32" s="1"/>
  <c r="Z32" s="1"/>
  <c r="AL4"/>
  <c r="AD14"/>
  <c r="AC14"/>
  <c r="AB14"/>
  <c r="AE14"/>
  <c r="Y12"/>
  <c r="AJ12"/>
  <c r="X12"/>
  <c r="Q12"/>
  <c r="AA12" s="1"/>
  <c r="AL12"/>
  <c r="AL7"/>
  <c r="AJ7"/>
  <c r="Y7"/>
  <c r="Q7"/>
  <c r="AA7" s="1"/>
  <c r="X7"/>
  <c r="Y8"/>
  <c r="AJ8"/>
  <c r="N30"/>
  <c r="Q8"/>
  <c r="AA8" s="1"/>
  <c r="X8"/>
  <c r="AL8"/>
  <c r="AO10" i="8"/>
  <c r="AL33"/>
  <c r="BB12" i="7" l="1"/>
  <c r="BD12"/>
  <c r="BB11"/>
  <c r="BD11"/>
  <c r="BB9"/>
  <c r="BD9"/>
  <c r="AS17"/>
  <c r="BE17"/>
  <c r="BB7"/>
  <c r="BD7"/>
  <c r="BB5"/>
  <c r="BD5"/>
  <c r="AS19"/>
  <c r="BE19"/>
  <c r="AS15"/>
  <c r="BE15"/>
  <c r="BB6"/>
  <c r="BD6"/>
  <c r="BB8"/>
  <c r="BD8"/>
  <c r="AS14"/>
  <c r="BE14"/>
  <c r="BB18"/>
  <c r="BD18"/>
  <c r="AS16"/>
  <c r="BE16"/>
  <c r="BB10"/>
  <c r="BD10"/>
  <c r="BB13"/>
  <c r="BD13"/>
  <c r="AA4"/>
  <c r="AH14"/>
  <c r="AH16"/>
  <c r="AE12"/>
  <c r="AC12"/>
  <c r="AD12"/>
  <c r="AB12"/>
  <c r="X30"/>
  <c r="Y30"/>
  <c r="AJ30"/>
  <c r="AL30"/>
  <c r="AC6"/>
  <c r="AB6"/>
  <c r="AE6"/>
  <c r="AD6"/>
  <c r="AW16"/>
  <c r="AK16"/>
  <c r="AI16"/>
  <c r="AN35" i="8"/>
  <c r="AN36" s="1"/>
  <c r="AD7" i="7"/>
  <c r="AB7"/>
  <c r="AC7"/>
  <c r="AE7"/>
  <c r="AG14"/>
  <c r="AF14"/>
  <c r="AT14"/>
  <c r="AP14"/>
  <c r="AX14"/>
  <c r="X31"/>
  <c r="AJ31"/>
  <c r="Y31"/>
  <c r="AL31"/>
  <c r="AJ29"/>
  <c r="AL29"/>
  <c r="Y29"/>
  <c r="X29"/>
  <c r="AK17"/>
  <c r="AI17"/>
  <c r="AW17"/>
  <c r="AO13" i="8"/>
  <c r="AO33" s="1"/>
  <c r="AL35"/>
  <c r="AL36" s="1"/>
  <c r="AD8" i="7"/>
  <c r="AB8"/>
  <c r="AC8"/>
  <c r="AE8"/>
  <c r="AH8" s="1"/>
  <c r="AI14"/>
  <c r="AK14"/>
  <c r="AW14"/>
  <c r="Y32"/>
  <c r="AJ32"/>
  <c r="X32"/>
  <c r="AL32"/>
  <c r="AB4"/>
  <c r="AE4"/>
  <c r="AC4"/>
  <c r="AD4"/>
  <c r="AE18"/>
  <c r="AH18" s="1"/>
  <c r="AD18"/>
  <c r="AB18"/>
  <c r="AC18"/>
  <c r="AW15"/>
  <c r="AI15"/>
  <c r="AK15"/>
  <c r="AE11"/>
  <c r="AD11"/>
  <c r="AC11"/>
  <c r="AB11"/>
  <c r="BE11" s="1"/>
  <c r="AD9"/>
  <c r="AC9"/>
  <c r="AB9"/>
  <c r="AE9"/>
  <c r="AH9" s="1"/>
  <c r="AT19"/>
  <c r="AU19" s="1"/>
  <c r="AX19"/>
  <c r="AY19" s="1"/>
  <c r="AP19"/>
  <c r="AF19"/>
  <c r="AG19"/>
  <c r="AX16"/>
  <c r="AG16"/>
  <c r="AT16"/>
  <c r="AU16" s="1"/>
  <c r="AP16"/>
  <c r="AF16"/>
  <c r="AG17"/>
  <c r="AT17"/>
  <c r="AU17" s="1"/>
  <c r="AP17"/>
  <c r="AX17"/>
  <c r="AY17" s="1"/>
  <c r="AF17"/>
  <c r="AD10"/>
  <c r="AB10"/>
  <c r="AC10"/>
  <c r="AE10"/>
  <c r="AH10" s="1"/>
  <c r="AD13"/>
  <c r="AC13"/>
  <c r="AB13"/>
  <c r="AE13"/>
  <c r="R34"/>
  <c r="Z34" s="1"/>
  <c r="Y28"/>
  <c r="AJ28"/>
  <c r="X28"/>
  <c r="AL28"/>
  <c r="AX15"/>
  <c r="AY15" s="1"/>
  <c r="AT15"/>
  <c r="AU15" s="1"/>
  <c r="AF15"/>
  <c r="AP15"/>
  <c r="AG15"/>
  <c r="AB5"/>
  <c r="AE5"/>
  <c r="AC5"/>
  <c r="AD5"/>
  <c r="AW19"/>
  <c r="AK19"/>
  <c r="AI19"/>
  <c r="AS9" l="1"/>
  <c r="BE9"/>
  <c r="AS11"/>
  <c r="AS18"/>
  <c r="BE18"/>
  <c r="AS8"/>
  <c r="BE8"/>
  <c r="AS12"/>
  <c r="BE12"/>
  <c r="AS10"/>
  <c r="BE10"/>
  <c r="AS5"/>
  <c r="BE5"/>
  <c r="AS13"/>
  <c r="BE13"/>
  <c r="AS4"/>
  <c r="BE4"/>
  <c r="AS7"/>
  <c r="BE7"/>
  <c r="AS6"/>
  <c r="BE6"/>
  <c r="BB4"/>
  <c r="BD4"/>
  <c r="BB32" a="1"/>
  <c r="BB32" s="1"/>
  <c r="K73" i="6" s="1"/>
  <c r="K102" s="1"/>
  <c r="BB31" i="7" a="1"/>
  <c r="BB31" s="1"/>
  <c r="K72" i="6" s="1"/>
  <c r="K101" s="1"/>
  <c r="BB30" i="7" a="1"/>
  <c r="BB30" s="1"/>
  <c r="K71" i="6" s="1"/>
  <c r="K100" s="1"/>
  <c r="BB29" i="7" a="1"/>
  <c r="BB29" s="1"/>
  <c r="K70" i="6" s="1"/>
  <c r="K99" s="1"/>
  <c r="BB28" i="7" a="1"/>
  <c r="BB28" s="1"/>
  <c r="K69" i="6" s="1"/>
  <c r="AH6" i="7"/>
  <c r="AH12"/>
  <c r="AH13"/>
  <c r="AH5"/>
  <c r="AH7"/>
  <c r="AH11"/>
  <c r="AY16"/>
  <c r="AT4"/>
  <c r="AW5"/>
  <c r="AI5"/>
  <c r="AK5"/>
  <c r="AW13"/>
  <c r="AK13"/>
  <c r="AI13"/>
  <c r="AC32" a="1"/>
  <c r="AC32" s="1"/>
  <c r="AX4"/>
  <c r="AC30" a="1"/>
  <c r="AC30" s="1"/>
  <c r="AC29" a="1"/>
  <c r="AC29" s="1"/>
  <c r="AF4"/>
  <c r="AP4"/>
  <c r="AC31" a="1"/>
  <c r="AC31" s="1"/>
  <c r="AC28" a="1"/>
  <c r="AC28" s="1"/>
  <c r="AG4"/>
  <c r="AK8"/>
  <c r="AI8"/>
  <c r="AW8"/>
  <c r="AW12"/>
  <c r="AI12"/>
  <c r="AK12"/>
  <c r="AK10"/>
  <c r="AW10"/>
  <c r="AI10"/>
  <c r="AW9"/>
  <c r="AI9"/>
  <c r="AK9"/>
  <c r="AT11"/>
  <c r="AX11"/>
  <c r="AG11"/>
  <c r="AF11"/>
  <c r="AP11"/>
  <c r="AD28" a="1"/>
  <c r="AD28" s="1"/>
  <c r="AD30" a="1"/>
  <c r="AD30" s="1"/>
  <c r="AD31" a="1"/>
  <c r="AD31" s="1"/>
  <c r="AD32" a="1"/>
  <c r="AD32" s="1"/>
  <c r="AD29" a="1"/>
  <c r="AD29" s="1"/>
  <c r="AB28" a="1"/>
  <c r="AB28" s="1"/>
  <c r="AB30" a="1"/>
  <c r="AB30" s="1"/>
  <c r="AB32" a="1"/>
  <c r="AB32" s="1"/>
  <c r="AB29" a="1"/>
  <c r="AB29" s="1"/>
  <c r="AB31" a="1"/>
  <c r="AB31" s="1"/>
  <c r="AX6"/>
  <c r="AF6"/>
  <c r="AT6"/>
  <c r="AP6"/>
  <c r="AG6"/>
  <c r="AY14"/>
  <c r="AT5"/>
  <c r="AU5" s="1"/>
  <c r="AX5"/>
  <c r="AP5"/>
  <c r="AG5"/>
  <c r="AF5"/>
  <c r="AJ34"/>
  <c r="Y34"/>
  <c r="AL34"/>
  <c r="X34"/>
  <c r="AF13"/>
  <c r="AP13"/>
  <c r="AG13"/>
  <c r="AX13"/>
  <c r="AT13"/>
  <c r="AU13" s="1"/>
  <c r="AF9"/>
  <c r="AG9"/>
  <c r="AP9"/>
  <c r="AX9"/>
  <c r="AY9" s="1"/>
  <c r="AT9"/>
  <c r="AU9" s="1"/>
  <c r="AP18"/>
  <c r="AX18"/>
  <c r="AY18" s="1"/>
  <c r="AF18"/>
  <c r="AG18"/>
  <c r="AT18"/>
  <c r="AU18" s="1"/>
  <c r="AI18"/>
  <c r="AK18"/>
  <c r="AW18"/>
  <c r="AA31" a="1"/>
  <c r="AA31" s="1"/>
  <c r="AA28" a="1"/>
  <c r="AA28" s="1"/>
  <c r="AK4"/>
  <c r="AA29" a="1"/>
  <c r="AA29" s="1"/>
  <c r="AA30" a="1"/>
  <c r="AA30" s="1"/>
  <c r="AI4"/>
  <c r="AA32" a="1"/>
  <c r="AA32" s="1"/>
  <c r="AW4"/>
  <c r="AP8"/>
  <c r="AX8"/>
  <c r="AY8" s="1"/>
  <c r="AT8"/>
  <c r="AU8" s="1"/>
  <c r="AG8"/>
  <c r="AF8"/>
  <c r="AO35" i="8"/>
  <c r="AO36" s="1"/>
  <c r="AF7" i="7"/>
  <c r="AT7"/>
  <c r="AX7"/>
  <c r="AP7"/>
  <c r="AG7"/>
  <c r="AW6"/>
  <c r="AI6"/>
  <c r="AK6"/>
  <c r="AX12"/>
  <c r="AF12"/>
  <c r="AT12"/>
  <c r="AU12" s="1"/>
  <c r="AP12"/>
  <c r="AG12"/>
  <c r="AX10"/>
  <c r="AY10" s="1"/>
  <c r="AG10"/>
  <c r="AF10"/>
  <c r="AT10"/>
  <c r="AU10" s="1"/>
  <c r="AP10"/>
  <c r="AI11"/>
  <c r="AK11"/>
  <c r="AW11"/>
  <c r="AE29" a="1"/>
  <c r="AE29" s="1"/>
  <c r="AH4"/>
  <c r="AE31" a="1"/>
  <c r="AE31" s="1"/>
  <c r="AE28" a="1"/>
  <c r="AE28" s="1"/>
  <c r="AE30" a="1"/>
  <c r="AE30" s="1"/>
  <c r="AE32" a="1"/>
  <c r="AE32" s="1"/>
  <c r="AW7"/>
  <c r="AK7"/>
  <c r="AI7"/>
  <c r="AU14"/>
  <c r="BE29" l="1" a="1"/>
  <c r="BE29" s="1"/>
  <c r="BE30" a="1"/>
  <c r="BE30" s="1"/>
  <c r="BE31" a="1"/>
  <c r="BE31" s="1"/>
  <c r="BE32" a="1"/>
  <c r="BE32" s="1"/>
  <c r="BE28" a="1"/>
  <c r="BE28" s="1"/>
  <c r="BD30" a="1"/>
  <c r="BD30" s="1"/>
  <c r="BD31" a="1"/>
  <c r="BD31" s="1"/>
  <c r="BD32" a="1"/>
  <c r="BD32" s="1"/>
  <c r="BD28" a="1"/>
  <c r="BD28" s="1"/>
  <c r="BD29" a="1"/>
  <c r="BD29" s="1"/>
  <c r="BB34"/>
  <c r="K98" i="6"/>
  <c r="H16"/>
  <c r="G16"/>
  <c r="G46" s="1"/>
  <c r="G73" s="1"/>
  <c r="G102" s="1"/>
  <c r="AH31" i="7"/>
  <c r="G15" i="6"/>
  <c r="G45" s="1"/>
  <c r="G72" s="1"/>
  <c r="G101" s="1"/>
  <c r="H15"/>
  <c r="AH30" i="7"/>
  <c r="H14" i="6"/>
  <c r="G14"/>
  <c r="G44" s="1"/>
  <c r="G71" s="1"/>
  <c r="G100" s="1"/>
  <c r="AH29" i="7"/>
  <c r="G13" i="6"/>
  <c r="G43" s="1"/>
  <c r="G70" s="1"/>
  <c r="G99" s="1"/>
  <c r="H13"/>
  <c r="H12"/>
  <c r="G12"/>
  <c r="AH32" i="7"/>
  <c r="AY5"/>
  <c r="AY13"/>
  <c r="AY12"/>
  <c r="AU6"/>
  <c r="AY11"/>
  <c r="AE34"/>
  <c r="AH28"/>
  <c r="AI32"/>
  <c r="AK32"/>
  <c r="AK29"/>
  <c r="AI29"/>
  <c r="AG31"/>
  <c r="AF31"/>
  <c r="AP31"/>
  <c r="AG29"/>
  <c r="AF29"/>
  <c r="AP29"/>
  <c r="AD34"/>
  <c r="AW32" a="1"/>
  <c r="AW32" s="1"/>
  <c r="AW29" a="1"/>
  <c r="AW29" s="1"/>
  <c r="AW31" a="1"/>
  <c r="AW31" s="1"/>
  <c r="AW28" a="1"/>
  <c r="AW28" s="1"/>
  <c r="AW30" a="1"/>
  <c r="AW30" s="1"/>
  <c r="AK30"/>
  <c r="AI30"/>
  <c r="AI31"/>
  <c r="AK31"/>
  <c r="AF28"/>
  <c r="AC34"/>
  <c r="AG28"/>
  <c r="AP28"/>
  <c r="AG32"/>
  <c r="AP32"/>
  <c r="AF32"/>
  <c r="AB34"/>
  <c r="AS30" a="1"/>
  <c r="AS30" s="1"/>
  <c r="I14" i="6" s="1"/>
  <c r="AS32" i="7" a="1"/>
  <c r="AS32" s="1"/>
  <c r="I16" i="6" s="1"/>
  <c r="AS29" i="7" a="1"/>
  <c r="AS29" s="1"/>
  <c r="I13" i="6" s="1"/>
  <c r="AS28" i="7" a="1"/>
  <c r="AS28" s="1"/>
  <c r="I12" i="6" s="1"/>
  <c r="AS31" i="7" a="1"/>
  <c r="AS31" s="1"/>
  <c r="I15" i="6" s="1"/>
  <c r="AA34" i="7"/>
  <c r="AK28"/>
  <c r="AI28"/>
  <c r="AX30" a="1"/>
  <c r="AX30" s="1"/>
  <c r="AY4"/>
  <c r="AX32" a="1"/>
  <c r="AX32" s="1"/>
  <c r="AX29" a="1"/>
  <c r="AX29" s="1"/>
  <c r="AX28" a="1"/>
  <c r="AX28" s="1"/>
  <c r="AX31" a="1"/>
  <c r="AX31" s="1"/>
  <c r="AU7"/>
  <c r="AY6"/>
  <c r="AT29" a="1"/>
  <c r="AT29" s="1"/>
  <c r="AU4"/>
  <c r="AT30" a="1"/>
  <c r="AT30" s="1"/>
  <c r="AT31" a="1"/>
  <c r="AT31" s="1"/>
  <c r="AT28" a="1"/>
  <c r="AT28" s="1"/>
  <c r="AT32" a="1"/>
  <c r="AT32" s="1"/>
  <c r="AP30"/>
  <c r="AG30"/>
  <c r="AF30"/>
  <c r="AY7"/>
  <c r="AU11"/>
  <c r="BD34" l="1"/>
  <c r="BE34"/>
  <c r="I43" i="6"/>
  <c r="I42"/>
  <c r="I45"/>
  <c r="I44"/>
  <c r="I46"/>
  <c r="H45"/>
  <c r="H72" s="1"/>
  <c r="H101" s="1"/>
  <c r="H46"/>
  <c r="H73" s="1"/>
  <c r="H102" s="1"/>
  <c r="H43"/>
  <c r="H70" s="1"/>
  <c r="H99" s="1"/>
  <c r="H44"/>
  <c r="H71" s="1"/>
  <c r="H100" s="1"/>
  <c r="G42"/>
  <c r="G21"/>
  <c r="H21"/>
  <c r="H42"/>
  <c r="H69" s="1"/>
  <c r="H98" s="1"/>
  <c r="AH34" i="7"/>
  <c r="AY31"/>
  <c r="AY29"/>
  <c r="J14" i="6"/>
  <c r="AU30" i="7"/>
  <c r="AX34"/>
  <c r="AY28"/>
  <c r="AY30"/>
  <c r="AW34"/>
  <c r="J15" i="6"/>
  <c r="AU31" i="7"/>
  <c r="AI34"/>
  <c r="AK34"/>
  <c r="J12" i="6"/>
  <c r="AT34" i="7"/>
  <c r="AU28"/>
  <c r="J13" i="6"/>
  <c r="AU29" i="7"/>
  <c r="AY32"/>
  <c r="J16" i="6"/>
  <c r="AU32" i="7"/>
  <c r="AS34"/>
  <c r="AP34"/>
  <c r="AG34"/>
  <c r="AF34"/>
  <c r="H104" i="6" l="1"/>
  <c r="E110" s="1"/>
  <c r="H75"/>
  <c r="E81" s="1"/>
  <c r="G50"/>
  <c r="G69"/>
  <c r="K12"/>
  <c r="H50"/>
  <c r="J46"/>
  <c r="J43"/>
  <c r="J42"/>
  <c r="J45"/>
  <c r="K15"/>
  <c r="J44"/>
  <c r="K16"/>
  <c r="K13"/>
  <c r="K14"/>
  <c r="AU34" i="7"/>
  <c r="AY34"/>
  <c r="G75" i="6" l="1"/>
  <c r="G98"/>
  <c r="G104" s="1"/>
  <c r="K42"/>
  <c r="K46"/>
  <c r="K44"/>
  <c r="K45"/>
  <c r="K43"/>
  <c r="C14" i="5" l="1"/>
  <c r="C25" s="1"/>
  <c r="C13" l="1"/>
  <c r="C15" s="1"/>
  <c r="J48" i="6" s="1"/>
  <c r="J18"/>
  <c r="C24" i="5" l="1"/>
  <c r="J19" i="6" s="1"/>
  <c r="C26" i="5" l="1"/>
  <c r="J7" i="6" l="1"/>
  <c r="D80" s="1"/>
  <c r="I7"/>
  <c r="E37"/>
  <c r="E64" s="1"/>
  <c r="F7"/>
  <c r="F21" s="1"/>
  <c r="J37" l="1"/>
  <c r="D109" s="1"/>
  <c r="L16"/>
  <c r="L14"/>
  <c r="L9"/>
  <c r="L10"/>
  <c r="L12"/>
  <c r="L11"/>
  <c r="L13"/>
  <c r="L15"/>
  <c r="L8"/>
  <c r="E93"/>
  <c r="K64"/>
  <c r="I21"/>
  <c r="J21"/>
  <c r="J50"/>
  <c r="K7"/>
  <c r="L7"/>
  <c r="F37"/>
  <c r="I37"/>
  <c r="L21" l="1"/>
  <c r="D79" s="1"/>
  <c r="D82" s="1"/>
  <c r="I64"/>
  <c r="K75"/>
  <c r="K93"/>
  <c r="I65"/>
  <c r="J65" s="1"/>
  <c r="M8"/>
  <c r="I69"/>
  <c r="J69" s="1"/>
  <c r="M12"/>
  <c r="I73"/>
  <c r="J73" s="1"/>
  <c r="M16"/>
  <c r="M11"/>
  <c r="I68"/>
  <c r="J68" s="1"/>
  <c r="M14"/>
  <c r="I71"/>
  <c r="J71" s="1"/>
  <c r="M7"/>
  <c r="F64"/>
  <c r="F50"/>
  <c r="L37" s="1"/>
  <c r="I70"/>
  <c r="J70" s="1"/>
  <c r="M13"/>
  <c r="M9"/>
  <c r="I66"/>
  <c r="J66" s="1"/>
  <c r="K37"/>
  <c r="I50"/>
  <c r="I72"/>
  <c r="J72" s="1"/>
  <c r="M15"/>
  <c r="I67"/>
  <c r="J67" s="1"/>
  <c r="M10"/>
  <c r="M37" l="1"/>
  <c r="I93"/>
  <c r="L66"/>
  <c r="M66"/>
  <c r="O10"/>
  <c r="N10"/>
  <c r="N13"/>
  <c r="O13"/>
  <c r="N14"/>
  <c r="O14"/>
  <c r="L73"/>
  <c r="M73"/>
  <c r="L65"/>
  <c r="M65"/>
  <c r="L69"/>
  <c r="M69"/>
  <c r="L72"/>
  <c r="M72"/>
  <c r="O9"/>
  <c r="N9"/>
  <c r="F75"/>
  <c r="F93"/>
  <c r="F104" s="1"/>
  <c r="L71"/>
  <c r="M71"/>
  <c r="N16"/>
  <c r="O16"/>
  <c r="N8"/>
  <c r="O8"/>
  <c r="J64"/>
  <c r="I75"/>
  <c r="E79" s="1"/>
  <c r="E82" s="1"/>
  <c r="O15"/>
  <c r="N15"/>
  <c r="L45"/>
  <c r="L41"/>
  <c r="L39"/>
  <c r="L40"/>
  <c r="L46"/>
  <c r="L38"/>
  <c r="L42"/>
  <c r="L43"/>
  <c r="L44"/>
  <c r="M21"/>
  <c r="N21" s="1"/>
  <c r="N7"/>
  <c r="O7"/>
  <c r="N11"/>
  <c r="O11"/>
  <c r="E84"/>
  <c r="M67"/>
  <c r="L67"/>
  <c r="M70"/>
  <c r="L70"/>
  <c r="M68"/>
  <c r="L68"/>
  <c r="O12"/>
  <c r="N12"/>
  <c r="K104"/>
  <c r="E113" l="1"/>
  <c r="I94"/>
  <c r="J94" s="1"/>
  <c r="M38"/>
  <c r="M42"/>
  <c r="I98"/>
  <c r="J98" s="1"/>
  <c r="M39"/>
  <c r="I95"/>
  <c r="J95" s="1"/>
  <c r="O37"/>
  <c r="N37"/>
  <c r="I97"/>
  <c r="J97" s="1"/>
  <c r="M41"/>
  <c r="E86"/>
  <c r="E88" s="1"/>
  <c r="D84"/>
  <c r="D85"/>
  <c r="M43"/>
  <c r="I99"/>
  <c r="J99" s="1"/>
  <c r="M40"/>
  <c r="I96"/>
  <c r="J96" s="1"/>
  <c r="J93"/>
  <c r="L50"/>
  <c r="D108" s="1"/>
  <c r="D111" s="1"/>
  <c r="O21"/>
  <c r="M44"/>
  <c r="I100"/>
  <c r="J100" s="1"/>
  <c r="I102"/>
  <c r="J102" s="1"/>
  <c r="M46"/>
  <c r="I101"/>
  <c r="J101" s="1"/>
  <c r="M45"/>
  <c r="J75"/>
  <c r="L64"/>
  <c r="M64"/>
  <c r="D86" l="1"/>
  <c r="D88" s="1"/>
  <c r="N45"/>
  <c r="O45"/>
  <c r="O40"/>
  <c r="N40"/>
  <c r="O39"/>
  <c r="N39"/>
  <c r="N46"/>
  <c r="O46"/>
  <c r="L96"/>
  <c r="M96"/>
  <c r="L97"/>
  <c r="M97"/>
  <c r="M95"/>
  <c r="L95"/>
  <c r="O38"/>
  <c r="N38"/>
  <c r="D113"/>
  <c r="E115"/>
  <c r="D114"/>
  <c r="J104"/>
  <c r="L93"/>
  <c r="M93"/>
  <c r="M102"/>
  <c r="L102"/>
  <c r="L101"/>
  <c r="M101"/>
  <c r="N44"/>
  <c r="O44"/>
  <c r="N43"/>
  <c r="O43"/>
  <c r="O41"/>
  <c r="N41"/>
  <c r="N42"/>
  <c r="O42"/>
  <c r="I104"/>
  <c r="E108" s="1"/>
  <c r="E111" s="1"/>
  <c r="M50"/>
  <c r="N50" s="1"/>
  <c r="L100"/>
  <c r="M100"/>
  <c r="L99"/>
  <c r="M99"/>
  <c r="L98"/>
  <c r="M98"/>
  <c r="M75"/>
  <c r="L75"/>
  <c r="L94"/>
  <c r="M94"/>
  <c r="D115" l="1"/>
  <c r="D117" s="1"/>
  <c r="O50"/>
  <c r="M104"/>
  <c r="L104"/>
  <c r="E117"/>
</calcChain>
</file>

<file path=xl/comments1.xml><?xml version="1.0" encoding="utf-8"?>
<comments xmlns="http://schemas.openxmlformats.org/spreadsheetml/2006/main">
  <authors>
    <author>jp4047</author>
  </authors>
  <commentList>
    <comment ref="C9" authorId="0">
      <text>
        <r>
          <rPr>
            <sz val="8"/>
            <color indexed="81"/>
            <rFont val="Tahoma"/>
            <family val="2"/>
          </rPr>
          <t xml:space="preserve">This is 26.27% (just in case the links are broken).
</t>
        </r>
      </text>
    </comment>
  </commentList>
</comments>
</file>

<file path=xl/comments2.xml><?xml version="1.0" encoding="utf-8"?>
<comments xmlns="http://schemas.openxmlformats.org/spreadsheetml/2006/main">
  <authors>
    <author>jp4047</author>
  </authors>
  <commentList>
    <comment ref="AB1" authorId="0">
      <text>
        <r>
          <rPr>
            <sz val="8"/>
            <color indexed="81"/>
            <rFont val="Tahoma"/>
            <family val="2"/>
          </rPr>
          <t xml:space="preserve">"0" means it should have a rate and doesn't
"-" means it doesn't need an electric rate.
</t>
        </r>
      </text>
    </comment>
    <comment ref="AC1" authorId="0">
      <text>
        <r>
          <rPr>
            <sz val="8"/>
            <color indexed="81"/>
            <rFont val="Tahoma"/>
            <family val="2"/>
          </rPr>
          <t>"0" means it should have a rate and doesn't
"-" means it doesn't need an gas rate.</t>
        </r>
      </text>
    </comment>
    <comment ref="AD1" authorId="0">
      <text>
        <r>
          <rPr>
            <sz val="8"/>
            <color indexed="81"/>
            <rFont val="Tahoma"/>
            <family val="2"/>
          </rPr>
          <t xml:space="preserve">"0" means it should have a gas rate and doesn't
"--" means it doesn't need a gas rate
"---" if for FE projects w/o a gas rate.
</t>
        </r>
      </text>
    </comment>
    <comment ref="G35" authorId="0">
      <text>
        <r>
          <rPr>
            <sz val="8"/>
            <color indexed="81"/>
            <rFont val="Tahoma"/>
            <family val="2"/>
          </rPr>
          <t xml:space="preserve">116 projects meeting current guidelines expected, less 2 that were under 12 months, less the projects that are in progress leaves the number of qualifying projects that we expect that are not currently in progress.
</t>
        </r>
      </text>
    </comment>
  </commentList>
</comments>
</file>

<file path=xl/comments3.xml><?xml version="1.0" encoding="utf-8"?>
<comments xmlns="http://schemas.openxmlformats.org/spreadsheetml/2006/main">
  <authors>
    <author>jp4047</author>
  </authors>
  <commentList>
    <comment ref="R138" authorId="0">
      <text>
        <r>
          <rPr>
            <sz val="8"/>
            <color indexed="81"/>
            <rFont val="Tahoma"/>
            <family val="2"/>
          </rPr>
          <t xml:space="preserve">vzqfbp:
3.25 per kBtu - 5.00 per  kBtu depending on AFUE
</t>
        </r>
      </text>
    </comment>
    <comment ref="R139" authorId="0">
      <text>
        <r>
          <rPr>
            <sz val="8"/>
            <color indexed="81"/>
            <rFont val="Tahoma"/>
            <family val="2"/>
          </rPr>
          <t xml:space="preserve">vzqfbp:
3.25 per kBtu - 5.00 per  kBtu depending on AFUE
</t>
        </r>
      </text>
    </comment>
    <comment ref="H143" authorId="0">
      <text>
        <r>
          <rPr>
            <sz val="8"/>
            <color indexed="81"/>
            <rFont val="Tahoma"/>
            <family val="2"/>
          </rPr>
          <t xml:space="preserve">From Avista technical team calculator
</t>
        </r>
      </text>
    </comment>
    <comment ref="O143" authorId="0">
      <text>
        <r>
          <rPr>
            <sz val="8"/>
            <color indexed="81"/>
            <rFont val="Tahoma"/>
            <family val="2"/>
          </rPr>
          <t xml:space="preserve">From Avista TRM
</t>
        </r>
      </text>
    </comment>
    <comment ref="Q143" authorId="0">
      <text>
        <r>
          <rPr>
            <sz val="8"/>
            <color indexed="81"/>
            <rFont val="Tahoma"/>
            <family val="2"/>
          </rPr>
          <t xml:space="preserve">From Avista TRM
</t>
        </r>
      </text>
    </comment>
    <comment ref="H144" authorId="0">
      <text>
        <r>
          <rPr>
            <sz val="8"/>
            <color indexed="81"/>
            <rFont val="Tahoma"/>
            <family val="2"/>
          </rPr>
          <t xml:space="preserve">From Avista technical team calculator
</t>
        </r>
      </text>
    </comment>
    <comment ref="O144" authorId="0">
      <text>
        <r>
          <rPr>
            <sz val="8"/>
            <color indexed="81"/>
            <rFont val="Tahoma"/>
            <family val="2"/>
          </rPr>
          <t xml:space="preserve">From Avista technical team calculator
</t>
        </r>
      </text>
    </comment>
    <comment ref="Q144" authorId="0">
      <text>
        <r>
          <rPr>
            <b/>
            <sz val="8"/>
            <color indexed="81"/>
            <rFont val="Tahoma"/>
            <family val="2"/>
          </rPr>
          <t>From Avista technical team calculator</t>
        </r>
      </text>
    </comment>
    <comment ref="H145" authorId="0">
      <text>
        <r>
          <rPr>
            <sz val="8"/>
            <color indexed="81"/>
            <rFont val="Tahoma"/>
            <family val="2"/>
          </rPr>
          <t xml:space="preserve">From Avista technical team calculator
</t>
        </r>
      </text>
    </comment>
    <comment ref="O145" authorId="0">
      <text>
        <r>
          <rPr>
            <sz val="8"/>
            <color indexed="81"/>
            <rFont val="Tahoma"/>
            <family val="2"/>
          </rPr>
          <t xml:space="preserve">From Avista TRM
</t>
        </r>
      </text>
    </comment>
    <comment ref="Q145" authorId="0">
      <text>
        <r>
          <rPr>
            <sz val="8"/>
            <color indexed="81"/>
            <rFont val="Tahoma"/>
            <family val="2"/>
          </rPr>
          <t xml:space="preserve">From Avista TRM
</t>
        </r>
      </text>
    </comment>
    <comment ref="H146" authorId="0">
      <text>
        <r>
          <rPr>
            <sz val="8"/>
            <color indexed="81"/>
            <rFont val="Tahoma"/>
            <family val="2"/>
          </rPr>
          <t xml:space="preserve">From Avista technical team calculator
</t>
        </r>
      </text>
    </comment>
    <comment ref="O146" authorId="0">
      <text>
        <r>
          <rPr>
            <sz val="8"/>
            <color indexed="81"/>
            <rFont val="Tahoma"/>
            <family val="2"/>
          </rPr>
          <t xml:space="preserve">From Avista technical team calculator
</t>
        </r>
      </text>
    </comment>
    <comment ref="Q146" authorId="0">
      <text>
        <r>
          <rPr>
            <sz val="8"/>
            <color indexed="81"/>
            <rFont val="Tahoma"/>
            <family val="2"/>
          </rPr>
          <t xml:space="preserve">From Avista technical team calculator
</t>
        </r>
      </text>
    </comment>
    <comment ref="H147" authorId="0">
      <text>
        <r>
          <rPr>
            <sz val="8"/>
            <color indexed="81"/>
            <rFont val="Tahoma"/>
            <family val="2"/>
          </rPr>
          <t xml:space="preserve">From Avista technical team calculator
</t>
        </r>
      </text>
    </comment>
    <comment ref="O147" authorId="0">
      <text>
        <r>
          <rPr>
            <sz val="8"/>
            <color indexed="81"/>
            <rFont val="Tahoma"/>
            <family val="2"/>
          </rPr>
          <t xml:space="preserve">From Avista technical team calculator
</t>
        </r>
      </text>
    </comment>
    <comment ref="Q147" authorId="0">
      <text>
        <r>
          <rPr>
            <sz val="8"/>
            <color indexed="81"/>
            <rFont val="Tahoma"/>
            <family val="2"/>
          </rPr>
          <t xml:space="preserve">From Avista technical team calculator
</t>
        </r>
      </text>
    </comment>
    <comment ref="H148" authorId="0">
      <text>
        <r>
          <rPr>
            <sz val="8"/>
            <color indexed="81"/>
            <rFont val="Tahoma"/>
            <family val="2"/>
          </rPr>
          <t xml:space="preserve">From Avista technical team calculator
</t>
        </r>
      </text>
    </comment>
    <comment ref="O148" authorId="0">
      <text>
        <r>
          <rPr>
            <sz val="8"/>
            <color indexed="81"/>
            <rFont val="Tahoma"/>
            <family val="2"/>
          </rPr>
          <t xml:space="preserve">From Avista TRM
</t>
        </r>
      </text>
    </comment>
    <comment ref="Q148" authorId="0">
      <text>
        <r>
          <rPr>
            <sz val="8"/>
            <color indexed="81"/>
            <rFont val="Tahoma"/>
            <family val="2"/>
          </rPr>
          <t xml:space="preserve">From Avista TRM
</t>
        </r>
      </text>
    </comment>
    <comment ref="H149" authorId="0">
      <text>
        <r>
          <rPr>
            <sz val="8"/>
            <color indexed="81"/>
            <rFont val="Tahoma"/>
            <family val="2"/>
          </rPr>
          <t xml:space="preserve">From Avista technical team calculator
</t>
        </r>
      </text>
    </comment>
    <comment ref="O149" authorId="0">
      <text>
        <r>
          <rPr>
            <sz val="8"/>
            <color indexed="81"/>
            <rFont val="Tahoma"/>
            <family val="2"/>
          </rPr>
          <t xml:space="preserve">From Avista technical team calculator
</t>
        </r>
      </text>
    </comment>
    <comment ref="Q149" authorId="0">
      <text>
        <r>
          <rPr>
            <sz val="8"/>
            <color indexed="81"/>
            <rFont val="Tahoma"/>
            <family val="2"/>
          </rPr>
          <t xml:space="preserve">From Avista technical team calculator
</t>
        </r>
      </text>
    </comment>
  </commentList>
</comments>
</file>

<file path=xl/comments4.xml><?xml version="1.0" encoding="utf-8"?>
<comments xmlns="http://schemas.openxmlformats.org/spreadsheetml/2006/main">
  <authors>
    <author>jp4047</author>
  </authors>
  <commentList>
    <comment ref="O3" authorId="0">
      <text>
        <r>
          <rPr>
            <sz val="8"/>
            <color indexed="81"/>
            <rFont val="Tahoma"/>
            <family val="2"/>
          </rPr>
          <t xml:space="preserve">Updated within information from Rachelle on 6/12/12 (except for showerheads, which came from Camille on the same day).
</t>
        </r>
      </text>
    </comment>
    <comment ref="E10" authorId="0">
      <text>
        <r>
          <rPr>
            <sz val="8"/>
            <color indexed="81"/>
            <rFont val="Tahoma"/>
            <family val="2"/>
          </rPr>
          <t xml:space="preserve">Original estimate of 1,265,000 for the old program, which is estimated to last 2/3rds of 2012.
</t>
        </r>
      </text>
    </comment>
    <comment ref="E11" authorId="0">
      <text>
        <r>
          <rPr>
            <sz val="8"/>
            <color indexed="81"/>
            <rFont val="Tahoma"/>
            <family val="2"/>
          </rPr>
          <t xml:space="preserve">2/3rds of the way through 2012 the new program will launch.  It will have 50% of the market that the old program (1,265,000 SF/year) used to have.
</t>
        </r>
      </text>
    </comment>
    <comment ref="E12" authorId="0">
      <text>
        <r>
          <rPr>
            <sz val="8"/>
            <color indexed="81"/>
            <rFont val="Tahoma"/>
            <family val="2"/>
          </rPr>
          <t xml:space="preserve">When the new attic insulation program launches, the penetration of this measure will decrease by 20% since it is a complement to the attic insulation measure.
</t>
        </r>
      </text>
    </comment>
    <comment ref="E13" authorId="0">
      <text>
        <r>
          <rPr>
            <sz val="8"/>
            <color indexed="81"/>
            <rFont val="Tahoma"/>
            <family val="2"/>
          </rPr>
          <t xml:space="preserve">When the new attic insulation program launches, the penetration of this measure will decrease by 20% since it is a complement to the attic insulation measure.
</t>
        </r>
      </text>
    </comment>
    <comment ref="A15" authorId="0">
      <text>
        <r>
          <rPr>
            <sz val="8"/>
            <color indexed="81"/>
            <rFont val="Tahoma"/>
            <family val="2"/>
          </rPr>
          <t xml:space="preserve">Measure terminated in 2011 based upon free-ridership information.  The information within this optimization is based upon the few remaining rebates that will come through in 2012.
</t>
        </r>
      </text>
    </comment>
    <comment ref="E15" authorId="0">
      <text>
        <r>
          <rPr>
            <sz val="8"/>
            <color indexed="81"/>
            <rFont val="Tahoma"/>
            <family val="2"/>
          </rPr>
          <t xml:space="preserve">Being terminated due to free-ridership concerns (derived from Cadmus findings of near 100% free-ridership).  Termination effective last year.  These are the remaining units that will be processed during 2012.
</t>
        </r>
      </text>
    </comment>
    <comment ref="H16" authorId="0">
      <text>
        <r>
          <rPr>
            <sz val="8"/>
            <color indexed="81"/>
            <rFont val="Tahoma"/>
            <family val="2"/>
          </rPr>
          <t xml:space="preserve">Per Camille … $7 + a 35 cent admin fee.
Tom Lienhard est $5.00
</t>
        </r>
      </text>
    </comment>
    <comment ref="K16" authorId="0">
      <text>
        <r>
          <rPr>
            <sz val="8"/>
            <color indexed="81"/>
            <rFont val="Tahoma"/>
            <family val="2"/>
          </rPr>
          <t xml:space="preserve">Very old Oregon impact econometric evaluation = 10.1 therms.  BPA claiming that it's 12 therms.  Cadmus says 6 therms.
Tom Lienhard estimate 3.38 th
</t>
        </r>
      </text>
    </comment>
    <comment ref="AO16" authorId="0">
      <text>
        <r>
          <rPr>
            <sz val="8"/>
            <color indexed="81"/>
            <rFont val="Tahoma"/>
            <family val="2"/>
          </rPr>
          <t xml:space="preserve">Estimate generally consistent with the residential average NTG ratio.
</t>
        </r>
      </text>
    </comment>
    <comment ref="C17" authorId="0">
      <text>
        <r>
          <rPr>
            <sz val="8"/>
            <color indexed="81"/>
            <rFont val="Tahoma"/>
            <family val="2"/>
          </rPr>
          <t xml:space="preserve">Originally evaluated based upon a 10 year life.  With 2/15/12 received Global CPA data, they gave it an 18 year life.
</t>
        </r>
      </text>
    </comment>
    <comment ref="H17" authorId="0">
      <text>
        <r>
          <rPr>
            <sz val="8"/>
            <color indexed="81"/>
            <rFont val="Tahoma"/>
            <family val="2"/>
          </rPr>
          <t>$430 from Tom Lienhard from the RTF.  $500 per the Global CPA.</t>
        </r>
      </text>
    </comment>
    <comment ref="K17" authorId="0">
      <text>
        <r>
          <rPr>
            <sz val="8"/>
            <color indexed="81"/>
            <rFont val="Tahoma"/>
            <family val="2"/>
          </rPr>
          <t>Tom Lienhard from the RTF</t>
        </r>
      </text>
    </comment>
    <comment ref="C18" authorId="0">
      <text>
        <r>
          <rPr>
            <sz val="8"/>
            <color indexed="81"/>
            <rFont val="Tahoma"/>
            <family val="2"/>
          </rPr>
          <t xml:space="preserve">Current Oregon life
</t>
        </r>
      </text>
    </comment>
    <comment ref="H18" authorId="0">
      <text>
        <r>
          <rPr>
            <sz val="8"/>
            <color indexed="81"/>
            <rFont val="Tahoma"/>
            <family val="2"/>
          </rPr>
          <t xml:space="preserve">Current Oregon CIC
</t>
        </r>
      </text>
    </comment>
    <comment ref="K18" authorId="0">
      <text>
        <r>
          <rPr>
            <sz val="8"/>
            <color indexed="81"/>
            <rFont val="Tahoma"/>
            <family val="2"/>
          </rPr>
          <t xml:space="preserve">Current Oregon therms/unit
</t>
        </r>
      </text>
    </comment>
    <comment ref="AO18" authorId="0">
      <text>
        <r>
          <rPr>
            <sz val="8"/>
            <color indexed="81"/>
            <rFont val="Tahoma"/>
            <family val="2"/>
          </rPr>
          <t>Estimate generally consistent with the residential average NTG ratio.</t>
        </r>
      </text>
    </comment>
    <comment ref="H19" authorId="0">
      <text>
        <r>
          <rPr>
            <sz val="8"/>
            <color indexed="81"/>
            <rFont val="Tahoma"/>
            <family val="2"/>
          </rPr>
          <t xml:space="preserve">Mike Dillon
</t>
        </r>
      </text>
    </comment>
    <comment ref="K19" authorId="0">
      <text>
        <r>
          <rPr>
            <sz val="8"/>
            <color indexed="81"/>
            <rFont val="Tahoma"/>
            <family val="2"/>
          </rPr>
          <t xml:space="preserve">Mike Dillon (actually said 20 to 30 therms).
</t>
        </r>
      </text>
    </comment>
    <comment ref="AO19" authorId="0">
      <text>
        <r>
          <rPr>
            <sz val="8"/>
            <color indexed="81"/>
            <rFont val="Tahoma"/>
            <family val="2"/>
          </rPr>
          <t xml:space="preserve">Estimate generally consistent with the residential average NTG ratio.
</t>
        </r>
      </text>
    </comment>
  </commentList>
</comments>
</file>

<file path=xl/comments5.xml><?xml version="1.0" encoding="utf-8"?>
<comments xmlns="http://schemas.openxmlformats.org/spreadsheetml/2006/main">
  <authors>
    <author>jp4047</author>
  </authors>
  <commentList>
    <comment ref="E2" authorId="0">
      <text>
        <r>
          <rPr>
            <sz val="8"/>
            <color indexed="81"/>
            <rFont val="Tahoma"/>
            <family val="2"/>
          </rPr>
          <t xml:space="preserve">Per Kelly Irvine on 7/20/12 in our meeting in CR 526A.  This was when I realized that Tom had sent me real avoided costs (I had thought that they were nominal).
</t>
        </r>
      </text>
    </comment>
    <comment ref="P3" authorId="0">
      <text>
        <r>
          <rPr>
            <sz val="8"/>
            <color indexed="81"/>
            <rFont val="Tahoma"/>
            <family val="2"/>
          </rPr>
          <t xml:space="preserve">Hardwired to safeguard against broken links.  Drawn from DFIC.  Actual Annual Report would be based upon AC's from 33 different load shapes.  Per Lori the portfolio typical should match closely to the single portfolio value contained in the DFIC.
</t>
        </r>
      </text>
    </comment>
    <comment ref="U3" authorId="0">
      <text>
        <r>
          <rPr>
            <sz val="8"/>
            <color indexed="81"/>
            <rFont val="Tahoma"/>
            <family val="2"/>
          </rPr>
          <t xml:space="preserve">Rec'd from Tom Pardee 6/8/12 and hardwired to protect against broken links.
</t>
        </r>
      </text>
    </comment>
    <comment ref="V3" authorId="0">
      <text>
        <r>
          <rPr>
            <sz val="8"/>
            <color indexed="81"/>
            <rFont val="Tahoma"/>
            <family val="2"/>
          </rPr>
          <t>Rec'd from Tom Pardee 6/8/12 and hardwired to protect against broken links.</t>
        </r>
      </text>
    </comment>
    <comment ref="H68" authorId="0">
      <text>
        <r>
          <rPr>
            <sz val="8"/>
            <color indexed="81"/>
            <rFont val="Tahoma"/>
            <family val="2"/>
          </rPr>
          <t xml:space="preserve">John Lyons, 6/21/12 2:00): 1. It is about 117 pounds per mmbtu of natural gas or 11.7 pounds per therm
2. We assumed $0.52/Dth levelized nominal price as an adder to natural gas for greenhouse gas costs.
_____________________________________________
From: Powell, Jon 
Sent: Thursday, June 21, 2012 1:26 PM
To: Lyons, John
Subject: Carbon
John:
I have two questions that I’m sure that you can answer off the top of your head.  First a little background;
We’re talking to the WUTC about discontinuing our natural gas DSM portfolio, since it is no longer cost-effective at substantially lower avoided cost.  One question that they’ve posed is whether we include carbon costs in our TRC cost-effectiveness calculation.  We don’t do so on the gas side because we don’t foresee a future where the utility would be taxed for those emissions on the gas side.  (The TRC test doesn’t include externalities within the analysis.  But we do include expected monetary utility penalties associated with externalities in the TRC).
Nevertheless, I want to calculate a carbon externality value based upon values used in the last electric IRP.  I expect it to be pennies.  Thus my two questions for you:
1. I don’t recall the pounds of CO2 emission per therm that you provided me in the past.  Unless my chemistry is all wrong, the emissions would be the same whether the natural gas is combusted in a residential furnace or a natural gas turbine.  Can you send me the pounds per therm value?
2. The last number that I heard for the valuation of CO2 was $40 per ton.  Was that the value used in the most recent electric IRP?
Thanks.  Please give me a call (4047) if my questions are unclear or if I need to pose these to someone else.
</t>
        </r>
      </text>
    </comment>
    <comment ref="H75" authorId="0">
      <text>
        <r>
          <rPr>
            <sz val="8"/>
            <color indexed="81"/>
            <rFont val="Tahoma"/>
            <family val="2"/>
          </rPr>
          <t>John Lyons, 6/21/12 2:00): 1. It is about 117 pounds per mmbtu of natural gas or 11.7 pounds per therm
2. We assumed $0.52/Dth levelized nominal price as an adder to natural gas for greenhouse gas costs.
_____________________________________________
From: Powell, Jon 
Sent: Thursday, June 21, 2012 1:26 PM
To: Lyons, John
Subject: Carbon
John:
I have two questions that I’m sure that you can answer off the top of your head.  First a little background;
We’re talking to the WUTC about discontinuing our natural gas DSM portfolio, since it is no longer cost-effective at substantially lower avoided cost.  One question that they’ve posed is whether we include carbon costs in our TRC cost-effectiveness calculation.  We don’t do so on the gas side because we don’t foresee a future where the utility would be taxed for those emissions on the gas side.  (The TRC test doesn’t include externalities within the analysis.  But we do include expected monetary utility penalties associated with externalities in the TRC).
Nevertheless, I want to calculate a carbon externality value based upon values used in the last electric IRP.  I expect it to be pennies.  Thus my two questions for you:
1. I don’t recall the pounds of CO2 emission per therm that you provided me in the past.  Unless my chemistry is all wrong, the emissions would be the same whether the natural gas is combusted in a residential furnace or a natural gas turbine.  Can you send me the pounds per therm value?
2. The last number that I heard for the valuation of CO2 was $40 per ton.  Was that the value used in the most recent electric IRP?
Thanks.  Please give me a call (4047) if my questions are unclear or if I need to pose these to someone else.</t>
        </r>
      </text>
    </comment>
  </commentList>
</comments>
</file>

<file path=xl/sharedStrings.xml><?xml version="1.0" encoding="utf-8"?>
<sst xmlns="http://schemas.openxmlformats.org/spreadsheetml/2006/main" count="1339" uniqueCount="512">
  <si>
    <t>Measure life</t>
  </si>
  <si>
    <t>EOY discount of Annual therm</t>
  </si>
  <si>
    <t>EOY discount of Winter therm</t>
  </si>
  <si>
    <t>Cum EOY PV, Annual therm</t>
  </si>
  <si>
    <t>Cum EOY PV, Winter therm</t>
  </si>
  <si>
    <t>Electric cum PV + 10% pref</t>
  </si>
  <si>
    <t>Total for contracted projects</t>
  </si>
  <si>
    <t>Number of contracted projects in process</t>
  </si>
  <si>
    <t>Number of additional contracts projected</t>
  </si>
  <si>
    <t>Total for all qualifying contracts</t>
  </si>
  <si>
    <t>Input</t>
  </si>
  <si>
    <t>Calculation</t>
  </si>
  <si>
    <t>Full EG portf</t>
  </si>
  <si>
    <t>G port alloc</t>
  </si>
  <si>
    <t>Measure</t>
  </si>
  <si>
    <t>Program</t>
  </si>
  <si>
    <t>Pre-optimization planned unit</t>
  </si>
  <si>
    <t># units</t>
  </si>
  <si>
    <t>unit type</t>
  </si>
  <si>
    <t>CIC/unit</t>
  </si>
  <si>
    <t>One-time NEB/unit (from Imp Tm)</t>
  </si>
  <si>
    <t>Annual NEB/unit (from Imp Tm)</t>
  </si>
  <si>
    <t>One-time NEB/unit</t>
  </si>
  <si>
    <t>Annual NEB/unit</t>
  </si>
  <si>
    <t>Original One-time NEB/unit</t>
  </si>
  <si>
    <t>Original Annual NEB/unit</t>
  </si>
  <si>
    <t>therms/unit</t>
  </si>
  <si>
    <t>% therms winter profile</t>
  </si>
  <si>
    <t>kWhs/unit</t>
  </si>
  <si>
    <t>Incentive per unit</t>
  </si>
  <si>
    <t>NIUC per unit</t>
  </si>
  <si>
    <t>PV of gas AC (pgm)</t>
  </si>
  <si>
    <t>PV of electric AC (pgm)</t>
  </si>
  <si>
    <t>PV of NEB (pgm)</t>
  </si>
  <si>
    <t>PV of CIC (pgm)</t>
  </si>
  <si>
    <t>NIUC (pgm)</t>
  </si>
  <si>
    <t>PV of incentive (pgm)</t>
  </si>
  <si>
    <t>Sub-TRC</t>
  </si>
  <si>
    <t>Energy only sub-TRC</t>
  </si>
  <si>
    <t>Sub-UCT</t>
  </si>
  <si>
    <t>Gas share of PV of EG AC</t>
  </si>
  <si>
    <t>% of TRC bene gas AC</t>
  </si>
  <si>
    <t>% of TRC bene EG AC</t>
  </si>
  <si>
    <t>Gas incent/PV of gas AC</t>
  </si>
  <si>
    <t>EG incent/PV of EG AC</t>
  </si>
  <si>
    <t>gross therms (pgm)</t>
  </si>
  <si>
    <t>NTG ratio</t>
  </si>
  <si>
    <t>net sub TRC</t>
  </si>
  <si>
    <t>net therms</t>
  </si>
  <si>
    <t>% of 2012 impact likely to occur in 2013</t>
  </si>
  <si>
    <t>Gross TRC benefits</t>
  </si>
  <si>
    <t>Gross TRC costs</t>
  </si>
  <si>
    <t>Gross TRC B/C</t>
  </si>
  <si>
    <t>Net TRC benefits</t>
  </si>
  <si>
    <t>Net TRC costs</t>
  </si>
  <si>
    <t>Net TRC B/C</t>
  </si>
  <si>
    <t>Delivering therms</t>
  </si>
  <si>
    <t>Measure offered?</t>
  </si>
  <si>
    <t>% of annualized pgm in 2012</t>
  </si>
  <si>
    <t>2012 gross TRC benefits</t>
  </si>
  <si>
    <t>2012 gross TRC costs</t>
  </si>
  <si>
    <t>2012 grossTRC B/C</t>
  </si>
  <si>
    <t>2012 gross therms</t>
  </si>
  <si>
    <t>% of annualized pgm in 2013</t>
  </si>
  <si>
    <t>2013 gross therms</t>
  </si>
  <si>
    <t>Energy Star 50% effic.gas fryer</t>
  </si>
  <si>
    <t>Food Service</t>
  </si>
  <si>
    <t>each</t>
  </si>
  <si>
    <t>Energy Star 80% effic. electric fryer</t>
  </si>
  <si>
    <t>Energy Star 38% effic. 3-pan gas steam cooker</t>
  </si>
  <si>
    <t>Energy Star 38% effic. 4-pan gas steam cooker</t>
  </si>
  <si>
    <t>Energy Star 38% effic. 5-pan gas steam cooker</t>
  </si>
  <si>
    <t>Energy Star 38% effic. 6-pan gas steam cooker</t>
  </si>
  <si>
    <t>Energy Star 50% effic. 3-pan electric steam cooker</t>
  </si>
  <si>
    <t>Energy Star 50% effic. 4-pan electric steam cooker</t>
  </si>
  <si>
    <t>Energy Star 50% effic. 5-pan electric steam cooker</t>
  </si>
  <si>
    <t>Energy Star 50% effic. 6-pan electric steam cooker</t>
  </si>
  <si>
    <t xml:space="preserve">Energy Star electric hot food holding cabinet, over 18 cu.ft. </t>
  </si>
  <si>
    <t xml:space="preserve">Energy Star electric hot food holding cabinet, between 12 &amp; 18 cu.ft. </t>
  </si>
  <si>
    <t>Energy Star electric hot food holding cabinet, 12 cu.ft. or less</t>
  </si>
  <si>
    <t>Energy Star refrigerator, solid 1 door</t>
  </si>
  <si>
    <t>Energy Star refrigerator, solid 2 door</t>
  </si>
  <si>
    <t>Energy Star refrigerator, solid 3 door</t>
  </si>
  <si>
    <t>Energy Star freezer, solid 1 door</t>
  </si>
  <si>
    <t>Energy Star freezer, solid 2 door</t>
  </si>
  <si>
    <t>Energy Star freezer, solid 3 door</t>
  </si>
  <si>
    <t>Energy Star refrigerator, glass 1 door</t>
  </si>
  <si>
    <t>Energy Star refrigerator, glass 2 door</t>
  </si>
  <si>
    <t>Energy Star refrigerator, glass 3 door</t>
  </si>
  <si>
    <t>Energy Star 91% AFUE gas furnace &amp; programmable thermostat</t>
  </si>
  <si>
    <t>Vent hood variable speed control, gas space heat</t>
  </si>
  <si>
    <t>Vent hood variable speed control, electric space heat</t>
  </si>
  <si>
    <t>Vent hood variable speed control, electric space heat w/ Make-Up Air Ctrl</t>
  </si>
  <si>
    <t>Vent hood variable speed control, natural gas space heat w/ Make-Up Air Ctrl</t>
  </si>
  <si>
    <t>Vent hood dedicated makeup air unit (MAU) variable speed control</t>
  </si>
  <si>
    <t>H.E. gas convection oven, 40% effic. or better</t>
  </si>
  <si>
    <t>H.E. electric convection oven, 70% effic. or better</t>
  </si>
  <si>
    <t>H.E. gas combination oven, 40% effic. or better</t>
  </si>
  <si>
    <t>H.E. electric combination oven, 60% effic. or better</t>
  </si>
  <si>
    <t>H.E. gas rack oven, 50% effic. or better</t>
  </si>
  <si>
    <t>EPACT05 ice maker, air cooled, ice making head, under 200 lbs./day capacity</t>
  </si>
  <si>
    <t>EPACT05 ice maker, air cooled, ice making head, 201 to 300 lbs./day capacity</t>
  </si>
  <si>
    <t>EPACT05 ice maker, air cooled, ice making head, 301 to 400 lbs./day capacity</t>
  </si>
  <si>
    <t>EPACT05 ice maker, air cooled, ice making head, 401 to 500 lbs./day capacity</t>
  </si>
  <si>
    <t>EPACT05 ice maker, air cooled, ice making head, 501 to 1000 lbs./day capacity</t>
  </si>
  <si>
    <t>EPACT05 ice maker, air cooled, ice making head, 1001 to 1500 lbs./day capacity</t>
  </si>
  <si>
    <t>EPACT05 ice maker, air cooled, ice making head, over 1500 lbs./day capacity</t>
  </si>
  <si>
    <t>EPACT05 ice maker, water cooled, ice making head, under 300 lbs./day capacity</t>
  </si>
  <si>
    <t>EPACT05 ice maker, water cooled, ice making head, 301 to 400 lbs./day capacity</t>
  </si>
  <si>
    <t>EPACT05 ice maker, water cooled, ice making head, 401 to 500 lbs./day capacity</t>
  </si>
  <si>
    <t>EPACT05 ice maker, water cooled, ice making head, 501 to 1000 lbs./day capacity</t>
  </si>
  <si>
    <t>EPACT05 ice maker, water cooled, ice making head, 1001 to 1500 lbs./day capacity</t>
  </si>
  <si>
    <t>EPACT05 ice maker, water cooled, ice making head, over 1500 lbs./day capacity</t>
  </si>
  <si>
    <t>EPACT05 ice maker, air cooled, self contained, 200 lbs./day capacity &amp; under</t>
  </si>
  <si>
    <t>EPACT05 ice maker, water cooled, self contained, 200 lbs./day capacity &amp; under</t>
  </si>
  <si>
    <t>EPACT05 ice maker, water cooled, self contained, over 200 lbs./day capacity</t>
  </si>
  <si>
    <t>EPACT05 ice maker, air cooled, remote condensing, 400 lbs./day capacity &amp; under</t>
  </si>
  <si>
    <t>EPACT05 ice maker, air cooled, remote condensing, 401 to 500 lbs./day capacity</t>
  </si>
  <si>
    <t>EPACT05 ice maker, air cooled, remote condensing, 501 to 1000 lbs./day capacity</t>
  </si>
  <si>
    <t>EPACT05 ice maker, air cooled, remote condensing, 1001 to 1500 lbs./day capacity</t>
  </si>
  <si>
    <t>EPACT05 ice maker, air cooled, remote condensing, over 1500 lbs./day capacity</t>
  </si>
  <si>
    <t>CEE Tier 2 ice maker, air cooled, ice making head, under 200 lbs./day capacity</t>
  </si>
  <si>
    <t>CEE Tier 2 ice maker, air cooled, ice making head, 201 to 300 lbs./day capacity</t>
  </si>
  <si>
    <t>CEE Tier 2 ice maker, air cooled, ice making head, 301 to 400 lbs./day capacity</t>
  </si>
  <si>
    <t>CEE Tier 2 ice maker, air cooled, ice making head, 401 to 500 lbs./day capacity</t>
  </si>
  <si>
    <t>CEE Tier 2 ice maker, air cooled, ice making head, 501 to 1000 lbs./day capacity</t>
  </si>
  <si>
    <t>CEE Tier 2 ice maker, air cooled, ice making head, 1001 to 1500 lbs./day capacity</t>
  </si>
  <si>
    <t>CEE Tier 2 ice maker, air cooled, ice making head, over 1500 lbs./day capacity</t>
  </si>
  <si>
    <t>CEE Tier 2 ice maker, water cooled, ice making head, under 300 lbs./day capacity</t>
  </si>
  <si>
    <t>CEE Tier 2 ice maker, water cooled, ice making head, 301 to 400 lbs./day capacity</t>
  </si>
  <si>
    <t>CEE Tier 2 ice maker, water cooled, ice making head, 401 to 500 lbs./day capacity</t>
  </si>
  <si>
    <t>CEE Tier 2 ice maker, water cooled, ice making head, 501 to 1000 lbs./day capacity</t>
  </si>
  <si>
    <t>CEE Tier 2 ice maker, water cooled, ice making head, 1001 to 1500 lbs./day capacity</t>
  </si>
  <si>
    <t>CEE Tier 2 ice maker, water cooled, ice making head, over 1500 lbs./day capacity</t>
  </si>
  <si>
    <t>CEE Tier 2 ice maker, air cooled, self contained, 200 lbs./day capacity &amp; under</t>
  </si>
  <si>
    <t>CEE Tier 2 ice maker, water cooled, self contained, 200 lbs./day capacity &amp; under</t>
  </si>
  <si>
    <t>CEE Tier 2 ice maker, water cooled, self contained, over 200 lbs./day capacity</t>
  </si>
  <si>
    <t>CEE Tier 2 ice maker, air cooled, remote condensing, 400 lbs./day capacity &amp; under</t>
  </si>
  <si>
    <t>CEE Tier 2 ice maker, air cooled, remote condensing, 401 to 500 lbs./day capacity</t>
  </si>
  <si>
    <t>CEE Tier 2 ice maker, air cooled, remote condensing, 501 to 1000 lbs./day capacity</t>
  </si>
  <si>
    <t>CEE Tier 2 ice maker, air cooled, remote condensing, 1001 to 1500 lbs./day capacity</t>
  </si>
  <si>
    <t>CEE Tier 2 ice maker, air cooled, remote condensing, over 1500 lbs./day capacity</t>
  </si>
  <si>
    <t>CEE Tier 3 ice maker, air cooled, ice making head, under 200 lbs./day capacity</t>
  </si>
  <si>
    <t>CEE Tier 3 ice maker, air cooled, ice making head, 201 to 300 lbs./day capacity</t>
  </si>
  <si>
    <t>CEE Tier 3 ice maker, air cooled, ice making head, 301 to 400 lbs./day capacity</t>
  </si>
  <si>
    <t>CEE Tier 3 ice maker, air cooled, ice making head, 401 to 500 lbs./day capacity</t>
  </si>
  <si>
    <t>CEE Tier 3 ice maker, air cooled, ice making head, 501 to 1000 lbs./day capacity</t>
  </si>
  <si>
    <t>CEE Tier 3 ice maker, air cooled, ice making head, 1001 to 1500 lbs./day capacity</t>
  </si>
  <si>
    <t>CEE Tier 3 ice maker, air cooled, ice making head, over 1500 lbs./day capacity</t>
  </si>
  <si>
    <t>CEE Tier 3 ice maker, water cooled, ice making head, under 300 lbs./day capacity</t>
  </si>
  <si>
    <t>CEE Tier 3 ice maker, water cooled, ice making head, 301 to 400 lbs./day capacity</t>
  </si>
  <si>
    <t>CEE Tier 3 ice maker, water cooled, ice making head, 401 to 500 lbs./day capacity</t>
  </si>
  <si>
    <t>CEE Tier 3 ice maker, water cooled, ice making head, 501 to 1000 lbs./day capacity</t>
  </si>
  <si>
    <t>CEE Tier 3 ice maker, water cooled, ice making head, 1001 to 1500 lbs./day capacity</t>
  </si>
  <si>
    <t>CEE Tier 3 ice maker, water cooled, ice making head, over 1500 lbs./day capacity</t>
  </si>
  <si>
    <t>CEE Tier 3 ice maker, air cooled, self contained, 200 lbs./day capacity &amp; under</t>
  </si>
  <si>
    <t>CEE Tier 3 ice maker, water cooled, self contained, 200 lbs./day capacity &amp; under</t>
  </si>
  <si>
    <t>CEE Tier 3 ice maker, water cooled, self contained, over 200 lbs./day capacity</t>
  </si>
  <si>
    <t>CEE Tier 3 ice maker, air cooled, remote condensing, 400 lbs./day capacity &amp; under</t>
  </si>
  <si>
    <t>CEE Tier 3 ice maker, air cooled, remote condensing, 401 to 500 lbs./day capacity</t>
  </si>
  <si>
    <t>CEE Tier 3 ice maker, air cooled, remote condensing, 501 to 1000 lbs./day capacity</t>
  </si>
  <si>
    <t>CEE Tier 3 ice maker, air cooled, remote condensing, 1001 to 1500 lbs./day capacity</t>
  </si>
  <si>
    <t>CEE Tier 3 ice maker, air cooled, remote condensing, over 1500 lbs./day capacity</t>
  </si>
  <si>
    <t>H.E. gas griddle, 40% effic. or better</t>
  </si>
  <si>
    <t>H.E. electric griddle, 70% effic. or better</t>
  </si>
  <si>
    <t>Energy Star dishwasher Under Counter, Low Temp - elect.  bldg. H.W.&amp;  booster H.W.</t>
  </si>
  <si>
    <t>Energy Star dishwasher Under Counter, High Temp - elect.  bldg. H.W.&amp;  booster H.W.</t>
  </si>
  <si>
    <t>Energy Star dishwasher Door Type, Low Temp - elect.  bldg. H.W.&amp;  booster H.W.</t>
  </si>
  <si>
    <t>Energy Star dishwasher Door Type, High Temp - elect.  bldg. H.W.&amp;  booster H.W.</t>
  </si>
  <si>
    <t>Energy Star dishwasher Single Tank Conveyor, Low Temp - elect.  bldg. H.W.&amp;  booster H.W.</t>
  </si>
  <si>
    <t>Energy Star dishwasher Single Tank Conveyor, High Temp - elect.  bldg. H.W.&amp;  booster H.W.</t>
  </si>
  <si>
    <t>Energy Star dishwasher Multi Tank Conveyor, Low Temp - elect.  bldg. H.W.&amp;  booster H.W.</t>
  </si>
  <si>
    <t>Energy Star dishwasher Multi Tank Conveyor, High Temp - elect.  bldg. H.W.&amp;  booster H.W.</t>
  </si>
  <si>
    <t>Energy Star dishwasher Under Counter, Low Temp - gas  bldg. H.W.&amp;  elec. booster H.W.</t>
  </si>
  <si>
    <t>Energy Star dishwasher Under Counter, High Temp - gas  bldg. H.W.&amp;  elec. booster H.W.</t>
  </si>
  <si>
    <t>Energy Star dishwasher Door Type, Low Temp - gas  bldg. H.W.&amp;  elec. booster H.W.</t>
  </si>
  <si>
    <t>Energy Star dishwasher Door Type, High Temp - gas  bldg. H.W.&amp;  elec. booster H.W.</t>
  </si>
  <si>
    <t>Energy Star dishwasher Single Tank Conveyor, Low Temp - gas  bldg. H.W.&amp;  elec. booster H.W.</t>
  </si>
  <si>
    <t>Energy Star dishwasher Single Tank Conveyor, High Temp - gas  bldg. H.W.&amp;  elec. booster H.W.</t>
  </si>
  <si>
    <t>Energy Star dishwasher Multi Tank Conveyor, Low Temp - gas  bldg. H.W.&amp;  elec. booster H.W.</t>
  </si>
  <si>
    <t>Energy Star dishwasher Multi Tank Conveyor, High Temp - gas  bldg. H.W.&amp;  elec. booster H.W.</t>
  </si>
  <si>
    <t>Energy Star dishwasher Under Counter, Low Temp - elec. bldg. H.W.&amp;  gas booster H.W.</t>
  </si>
  <si>
    <t>Energy Star dishwasher Under Counter, High Temp - elec. bldg. H.W.&amp;  gas booster H.W.</t>
  </si>
  <si>
    <t>Energy Star dishwasher Door Type, Low Temp - elec. bldg. H.W.&amp;  gas booster H.W.</t>
  </si>
  <si>
    <t>Energy Star dishwasher Door Type, High Temp - elec. bldg. H.W.&amp;  gas booster H.W.</t>
  </si>
  <si>
    <t>Energy Star dishwasher Single Tank Conveyor, Low Temp - elec. bldg. H.W.&amp;  gas booster H.W.</t>
  </si>
  <si>
    <t>Energy Star dishwasher Single Tank Conveyor, High Temp - elec. bldg. H.W.&amp;  gas booster H.W.</t>
  </si>
  <si>
    <t>Energy Star dishwasher Multi Tank Conveyor, Low Temp - elec. bldg. H.W.&amp;  gas booster H.W.</t>
  </si>
  <si>
    <t>Energy Star dishwasher Multi Tank Conveyor, High Temp - elec. bldg. H.W.&amp;  gas booster H.W.</t>
  </si>
  <si>
    <t>Energy Star dishwasher Under Counter, Low Temp - gas  bldg. H.W.&amp;  booster H.W.</t>
  </si>
  <si>
    <t>Energy Star dishwasher Under Counter, High Temp - gas  bldg. H.W.&amp;  booster H.W.</t>
  </si>
  <si>
    <t>Energy Star dishwasher Door Type, Low Temp - gas  bldg. H.W.&amp;  booster H.W.</t>
  </si>
  <si>
    <t>Energy Star dishwasher Door Type, High Temp - gas  bldg. H.W.&amp;  booster H.W.</t>
  </si>
  <si>
    <t>Energy Star dishwasher Single Tank Conveyor, Low Temp - gas  bldg. H.W.&amp;  booster H.W.</t>
  </si>
  <si>
    <t>Energy Star dishwasher Single Tank Conveyor, High Temp - gas  bldg. H.W.&amp;  booster H.W.</t>
  </si>
  <si>
    <t>Energy Star dishwasher Multi Tank Conveyor, Low Temp - gas  bldg. H.W.&amp;  booster H.W.</t>
  </si>
  <si>
    <t>Energy Star dishwasher Multi Tank Conveyor, High Temp - gas  bldg. H.W.&amp;  booster H.W.</t>
  </si>
  <si>
    <t>Furnace (lower eff consistent w $3.50/kBTU incent)</t>
  </si>
  <si>
    <t>HVAC</t>
  </si>
  <si>
    <t>y</t>
  </si>
  <si>
    <t>Furnace (higher eff consistent w $5.00/kBTU incent)</t>
  </si>
  <si>
    <t>Boiler (lower eff w $6.00/kBTU incent)</t>
  </si>
  <si>
    <t>Boiler (lower eff w $7.25/kBTU incent)</t>
  </si>
  <si>
    <t>Unit heater w $5.00/kBtu incent)</t>
  </si>
  <si>
    <t>Wall &lt;R4 to R11-R18</t>
  </si>
  <si>
    <t>windows/insulation</t>
  </si>
  <si>
    <t>SF</t>
  </si>
  <si>
    <t>Wall &lt;R4 to R19+</t>
  </si>
  <si>
    <t>Attic &lt;R11 up to R30-R44</t>
  </si>
  <si>
    <t>Attic &lt;R11 up to R45+</t>
  </si>
  <si>
    <t>Roof &lt;R11 up to R30+</t>
  </si>
  <si>
    <t>New Windows (U-value.3/SHGC.35)</t>
  </si>
  <si>
    <t>Retro Windows (U-value.3/SHGC.35)</t>
  </si>
  <si>
    <t>Energy Star clothes washer  - elect. H.W.&amp;  gas dryer</t>
  </si>
  <si>
    <t>Clothes washers</t>
  </si>
  <si>
    <t>CEE Tier 1 clothes washer  - elect. H.W.&amp;  gas dryer</t>
  </si>
  <si>
    <t>CEE Tier 2 clothes washer  - elect. H.W.&amp;  gas dryer</t>
  </si>
  <si>
    <t>CEE Tier 3 clothes washer  - elect. H.W.&amp;  gas dryer</t>
  </si>
  <si>
    <t>Energy Star clothes washer  - gas H.W.&amp;  elect. dryer</t>
  </si>
  <si>
    <t>CEE Tier 1 clothes washer  - gas H.W.&amp;  elect. dryer</t>
  </si>
  <si>
    <t>CEE Tier 2 clothes washer  - gas H.W.&amp;  elect. dryer</t>
  </si>
  <si>
    <t>CEE Tier 3 clothes washer  - gas H.W.&amp;  elect. dryer</t>
  </si>
  <si>
    <t>Energy Star clothes washer  - gas H.W.&amp;  dryer</t>
  </si>
  <si>
    <t>CEE Tier 1 clothes washer  - gas H.W.&amp;  dryer</t>
  </si>
  <si>
    <t>CEE Tier 2 clothes washer  - gas H.W.&amp;  dryer</t>
  </si>
  <si>
    <t>CEE Tier 3 clothes washer  - gas H.W.&amp;  dryer</t>
  </si>
  <si>
    <t>Follow-up w engineers</t>
  </si>
  <si>
    <r>
      <t xml:space="preserve">Surviving </t>
    </r>
    <r>
      <rPr>
        <u/>
        <sz val="9"/>
        <color theme="1"/>
        <rFont val="Tahoma"/>
        <family val="2"/>
      </rPr>
      <t>gas</t>
    </r>
    <r>
      <rPr>
        <sz val="9"/>
        <color theme="1"/>
        <rFont val="Calibri"/>
        <family val="2"/>
        <scheme val="minor"/>
      </rPr>
      <t xml:space="preserve"> pgm ("Y" or "N")</t>
    </r>
  </si>
  <si>
    <r>
      <t xml:space="preserve">% </t>
    </r>
    <r>
      <rPr>
        <u/>
        <sz val="9"/>
        <color theme="1"/>
        <rFont val="Tahoma"/>
        <family val="2"/>
      </rPr>
      <t>BTU</t>
    </r>
    <r>
      <rPr>
        <sz val="9"/>
        <color theme="1"/>
        <rFont val="Calibri"/>
        <family val="2"/>
        <scheme val="minor"/>
      </rPr>
      <t xml:space="preserve"> svgs gas</t>
    </r>
  </si>
  <si>
    <r>
      <t xml:space="preserve">% of </t>
    </r>
    <r>
      <rPr>
        <u/>
        <sz val="9"/>
        <color theme="1"/>
        <rFont val="Tahoma"/>
        <family val="2"/>
      </rPr>
      <t>AC</t>
    </r>
    <r>
      <rPr>
        <sz val="9"/>
        <color theme="1"/>
        <rFont val="Calibri"/>
        <family val="2"/>
        <scheme val="minor"/>
      </rPr>
      <t xml:space="preserve"> svgs gas</t>
    </r>
  </si>
  <si>
    <t>2013 results ***</t>
  </si>
  <si>
    <t>Offer or not</t>
  </si>
  <si>
    <t># units if offered</t>
  </si>
  <si>
    <t># units actually offered</t>
  </si>
  <si>
    <t>Non-incentive utility cost/unit</t>
  </si>
  <si>
    <t>PV of NIUC</t>
  </si>
  <si>
    <t>Gross Therms</t>
  </si>
  <si>
    <t>% of portfolio</t>
  </si>
  <si>
    <t>sub-net-TRC</t>
  </si>
  <si>
    <t>% of annualized impact likely to occur in 2013</t>
  </si>
  <si>
    <t>Gross TRC benefits 2013</t>
  </si>
  <si>
    <t>Gross TRC costs 2013</t>
  </si>
  <si>
    <t>Gross TRC B/C 2013</t>
  </si>
  <si>
    <t>Gross therms 2013</t>
  </si>
  <si>
    <t>Net TRC benefits 2013</t>
  </si>
  <si>
    <t>Net TRC costs 2013</t>
  </si>
  <si>
    <t>Net TRC B/C 2013</t>
  </si>
  <si>
    <t>Net therms 2013</t>
  </si>
  <si>
    <t>E/G ES Home</t>
  </si>
  <si>
    <t>ES Home</t>
  </si>
  <si>
    <t>G ES Home</t>
  </si>
  <si>
    <t>Furnace</t>
  </si>
  <si>
    <t>Boiler</t>
  </si>
  <si>
    <t>40g gas WH</t>
  </si>
  <si>
    <t>Water heat</t>
  </si>
  <si>
    <t>50g gas WH</t>
  </si>
  <si>
    <t>Attic insulation old pgm</t>
  </si>
  <si>
    <t>Insulation</t>
  </si>
  <si>
    <t>Attic insulation new pgm</t>
  </si>
  <si>
    <t>Wall insulation</t>
  </si>
  <si>
    <t>Floor insulation</t>
  </si>
  <si>
    <t>Res clothes washer</t>
  </si>
  <si>
    <t>Appliances</t>
  </si>
  <si>
    <t>Res dishwasher</t>
  </si>
  <si>
    <t>Showerheads</t>
  </si>
  <si>
    <t>Duct sealing</t>
  </si>
  <si>
    <t>n</t>
  </si>
  <si>
    <t>Programmable thermostats</t>
  </si>
  <si>
    <t>Furnace tune-up</t>
  </si>
  <si>
    <t>Homes?</t>
  </si>
  <si>
    <t>BP sq. ft</t>
  </si>
  <si>
    <t>Sq ft/home?</t>
  </si>
  <si>
    <t>Attic insulation</t>
  </si>
  <si>
    <t>% NEBs</t>
  </si>
  <si>
    <t>WAML's</t>
  </si>
  <si>
    <t>Res Portfolio</t>
  </si>
  <si>
    <t>Residual net TRC benefit</t>
  </si>
  <si>
    <t>Site-specific</t>
  </si>
  <si>
    <t>Non-res Psc clothes washers</t>
  </si>
  <si>
    <t>Non-res Psc food service</t>
  </si>
  <si>
    <t>Non-res Psc windows/insulation</t>
  </si>
  <si>
    <t>Non-res Psc non-res HVAC</t>
  </si>
  <si>
    <t>Res Psc ES home</t>
  </si>
  <si>
    <t>Res Psc res HVAC</t>
  </si>
  <si>
    <t>Res Psc water heat</t>
  </si>
  <si>
    <t>Res Psc insulation</t>
  </si>
  <si>
    <t>Res Psc appliance</t>
  </si>
  <si>
    <t>Gas portfolio overall</t>
  </si>
  <si>
    <t>NIUC allocated across program based upon net therms</t>
  </si>
  <si>
    <t>DR</t>
  </si>
  <si>
    <t>2011 portfolio realization rate</t>
  </si>
  <si>
    <t>Gross therms realized</t>
  </si>
  <si>
    <t>2013 TRC gross benefits</t>
  </si>
  <si>
    <t>2013 TRC gross costs</t>
  </si>
  <si>
    <t>2013 TRC gross B/C</t>
  </si>
  <si>
    <t>Fixed portion of NIUC (2011 actual)</t>
  </si>
  <si>
    <t>Variable portion of NIUC (2011 actual)</t>
  </si>
  <si>
    <t>Total NIUC (2011 actual)</t>
  </si>
  <si>
    <t>Gross 2011 therm acquisition</t>
  </si>
  <si>
    <t>Residential gas programs (Table 14 of 2011 Annual Report)</t>
  </si>
  <si>
    <t>Low income gas programs (Table 16 of 2011 Annual Report)</t>
  </si>
  <si>
    <t>Non-residential gas program (Table 18 of 2011 Annual Report)</t>
  </si>
  <si>
    <t>2011 actual NIUC (table 6 of 2011 Annual Report)</t>
  </si>
  <si>
    <t>Estimated distribution of 2011 NIUC</t>
  </si>
  <si>
    <t>Estimated distribution of 2013 NIUC</t>
  </si>
  <si>
    <t>Fixed NIUC</t>
  </si>
  <si>
    <t>Variable NIUC</t>
  </si>
  <si>
    <t>Total NIUC</t>
  </si>
  <si>
    <t>NIUC associated with program</t>
  </si>
  <si>
    <t>Application Number</t>
  </si>
  <si>
    <t>Account</t>
  </si>
  <si>
    <t>Payment Date</t>
  </si>
  <si>
    <t>Contract Request Date</t>
  </si>
  <si>
    <t>Fuel Type</t>
  </si>
  <si>
    <t>Measure Type</t>
  </si>
  <si>
    <t>Simple Payback</t>
  </si>
  <si>
    <t>KWH</t>
  </si>
  <si>
    <t>THERM</t>
  </si>
  <si>
    <t>Incentive Electric</t>
  </si>
  <si>
    <t>Incentive Gas</t>
  </si>
  <si>
    <t>Measure Cose</t>
  </si>
  <si>
    <t>Incentive Cost</t>
  </si>
  <si>
    <t>CE Cost</t>
  </si>
  <si>
    <t>NEB Value</t>
  </si>
  <si>
    <t>PVOFNEB</t>
  </si>
  <si>
    <t>Phase</t>
  </si>
  <si>
    <t>KWH2</t>
  </si>
  <si>
    <t>THERM2</t>
  </si>
  <si>
    <t>Measure Live</t>
  </si>
  <si>
    <t>State</t>
  </si>
  <si>
    <t>Rate Electric</t>
  </si>
  <si>
    <t>Rate Gas</t>
  </si>
  <si>
    <t>therms type</t>
  </si>
  <si>
    <t>% of CIC assigned to gas for DF</t>
  </si>
  <si>
    <t>In G portfolio?</t>
  </si>
  <si>
    <t>Applicable E rate</t>
  </si>
  <si>
    <t>Applicable G rate</t>
  </si>
  <si>
    <t>Gas rate for DF, GE projects</t>
  </si>
  <si>
    <t>E rate for DF or GE projects</t>
  </si>
  <si>
    <t>G rate for DF or GE projects</t>
  </si>
  <si>
    <t>Total retail electric per year</t>
  </si>
  <si>
    <t>Total retail gas per year</t>
  </si>
  <si>
    <t>Total retail energy per year</t>
  </si>
  <si>
    <t>Months en SPB</t>
  </si>
  <si>
    <t>E AC benefit</t>
  </si>
  <si>
    <t>G AC benefit</t>
  </si>
  <si>
    <t>NEB benefit</t>
  </si>
  <si>
    <t>CIC cost</t>
  </si>
  <si>
    <t>Sub TRC $</t>
  </si>
  <si>
    <t>Input en SPB</t>
  </si>
  <si>
    <t>% of calc vs input en SPB</t>
  </si>
  <si>
    <t>HVAC Combined</t>
  </si>
  <si>
    <t>Contracted</t>
  </si>
  <si>
    <t>ID</t>
  </si>
  <si>
    <t>Winter</t>
  </si>
  <si>
    <t>Dual Fuel</t>
  </si>
  <si>
    <t>WA</t>
  </si>
  <si>
    <t>Gas</t>
  </si>
  <si>
    <t>Shell</t>
  </si>
  <si>
    <t>HVAC Heating</t>
  </si>
  <si>
    <t>Annual</t>
  </si>
  <si>
    <t>HVAC Cooling</t>
  </si>
  <si>
    <t xml:space="preserve">WA </t>
  </si>
  <si>
    <t>2011 non-res realization rate</t>
  </si>
  <si>
    <t>2011 res realization rate</t>
  </si>
  <si>
    <t>Revised (from 6/11/12) estimate of fixed vs. variable components of NIUC</t>
  </si>
  <si>
    <t>Using res vs. non-res realization rates vs. gas portfolio realization rates</t>
  </si>
  <si>
    <r>
      <t xml:space="preserve">Corrected for VLOOKUP reference </t>
    </r>
    <r>
      <rPr>
        <u/>
        <sz val="9"/>
        <color theme="1"/>
        <rFont val="Tahoma"/>
        <family val="2"/>
      </rPr>
      <t>error</t>
    </r>
    <r>
      <rPr>
        <sz val="9"/>
        <color theme="1"/>
        <rFont val="Tahoma"/>
        <family val="2"/>
      </rPr>
      <t xml:space="preserve"> on site-specific program</t>
    </r>
  </si>
  <si>
    <t>From DFIC v.3</t>
  </si>
  <si>
    <t>Kelly Irvine annual AC's rec'd 5/25/12.  Extrapolated winter AC's based upon DFIC v.3 difference between winter and annual AC's</t>
  </si>
  <si>
    <t>Tom Pardee annual and winter AC's rec'd 6/8/12</t>
  </si>
  <si>
    <t>Using natural gas AC's received from</t>
  </si>
  <si>
    <t>NIUC is based upon 2011 actual NIUC (from 2011 DSM Annual Report table 5) adjusted for reduced therm acquisition assuming no fixed component</t>
  </si>
  <si>
    <t>NIUC is based upon 2011 actual NIUC (from 2011 DSM Annual Report table 5) with estimated variable (with throughput) amount adjusted for reduced therm acquisition component</t>
  </si>
  <si>
    <t>***</t>
  </si>
  <si>
    <t>Annualized natural gas DSM portfolio projections (6/12/12)</t>
  </si>
  <si>
    <t>Net therms realized</t>
  </si>
  <si>
    <t>Net TRC benefits realized</t>
  </si>
  <si>
    <t>Net sub-TRC costs</t>
  </si>
  <si>
    <t>Net sub TRC B/C</t>
  </si>
  <si>
    <t>Allocated (by therms) NIUC</t>
  </si>
  <si>
    <t>Net TRC B/C ratio</t>
  </si>
  <si>
    <t>Scenario with fixed and variable NIUC components</t>
  </si>
  <si>
    <t>Scenario assuming NIUC is fully variable</t>
  </si>
  <si>
    <t>For graphs</t>
  </si>
  <si>
    <t>VLOOKUPS</t>
  </si>
  <si>
    <t>Kelly's Acs</t>
  </si>
  <si>
    <t>Tom's Acs</t>
  </si>
  <si>
    <t>Electric incentives</t>
  </si>
  <si>
    <t>Gas incentives</t>
  </si>
  <si>
    <t>20 year annual therm</t>
  </si>
  <si>
    <t>20 year winter therm</t>
  </si>
  <si>
    <t>20 year kWh</t>
  </si>
  <si>
    <t>per mmBTU</t>
  </si>
  <si>
    <t>As a % of electric</t>
  </si>
  <si>
    <r>
      <t>$/</t>
    </r>
    <r>
      <rPr>
        <u/>
        <sz val="11"/>
        <color theme="1"/>
        <rFont val="Calibri"/>
        <family val="2"/>
        <scheme val="minor"/>
      </rPr>
      <t>therm</t>
    </r>
    <r>
      <rPr>
        <sz val="11"/>
        <color theme="1"/>
        <rFont val="Calibri"/>
        <family val="2"/>
        <scheme val="minor"/>
      </rPr>
      <t xml:space="preserve"> </t>
    </r>
    <r>
      <rPr>
        <u/>
        <sz val="11"/>
        <color theme="1"/>
        <rFont val="Calibri"/>
        <family val="2"/>
        <scheme val="minor"/>
      </rPr>
      <t>levelized</t>
    </r>
    <r>
      <rPr>
        <sz val="11"/>
        <color theme="1"/>
        <rFont val="Calibri"/>
        <family val="2"/>
        <scheme val="minor"/>
      </rPr>
      <t xml:space="preserve"> cost</t>
    </r>
  </si>
  <si>
    <t>measure life</t>
  </si>
  <si>
    <t>discount rate</t>
  </si>
  <si>
    <t>PV</t>
  </si>
  <si>
    <t>lbs per therm</t>
  </si>
  <si>
    <t>per ton of CO2 (nominal fixed value over measure life)</t>
  </si>
  <si>
    <t>tons per therm</t>
  </si>
  <si>
    <t>$ per therm</t>
  </si>
  <si>
    <t>Carbon costs (not included in the calculations above)</t>
  </si>
  <si>
    <t>increase in the annual gas avoided cost (including 10% adder)</t>
  </si>
  <si>
    <t>increase in the winter gas avoided cost (including 10% adder)</t>
  </si>
  <si>
    <t>Total net TRC cost</t>
  </si>
  <si>
    <t>Kelly Irvine, phone conversation 6/22/12 around 8:15 AM: Carbon is in the commodity avoided cost for 2020 and beyond at $7 a ton.  It's expected to be a monetary penalty or otherwise incorporated into the commodity cost.</t>
  </si>
  <si>
    <t>Calculation below is to determine the impact of adding John Lyons $0.52/Dth to the avoided cost for the first seven years (2013 to 2019 inclusive)</t>
  </si>
  <si>
    <t>levelized adder</t>
  </si>
  <si>
    <t>EOY PV</t>
  </si>
  <si>
    <t>EOY cum PV</t>
  </si>
  <si>
    <t>cum PV of the carbon adder for the first seven years</t>
  </si>
  <si>
    <t>PV of 20 year therm, with 10% adder, annual</t>
  </si>
  <si>
    <t>PV of 20 year therm, with 10% adder, winter</t>
  </si>
  <si>
    <t>% adder to bring 2013-2019 carbon cost into gas AC (including 10% preference), annual therm</t>
  </si>
  <si>
    <t>% adder to bring 2013-2019 carbon cost into gas AC (including 10% preference), winter therm</t>
  </si>
  <si>
    <t>tom</t>
  </si>
  <si>
    <t>per therm distribution capacity adder per Tara and Joe's "2009 Long Run Incremental Cost Study"</t>
  </si>
  <si>
    <t>PV for 20 years</t>
  </si>
  <si>
    <t>Increase above cum PV for 20 year therm, annual load shape</t>
  </si>
  <si>
    <t>Increase above cum PV for 20 year therm, winter load shape</t>
  </si>
  <si>
    <t>PV (yr 0) of adder</t>
  </si>
  <si>
    <t>Cum PV (yr 0) of adder</t>
  </si>
  <si>
    <r>
      <t xml:space="preserve">Water heat </t>
    </r>
    <r>
      <rPr>
        <u/>
        <sz val="9"/>
        <color rgb="FFFF0000"/>
        <rFont val="Tahoma"/>
        <family val="2"/>
      </rPr>
      <t>w/o added NIUC allocations</t>
    </r>
  </si>
  <si>
    <r>
      <t xml:space="preserve">Insulation </t>
    </r>
    <r>
      <rPr>
        <u/>
        <sz val="9"/>
        <color rgb="FFFF0000"/>
        <rFont val="Tahoma"/>
        <family val="2"/>
      </rPr>
      <t>w/o added NIUC allocations</t>
    </r>
  </si>
  <si>
    <r>
      <t xml:space="preserve">Appliance </t>
    </r>
    <r>
      <rPr>
        <u/>
        <sz val="9"/>
        <color rgb="FFFF0000"/>
        <rFont val="Tahoma"/>
        <family val="2"/>
      </rPr>
      <t>w/o added NIUC allocations</t>
    </r>
  </si>
  <si>
    <r>
      <t xml:space="preserve">Res Portfolio </t>
    </r>
    <r>
      <rPr>
        <u/>
        <sz val="9"/>
        <color rgb="FFFF0000"/>
        <rFont val="Tahoma"/>
        <family val="2"/>
      </rPr>
      <t>w/o added NIUC allocations</t>
    </r>
  </si>
  <si>
    <r>
      <t xml:space="preserve">ES Home </t>
    </r>
    <r>
      <rPr>
        <u/>
        <sz val="9"/>
        <color rgb="FFFF0000"/>
        <rFont val="Tahoma"/>
        <family val="2"/>
      </rPr>
      <t>w/o added NIUC allocations</t>
    </r>
  </si>
  <si>
    <r>
      <t xml:space="preserve">HVAC </t>
    </r>
    <r>
      <rPr>
        <u/>
        <sz val="9"/>
        <color rgb="FFFF0000"/>
        <rFont val="Tahoma"/>
        <family val="2"/>
      </rPr>
      <t>w/o added NIUC allocations</t>
    </r>
  </si>
  <si>
    <t>General assumptions</t>
  </si>
  <si>
    <t>of NIUC allocated to components that will NOT vary with throughput (see comment for amount in the event that the link is broken).</t>
  </si>
  <si>
    <t>Y</t>
  </si>
  <si>
    <t>N</t>
  </si>
  <si>
    <t>kCFM</t>
  </si>
  <si>
    <t>kBTU</t>
  </si>
  <si>
    <t>DATA FOR COLUMNS C THROUGH S WERE DRAWN FROM OTHER SPREADSHEETS AND HARDWIRED FOR THIS VERSION TO SAFEGUARD AGAINST BROKEN LINKS</t>
  </si>
  <si>
    <t>COLUMN N HARDWIRED TO PRESERVE LINK</t>
  </si>
  <si>
    <t>GDP inflator</t>
  </si>
  <si>
    <t>GDP deflator</t>
  </si>
  <si>
    <r>
      <rPr>
        <u/>
        <sz val="10"/>
        <color theme="1"/>
        <rFont val="Calibri"/>
        <family val="2"/>
        <scheme val="minor"/>
      </rPr>
      <t xml:space="preserve">Nominal </t>
    </r>
    <r>
      <rPr>
        <sz val="10"/>
        <color theme="1"/>
        <rFont val="Calibri"/>
        <family val="2"/>
        <scheme val="minor"/>
      </rPr>
      <t>Annual therm</t>
    </r>
  </si>
  <si>
    <r>
      <rPr>
        <u/>
        <sz val="10"/>
        <color theme="1"/>
        <rFont val="Calibri"/>
        <family val="2"/>
        <scheme val="minor"/>
      </rPr>
      <t>Nominal</t>
    </r>
    <r>
      <rPr>
        <sz val="10"/>
        <color theme="1"/>
        <rFont val="Calibri"/>
        <family val="2"/>
        <scheme val="minor"/>
      </rPr>
      <t xml:space="preserve"> Winter therm</t>
    </r>
  </si>
  <si>
    <r>
      <rPr>
        <u/>
        <sz val="10"/>
        <color theme="1"/>
        <rFont val="Calibri"/>
        <family val="2"/>
        <scheme val="minor"/>
      </rPr>
      <t>Nominal</t>
    </r>
    <r>
      <rPr>
        <sz val="10"/>
        <color theme="1"/>
        <rFont val="Calibri"/>
        <family val="2"/>
        <scheme val="minor"/>
      </rPr>
      <t xml:space="preserve"> Cum EOY PV, Annual therm + 10% DSM pref and dist adder</t>
    </r>
  </si>
  <si>
    <r>
      <rPr>
        <u/>
        <sz val="10"/>
        <color theme="1"/>
        <rFont val="Calibri"/>
        <family val="2"/>
        <scheme val="minor"/>
      </rPr>
      <t>Nominal</t>
    </r>
    <r>
      <rPr>
        <sz val="10"/>
        <color theme="1"/>
        <rFont val="Calibri"/>
        <family val="2"/>
        <scheme val="minor"/>
      </rPr>
      <t xml:space="preserve"> Cum EOY PV, Winter therm + 10% DSM pref and dist adder</t>
    </r>
  </si>
  <si>
    <r>
      <rPr>
        <u/>
        <sz val="10"/>
        <color theme="1"/>
        <rFont val="Calibri"/>
        <family val="2"/>
        <scheme val="minor"/>
      </rPr>
      <t>Real</t>
    </r>
    <r>
      <rPr>
        <sz val="10"/>
        <color theme="1"/>
        <rFont val="Calibri"/>
        <family val="2"/>
        <scheme val="minor"/>
      </rPr>
      <t xml:space="preserve"> Kelly Annual AC</t>
    </r>
  </si>
  <si>
    <r>
      <rPr>
        <u/>
        <sz val="10"/>
        <color theme="1"/>
        <rFont val="Calibri"/>
        <family val="2"/>
        <scheme val="minor"/>
      </rPr>
      <t>Real</t>
    </r>
    <r>
      <rPr>
        <sz val="10"/>
        <color theme="1"/>
        <rFont val="Calibri"/>
        <family val="2"/>
        <scheme val="minor"/>
      </rPr>
      <t xml:space="preserve"> Kelly estimated winter AC</t>
    </r>
  </si>
  <si>
    <r>
      <rPr>
        <u/>
        <sz val="10"/>
        <color theme="1"/>
        <rFont val="Calibri"/>
        <family val="2"/>
        <scheme val="minor"/>
      </rPr>
      <t>Real</t>
    </r>
    <r>
      <rPr>
        <sz val="10"/>
        <color theme="1"/>
        <rFont val="Calibri"/>
        <family val="2"/>
        <scheme val="minor"/>
      </rPr>
      <t xml:space="preserve"> Tom annual AC</t>
    </r>
  </si>
  <si>
    <r>
      <rPr>
        <u/>
        <sz val="10"/>
        <color theme="1"/>
        <rFont val="Calibri"/>
        <family val="2"/>
        <scheme val="minor"/>
      </rPr>
      <t>Real</t>
    </r>
    <r>
      <rPr>
        <sz val="10"/>
        <color theme="1"/>
        <rFont val="Calibri"/>
        <family val="2"/>
        <scheme val="minor"/>
      </rPr>
      <t xml:space="preserve"> Tom winter AC</t>
    </r>
  </si>
  <si>
    <r>
      <rPr>
        <u/>
        <sz val="10"/>
        <color theme="1"/>
        <rFont val="Calibri"/>
        <family val="2"/>
        <scheme val="minor"/>
      </rPr>
      <t>Real</t>
    </r>
    <r>
      <rPr>
        <sz val="10"/>
        <color theme="1"/>
        <rFont val="Calibri"/>
        <family val="2"/>
        <scheme val="minor"/>
      </rPr>
      <t xml:space="preserve"> Projected Kelly Annual AC</t>
    </r>
  </si>
  <si>
    <r>
      <rPr>
        <u/>
        <sz val="10"/>
        <color theme="1"/>
        <rFont val="Calibri"/>
        <family val="2"/>
        <scheme val="minor"/>
      </rPr>
      <t>Real</t>
    </r>
    <r>
      <rPr>
        <sz val="10"/>
        <color theme="1"/>
        <rFont val="Calibri"/>
        <family val="2"/>
        <scheme val="minor"/>
      </rPr>
      <t xml:space="preserve"> Projected estimated Kelly AC</t>
    </r>
  </si>
  <si>
    <r>
      <rPr>
        <u/>
        <sz val="10"/>
        <color theme="1"/>
        <rFont val="Calibri"/>
        <family val="2"/>
        <scheme val="minor"/>
      </rPr>
      <t>Real</t>
    </r>
    <r>
      <rPr>
        <sz val="10"/>
        <color theme="1"/>
        <rFont val="Calibri"/>
        <family val="2"/>
        <scheme val="minor"/>
      </rPr>
      <t xml:space="preserve"> Projected Tom annual AC</t>
    </r>
  </si>
  <si>
    <r>
      <rPr>
        <u/>
        <sz val="10"/>
        <color theme="1"/>
        <rFont val="Calibri"/>
        <family val="2"/>
        <scheme val="minor"/>
      </rPr>
      <t>Real</t>
    </r>
    <r>
      <rPr>
        <sz val="10"/>
        <color theme="1"/>
        <rFont val="Calibri"/>
        <family val="2"/>
        <scheme val="minor"/>
      </rPr>
      <t xml:space="preserve"> Projected Tom winter AC</t>
    </r>
  </si>
  <si>
    <r>
      <rPr>
        <u/>
        <sz val="10"/>
        <color theme="1"/>
        <rFont val="Calibri"/>
        <family val="2"/>
        <scheme val="minor"/>
      </rPr>
      <t>Real</t>
    </r>
    <r>
      <rPr>
        <sz val="10"/>
        <color theme="1"/>
        <rFont val="Calibri"/>
        <family val="2"/>
        <scheme val="minor"/>
      </rPr>
      <t xml:space="preserve"> Kelly extrapolated winter AC</t>
    </r>
  </si>
  <si>
    <r>
      <rPr>
        <u/>
        <sz val="10"/>
        <color theme="1"/>
        <rFont val="Calibri"/>
        <family val="2"/>
        <scheme val="minor"/>
      </rPr>
      <t>Real</t>
    </r>
    <r>
      <rPr>
        <sz val="10"/>
        <color theme="1"/>
        <rFont val="Calibri"/>
        <family val="2"/>
        <scheme val="minor"/>
      </rPr>
      <t xml:space="preserve"> Kelly PV of annual AC</t>
    </r>
  </si>
  <si>
    <r>
      <rPr>
        <u/>
        <sz val="10"/>
        <color theme="1"/>
        <rFont val="Calibri"/>
        <family val="2"/>
        <scheme val="minor"/>
      </rPr>
      <t xml:space="preserve">Real </t>
    </r>
    <r>
      <rPr>
        <sz val="10"/>
        <color theme="1"/>
        <rFont val="Calibri"/>
        <family val="2"/>
        <scheme val="minor"/>
      </rPr>
      <t>Kelly PV of extrapolated winter AC</t>
    </r>
  </si>
  <si>
    <r>
      <rPr>
        <u/>
        <sz val="10"/>
        <color theme="1"/>
        <rFont val="Calibri"/>
        <family val="2"/>
        <scheme val="minor"/>
      </rPr>
      <t>Real</t>
    </r>
    <r>
      <rPr>
        <sz val="10"/>
        <color theme="1"/>
        <rFont val="Calibri"/>
        <family val="2"/>
        <scheme val="minor"/>
      </rPr>
      <t xml:space="preserve"> Kelly cum PV of annual AC</t>
    </r>
  </si>
  <si>
    <r>
      <rPr>
        <u/>
        <sz val="10"/>
        <color theme="1"/>
        <rFont val="Calibri"/>
        <family val="2"/>
        <scheme val="minor"/>
      </rPr>
      <t>Real</t>
    </r>
    <r>
      <rPr>
        <sz val="10"/>
        <color theme="1"/>
        <rFont val="Calibri"/>
        <family val="2"/>
        <scheme val="minor"/>
      </rPr>
      <t xml:space="preserve"> Kelly cum PV of extrapolated winter AC</t>
    </r>
  </si>
  <si>
    <r>
      <rPr>
        <u/>
        <sz val="10"/>
        <color theme="1"/>
        <rFont val="Calibri"/>
        <family val="2"/>
        <scheme val="minor"/>
      </rPr>
      <t>Real</t>
    </r>
    <r>
      <rPr>
        <sz val="10"/>
        <color theme="1"/>
        <rFont val="Calibri"/>
        <family val="2"/>
        <scheme val="minor"/>
      </rPr>
      <t xml:space="preserve"> Tom PV of annual AC</t>
    </r>
  </si>
  <si>
    <r>
      <rPr>
        <u/>
        <sz val="10"/>
        <color theme="1"/>
        <rFont val="Calibri"/>
        <family val="2"/>
        <scheme val="minor"/>
      </rPr>
      <t xml:space="preserve">Real </t>
    </r>
    <r>
      <rPr>
        <sz val="10"/>
        <color theme="1"/>
        <rFont val="Calibri"/>
        <family val="2"/>
        <scheme val="minor"/>
      </rPr>
      <t>Tom PV of winter AC</t>
    </r>
  </si>
  <si>
    <r>
      <rPr>
        <u/>
        <sz val="10"/>
        <color theme="1"/>
        <rFont val="Calibri"/>
        <family val="2"/>
        <scheme val="minor"/>
      </rPr>
      <t>Real</t>
    </r>
    <r>
      <rPr>
        <sz val="10"/>
        <color theme="1"/>
        <rFont val="Calibri"/>
        <family val="2"/>
        <scheme val="minor"/>
      </rPr>
      <t xml:space="preserve"> Tom cum PV of annual AC</t>
    </r>
  </si>
  <si>
    <r>
      <rPr>
        <u/>
        <sz val="10"/>
        <color theme="1"/>
        <rFont val="Calibri"/>
        <family val="2"/>
        <scheme val="minor"/>
      </rPr>
      <t xml:space="preserve">Real </t>
    </r>
    <r>
      <rPr>
        <sz val="10"/>
        <color theme="1"/>
        <rFont val="Calibri"/>
        <family val="2"/>
        <scheme val="minor"/>
      </rPr>
      <t>Tom cum PV of winter AC</t>
    </r>
  </si>
  <si>
    <t>Nominal (levelized) Distribution capacity adder</t>
  </si>
  <si>
    <t>Corrected for nominal vs. real avoided cost inputs</t>
  </si>
  <si>
    <t>NIUC</t>
  </si>
  <si>
    <t>NIUC allocated by therms</t>
  </si>
  <si>
    <r>
      <t xml:space="preserve">Total </t>
    </r>
    <r>
      <rPr>
        <u/>
        <sz val="11"/>
        <color theme="1"/>
        <rFont val="Calibri"/>
        <family val="2"/>
        <scheme val="minor"/>
      </rPr>
      <t>gas</t>
    </r>
    <r>
      <rPr>
        <sz val="11"/>
        <color theme="1"/>
        <rFont val="Calibri"/>
        <family val="2"/>
        <scheme val="minor"/>
      </rPr>
      <t xml:space="preserve"> UCT cost</t>
    </r>
  </si>
  <si>
    <t>Total net UCT benefits</t>
  </si>
  <si>
    <t>Corrected to using non-res (rather than portfolio) realization rate for non-res programs</t>
  </si>
  <si>
    <t>PV of EG AC attributable to G portfolio for 2013</t>
  </si>
  <si>
    <t>PV of EG AC attributable to gas for 2013</t>
  </si>
  <si>
    <t>Net UCT B/C ratio</t>
  </si>
  <si>
    <t>Residual net UCT benefits</t>
  </si>
  <si>
    <t>TOTAL PORTFOLIO</t>
  </si>
  <si>
    <t>Total costs</t>
  </si>
  <si>
    <t>Total benefits</t>
  </si>
  <si>
    <t xml:space="preserve">Note:  </t>
  </si>
  <si>
    <t xml:space="preserve">  NTG adjustment applies to CIC, AC and NEB</t>
  </si>
  <si>
    <t xml:space="preserve">  Realization rates apply to AC</t>
  </si>
  <si>
    <t xml:space="preserve">  No adjustments are applied to NIUC or incentives</t>
  </si>
  <si>
    <r>
      <t xml:space="preserve"> --&gt; Incentives as a % of </t>
    </r>
    <r>
      <rPr>
        <u/>
        <sz val="11"/>
        <color theme="1"/>
        <rFont val="Calibri"/>
        <family val="2"/>
        <scheme val="minor"/>
      </rPr>
      <t>gross</t>
    </r>
    <r>
      <rPr>
        <sz val="11"/>
        <color theme="1"/>
        <rFont val="Calibri"/>
        <family val="2"/>
        <scheme val="minor"/>
      </rPr>
      <t xml:space="preserve"> CIC do not equal incentives as a % of </t>
    </r>
    <r>
      <rPr>
        <u/>
        <sz val="11"/>
        <color theme="1"/>
        <rFont val="Calibri"/>
        <family val="2"/>
        <scheme val="minor"/>
      </rPr>
      <t>net</t>
    </r>
    <r>
      <rPr>
        <sz val="11"/>
        <color theme="1"/>
        <rFont val="Calibri"/>
        <family val="2"/>
        <scheme val="minor"/>
      </rPr>
      <t xml:space="preserve"> CIC</t>
    </r>
  </si>
  <si>
    <t>UCT B/C ratio</t>
  </si>
  <si>
    <t xml:space="preserve"> --&gt; due to the above, there is not as substantial a difference between UCT cost and TRC cost (driven by the difference in net CIC vs. incentives)</t>
  </si>
  <si>
    <t xml:space="preserve"> --&gt; with little difference net CIC and incentives, and little non-energy benefits, the difference between TRC and UCT is not as great as usual.</t>
  </si>
  <si>
    <r>
      <t xml:space="preserve">CIC </t>
    </r>
    <r>
      <rPr>
        <u/>
        <sz val="11"/>
        <color rgb="FFFF0000"/>
        <rFont val="Calibri"/>
        <family val="2"/>
        <scheme val="minor"/>
      </rPr>
      <t>net</t>
    </r>
  </si>
  <si>
    <r>
      <rPr>
        <u/>
        <sz val="11"/>
        <color rgb="FFFF0000"/>
        <rFont val="Calibri"/>
        <family val="2"/>
        <scheme val="minor"/>
      </rPr>
      <t>Net</t>
    </r>
    <r>
      <rPr>
        <sz val="11"/>
        <color rgb="FFFF0000"/>
        <rFont val="Calibri"/>
        <family val="2"/>
        <scheme val="minor"/>
      </rPr>
      <t xml:space="preserve"> EG AC </t>
    </r>
    <r>
      <rPr>
        <u/>
        <sz val="11"/>
        <color rgb="FFFF0000"/>
        <rFont val="Calibri"/>
        <family val="2"/>
        <scheme val="minor"/>
      </rPr>
      <t>realized</t>
    </r>
  </si>
  <si>
    <r>
      <rPr>
        <u/>
        <sz val="11"/>
        <color rgb="FFFF0000"/>
        <rFont val="Calibri"/>
        <family val="2"/>
        <scheme val="minor"/>
      </rPr>
      <t>Net</t>
    </r>
    <r>
      <rPr>
        <sz val="11"/>
        <color rgb="FFFF0000"/>
        <rFont val="Calibri"/>
        <family val="2"/>
        <scheme val="minor"/>
      </rPr>
      <t xml:space="preserve"> NEB</t>
    </r>
  </si>
  <si>
    <t>Real winter AC</t>
  </si>
  <si>
    <t>Real annual AC</t>
  </si>
  <si>
    <t>Nominal annual AC</t>
  </si>
  <si>
    <t>Nominal winter AC</t>
  </si>
  <si>
    <t>Levelized 20 yr. distribution capacity adder</t>
  </si>
  <si>
    <t>Cumulative PV of dist adder</t>
  </si>
  <si>
    <t>Cum PV of annual therm AC</t>
  </si>
  <si>
    <t>Cum PV of winter therm AC</t>
  </si>
  <si>
    <t>Cum PV of annual therm w dist adder</t>
  </si>
  <si>
    <t>Cum PV of winter therm w dist adder</t>
  </si>
  <si>
    <t>110% of cum PV of annual therm w dist adder</t>
  </si>
  <si>
    <t>110% of cum PV of winter therm w dist adder</t>
  </si>
  <si>
    <t>Year</t>
  </si>
  <si>
    <t>Nominal discount rate</t>
  </si>
  <si>
    <t>Cum PV of a winter therm</t>
  </si>
  <si>
    <t>Cum PV of an annual therm</t>
  </si>
  <si>
    <t>% reduction in AC (annual cum PV)</t>
  </si>
  <si>
    <t>% reduction in AC (winter cum PV)</t>
  </si>
  <si>
    <t>Previous AC's</t>
  </si>
  <si>
    <t>G AC</t>
  </si>
  <si>
    <t>NEB</t>
  </si>
  <si>
    <t>NEB for 2013 portfolio</t>
  </si>
  <si>
    <t>Portfolio weighted average NTG ratio (hardwired to prevent circular references in scenario analysis)</t>
  </si>
  <si>
    <t>gas UCT</t>
  </si>
  <si>
    <t>Incentives (w/o NTG adjustment)</t>
  </si>
  <si>
    <t>E/G TRC</t>
  </si>
</sst>
</file>

<file path=xl/styles.xml><?xml version="1.0" encoding="utf-8"?>
<styleSheet xmlns="http://schemas.openxmlformats.org/spreadsheetml/2006/main">
  <numFmts count="16">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0000_);_(* \(#,##0.0000\);_(* &quot;-&quot;??_);_(@_)"/>
    <numFmt numFmtId="167" formatCode="0.0"/>
    <numFmt numFmtId="168" formatCode="#0"/>
    <numFmt numFmtId="169" formatCode="m/d/yy\ h:mm\ AM/PM"/>
    <numFmt numFmtId="170" formatCode="0.0000"/>
    <numFmt numFmtId="171" formatCode="_(&quot;$&quot;* #,##0.000_);_(&quot;$&quot;* \(#,##0.000\);_(&quot;$&quot;* &quot;-&quot;??_);_(@_)"/>
    <numFmt numFmtId="172" formatCode="0.0%"/>
    <numFmt numFmtId="173" formatCode="&quot;$&quot;#,##0.0000_);[Red]\(&quot;$&quot;#,##0.0000\)"/>
    <numFmt numFmtId="174" formatCode="0.000"/>
    <numFmt numFmtId="175" formatCode="_(&quot;$&quot;* #,##0.0000_);_(&quot;$&quot;* \(#,##0.0000\);_(&quot;$&quot;* &quot;-&quot;??_);_(@_)"/>
    <numFmt numFmtId="176" formatCode="0.0000%"/>
  </numFmts>
  <fonts count="45">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i/>
      <sz val="10"/>
      <color theme="1"/>
      <name val="Calibri"/>
      <family val="2"/>
      <scheme val="minor"/>
    </font>
    <font>
      <b/>
      <sz val="10"/>
      <color theme="1"/>
      <name val="Calibri"/>
      <family val="2"/>
      <scheme val="minor"/>
    </font>
    <font>
      <sz val="8"/>
      <color indexed="81"/>
      <name val="Tahoma"/>
      <family val="2"/>
    </font>
    <font>
      <b/>
      <sz val="8"/>
      <color indexed="81"/>
      <name val="Tahoma"/>
      <family val="2"/>
    </font>
    <font>
      <b/>
      <sz val="10"/>
      <color theme="1"/>
      <name val="Tahoma"/>
      <family val="2"/>
    </font>
    <font>
      <u/>
      <sz val="9"/>
      <color theme="1"/>
      <name val="Tahoma"/>
      <family val="2"/>
    </font>
    <font>
      <i/>
      <sz val="9"/>
      <color theme="1"/>
      <name val="Tahoma"/>
      <family val="2"/>
    </font>
    <font>
      <b/>
      <sz val="9"/>
      <color theme="1"/>
      <name val="Tahoma"/>
      <family val="2"/>
    </font>
    <font>
      <sz val="9"/>
      <color theme="0" tint="-0.34998626667073579"/>
      <name val="Tahoma"/>
      <family val="2"/>
    </font>
    <font>
      <sz val="9"/>
      <color theme="0" tint="-0.499984740745262"/>
      <name val="Tahoma"/>
      <family val="2"/>
    </font>
    <font>
      <sz val="9"/>
      <color theme="1"/>
      <name val="Tahoma"/>
      <family val="2"/>
    </font>
    <font>
      <sz val="9"/>
      <name val="Tahoma"/>
      <family val="2"/>
    </font>
    <font>
      <b/>
      <sz val="9"/>
      <color rgb="FFFF0000"/>
      <name val="Tahoma"/>
      <family val="2"/>
    </font>
    <font>
      <sz val="9"/>
      <color rgb="FFFF0000"/>
      <name val="Tahoma"/>
      <family val="2"/>
    </font>
    <font>
      <sz val="9"/>
      <color rgb="FFFF00FF"/>
      <name val="Tahoma"/>
      <family val="2"/>
    </font>
    <font>
      <strike/>
      <sz val="9"/>
      <color rgb="FFFF0000"/>
      <name val="Tahoma"/>
      <family val="2"/>
    </font>
    <font>
      <sz val="8"/>
      <color theme="1"/>
      <name val="Tahoma"/>
      <family val="2"/>
    </font>
    <font>
      <sz val="9"/>
      <color rgb="FF333333"/>
      <name val="Arial"/>
      <family val="2"/>
    </font>
    <font>
      <sz val="9"/>
      <color rgb="FF454545"/>
      <name val="Arial"/>
      <family val="2"/>
    </font>
    <font>
      <b/>
      <sz val="9"/>
      <color theme="1"/>
      <name val="Calibri"/>
      <family val="2"/>
      <scheme val="minor"/>
    </font>
    <font>
      <sz val="10"/>
      <color rgb="FFFF0000"/>
      <name val="Calibri"/>
      <family val="2"/>
      <scheme val="minor"/>
    </font>
    <font>
      <b/>
      <sz val="10"/>
      <color rgb="FFFF0000"/>
      <name val="Calibri"/>
      <family val="2"/>
      <scheme val="minor"/>
    </font>
    <font>
      <sz val="10"/>
      <name val="Calibri"/>
      <family val="2"/>
      <scheme val="minor"/>
    </font>
    <font>
      <sz val="10"/>
      <color theme="2" tint="-0.499984740745262"/>
      <name val="Calibri"/>
      <family val="2"/>
      <scheme val="minor"/>
    </font>
    <font>
      <u/>
      <sz val="11"/>
      <color theme="1"/>
      <name val="Calibri"/>
      <family val="2"/>
      <scheme val="minor"/>
    </font>
    <font>
      <b/>
      <u/>
      <sz val="10"/>
      <color theme="1"/>
      <name val="Calibri"/>
      <family val="2"/>
      <scheme val="minor"/>
    </font>
    <font>
      <sz val="10"/>
      <color theme="1"/>
      <name val="Tahoma"/>
      <family val="2"/>
    </font>
    <font>
      <u/>
      <sz val="9"/>
      <color rgb="FFFF0000"/>
      <name val="Tahoma"/>
      <family val="2"/>
    </font>
    <font>
      <sz val="11"/>
      <name val="Calibri"/>
      <family val="2"/>
      <scheme val="minor"/>
    </font>
    <font>
      <sz val="10"/>
      <name val="Tahoma"/>
      <family val="2"/>
    </font>
    <font>
      <u/>
      <sz val="11"/>
      <name val="Calibri"/>
      <family val="2"/>
      <scheme val="minor"/>
    </font>
    <font>
      <u/>
      <sz val="10"/>
      <name val="Tahoma"/>
      <family val="2"/>
    </font>
    <font>
      <u/>
      <sz val="10"/>
      <color theme="1"/>
      <name val="Calibri"/>
      <family val="2"/>
      <scheme val="minor"/>
    </font>
    <font>
      <sz val="11"/>
      <color rgb="FFFF0000"/>
      <name val="Calibri"/>
      <family val="2"/>
      <scheme val="minor"/>
    </font>
    <font>
      <u/>
      <sz val="11"/>
      <color rgb="FFFF0000"/>
      <name val="Calibri"/>
      <family val="2"/>
      <scheme val="minor"/>
    </font>
    <font>
      <i/>
      <sz val="11"/>
      <color rgb="FFFF0000"/>
      <name val="Calibri"/>
      <family val="2"/>
      <scheme val="minor"/>
    </font>
    <font>
      <sz val="10"/>
      <color rgb="FF0000FF"/>
      <name val="Calibri"/>
      <family val="2"/>
      <scheme val="minor"/>
    </font>
    <font>
      <i/>
      <sz val="10"/>
      <color rgb="FF0000FF"/>
      <name val="Calibri"/>
      <family val="2"/>
      <scheme val="minor"/>
    </font>
    <font>
      <sz val="11"/>
      <color theme="9" tint="-0.499984740745262"/>
      <name val="Calibri"/>
      <family val="2"/>
      <scheme val="minor"/>
    </font>
    <font>
      <b/>
      <sz val="11"/>
      <color theme="9" tint="-0.499984740745262"/>
      <name val="Calibri"/>
      <family val="2"/>
      <scheme val="minor"/>
    </font>
  </fonts>
  <fills count="21">
    <fill>
      <patternFill patternType="none"/>
    </fill>
    <fill>
      <patternFill patternType="gray125"/>
    </fill>
    <fill>
      <patternFill patternType="solid">
        <fgColor theme="9" tint="-0.249977111117893"/>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C000"/>
        <bgColor indexed="64"/>
      </patternFill>
    </fill>
    <fill>
      <patternFill patternType="solid">
        <fgColor rgb="FFFFFF00"/>
        <bgColor indexed="64"/>
      </patternFill>
    </fill>
    <fill>
      <patternFill patternType="solid">
        <fgColor rgb="FFFF99FF"/>
        <bgColor indexed="64"/>
      </patternFill>
    </fill>
    <fill>
      <patternFill patternType="solid">
        <fgColor rgb="FFFF00FF"/>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99"/>
        <bgColor indexed="64"/>
      </patternFill>
    </fill>
    <fill>
      <patternFill patternType="solid">
        <fgColor rgb="FFFFCCFF"/>
        <bgColor indexed="64"/>
      </patternFill>
    </fill>
    <fill>
      <patternFill patternType="solid">
        <fgColor theme="0"/>
        <bgColor indexed="64"/>
      </patternFill>
    </fill>
    <fill>
      <patternFill patternType="solid">
        <fgColor rgb="FF0000FF"/>
        <bgColor indexed="64"/>
      </patternFill>
    </fill>
    <fill>
      <patternFill patternType="solid">
        <fgColor rgb="FFE7E5E5"/>
      </patternFill>
    </fill>
    <fill>
      <patternFill patternType="solid">
        <fgColor theme="4" tint="0.59999389629810485"/>
        <bgColor indexed="64"/>
      </patternFill>
    </fill>
    <fill>
      <patternFill patternType="solid">
        <fgColor theme="0" tint="-0.34998626667073579"/>
        <bgColor indexed="64"/>
      </patternFill>
    </fill>
  </fills>
  <borders count="31">
    <border>
      <left/>
      <right/>
      <top/>
      <bottom/>
      <diagonal/>
    </border>
    <border>
      <left style="thick">
        <color auto="1"/>
      </left>
      <right/>
      <top/>
      <bottom/>
      <diagonal/>
    </border>
    <border>
      <left/>
      <right style="thick">
        <color auto="1"/>
      </right>
      <top/>
      <bottom/>
      <diagonal/>
    </border>
    <border>
      <left/>
      <right/>
      <top/>
      <bottom style="double">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C0C0C0"/>
      </left>
      <right style="medium">
        <color rgb="FFC0C0C0"/>
      </right>
      <top style="medium">
        <color rgb="FFC0C0C0"/>
      </top>
      <bottom style="medium">
        <color rgb="FFC0C0C0"/>
      </bottom>
      <diagonal/>
    </border>
    <border>
      <left style="medium">
        <color rgb="FFE2E2E2"/>
      </left>
      <right style="medium">
        <color rgb="FFE2E2E2"/>
      </right>
      <top style="medium">
        <color rgb="FFE2E2E2"/>
      </top>
      <bottom style="medium">
        <color rgb="FFE2E2E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top/>
      <bottom style="double">
        <color rgb="FFFF0000"/>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1" fillId="0" borderId="0"/>
  </cellStyleXfs>
  <cellXfs count="312">
    <xf numFmtId="0" fontId="0" fillId="0" borderId="0" xfId="0"/>
    <xf numFmtId="0" fontId="3" fillId="0" borderId="0" xfId="0" applyFont="1"/>
    <xf numFmtId="0" fontId="4" fillId="0" borderId="0" xfId="0" applyFont="1"/>
    <xf numFmtId="0" fontId="4" fillId="0" borderId="0" xfId="0" applyFont="1" applyAlignment="1">
      <alignment horizontal="center" wrapText="1"/>
    </xf>
    <xf numFmtId="0" fontId="0" fillId="0" borderId="0" xfId="0" applyFill="1"/>
    <xf numFmtId="165" fontId="0" fillId="0" borderId="0" xfId="0" applyNumberFormat="1"/>
    <xf numFmtId="164" fontId="0" fillId="0" borderId="0" xfId="2" applyNumberFormat="1" applyFont="1"/>
    <xf numFmtId="164" fontId="0" fillId="0" borderId="0" xfId="2" applyNumberFormat="1" applyFont="1" applyFill="1"/>
    <xf numFmtId="2" fontId="0" fillId="0" borderId="0" xfId="0" applyNumberFormat="1"/>
    <xf numFmtId="164" fontId="0" fillId="0" borderId="0" xfId="0" applyNumberFormat="1"/>
    <xf numFmtId="0" fontId="3" fillId="2" borderId="0" xfId="0" applyFont="1" applyFill="1" applyAlignment="1">
      <alignment horizontal="right"/>
    </xf>
    <xf numFmtId="0" fontId="3" fillId="3" borderId="0" xfId="0" applyFont="1" applyFill="1" applyAlignment="1">
      <alignment horizontal="right"/>
    </xf>
    <xf numFmtId="0" fontId="3" fillId="4" borderId="1" xfId="0" applyFont="1" applyFill="1" applyBorder="1"/>
    <xf numFmtId="0" fontId="3" fillId="4" borderId="0" xfId="0" applyFont="1" applyFill="1" applyBorder="1"/>
    <xf numFmtId="0" fontId="3" fillId="4" borderId="2" xfId="0" applyFont="1" applyFill="1" applyBorder="1"/>
    <xf numFmtId="0" fontId="3" fillId="5" borderId="0" xfId="0" applyFont="1" applyFill="1"/>
    <xf numFmtId="0" fontId="3" fillId="0" borderId="0" xfId="0" applyFont="1" applyFill="1"/>
    <xf numFmtId="0" fontId="3" fillId="0" borderId="0" xfId="0" applyFont="1" applyAlignment="1">
      <alignment horizontal="center" wrapText="1"/>
    </xf>
    <xf numFmtId="0" fontId="3" fillId="0" borderId="0" xfId="0" applyFont="1" applyFill="1" applyAlignment="1">
      <alignment horizontal="center" wrapText="1"/>
    </xf>
    <xf numFmtId="0" fontId="11" fillId="0" borderId="0" xfId="0" applyFont="1" applyAlignment="1">
      <alignment horizontal="center" wrapText="1"/>
    </xf>
    <xf numFmtId="0" fontId="3" fillId="0" borderId="1" xfId="0" applyFont="1" applyBorder="1" applyAlignment="1">
      <alignment horizontal="center" wrapText="1"/>
    </xf>
    <xf numFmtId="0" fontId="3" fillId="0" borderId="0" xfId="0" applyFont="1" applyBorder="1" applyAlignment="1">
      <alignment horizontal="center" wrapText="1"/>
    </xf>
    <xf numFmtId="0" fontId="3" fillId="0" borderId="2" xfId="0" applyFont="1" applyBorder="1" applyAlignment="1">
      <alignment horizontal="center" wrapText="1"/>
    </xf>
    <xf numFmtId="0" fontId="3" fillId="6" borderId="0" xfId="0" applyFont="1" applyFill="1"/>
    <xf numFmtId="165" fontId="3" fillId="0" borderId="0" xfId="0" applyNumberFormat="1" applyFont="1"/>
    <xf numFmtId="0" fontId="3" fillId="0" borderId="0" xfId="0" applyFont="1" applyAlignment="1">
      <alignment horizontal="center"/>
    </xf>
    <xf numFmtId="165" fontId="3" fillId="0" borderId="0" xfId="1" applyNumberFormat="1" applyFont="1" applyFill="1"/>
    <xf numFmtId="9" fontId="3" fillId="9" borderId="0" xfId="3" applyFont="1" applyFill="1"/>
    <xf numFmtId="9" fontId="3" fillId="0" borderId="0" xfId="3" applyFont="1" applyFill="1"/>
    <xf numFmtId="164" fontId="3" fillId="0" borderId="0" xfId="2" applyNumberFormat="1" applyFont="1"/>
    <xf numFmtId="43" fontId="3" fillId="0" borderId="0" xfId="1" applyFont="1"/>
    <xf numFmtId="2" fontId="3" fillId="0" borderId="0" xfId="2" applyNumberFormat="1" applyFont="1"/>
    <xf numFmtId="9" fontId="3" fillId="0" borderId="0" xfId="3" applyFont="1"/>
    <xf numFmtId="165" fontId="3" fillId="0" borderId="0" xfId="1" applyNumberFormat="1" applyFont="1"/>
    <xf numFmtId="165" fontId="13" fillId="0" borderId="0" xfId="1" applyNumberFormat="1" applyFont="1"/>
    <xf numFmtId="0" fontId="14" fillId="0" borderId="0" xfId="0" applyFont="1"/>
    <xf numFmtId="164" fontId="3" fillId="0" borderId="0" xfId="2" applyNumberFormat="1" applyFont="1" applyFill="1"/>
    <xf numFmtId="43" fontId="3" fillId="0" borderId="0" xfId="1" applyFont="1" applyFill="1"/>
    <xf numFmtId="0" fontId="3" fillId="10" borderId="0" xfId="0" applyFont="1" applyFill="1"/>
    <xf numFmtId="0" fontId="3" fillId="0" borderId="0" xfId="0" applyFont="1" applyFill="1" applyAlignment="1">
      <alignment horizontal="center"/>
    </xf>
    <xf numFmtId="0" fontId="3" fillId="0" borderId="0" xfId="0" applyFont="1" applyFill="1" applyBorder="1"/>
    <xf numFmtId="0" fontId="3" fillId="11" borderId="0" xfId="0" applyFont="1" applyFill="1" applyBorder="1"/>
    <xf numFmtId="0" fontId="3" fillId="11" borderId="0" xfId="0" applyFont="1" applyFill="1"/>
    <xf numFmtId="165" fontId="3" fillId="0" borderId="0" xfId="0" applyNumberFormat="1" applyFont="1" applyFill="1"/>
    <xf numFmtId="0" fontId="12" fillId="0" borderId="0" xfId="0" applyFont="1" applyFill="1"/>
    <xf numFmtId="2" fontId="3" fillId="0" borderId="0" xfId="2" applyNumberFormat="1" applyFont="1" applyFill="1"/>
    <xf numFmtId="165" fontId="13" fillId="0" borderId="0" xfId="1" applyNumberFormat="1" applyFont="1" applyFill="1"/>
    <xf numFmtId="0" fontId="14" fillId="0" borderId="0" xfId="0" applyFont="1" applyFill="1"/>
    <xf numFmtId="2" fontId="3" fillId="0" borderId="0" xfId="0" applyNumberFormat="1" applyFont="1"/>
    <xf numFmtId="0" fontId="3" fillId="12" borderId="0" xfId="0" applyFont="1" applyFill="1"/>
    <xf numFmtId="164" fontId="3" fillId="0" borderId="0" xfId="0" applyNumberFormat="1" applyFont="1"/>
    <xf numFmtId="165" fontId="14" fillId="0" borderId="0" xfId="1" applyNumberFormat="1" applyFont="1"/>
    <xf numFmtId="164" fontId="3" fillId="0" borderId="0" xfId="0" applyNumberFormat="1" applyFont="1" applyFill="1"/>
    <xf numFmtId="164" fontId="3" fillId="0" borderId="3" xfId="0" applyNumberFormat="1" applyFont="1" applyBorder="1"/>
    <xf numFmtId="43" fontId="3" fillId="0" borderId="3" xfId="1" applyFont="1" applyBorder="1"/>
    <xf numFmtId="2" fontId="3" fillId="0" borderId="3" xfId="2" applyNumberFormat="1" applyFont="1" applyBorder="1"/>
    <xf numFmtId="9" fontId="3" fillId="0" borderId="3" xfId="3" applyFont="1" applyBorder="1"/>
    <xf numFmtId="165" fontId="3" fillId="0" borderId="3" xfId="1" applyNumberFormat="1" applyFont="1" applyBorder="1"/>
    <xf numFmtId="165" fontId="13" fillId="0" borderId="3" xfId="1" applyNumberFormat="1" applyFont="1" applyBorder="1"/>
    <xf numFmtId="165" fontId="14" fillId="0" borderId="3" xfId="1" applyNumberFormat="1" applyFont="1" applyBorder="1"/>
    <xf numFmtId="165" fontId="13" fillId="0" borderId="0" xfId="0" applyNumberFormat="1" applyFont="1"/>
    <xf numFmtId="165" fontId="14" fillId="0" borderId="0" xfId="0" applyNumberFormat="1" applyFont="1"/>
    <xf numFmtId="0" fontId="3" fillId="7" borderId="0" xfId="0" applyFont="1" applyFill="1"/>
    <xf numFmtId="0" fontId="17" fillId="0" borderId="0" xfId="0" applyFont="1"/>
    <xf numFmtId="0" fontId="3" fillId="0" borderId="1" xfId="0" applyFont="1" applyFill="1" applyBorder="1" applyAlignment="1">
      <alignment horizontal="center" wrapText="1"/>
    </xf>
    <xf numFmtId="0" fontId="3" fillId="0" borderId="0" xfId="0" applyFont="1" applyFill="1" applyBorder="1" applyAlignment="1">
      <alignment horizontal="center" wrapText="1"/>
    </xf>
    <xf numFmtId="0" fontId="3" fillId="0" borderId="2" xfId="0" applyFont="1" applyFill="1" applyBorder="1" applyAlignment="1">
      <alignment horizontal="center" wrapText="1"/>
    </xf>
    <xf numFmtId="0" fontId="18" fillId="0" borderId="0" xfId="0" applyFont="1" applyFill="1" applyAlignment="1">
      <alignment horizontal="center"/>
    </xf>
    <xf numFmtId="0" fontId="18" fillId="0" borderId="0" xfId="0" applyFont="1" applyFill="1"/>
    <xf numFmtId="165" fontId="18" fillId="0" borderId="0" xfId="1" applyNumberFormat="1" applyFont="1" applyFill="1"/>
    <xf numFmtId="165" fontId="18" fillId="0" borderId="0" xfId="1" applyNumberFormat="1" applyFont="1" applyFill="1" applyAlignment="1">
      <alignment horizontal="center"/>
    </xf>
    <xf numFmtId="44" fontId="18" fillId="14" borderId="0" xfId="2" applyFont="1" applyFill="1"/>
    <xf numFmtId="44" fontId="18" fillId="0" borderId="0" xfId="2" applyFont="1" applyFill="1"/>
    <xf numFmtId="43" fontId="18" fillId="14" borderId="0" xfId="1" applyNumberFormat="1" applyFont="1" applyFill="1"/>
    <xf numFmtId="9" fontId="18" fillId="0" borderId="0" xfId="3" applyFont="1" applyFill="1"/>
    <xf numFmtId="43" fontId="18" fillId="0" borderId="0" xfId="1" applyNumberFormat="1" applyFont="1" applyFill="1"/>
    <xf numFmtId="44" fontId="3" fillId="0" borderId="0" xfId="2" applyNumberFormat="1" applyFont="1" applyFill="1"/>
    <xf numFmtId="0" fontId="18" fillId="15" borderId="0" xfId="0" applyFont="1" applyFill="1" applyAlignment="1">
      <alignment horizontal="center"/>
    </xf>
    <xf numFmtId="0" fontId="18" fillId="10" borderId="0" xfId="0" applyFont="1" applyFill="1" applyAlignment="1">
      <alignment horizontal="center"/>
    </xf>
    <xf numFmtId="0" fontId="19" fillId="0" borderId="0" xfId="0" applyFont="1" applyFill="1" applyAlignment="1">
      <alignment horizontal="center"/>
    </xf>
    <xf numFmtId="0" fontId="19" fillId="0" borderId="0" xfId="0" applyFont="1" applyFill="1"/>
    <xf numFmtId="165" fontId="19" fillId="0" borderId="0" xfId="1" applyNumberFormat="1" applyFont="1" applyFill="1"/>
    <xf numFmtId="165" fontId="19" fillId="0" borderId="0" xfId="1" applyNumberFormat="1" applyFont="1" applyFill="1" applyAlignment="1">
      <alignment horizontal="center"/>
    </xf>
    <xf numFmtId="44" fontId="19" fillId="14" borderId="0" xfId="2" applyFont="1" applyFill="1"/>
    <xf numFmtId="44" fontId="19" fillId="0" borderId="0" xfId="2" applyFont="1" applyFill="1"/>
    <xf numFmtId="43" fontId="19" fillId="14" borderId="0" xfId="1" applyNumberFormat="1" applyFont="1" applyFill="1"/>
    <xf numFmtId="9" fontId="19" fillId="0" borderId="0" xfId="3" applyFont="1" applyFill="1"/>
    <xf numFmtId="44" fontId="16" fillId="0" borderId="0" xfId="2" applyFont="1" applyFill="1"/>
    <xf numFmtId="43" fontId="18" fillId="9" borderId="0" xfId="1" applyNumberFormat="1" applyFont="1" applyFill="1"/>
    <xf numFmtId="0" fontId="20" fillId="0" borderId="0" xfId="0" applyFont="1" applyFill="1" applyAlignment="1">
      <alignment horizontal="center"/>
    </xf>
    <xf numFmtId="43" fontId="19" fillId="0" borderId="0" xfId="1" applyNumberFormat="1" applyFont="1" applyFill="1"/>
    <xf numFmtId="9" fontId="11" fillId="9" borderId="0" xfId="3" applyFont="1" applyFill="1"/>
    <xf numFmtId="0" fontId="19" fillId="10" borderId="0" xfId="0" applyFont="1" applyFill="1" applyAlignment="1">
      <alignment horizontal="center"/>
    </xf>
    <xf numFmtId="43" fontId="19" fillId="9" borderId="0" xfId="1" applyNumberFormat="1" applyFont="1" applyFill="1"/>
    <xf numFmtId="0" fontId="3" fillId="13" borderId="0" xfId="0" applyFont="1" applyFill="1"/>
    <xf numFmtId="0" fontId="3" fillId="16" borderId="0" xfId="0" applyFont="1" applyFill="1"/>
    <xf numFmtId="0" fontId="3" fillId="17" borderId="0" xfId="0" applyFont="1" applyFill="1"/>
    <xf numFmtId="0" fontId="18" fillId="0" borderId="0" xfId="0" applyFont="1" applyFill="1" applyAlignment="1">
      <alignment horizontal="right"/>
    </xf>
    <xf numFmtId="43" fontId="3" fillId="0" borderId="0" xfId="0" applyNumberFormat="1" applyFont="1"/>
    <xf numFmtId="0" fontId="18" fillId="0" borderId="0" xfId="0" applyFont="1" applyFill="1" applyAlignment="1">
      <alignment horizontal="left"/>
    </xf>
    <xf numFmtId="0" fontId="3" fillId="0" borderId="0" xfId="0" applyFont="1" applyAlignment="1">
      <alignment horizontal="right"/>
    </xf>
    <xf numFmtId="164" fontId="3" fillId="13" borderId="0" xfId="0" applyNumberFormat="1" applyFont="1" applyFill="1"/>
    <xf numFmtId="164" fontId="3" fillId="16" borderId="0" xfId="0" applyNumberFormat="1" applyFont="1" applyFill="1"/>
    <xf numFmtId="164" fontId="3" fillId="17" borderId="0" xfId="0" applyNumberFormat="1" applyFont="1" applyFill="1"/>
    <xf numFmtId="0" fontId="15" fillId="0" borderId="4" xfId="0" applyFont="1" applyBorder="1"/>
    <xf numFmtId="0" fontId="15" fillId="0" borderId="5" xfId="0" applyFont="1" applyBorder="1"/>
    <xf numFmtId="0" fontId="15" fillId="0" borderId="0" xfId="0" applyFont="1"/>
    <xf numFmtId="0" fontId="15" fillId="0" borderId="0" xfId="0" applyFont="1" applyBorder="1"/>
    <xf numFmtId="0" fontId="15" fillId="0" borderId="6" xfId="0" applyFont="1" applyBorder="1"/>
    <xf numFmtId="0" fontId="17" fillId="0" borderId="0" xfId="0" applyFont="1" applyBorder="1"/>
    <xf numFmtId="0" fontId="17" fillId="0" borderId="5" xfId="0" applyFont="1" applyBorder="1"/>
    <xf numFmtId="0" fontId="18" fillId="0" borderId="0" xfId="0" applyFont="1" applyBorder="1"/>
    <xf numFmtId="0" fontId="15" fillId="0" borderId="5" xfId="0" applyFont="1" applyBorder="1" applyAlignment="1">
      <alignment horizontal="center" wrapText="1"/>
    </xf>
    <xf numFmtId="0" fontId="15" fillId="0" borderId="0" xfId="0" applyFont="1" applyBorder="1" applyAlignment="1">
      <alignment horizontal="center" wrapText="1"/>
    </xf>
    <xf numFmtId="0" fontId="21" fillId="0" borderId="0" xfId="0" applyFont="1" applyBorder="1" applyAlignment="1">
      <alignment horizontal="center" wrapText="1"/>
    </xf>
    <xf numFmtId="0" fontId="15" fillId="0" borderId="6" xfId="0" applyFont="1" applyBorder="1" applyAlignment="1">
      <alignment horizontal="center" wrapText="1"/>
    </xf>
    <xf numFmtId="165" fontId="0" fillId="0" borderId="5" xfId="1" applyNumberFormat="1" applyFont="1" applyBorder="1"/>
    <xf numFmtId="165" fontId="0" fillId="0" borderId="0" xfId="1" applyNumberFormat="1" applyFont="1" applyBorder="1"/>
    <xf numFmtId="165" fontId="0" fillId="0" borderId="6" xfId="1" applyNumberFormat="1" applyFont="1" applyBorder="1"/>
    <xf numFmtId="0" fontId="15" fillId="0" borderId="0" xfId="0" applyFont="1" applyBorder="1" applyAlignment="1">
      <alignment horizontal="right"/>
    </xf>
    <xf numFmtId="43" fontId="0" fillId="0" borderId="0" xfId="1" applyNumberFormat="1" applyFont="1" applyBorder="1"/>
    <xf numFmtId="43" fontId="0" fillId="0" borderId="0" xfId="1" applyFont="1" applyBorder="1"/>
    <xf numFmtId="165" fontId="15" fillId="0" borderId="5" xfId="1" applyNumberFormat="1" applyFont="1" applyBorder="1"/>
    <xf numFmtId="165" fontId="15" fillId="0" borderId="0" xfId="1" applyNumberFormat="1" applyFont="1" applyBorder="1"/>
    <xf numFmtId="164" fontId="15" fillId="0" borderId="0" xfId="2" applyNumberFormat="1" applyFont="1" applyBorder="1"/>
    <xf numFmtId="165" fontId="15" fillId="0" borderId="6" xfId="1" applyNumberFormat="1" applyFont="1" applyBorder="1"/>
    <xf numFmtId="0" fontId="15" fillId="0" borderId="0" xfId="0" applyFont="1" applyBorder="1" applyAlignment="1"/>
    <xf numFmtId="10" fontId="0" fillId="0" borderId="0" xfId="3" applyNumberFormat="1" applyFont="1"/>
    <xf numFmtId="9" fontId="15" fillId="0" borderId="0" xfId="0" applyNumberFormat="1" applyFont="1" applyBorder="1" applyAlignment="1">
      <alignment horizontal="right"/>
    </xf>
    <xf numFmtId="165" fontId="15" fillId="0" borderId="0" xfId="1" applyNumberFormat="1" applyFont="1" applyBorder="1" applyAlignment="1">
      <alignment horizontal="right"/>
    </xf>
    <xf numFmtId="9" fontId="3" fillId="0" borderId="0" xfId="3" applyNumberFormat="1" applyFont="1"/>
    <xf numFmtId="0" fontId="22" fillId="18" borderId="9" xfId="0" applyFont="1" applyFill="1" applyBorder="1" applyAlignment="1">
      <alignment horizontal="center" vertical="top" wrapText="1"/>
    </xf>
    <xf numFmtId="0" fontId="22" fillId="0" borderId="0" xfId="0" applyFont="1" applyFill="1" applyBorder="1" applyAlignment="1">
      <alignment horizontal="center" vertical="top" wrapText="1"/>
    </xf>
    <xf numFmtId="0" fontId="15" fillId="0" borderId="0" xfId="0" applyFont="1" applyAlignment="1">
      <alignment wrapText="1"/>
    </xf>
    <xf numFmtId="0" fontId="15" fillId="0" borderId="0" xfId="0" applyFont="1" applyAlignment="1">
      <alignment horizontal="right" wrapText="1"/>
    </xf>
    <xf numFmtId="168" fontId="23" fillId="0" borderId="10" xfId="0" applyNumberFormat="1" applyFont="1" applyBorder="1" applyAlignment="1">
      <alignment vertical="top"/>
    </xf>
    <xf numFmtId="0" fontId="23" fillId="15" borderId="10" xfId="0" applyFont="1" applyFill="1" applyBorder="1" applyAlignment="1">
      <alignment vertical="top"/>
    </xf>
    <xf numFmtId="0" fontId="15" fillId="0" borderId="10" xfId="0" applyFont="1" applyBorder="1"/>
    <xf numFmtId="169" fontId="23" fillId="0" borderId="10" xfId="0" applyNumberFormat="1" applyFont="1" applyBorder="1" applyAlignment="1">
      <alignment vertical="top"/>
    </xf>
    <xf numFmtId="0" fontId="23" fillId="0" borderId="10" xfId="0" applyFont="1" applyFill="1" applyBorder="1" applyAlignment="1">
      <alignment vertical="top"/>
    </xf>
    <xf numFmtId="0" fontId="23" fillId="0" borderId="10" xfId="0" applyFont="1" applyBorder="1" applyAlignment="1">
      <alignment vertical="top"/>
    </xf>
    <xf numFmtId="3" fontId="23" fillId="0" borderId="10" xfId="0" applyNumberFormat="1" applyFont="1" applyBorder="1" applyAlignment="1">
      <alignment horizontal="right" vertical="top"/>
    </xf>
    <xf numFmtId="0" fontId="15" fillId="0" borderId="0" xfId="0" applyFont="1" applyAlignment="1">
      <alignment horizontal="center"/>
    </xf>
    <xf numFmtId="9" fontId="15" fillId="0" borderId="0" xfId="3" applyFont="1" applyBorder="1" applyAlignment="1">
      <alignment horizontal="center"/>
    </xf>
    <xf numFmtId="0" fontId="15" fillId="0" borderId="0" xfId="0" applyFont="1" applyAlignment="1">
      <alignment horizontal="right"/>
    </xf>
    <xf numFmtId="164" fontId="15" fillId="0" borderId="0" xfId="2" applyNumberFormat="1" applyFont="1"/>
    <xf numFmtId="167" fontId="12" fillId="0" borderId="0" xfId="0" applyNumberFormat="1" applyFont="1"/>
    <xf numFmtId="164" fontId="15" fillId="0" borderId="0" xfId="2" applyNumberFormat="1" applyFont="1" applyFill="1" applyBorder="1"/>
    <xf numFmtId="3" fontId="15" fillId="0" borderId="0" xfId="0" applyNumberFormat="1" applyFont="1"/>
    <xf numFmtId="9" fontId="15" fillId="0" borderId="0" xfId="3" applyFont="1"/>
    <xf numFmtId="0" fontId="24" fillId="0" borderId="0" xfId="0" applyFont="1" applyAlignment="1">
      <alignment horizontal="right"/>
    </xf>
    <xf numFmtId="0" fontId="15" fillId="0" borderId="0" xfId="0" applyFont="1" applyFill="1" applyBorder="1" applyAlignment="1">
      <alignment horizontal="center" wrapText="1"/>
    </xf>
    <xf numFmtId="9" fontId="15" fillId="0" borderId="0" xfId="3" applyFont="1" applyBorder="1" applyAlignment="1"/>
    <xf numFmtId="9" fontId="15" fillId="0" borderId="0" xfId="3" applyFont="1" applyBorder="1"/>
    <xf numFmtId="164" fontId="15" fillId="0" borderId="0" xfId="0" applyNumberFormat="1" applyFont="1" applyBorder="1"/>
    <xf numFmtId="166" fontId="0" fillId="0" borderId="0" xfId="1" applyNumberFormat="1" applyFont="1" applyBorder="1"/>
    <xf numFmtId="9" fontId="15" fillId="0" borderId="6" xfId="3" applyFont="1" applyBorder="1"/>
    <xf numFmtId="43" fontId="0" fillId="0" borderId="0" xfId="1" applyFont="1" applyFill="1" applyBorder="1"/>
    <xf numFmtId="165" fontId="15" fillId="0" borderId="0" xfId="1" applyNumberFormat="1" applyFont="1" applyFill="1" applyBorder="1"/>
    <xf numFmtId="0" fontId="0" fillId="0" borderId="5" xfId="0" applyBorder="1"/>
    <xf numFmtId="0" fontId="0" fillId="0" borderId="0" xfId="0" applyBorder="1"/>
    <xf numFmtId="0" fontId="0" fillId="0" borderId="6" xfId="0" applyBorder="1"/>
    <xf numFmtId="0" fontId="0" fillId="0" borderId="7" xfId="0" applyBorder="1"/>
    <xf numFmtId="0" fontId="0" fillId="0" borderId="4" xfId="0" applyBorder="1"/>
    <xf numFmtId="0" fontId="0" fillId="0" borderId="8" xfId="0" applyBorder="1"/>
    <xf numFmtId="0" fontId="4" fillId="19" borderId="0" xfId="0" applyFont="1" applyFill="1"/>
    <xf numFmtId="0" fontId="25" fillId="0" borderId="0" xfId="0" applyFont="1"/>
    <xf numFmtId="9" fontId="4" fillId="0" borderId="0" xfId="3" applyFont="1"/>
    <xf numFmtId="43" fontId="9" fillId="0" borderId="0" xfId="1" applyNumberFormat="1" applyFont="1" applyBorder="1"/>
    <xf numFmtId="2" fontId="2" fillId="0" borderId="0" xfId="0" applyNumberFormat="1" applyFont="1"/>
    <xf numFmtId="165" fontId="15" fillId="0" borderId="5" xfId="1" applyNumberFormat="1" applyFont="1" applyBorder="1" applyAlignment="1">
      <alignment horizontal="right"/>
    </xf>
    <xf numFmtId="0" fontId="0" fillId="0" borderId="11" xfId="0" applyBorder="1"/>
    <xf numFmtId="0" fontId="0" fillId="0" borderId="12" xfId="0" applyBorder="1"/>
    <xf numFmtId="0" fontId="0" fillId="0" borderId="13" xfId="0" applyBorder="1"/>
    <xf numFmtId="165" fontId="0" fillId="0" borderId="0" xfId="0" applyNumberFormat="1" applyBorder="1"/>
    <xf numFmtId="9" fontId="0" fillId="0" borderId="0" xfId="3" applyFont="1" applyBorder="1"/>
    <xf numFmtId="2" fontId="0" fillId="0" borderId="0" xfId="0" applyNumberFormat="1" applyBorder="1"/>
    <xf numFmtId="164" fontId="0" fillId="0" borderId="0" xfId="2" applyNumberFormat="1" applyFont="1" applyBorder="1"/>
    <xf numFmtId="0" fontId="27" fillId="0" borderId="0" xfId="0" applyFont="1"/>
    <xf numFmtId="0" fontId="4" fillId="0" borderId="11" xfId="0" applyFont="1" applyBorder="1"/>
    <xf numFmtId="0" fontId="4" fillId="0" borderId="12" xfId="0" applyFont="1" applyBorder="1"/>
    <xf numFmtId="0" fontId="4" fillId="0" borderId="13" xfId="0" applyFont="1" applyBorder="1"/>
    <xf numFmtId="0" fontId="4" fillId="0" borderId="5" xfId="0" applyFont="1" applyBorder="1" applyAlignment="1">
      <alignment horizontal="center" wrapText="1"/>
    </xf>
    <xf numFmtId="0" fontId="4" fillId="0" borderId="0" xfId="0" applyFont="1" applyBorder="1" applyAlignment="1">
      <alignment horizontal="center" wrapText="1"/>
    </xf>
    <xf numFmtId="0" fontId="4" fillId="0" borderId="6" xfId="0" applyFont="1" applyBorder="1" applyAlignment="1">
      <alignment horizontal="center" wrapText="1"/>
    </xf>
    <xf numFmtId="0" fontId="4" fillId="0" borderId="5" xfId="0" applyFont="1" applyBorder="1"/>
    <xf numFmtId="0" fontId="4" fillId="0" borderId="0" xfId="0" applyFont="1" applyBorder="1"/>
    <xf numFmtId="0" fontId="4" fillId="0" borderId="6" xfId="0" applyFont="1" applyBorder="1"/>
    <xf numFmtId="0" fontId="28" fillId="0" borderId="0" xfId="0" applyFont="1" applyBorder="1"/>
    <xf numFmtId="0" fontId="28" fillId="0" borderId="6" xfId="0" applyFont="1" applyBorder="1"/>
    <xf numFmtId="0" fontId="4" fillId="0" borderId="7" xfId="0" applyFont="1" applyBorder="1"/>
    <xf numFmtId="0" fontId="4" fillId="0" borderId="4" xfId="0" applyFont="1" applyBorder="1"/>
    <xf numFmtId="0" fontId="4" fillId="0" borderId="8" xfId="0" applyFont="1" applyBorder="1"/>
    <xf numFmtId="0" fontId="25" fillId="0" borderId="0" xfId="0" applyFont="1" applyBorder="1"/>
    <xf numFmtId="0" fontId="25" fillId="0" borderId="6" xfId="0" applyFont="1" applyBorder="1"/>
    <xf numFmtId="0" fontId="5" fillId="0" borderId="0" xfId="0" applyFont="1" applyBorder="1"/>
    <xf numFmtId="0" fontId="27" fillId="0" borderId="0" xfId="0" applyFont="1" applyBorder="1"/>
    <xf numFmtId="0" fontId="27" fillId="0" borderId="6" xfId="0" applyFont="1" applyBorder="1"/>
    <xf numFmtId="0" fontId="5" fillId="0" borderId="4" xfId="0" applyFont="1" applyBorder="1"/>
    <xf numFmtId="0" fontId="27" fillId="0" borderId="4" xfId="0" applyFont="1" applyBorder="1"/>
    <xf numFmtId="0" fontId="27" fillId="0" borderId="8" xfId="0" applyFont="1" applyBorder="1"/>
    <xf numFmtId="0" fontId="4" fillId="9" borderId="0" xfId="0" applyFont="1" applyFill="1" applyBorder="1"/>
    <xf numFmtId="0" fontId="4" fillId="8" borderId="0" xfId="0" applyFont="1" applyFill="1" applyBorder="1"/>
    <xf numFmtId="170" fontId="6" fillId="0" borderId="0" xfId="0" applyNumberFormat="1" applyFont="1" applyFill="1" applyBorder="1"/>
    <xf numFmtId="170" fontId="26" fillId="0" borderId="0" xfId="0" applyNumberFormat="1" applyFont="1" applyFill="1" applyBorder="1"/>
    <xf numFmtId="170" fontId="6" fillId="0" borderId="4" xfId="0" applyNumberFormat="1" applyFont="1" applyFill="1" applyBorder="1"/>
    <xf numFmtId="0" fontId="0" fillId="0" borderId="0" xfId="0" applyAlignment="1">
      <alignment wrapText="1"/>
    </xf>
    <xf numFmtId="170" fontId="4" fillId="0" borderId="0" xfId="0" applyNumberFormat="1" applyFont="1"/>
    <xf numFmtId="44" fontId="4" fillId="0" borderId="0" xfId="2" applyFont="1"/>
    <xf numFmtId="171" fontId="0" fillId="0" borderId="0" xfId="2" applyNumberFormat="1" applyFont="1"/>
    <xf numFmtId="8" fontId="0" fillId="0" borderId="0" xfId="0" applyNumberFormat="1"/>
    <xf numFmtId="44" fontId="0" fillId="0" borderId="0" xfId="2" applyFont="1"/>
    <xf numFmtId="0" fontId="30" fillId="0" borderId="0" xfId="0" applyFont="1"/>
    <xf numFmtId="171" fontId="0" fillId="0" borderId="0" xfId="0" applyNumberFormat="1"/>
    <xf numFmtId="172" fontId="4" fillId="0" borderId="0" xfId="3" applyNumberFormat="1" applyFont="1"/>
    <xf numFmtId="173" fontId="0" fillId="0" borderId="0" xfId="0" applyNumberFormat="1"/>
    <xf numFmtId="164" fontId="0" fillId="0" borderId="0" xfId="2" applyNumberFormat="1" applyFont="1" applyFill="1" applyBorder="1"/>
    <xf numFmtId="10" fontId="33" fillId="0" borderId="0" xfId="3" applyNumberFormat="1" applyFont="1"/>
    <xf numFmtId="0" fontId="33" fillId="0" borderId="0" xfId="0" applyFont="1"/>
    <xf numFmtId="9" fontId="33" fillId="0" borderId="0" xfId="3" applyFont="1"/>
    <xf numFmtId="0" fontId="34" fillId="0" borderId="0" xfId="0" applyFont="1"/>
    <xf numFmtId="164" fontId="33" fillId="0" borderId="0" xfId="2" applyNumberFormat="1" applyFont="1"/>
    <xf numFmtId="164" fontId="33" fillId="0" borderId="0" xfId="0" applyNumberFormat="1" applyFont="1"/>
    <xf numFmtId="165" fontId="34" fillId="0" borderId="0" xfId="1" applyNumberFormat="1" applyFont="1"/>
    <xf numFmtId="165" fontId="34" fillId="0" borderId="3" xfId="1" applyNumberFormat="1" applyFont="1" applyBorder="1"/>
    <xf numFmtId="0" fontId="35" fillId="0" borderId="0" xfId="0" applyFont="1"/>
    <xf numFmtId="0" fontId="36" fillId="0" borderId="0" xfId="0" applyFont="1" applyAlignment="1">
      <alignment horizontal="left"/>
    </xf>
    <xf numFmtId="0" fontId="36" fillId="0" borderId="0" xfId="0" applyFont="1"/>
    <xf numFmtId="170" fontId="4" fillId="0" borderId="6" xfId="0" applyNumberFormat="1" applyFont="1" applyFill="1" applyBorder="1"/>
    <xf numFmtId="170" fontId="5" fillId="0" borderId="6" xfId="0" applyNumberFormat="1" applyFont="1" applyFill="1" applyBorder="1"/>
    <xf numFmtId="170" fontId="5" fillId="0" borderId="8" xfId="0" applyNumberFormat="1" applyFont="1" applyFill="1" applyBorder="1"/>
    <xf numFmtId="10" fontId="4" fillId="0" borderId="0" xfId="3" applyNumberFormat="1" applyFont="1"/>
    <xf numFmtId="0" fontId="4" fillId="0" borderId="0" xfId="0" applyFont="1" applyAlignment="1">
      <alignment horizontal="right"/>
    </xf>
    <xf numFmtId="0" fontId="0" fillId="0" borderId="0" xfId="0" applyAlignment="1">
      <alignment horizontal="center" wrapText="1"/>
    </xf>
    <xf numFmtId="164" fontId="3" fillId="0" borderId="3" xfId="2" applyNumberFormat="1" applyFont="1" applyBorder="1"/>
    <xf numFmtId="0" fontId="0" fillId="0" borderId="14" xfId="0" applyBorder="1"/>
    <xf numFmtId="0" fontId="0" fillId="0" borderId="15" xfId="0" applyBorder="1"/>
    <xf numFmtId="0" fontId="15" fillId="0" borderId="15" xfId="0" applyFont="1" applyBorder="1"/>
    <xf numFmtId="0" fontId="0" fillId="0" borderId="16" xfId="0" applyBorder="1"/>
    <xf numFmtId="0" fontId="0" fillId="0" borderId="17" xfId="0" applyBorder="1"/>
    <xf numFmtId="0" fontId="0" fillId="0" borderId="18" xfId="0" applyBorder="1"/>
    <xf numFmtId="0" fontId="0" fillId="0" borderId="17" xfId="0" applyBorder="1" applyAlignment="1">
      <alignment horizontal="center" wrapText="1"/>
    </xf>
    <xf numFmtId="0" fontId="0" fillId="0" borderId="0" xfId="0" applyBorder="1" applyAlignment="1">
      <alignment horizontal="center" wrapText="1"/>
    </xf>
    <xf numFmtId="0" fontId="0" fillId="0" borderId="18" xfId="0" applyBorder="1" applyAlignment="1">
      <alignment horizontal="center" wrapText="1"/>
    </xf>
    <xf numFmtId="164" fontId="0" fillId="0" borderId="0" xfId="0" applyNumberFormat="1" applyBorder="1"/>
    <xf numFmtId="0" fontId="0" fillId="0" borderId="19" xfId="0" applyBorder="1"/>
    <xf numFmtId="0" fontId="0" fillId="0" borderId="20" xfId="0" applyBorder="1"/>
    <xf numFmtId="0" fontId="0" fillId="0" borderId="21" xfId="0" applyBorder="1"/>
    <xf numFmtId="0" fontId="0" fillId="0" borderId="0" xfId="0" applyFill="1" applyBorder="1"/>
    <xf numFmtId="0" fontId="38" fillId="0" borderId="0" xfId="0" applyFont="1" applyBorder="1"/>
    <xf numFmtId="0" fontId="39" fillId="0" borderId="0" xfId="0" applyFont="1" applyBorder="1" applyAlignment="1">
      <alignment horizontal="center"/>
    </xf>
    <xf numFmtId="164" fontId="38" fillId="0" borderId="0" xfId="0" applyNumberFormat="1" applyFont="1" applyBorder="1"/>
    <xf numFmtId="164" fontId="38" fillId="0" borderId="0" xfId="0" applyNumberFormat="1" applyFont="1" applyFill="1" applyBorder="1"/>
    <xf numFmtId="0" fontId="38" fillId="20" borderId="0" xfId="0" applyFont="1" applyFill="1" applyBorder="1"/>
    <xf numFmtId="164" fontId="40" fillId="0" borderId="0" xfId="0" applyNumberFormat="1" applyFont="1" applyBorder="1"/>
    <xf numFmtId="0" fontId="38" fillId="0" borderId="20" xfId="0" applyFont="1" applyBorder="1"/>
    <xf numFmtId="2" fontId="38" fillId="0" borderId="20" xfId="0" applyNumberFormat="1" applyFont="1" applyBorder="1"/>
    <xf numFmtId="0" fontId="38" fillId="20" borderId="22" xfId="0" applyFont="1" applyFill="1" applyBorder="1"/>
    <xf numFmtId="164" fontId="38" fillId="0" borderId="22" xfId="0" applyNumberFormat="1" applyFont="1" applyBorder="1"/>
    <xf numFmtId="164" fontId="40" fillId="0" borderId="22" xfId="0" applyNumberFormat="1" applyFont="1" applyBorder="1"/>
    <xf numFmtId="174" fontId="4" fillId="0" borderId="0" xfId="0" applyNumberFormat="1" applyFont="1"/>
    <xf numFmtId="0" fontId="41" fillId="0" borderId="23" xfId="0" applyFont="1" applyBorder="1"/>
    <xf numFmtId="0" fontId="41" fillId="0" borderId="24" xfId="0" applyFont="1" applyBorder="1"/>
    <xf numFmtId="10" fontId="41" fillId="0" borderId="24" xfId="3" applyNumberFormat="1" applyFont="1" applyBorder="1"/>
    <xf numFmtId="0" fontId="41" fillId="0" borderId="25" xfId="0" applyFont="1" applyBorder="1"/>
    <xf numFmtId="0" fontId="41" fillId="0" borderId="26" xfId="0" applyFont="1" applyBorder="1"/>
    <xf numFmtId="0" fontId="41" fillId="0" borderId="0" xfId="0" applyFont="1" applyBorder="1"/>
    <xf numFmtId="10" fontId="41" fillId="0" borderId="0" xfId="3" applyNumberFormat="1" applyFont="1" applyBorder="1"/>
    <xf numFmtId="0" fontId="41" fillId="0" borderId="27" xfId="0" applyFont="1" applyBorder="1"/>
    <xf numFmtId="0" fontId="41" fillId="0" borderId="26" xfId="0" applyFont="1" applyBorder="1" applyAlignment="1">
      <alignment horizontal="center" wrapText="1"/>
    </xf>
    <xf numFmtId="0" fontId="41" fillId="0" borderId="0" xfId="0" applyFont="1" applyBorder="1" applyAlignment="1">
      <alignment horizontal="center" wrapText="1"/>
    </xf>
    <xf numFmtId="0" fontId="41" fillId="0" borderId="27" xfId="0" applyFont="1" applyBorder="1" applyAlignment="1">
      <alignment horizontal="center" wrapText="1"/>
    </xf>
    <xf numFmtId="175" fontId="41" fillId="0" borderId="0" xfId="2" applyNumberFormat="1" applyFont="1" applyBorder="1"/>
    <xf numFmtId="175" fontId="41" fillId="0" borderId="0" xfId="2" applyNumberFormat="1" applyFont="1" applyBorder="1" applyAlignment="1">
      <alignment horizontal="center" wrapText="1"/>
    </xf>
    <xf numFmtId="175" fontId="41" fillId="0" borderId="27" xfId="2" applyNumberFormat="1" applyFont="1" applyBorder="1"/>
    <xf numFmtId="0" fontId="41" fillId="0" borderId="28" xfId="0" applyFont="1" applyBorder="1"/>
    <xf numFmtId="170" fontId="41" fillId="0" borderId="0" xfId="0" applyNumberFormat="1" applyFont="1" applyBorder="1"/>
    <xf numFmtId="170" fontId="41" fillId="0" borderId="29" xfId="0" applyNumberFormat="1" applyFont="1" applyBorder="1"/>
    <xf numFmtId="175" fontId="42" fillId="0" borderId="0" xfId="0" applyNumberFormat="1" applyFont="1" applyBorder="1"/>
    <xf numFmtId="175" fontId="42" fillId="0" borderId="0" xfId="2" applyNumberFormat="1" applyFont="1" applyBorder="1"/>
    <xf numFmtId="175" fontId="42" fillId="0" borderId="0" xfId="2" applyNumberFormat="1" applyFont="1" applyBorder="1" applyAlignment="1">
      <alignment horizontal="center" wrapText="1"/>
    </xf>
    <xf numFmtId="175" fontId="42" fillId="0" borderId="27" xfId="2" applyNumberFormat="1" applyFont="1" applyBorder="1"/>
    <xf numFmtId="175" fontId="42" fillId="0" borderId="29" xfId="0" applyNumberFormat="1" applyFont="1" applyBorder="1"/>
    <xf numFmtId="175" fontId="42" fillId="0" borderId="29" xfId="2" applyNumberFormat="1" applyFont="1" applyBorder="1"/>
    <xf numFmtId="175" fontId="42" fillId="0" borderId="29" xfId="2" applyNumberFormat="1" applyFont="1" applyBorder="1" applyAlignment="1">
      <alignment horizontal="center" wrapText="1"/>
    </xf>
    <xf numFmtId="175" fontId="42" fillId="0" borderId="30" xfId="2" applyNumberFormat="1" applyFont="1" applyBorder="1"/>
    <xf numFmtId="0" fontId="38" fillId="0" borderId="0" xfId="0" applyFont="1"/>
    <xf numFmtId="0" fontId="25" fillId="0" borderId="14" xfId="0" applyFont="1" applyBorder="1" applyAlignment="1">
      <alignment horizontal="center" wrapText="1"/>
    </xf>
    <xf numFmtId="0" fontId="25" fillId="0" borderId="15" xfId="0" applyFont="1" applyBorder="1" applyAlignment="1">
      <alignment horizontal="center" wrapText="1"/>
    </xf>
    <xf numFmtId="0" fontId="25" fillId="0" borderId="16" xfId="0" applyFont="1" applyBorder="1" applyAlignment="1">
      <alignment horizontal="center" wrapText="1"/>
    </xf>
    <xf numFmtId="0" fontId="25" fillId="0" borderId="17" xfId="0" applyFont="1" applyBorder="1"/>
    <xf numFmtId="175" fontId="25" fillId="0" borderId="0" xfId="2" applyNumberFormat="1" applyFont="1" applyBorder="1"/>
    <xf numFmtId="175" fontId="25" fillId="0" borderId="18" xfId="2" applyNumberFormat="1" applyFont="1" applyBorder="1"/>
    <xf numFmtId="0" fontId="25" fillId="0" borderId="19" xfId="0" applyFont="1" applyBorder="1"/>
    <xf numFmtId="175" fontId="25" fillId="0" borderId="20" xfId="2" applyNumberFormat="1" applyFont="1" applyBorder="1"/>
    <xf numFmtId="175" fontId="25" fillId="0" borderId="21" xfId="2" applyNumberFormat="1" applyFont="1" applyBorder="1"/>
    <xf numFmtId="176" fontId="0" fillId="0" borderId="0" xfId="0" applyNumberFormat="1"/>
    <xf numFmtId="44" fontId="0" fillId="0" borderId="0" xfId="0" applyNumberFormat="1"/>
    <xf numFmtId="164" fontId="3" fillId="13" borderId="0" xfId="2" applyNumberFormat="1" applyFont="1" applyFill="1"/>
    <xf numFmtId="9" fontId="0" fillId="0" borderId="0" xfId="3" applyFont="1"/>
    <xf numFmtId="164" fontId="38" fillId="0" borderId="0" xfId="0" applyNumberFormat="1" applyFont="1"/>
    <xf numFmtId="9" fontId="38" fillId="0" borderId="0" xfId="0" applyNumberFormat="1" applyFont="1"/>
    <xf numFmtId="0" fontId="0" fillId="0" borderId="0" xfId="0" applyAlignment="1">
      <alignment horizontal="centerContinuous"/>
    </xf>
    <xf numFmtId="43" fontId="0" fillId="0" borderId="0" xfId="0" applyNumberFormat="1" applyAlignment="1">
      <alignment horizontal="center"/>
    </xf>
    <xf numFmtId="0" fontId="0" fillId="0" borderId="0" xfId="0" applyAlignment="1">
      <alignment horizontal="right"/>
    </xf>
    <xf numFmtId="0" fontId="43" fillId="0" borderId="0" xfId="0" applyFont="1"/>
    <xf numFmtId="8" fontId="43" fillId="0" borderId="0" xfId="0" applyNumberFormat="1" applyFont="1"/>
    <xf numFmtId="10" fontId="43" fillId="0" borderId="0" xfId="3" applyNumberFormat="1" applyFont="1"/>
    <xf numFmtId="172" fontId="43" fillId="0" borderId="0" xfId="3" applyNumberFormat="1" applyFont="1"/>
    <xf numFmtId="8" fontId="44" fillId="0" borderId="0" xfId="0" applyNumberFormat="1" applyFont="1"/>
    <xf numFmtId="0" fontId="44" fillId="0" borderId="0" xfId="0" applyFont="1"/>
    <xf numFmtId="0" fontId="43" fillId="0" borderId="0" xfId="0" applyFont="1" applyAlignment="1">
      <alignment vertical="center" wrapText="1"/>
    </xf>
  </cellXfs>
  <cellStyles count="5">
    <cellStyle name="Comma" xfId="1" builtinId="3"/>
    <cellStyle name="Currency" xfId="2" builtinId="4"/>
    <cellStyle name="Normal" xfId="0" builtinId="0"/>
    <cellStyle name="Normal 2" xfId="4"/>
    <cellStyle name="Percent" xfId="3" builtinId="5"/>
  </cellStyles>
  <dxfs count="36">
    <dxf>
      <fill>
        <patternFill>
          <bgColor rgb="FFFFCC66"/>
        </patternFill>
      </fill>
    </dxf>
    <dxf>
      <fill>
        <patternFill>
          <bgColor rgb="FF99FF66"/>
        </patternFill>
      </fill>
    </dxf>
    <dxf>
      <fill>
        <patternFill>
          <bgColor theme="5" tint="0.59996337778862885"/>
        </patternFill>
      </fill>
    </dxf>
    <dxf>
      <fill>
        <patternFill>
          <bgColor rgb="FFFFFF00"/>
        </patternFill>
      </fill>
    </dxf>
    <dxf>
      <fill>
        <patternFill>
          <bgColor theme="6" tint="0.39994506668294322"/>
        </patternFill>
      </fill>
    </dxf>
    <dxf>
      <fill>
        <patternFill>
          <bgColor theme="2"/>
        </patternFill>
      </fill>
    </dxf>
    <dxf>
      <fill>
        <patternFill>
          <bgColor theme="5" tint="0.59996337778862885"/>
        </patternFill>
      </fill>
    </dxf>
    <dxf>
      <fill>
        <patternFill>
          <bgColor rgb="FFFFFF00"/>
        </patternFill>
      </fill>
    </dxf>
    <dxf>
      <fill>
        <patternFill>
          <bgColor rgb="FFCCFF66"/>
        </patternFill>
      </fill>
    </dxf>
    <dxf>
      <fill>
        <patternFill>
          <bgColor theme="6" tint="0.39994506668294322"/>
        </patternFill>
      </fill>
    </dxf>
    <dxf>
      <fill>
        <patternFill>
          <bgColor theme="2" tint="-9.9948118533890809E-2"/>
        </patternFill>
      </fill>
    </dxf>
    <dxf>
      <fill>
        <patternFill>
          <bgColor theme="5" tint="0.59996337778862885"/>
        </patternFill>
      </fill>
    </dxf>
    <dxf>
      <fill>
        <patternFill>
          <bgColor rgb="FFFFFF00"/>
        </patternFill>
      </fill>
    </dxf>
    <dxf>
      <fill>
        <patternFill>
          <bgColor theme="6" tint="0.39994506668294322"/>
        </patternFill>
      </fill>
    </dxf>
    <dxf>
      <fill>
        <patternFill>
          <bgColor theme="2"/>
        </patternFill>
      </fill>
    </dxf>
    <dxf>
      <fill>
        <patternFill>
          <bgColor rgb="FFFFCC66"/>
        </patternFill>
      </fill>
    </dxf>
    <dxf>
      <fill>
        <patternFill>
          <bgColor rgb="FF99FF66"/>
        </patternFill>
      </fill>
    </dxf>
    <dxf>
      <fill>
        <patternFill>
          <bgColor rgb="FFFFCC66"/>
        </patternFill>
      </fill>
    </dxf>
    <dxf>
      <fill>
        <patternFill>
          <bgColor rgb="FFCCFF66"/>
        </patternFill>
      </fill>
    </dxf>
    <dxf>
      <fill>
        <patternFill>
          <bgColor rgb="FFFFCC66"/>
        </patternFill>
      </fill>
    </dxf>
    <dxf>
      <fill>
        <patternFill>
          <bgColor rgb="FFCCFF99"/>
        </patternFill>
      </fill>
    </dxf>
    <dxf>
      <fill>
        <patternFill>
          <bgColor theme="5" tint="0.59996337778862885"/>
        </patternFill>
      </fill>
    </dxf>
    <dxf>
      <fill>
        <patternFill>
          <bgColor rgb="FFFFFF00"/>
        </patternFill>
      </fill>
    </dxf>
    <dxf>
      <fill>
        <patternFill>
          <bgColor rgb="FFCCFF66"/>
        </patternFill>
      </fill>
    </dxf>
    <dxf>
      <fill>
        <patternFill>
          <bgColor theme="6" tint="0.39994506668294322"/>
        </patternFill>
      </fill>
    </dxf>
    <dxf>
      <fill>
        <patternFill>
          <bgColor theme="2" tint="-9.9948118533890809E-2"/>
        </patternFill>
      </fill>
    </dxf>
    <dxf>
      <fill>
        <patternFill>
          <bgColor theme="5" tint="0.59996337778862885"/>
        </patternFill>
      </fill>
    </dxf>
    <dxf>
      <fill>
        <patternFill>
          <bgColor rgb="FFFFFF00"/>
        </patternFill>
      </fill>
    </dxf>
    <dxf>
      <fill>
        <patternFill>
          <bgColor theme="6" tint="0.39994506668294322"/>
        </patternFill>
      </fill>
    </dxf>
    <dxf>
      <fill>
        <patternFill>
          <bgColor theme="2"/>
        </patternFill>
      </fill>
    </dxf>
    <dxf>
      <fill>
        <patternFill>
          <bgColor rgb="FF92D050"/>
        </patternFill>
      </fill>
    </dxf>
    <dxf>
      <fill>
        <patternFill>
          <bgColor rgb="FFFF99FF"/>
        </patternFill>
      </fill>
    </dxf>
    <dxf>
      <fill>
        <patternFill>
          <bgColor rgb="FFFF3300"/>
        </patternFill>
      </fill>
    </dxf>
    <dxf>
      <fill>
        <patternFill patternType="none">
          <bgColor auto="1"/>
        </patternFill>
      </fill>
    </dxf>
    <dxf>
      <fill>
        <patternFill>
          <bgColor rgb="FFFF99FF"/>
        </patternFill>
      </fill>
    </dxf>
    <dxf>
      <fill>
        <patternFill>
          <bgColor rgb="FF66FF99"/>
        </patternFill>
      </fill>
    </dxf>
  </dxfs>
  <tableStyles count="0" defaultTableStyle="TableStyleMedium9" defaultPivotStyle="PivotStyleLight16"/>
  <colors>
    <mruColors>
      <color rgb="FF0000FF"/>
      <color rgb="FFFF00FF"/>
      <color rgb="FFFF9966"/>
      <color rgb="FFFF66FF"/>
      <color rgb="FFFFFFCC"/>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Avoided costs used for analysis of gas DSM portfolio</a:t>
            </a:r>
          </a:p>
        </c:rich>
      </c:tx>
    </c:title>
    <c:plotArea>
      <c:layout/>
      <c:lineChart>
        <c:grouping val="standard"/>
        <c:ser>
          <c:idx val="0"/>
          <c:order val="0"/>
          <c:tx>
            <c:strRef>
              <c:f>ACs!$S$3</c:f>
              <c:strCache>
                <c:ptCount val="1"/>
                <c:pt idx="0">
                  <c:v>Real Kelly Annual AC</c:v>
                </c:pt>
              </c:strCache>
            </c:strRef>
          </c:tx>
          <c:spPr>
            <a:ln>
              <a:solidFill>
                <a:srgbClr val="FF66FF"/>
              </a:solidFill>
            </a:ln>
          </c:spPr>
          <c:marker>
            <c:symbol val="none"/>
          </c:marker>
          <c:cat>
            <c:numRef>
              <c:f>ACs!$R$4:$R$23</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ACs!$S$4:$S$23</c:f>
              <c:numCache>
                <c:formatCode>General</c:formatCode>
                <c:ptCount val="20"/>
                <c:pt idx="0">
                  <c:v>0.27778089925891097</c:v>
                </c:pt>
                <c:pt idx="1">
                  <c:v>0.33974594148870996</c:v>
                </c:pt>
                <c:pt idx="2">
                  <c:v>0.36565765374327397</c:v>
                </c:pt>
                <c:pt idx="3">
                  <c:v>0.37500571185595399</c:v>
                </c:pt>
                <c:pt idx="4">
                  <c:v>0.37563607139014199</c:v>
                </c:pt>
                <c:pt idx="5">
                  <c:v>0.37598724110485804</c:v>
                </c:pt>
                <c:pt idx="6">
                  <c:v>0.38821796456428398</c:v>
                </c:pt>
                <c:pt idx="7">
                  <c:v>0.39890486664968</c:v>
                </c:pt>
                <c:pt idx="8">
                  <c:v>0.40784856276434001</c:v>
                </c:pt>
                <c:pt idx="9">
                  <c:v>0.42401045884171601</c:v>
                </c:pt>
                <c:pt idx="10">
                  <c:v>0.44084165677632398</c:v>
                </c:pt>
                <c:pt idx="11">
                  <c:v>0.45565762768053003</c:v>
                </c:pt>
                <c:pt idx="12">
                  <c:v>0.47120120694728501</c:v>
                </c:pt>
                <c:pt idx="13">
                  <c:v>0.48379327342934797</c:v>
                </c:pt>
                <c:pt idx="14">
                  <c:v>0.50297154596407101</c:v>
                </c:pt>
                <c:pt idx="15">
                  <c:v>0.51958761803091402</c:v>
                </c:pt>
                <c:pt idx="16">
                  <c:v>0.53752409447737703</c:v>
                </c:pt>
                <c:pt idx="17">
                  <c:v>0.55643962037073402</c:v>
                </c:pt>
                <c:pt idx="18">
                  <c:v>0.57446895638557305</c:v>
                </c:pt>
                <c:pt idx="19">
                  <c:v>0.57150883243508499</c:v>
                </c:pt>
              </c:numCache>
            </c:numRef>
          </c:val>
        </c:ser>
        <c:ser>
          <c:idx val="1"/>
          <c:order val="1"/>
          <c:tx>
            <c:strRef>
              <c:f>ACs!$T$3</c:f>
              <c:strCache>
                <c:ptCount val="1"/>
                <c:pt idx="0">
                  <c:v>Real Kelly estimated winter AC</c:v>
                </c:pt>
              </c:strCache>
            </c:strRef>
          </c:tx>
          <c:spPr>
            <a:ln>
              <a:solidFill>
                <a:srgbClr val="FF0000"/>
              </a:solidFill>
            </a:ln>
          </c:spPr>
          <c:marker>
            <c:symbol val="none"/>
          </c:marker>
          <c:cat>
            <c:numRef>
              <c:f>ACs!$R$4:$R$23</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ACs!$T$4:$T$23</c:f>
              <c:numCache>
                <c:formatCode>General</c:formatCode>
                <c:ptCount val="20"/>
                <c:pt idx="0">
                  <c:v>0.30581407395840188</c:v>
                </c:pt>
                <c:pt idx="1">
                  <c:v>0.37817452203582869</c:v>
                </c:pt>
                <c:pt idx="2">
                  <c:v>0.40728122648142978</c:v>
                </c:pt>
                <c:pt idx="3">
                  <c:v>0.41649038571808106</c:v>
                </c:pt>
                <c:pt idx="4">
                  <c:v>0.41675548342824625</c:v>
                </c:pt>
                <c:pt idx="5">
                  <c:v>0.41676450649673924</c:v>
                </c:pt>
                <c:pt idx="6">
                  <c:v>0.42970098898193559</c:v>
                </c:pt>
                <c:pt idx="7">
                  <c:v>0.44104127658721337</c:v>
                </c:pt>
                <c:pt idx="8">
                  <c:v>0.45073491219009992</c:v>
                </c:pt>
                <c:pt idx="9">
                  <c:v>0.46877922599324467</c:v>
                </c:pt>
                <c:pt idx="10">
                  <c:v>0.48735210018315533</c:v>
                </c:pt>
                <c:pt idx="11">
                  <c:v>0.50348953468745117</c:v>
                </c:pt>
                <c:pt idx="12">
                  <c:v>0.52050166849031665</c:v>
                </c:pt>
                <c:pt idx="13">
                  <c:v>0.53425618983308765</c:v>
                </c:pt>
                <c:pt idx="14">
                  <c:v>0.55523336441002114</c:v>
                </c:pt>
                <c:pt idx="15">
                  <c:v>0.57336193625605514</c:v>
                </c:pt>
                <c:pt idx="16">
                  <c:v>0.59295225011865849</c:v>
                </c:pt>
                <c:pt idx="17">
                  <c:v>0.61363001656366178</c:v>
                </c:pt>
                <c:pt idx="18">
                  <c:v>0.63334537659860746</c:v>
                </c:pt>
                <c:pt idx="19">
                  <c:v>0.629940224328712</c:v>
                </c:pt>
              </c:numCache>
            </c:numRef>
          </c:val>
        </c:ser>
        <c:ser>
          <c:idx val="2"/>
          <c:order val="2"/>
          <c:tx>
            <c:strRef>
              <c:f>ACs!$U$3</c:f>
              <c:strCache>
                <c:ptCount val="1"/>
                <c:pt idx="0">
                  <c:v>Real Tom annual AC</c:v>
                </c:pt>
              </c:strCache>
            </c:strRef>
          </c:tx>
          <c:spPr>
            <a:ln>
              <a:solidFill>
                <a:schemeClr val="accent1">
                  <a:lumMod val="75000"/>
                </a:schemeClr>
              </a:solidFill>
            </a:ln>
          </c:spPr>
          <c:marker>
            <c:symbol val="none"/>
          </c:marker>
          <c:cat>
            <c:numRef>
              <c:f>ACs!$R$4:$R$23</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ACs!$U$4:$U$23</c:f>
              <c:numCache>
                <c:formatCode>General</c:formatCode>
                <c:ptCount val="20"/>
                <c:pt idx="0">
                  <c:v>0.26885494202212601</c:v>
                </c:pt>
                <c:pt idx="1">
                  <c:v>0.35565068264530103</c:v>
                </c:pt>
                <c:pt idx="2">
                  <c:v>0.38512288433231701</c:v>
                </c:pt>
                <c:pt idx="3">
                  <c:v>0.40187030204354901</c:v>
                </c:pt>
                <c:pt idx="4">
                  <c:v>0.41897260165605399</c:v>
                </c:pt>
                <c:pt idx="5">
                  <c:v>0.43655582859091602</c:v>
                </c:pt>
                <c:pt idx="6">
                  <c:v>0.45862768800291304</c:v>
                </c:pt>
                <c:pt idx="7">
                  <c:v>0.47589378474509897</c:v>
                </c:pt>
                <c:pt idx="8">
                  <c:v>0.48317947361638602</c:v>
                </c:pt>
                <c:pt idx="9">
                  <c:v>0.49362455459490195</c:v>
                </c:pt>
                <c:pt idx="10">
                  <c:v>0.48644470567572606</c:v>
                </c:pt>
                <c:pt idx="11">
                  <c:v>0.49812264089714997</c:v>
                </c:pt>
                <c:pt idx="12">
                  <c:v>0.489337792422602</c:v>
                </c:pt>
                <c:pt idx="13">
                  <c:v>0.49333260457809702</c:v>
                </c:pt>
                <c:pt idx="14">
                  <c:v>0.50363007767559709</c:v>
                </c:pt>
                <c:pt idx="15">
                  <c:v>0.499635684261583</c:v>
                </c:pt>
                <c:pt idx="16">
                  <c:v>0.50126521391946799</c:v>
                </c:pt>
                <c:pt idx="17">
                  <c:v>0.50477163118858903</c:v>
                </c:pt>
                <c:pt idx="18">
                  <c:v>0.50401565721590202</c:v>
                </c:pt>
                <c:pt idx="19">
                  <c:v>0.51537918312908904</c:v>
                </c:pt>
              </c:numCache>
            </c:numRef>
          </c:val>
        </c:ser>
        <c:ser>
          <c:idx val="3"/>
          <c:order val="3"/>
          <c:tx>
            <c:strRef>
              <c:f>ACs!$V$3</c:f>
              <c:strCache>
                <c:ptCount val="1"/>
                <c:pt idx="0">
                  <c:v>Real Tom winter AC</c:v>
                </c:pt>
              </c:strCache>
            </c:strRef>
          </c:tx>
          <c:marker>
            <c:symbol val="none"/>
          </c:marker>
          <c:cat>
            <c:numRef>
              <c:f>ACs!$R$4:$R$23</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ACs!$V$4:$V$23</c:f>
              <c:numCache>
                <c:formatCode>General</c:formatCode>
                <c:ptCount val="20"/>
                <c:pt idx="0">
                  <c:v>0.28473104411049899</c:v>
                </c:pt>
                <c:pt idx="1">
                  <c:v>0.35352552947619098</c:v>
                </c:pt>
                <c:pt idx="2">
                  <c:v>0.40042709546373401</c:v>
                </c:pt>
                <c:pt idx="3">
                  <c:v>0.41490330190847996</c:v>
                </c:pt>
                <c:pt idx="4">
                  <c:v>0.43119397539841503</c:v>
                </c:pt>
                <c:pt idx="5">
                  <c:v>0.45002056999711798</c:v>
                </c:pt>
                <c:pt idx="6">
                  <c:v>0.47329050531450501</c:v>
                </c:pt>
                <c:pt idx="7">
                  <c:v>0.49332469946501301</c:v>
                </c:pt>
                <c:pt idx="8">
                  <c:v>0.49815162357531106</c:v>
                </c:pt>
                <c:pt idx="9">
                  <c:v>0.50936121056411399</c:v>
                </c:pt>
                <c:pt idx="10">
                  <c:v>0.50390109289560903</c:v>
                </c:pt>
                <c:pt idx="11">
                  <c:v>0.50918906319220292</c:v>
                </c:pt>
                <c:pt idx="12">
                  <c:v>0.50485400839855799</c:v>
                </c:pt>
                <c:pt idx="13">
                  <c:v>0.50430359524606894</c:v>
                </c:pt>
                <c:pt idx="14">
                  <c:v>0.52190597231024893</c:v>
                </c:pt>
                <c:pt idx="15">
                  <c:v>0.52105321094689805</c:v>
                </c:pt>
                <c:pt idx="16">
                  <c:v>0.51851862229799006</c:v>
                </c:pt>
                <c:pt idx="17">
                  <c:v>0.52180036740587199</c:v>
                </c:pt>
                <c:pt idx="18">
                  <c:v>0.52159964422516503</c:v>
                </c:pt>
                <c:pt idx="19">
                  <c:v>0.53413358871510508</c:v>
                </c:pt>
              </c:numCache>
            </c:numRef>
          </c:val>
        </c:ser>
        <c:marker val="1"/>
        <c:axId val="76607872"/>
        <c:axId val="76609408"/>
      </c:lineChart>
      <c:catAx>
        <c:axId val="76607872"/>
        <c:scaling>
          <c:orientation val="minMax"/>
        </c:scaling>
        <c:axPos val="b"/>
        <c:numFmt formatCode="General" sourceLinked="1"/>
        <c:tickLblPos val="nextTo"/>
        <c:crossAx val="76609408"/>
        <c:crosses val="autoZero"/>
        <c:auto val="1"/>
        <c:lblAlgn val="ctr"/>
        <c:lblOffset val="100"/>
      </c:catAx>
      <c:valAx>
        <c:axId val="76609408"/>
        <c:scaling>
          <c:orientation val="minMax"/>
        </c:scaling>
        <c:axPos val="l"/>
        <c:majorGridlines/>
        <c:numFmt formatCode="General" sourceLinked="1"/>
        <c:tickLblPos val="nextTo"/>
        <c:crossAx val="76607872"/>
        <c:crosses val="autoZero"/>
        <c:crossBetween val="between"/>
      </c:valAx>
    </c:plotArea>
    <c:legend>
      <c:legendPos val="r"/>
    </c:legend>
    <c:plotVisOnly val="1"/>
  </c:chart>
  <c:printSettings>
    <c:headerFooter/>
    <c:pageMargins b="0.75000000000000133" l="0.70000000000000062" r="0.70000000000000062" t="0.75000000000000133"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t>Avoided costs used for analysis of gas DSM portfolio</a:t>
            </a:r>
            <a:endParaRPr lang="en-US"/>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endParaRPr lang="en-US"/>
          </a:p>
        </c:rich>
      </c:tx>
    </c:title>
    <c:plotArea>
      <c:layout>
        <c:manualLayout>
          <c:layoutTarget val="inner"/>
          <c:xMode val="edge"/>
          <c:yMode val="edge"/>
          <c:x val="4.6188982771794056E-2"/>
          <c:y val="0.10250461836694549"/>
          <c:w val="0.67399886829006495"/>
          <c:h val="0.83643102199062358"/>
        </c:manualLayout>
      </c:layout>
      <c:lineChart>
        <c:grouping val="standard"/>
        <c:ser>
          <c:idx val="0"/>
          <c:order val="0"/>
          <c:tx>
            <c:strRef>
              <c:f>ACs!$S$3</c:f>
              <c:strCache>
                <c:ptCount val="1"/>
                <c:pt idx="0">
                  <c:v>Real Kelly Annual AC</c:v>
                </c:pt>
              </c:strCache>
            </c:strRef>
          </c:tx>
          <c:spPr>
            <a:ln>
              <a:solidFill>
                <a:srgbClr val="FF66FF"/>
              </a:solidFill>
            </a:ln>
          </c:spPr>
          <c:marker>
            <c:symbol val="none"/>
          </c:marker>
          <c:cat>
            <c:numRef>
              <c:f>ACs!$R$4:$R$53</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cat>
          <c:val>
            <c:numRef>
              <c:f>ACs!$S$4:$S$53</c:f>
              <c:numCache>
                <c:formatCode>General</c:formatCode>
                <c:ptCount val="50"/>
                <c:pt idx="0">
                  <c:v>0.27778089925891097</c:v>
                </c:pt>
                <c:pt idx="1">
                  <c:v>0.33974594148870996</c:v>
                </c:pt>
                <c:pt idx="2">
                  <c:v>0.36565765374327397</c:v>
                </c:pt>
                <c:pt idx="3">
                  <c:v>0.37500571185595399</c:v>
                </c:pt>
                <c:pt idx="4">
                  <c:v>0.37563607139014199</c:v>
                </c:pt>
                <c:pt idx="5">
                  <c:v>0.37598724110485804</c:v>
                </c:pt>
                <c:pt idx="6">
                  <c:v>0.38821796456428398</c:v>
                </c:pt>
                <c:pt idx="7">
                  <c:v>0.39890486664968</c:v>
                </c:pt>
                <c:pt idx="8">
                  <c:v>0.40784856276434001</c:v>
                </c:pt>
                <c:pt idx="9">
                  <c:v>0.42401045884171601</c:v>
                </c:pt>
                <c:pt idx="10">
                  <c:v>0.44084165677632398</c:v>
                </c:pt>
                <c:pt idx="11">
                  <c:v>0.45565762768053003</c:v>
                </c:pt>
                <c:pt idx="12">
                  <c:v>0.47120120694728501</c:v>
                </c:pt>
                <c:pt idx="13">
                  <c:v>0.48379327342934797</c:v>
                </c:pt>
                <c:pt idx="14">
                  <c:v>0.50297154596407101</c:v>
                </c:pt>
                <c:pt idx="15">
                  <c:v>0.51958761803091402</c:v>
                </c:pt>
                <c:pt idx="16">
                  <c:v>0.53752409447737703</c:v>
                </c:pt>
                <c:pt idx="17">
                  <c:v>0.55643962037073402</c:v>
                </c:pt>
                <c:pt idx="18">
                  <c:v>0.57446895638557305</c:v>
                </c:pt>
                <c:pt idx="19">
                  <c:v>0.57150883243508499</c:v>
                </c:pt>
              </c:numCache>
            </c:numRef>
          </c:val>
        </c:ser>
        <c:ser>
          <c:idx val="1"/>
          <c:order val="1"/>
          <c:tx>
            <c:strRef>
              <c:f>ACs!$T$3</c:f>
              <c:strCache>
                <c:ptCount val="1"/>
                <c:pt idx="0">
                  <c:v>Real Kelly estimated winter AC</c:v>
                </c:pt>
              </c:strCache>
            </c:strRef>
          </c:tx>
          <c:spPr>
            <a:ln>
              <a:solidFill>
                <a:srgbClr val="FF0000"/>
              </a:solidFill>
            </a:ln>
          </c:spPr>
          <c:marker>
            <c:symbol val="none"/>
          </c:marker>
          <c:cat>
            <c:numRef>
              <c:f>ACs!$R$4:$R$53</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cat>
          <c:val>
            <c:numRef>
              <c:f>ACs!$T$4:$T$53</c:f>
              <c:numCache>
                <c:formatCode>General</c:formatCode>
                <c:ptCount val="50"/>
                <c:pt idx="0">
                  <c:v>0.30581407395840188</c:v>
                </c:pt>
                <c:pt idx="1">
                  <c:v>0.37817452203582869</c:v>
                </c:pt>
                <c:pt idx="2">
                  <c:v>0.40728122648142978</c:v>
                </c:pt>
                <c:pt idx="3">
                  <c:v>0.41649038571808106</c:v>
                </c:pt>
                <c:pt idx="4">
                  <c:v>0.41675548342824625</c:v>
                </c:pt>
                <c:pt idx="5">
                  <c:v>0.41676450649673924</c:v>
                </c:pt>
                <c:pt idx="6">
                  <c:v>0.42970098898193559</c:v>
                </c:pt>
                <c:pt idx="7">
                  <c:v>0.44104127658721337</c:v>
                </c:pt>
                <c:pt idx="8">
                  <c:v>0.45073491219009992</c:v>
                </c:pt>
                <c:pt idx="9">
                  <c:v>0.46877922599324467</c:v>
                </c:pt>
                <c:pt idx="10">
                  <c:v>0.48735210018315533</c:v>
                </c:pt>
                <c:pt idx="11">
                  <c:v>0.50348953468745117</c:v>
                </c:pt>
                <c:pt idx="12">
                  <c:v>0.52050166849031665</c:v>
                </c:pt>
                <c:pt idx="13">
                  <c:v>0.53425618983308765</c:v>
                </c:pt>
                <c:pt idx="14">
                  <c:v>0.55523336441002114</c:v>
                </c:pt>
                <c:pt idx="15">
                  <c:v>0.57336193625605514</c:v>
                </c:pt>
                <c:pt idx="16">
                  <c:v>0.59295225011865849</c:v>
                </c:pt>
                <c:pt idx="17">
                  <c:v>0.61363001656366178</c:v>
                </c:pt>
                <c:pt idx="18">
                  <c:v>0.63334537659860746</c:v>
                </c:pt>
                <c:pt idx="19">
                  <c:v>0.629940224328712</c:v>
                </c:pt>
              </c:numCache>
            </c:numRef>
          </c:val>
        </c:ser>
        <c:ser>
          <c:idx val="2"/>
          <c:order val="2"/>
          <c:tx>
            <c:strRef>
              <c:f>ACs!$U$3</c:f>
              <c:strCache>
                <c:ptCount val="1"/>
                <c:pt idx="0">
                  <c:v>Real Tom annual AC</c:v>
                </c:pt>
              </c:strCache>
            </c:strRef>
          </c:tx>
          <c:spPr>
            <a:ln>
              <a:solidFill>
                <a:schemeClr val="accent1">
                  <a:lumMod val="75000"/>
                </a:schemeClr>
              </a:solidFill>
            </a:ln>
          </c:spPr>
          <c:marker>
            <c:symbol val="none"/>
          </c:marker>
          <c:cat>
            <c:numRef>
              <c:f>ACs!$R$4:$R$53</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cat>
          <c:val>
            <c:numRef>
              <c:f>ACs!$U$4:$U$53</c:f>
              <c:numCache>
                <c:formatCode>General</c:formatCode>
                <c:ptCount val="50"/>
                <c:pt idx="0">
                  <c:v>0.26885494202212601</c:v>
                </c:pt>
                <c:pt idx="1">
                  <c:v>0.35565068264530103</c:v>
                </c:pt>
                <c:pt idx="2">
                  <c:v>0.38512288433231701</c:v>
                </c:pt>
                <c:pt idx="3">
                  <c:v>0.40187030204354901</c:v>
                </c:pt>
                <c:pt idx="4">
                  <c:v>0.41897260165605399</c:v>
                </c:pt>
                <c:pt idx="5">
                  <c:v>0.43655582859091602</c:v>
                </c:pt>
                <c:pt idx="6">
                  <c:v>0.45862768800291304</c:v>
                </c:pt>
                <c:pt idx="7">
                  <c:v>0.47589378474509897</c:v>
                </c:pt>
                <c:pt idx="8">
                  <c:v>0.48317947361638602</c:v>
                </c:pt>
                <c:pt idx="9">
                  <c:v>0.49362455459490195</c:v>
                </c:pt>
                <c:pt idx="10">
                  <c:v>0.48644470567572606</c:v>
                </c:pt>
                <c:pt idx="11">
                  <c:v>0.49812264089714997</c:v>
                </c:pt>
                <c:pt idx="12">
                  <c:v>0.489337792422602</c:v>
                </c:pt>
                <c:pt idx="13">
                  <c:v>0.49333260457809702</c:v>
                </c:pt>
                <c:pt idx="14">
                  <c:v>0.50363007767559709</c:v>
                </c:pt>
                <c:pt idx="15">
                  <c:v>0.499635684261583</c:v>
                </c:pt>
                <c:pt idx="16">
                  <c:v>0.50126521391946799</c:v>
                </c:pt>
                <c:pt idx="17">
                  <c:v>0.50477163118858903</c:v>
                </c:pt>
                <c:pt idx="18">
                  <c:v>0.50401565721590202</c:v>
                </c:pt>
                <c:pt idx="19">
                  <c:v>0.51537918312908904</c:v>
                </c:pt>
              </c:numCache>
            </c:numRef>
          </c:val>
        </c:ser>
        <c:ser>
          <c:idx val="3"/>
          <c:order val="3"/>
          <c:tx>
            <c:strRef>
              <c:f>ACs!$V$3</c:f>
              <c:strCache>
                <c:ptCount val="1"/>
                <c:pt idx="0">
                  <c:v>Real Tom winter AC</c:v>
                </c:pt>
              </c:strCache>
            </c:strRef>
          </c:tx>
          <c:spPr>
            <a:ln>
              <a:solidFill>
                <a:srgbClr val="7030A0"/>
              </a:solidFill>
            </a:ln>
          </c:spPr>
          <c:marker>
            <c:symbol val="none"/>
          </c:marker>
          <c:cat>
            <c:numRef>
              <c:f>ACs!$R$4:$R$53</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cat>
          <c:val>
            <c:numRef>
              <c:f>ACs!$V$4:$V$53</c:f>
              <c:numCache>
                <c:formatCode>General</c:formatCode>
                <c:ptCount val="50"/>
                <c:pt idx="0">
                  <c:v>0.28473104411049899</c:v>
                </c:pt>
                <c:pt idx="1">
                  <c:v>0.35352552947619098</c:v>
                </c:pt>
                <c:pt idx="2">
                  <c:v>0.40042709546373401</c:v>
                </c:pt>
                <c:pt idx="3">
                  <c:v>0.41490330190847996</c:v>
                </c:pt>
                <c:pt idx="4">
                  <c:v>0.43119397539841503</c:v>
                </c:pt>
                <c:pt idx="5">
                  <c:v>0.45002056999711798</c:v>
                </c:pt>
                <c:pt idx="6">
                  <c:v>0.47329050531450501</c:v>
                </c:pt>
                <c:pt idx="7">
                  <c:v>0.49332469946501301</c:v>
                </c:pt>
                <c:pt idx="8">
                  <c:v>0.49815162357531106</c:v>
                </c:pt>
                <c:pt idx="9">
                  <c:v>0.50936121056411399</c:v>
                </c:pt>
                <c:pt idx="10">
                  <c:v>0.50390109289560903</c:v>
                </c:pt>
                <c:pt idx="11">
                  <c:v>0.50918906319220292</c:v>
                </c:pt>
                <c:pt idx="12">
                  <c:v>0.50485400839855799</c:v>
                </c:pt>
                <c:pt idx="13">
                  <c:v>0.50430359524606894</c:v>
                </c:pt>
                <c:pt idx="14">
                  <c:v>0.52190597231024893</c:v>
                </c:pt>
                <c:pt idx="15">
                  <c:v>0.52105321094689805</c:v>
                </c:pt>
                <c:pt idx="16">
                  <c:v>0.51851862229799006</c:v>
                </c:pt>
                <c:pt idx="17">
                  <c:v>0.52180036740587199</c:v>
                </c:pt>
                <c:pt idx="18">
                  <c:v>0.52159964422516503</c:v>
                </c:pt>
                <c:pt idx="19">
                  <c:v>0.53413358871510508</c:v>
                </c:pt>
              </c:numCache>
            </c:numRef>
          </c:val>
        </c:ser>
        <c:ser>
          <c:idx val="4"/>
          <c:order val="4"/>
          <c:tx>
            <c:strRef>
              <c:f>ACs!$W$3</c:f>
              <c:strCache>
                <c:ptCount val="1"/>
                <c:pt idx="0">
                  <c:v>Real Projected Kelly Annual AC</c:v>
                </c:pt>
              </c:strCache>
            </c:strRef>
          </c:tx>
          <c:spPr>
            <a:ln>
              <a:solidFill>
                <a:srgbClr val="FF00FF"/>
              </a:solidFill>
              <a:prstDash val="dash"/>
            </a:ln>
          </c:spPr>
          <c:marker>
            <c:symbol val="none"/>
          </c:marker>
          <c:cat>
            <c:numRef>
              <c:f>ACs!$R$4:$R$53</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cat>
          <c:val>
            <c:numRef>
              <c:f>ACs!$W$4:$W$53</c:f>
              <c:numCache>
                <c:formatCode>General</c:formatCode>
                <c:ptCount val="50"/>
                <c:pt idx="19">
                  <c:v>0.57150883243508499</c:v>
                </c:pt>
                <c:pt idx="20">
                  <c:v>0.58629859381733818</c:v>
                </c:pt>
                <c:pt idx="21">
                  <c:v>0.60147109126477516</c:v>
                </c:pt>
                <c:pt idx="22">
                  <c:v>0.6170362293926096</c:v>
                </c:pt>
                <c:pt idx="23">
                  <c:v>0.63300416913212099</c:v>
                </c:pt>
                <c:pt idx="24">
                  <c:v>0.64938533436371682</c:v>
                </c:pt>
                <c:pt idx="25">
                  <c:v>0.66619041872164753</c:v>
                </c:pt>
                <c:pt idx="26">
                  <c:v>0.68343039257481741</c:v>
                </c:pt>
                <c:pt idx="27">
                  <c:v>0.70111651018824783</c:v>
                </c:pt>
                <c:pt idx="28">
                  <c:v>0.71926031706986782</c:v>
                </c:pt>
                <c:pt idx="29">
                  <c:v>0.73787365750742862</c:v>
                </c:pt>
                <c:pt idx="30">
                  <c:v>0.75696868230046166</c:v>
                </c:pt>
                <c:pt idx="31">
                  <c:v>0.77655785669232746</c:v>
                </c:pt>
                <c:pt idx="32">
                  <c:v>0.79665396850753389</c:v>
                </c:pt>
                <c:pt idx="33">
                  <c:v>0.81727013649963542</c:v>
                </c:pt>
                <c:pt idx="34">
                  <c:v>0.83841981891516326</c:v>
                </c:pt>
                <c:pt idx="35">
                  <c:v>0.86011682227917641</c:v>
                </c:pt>
                <c:pt idx="36">
                  <c:v>0.8823753104081693</c:v>
                </c:pt>
                <c:pt idx="37">
                  <c:v>0.90520981365621977</c:v>
                </c:pt>
                <c:pt idx="38">
                  <c:v>0.92863523840041229</c:v>
                </c:pt>
                <c:pt idx="39">
                  <c:v>0.95266687677173001</c:v>
                </c:pt>
                <c:pt idx="40">
                  <c:v>0.97732041663776648</c:v>
                </c:pt>
                <c:pt idx="41">
                  <c:v>1.0026119518437753</c:v>
                </c:pt>
                <c:pt idx="42">
                  <c:v>1.0285579927187409</c:v>
                </c:pt>
                <c:pt idx="43">
                  <c:v>1.0551754768533319</c:v>
                </c:pt>
                <c:pt idx="44">
                  <c:v>1.0824817801567697</c:v>
                </c:pt>
                <c:pt idx="45">
                  <c:v>1.1104947281998321</c:v>
                </c:pt>
                <c:pt idx="46">
                  <c:v>1.1392326078513968</c:v>
                </c:pt>
                <c:pt idx="47">
                  <c:v>1.1687141792161193</c:v>
                </c:pt>
                <c:pt idx="48">
                  <c:v>1.1989586878810412</c:v>
                </c:pt>
                <c:pt idx="49">
                  <c:v>1.2299858774791199</c:v>
                </c:pt>
              </c:numCache>
            </c:numRef>
          </c:val>
        </c:ser>
        <c:ser>
          <c:idx val="5"/>
          <c:order val="5"/>
          <c:tx>
            <c:strRef>
              <c:f>ACs!$X$3</c:f>
              <c:strCache>
                <c:ptCount val="1"/>
                <c:pt idx="0">
                  <c:v>Real Projected estimated Kelly AC</c:v>
                </c:pt>
              </c:strCache>
            </c:strRef>
          </c:tx>
          <c:spPr>
            <a:ln>
              <a:solidFill>
                <a:srgbClr val="FF0000"/>
              </a:solidFill>
              <a:prstDash val="dash"/>
            </a:ln>
          </c:spPr>
          <c:marker>
            <c:symbol val="none"/>
          </c:marker>
          <c:cat>
            <c:numRef>
              <c:f>ACs!$R$4:$R$53</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cat>
          <c:val>
            <c:numRef>
              <c:f>ACs!$X$4:$X$53</c:f>
              <c:numCache>
                <c:formatCode>General</c:formatCode>
                <c:ptCount val="50"/>
                <c:pt idx="19">
                  <c:v>0.629940224328712</c:v>
                </c:pt>
                <c:pt idx="20">
                  <c:v>0.64604697579145076</c:v>
                </c:pt>
                <c:pt idx="21">
                  <c:v>0.66256555592088395</c:v>
                </c:pt>
                <c:pt idx="22">
                  <c:v>0.6795064946398891</c:v>
                </c:pt>
                <c:pt idx="23">
                  <c:v>0.69688059110776368</c:v>
                </c:pt>
                <c:pt idx="24">
                  <c:v>0.71469892060424967</c:v>
                </c:pt>
                <c:pt idx="25">
                  <c:v>0.73297284158957399</c:v>
                </c:pt>
                <c:pt idx="26">
                  <c:v>0.75171400294500479</c:v>
                </c:pt>
                <c:pt idx="27">
                  <c:v>0.77093435139853961</c:v>
                </c:pt>
                <c:pt idx="28">
                  <c:v>0.790646139140458</c:v>
                </c:pt>
                <c:pt idx="29">
                  <c:v>0.81086193163359499</c:v>
                </c:pt>
                <c:pt idx="30">
                  <c:v>0.83159461562331205</c:v>
                </c:pt>
                <c:pt idx="31">
                  <c:v>0.85285740735227322</c:v>
                </c:pt>
                <c:pt idx="32">
                  <c:v>0.87466386098526239</c:v>
                </c:pt>
                <c:pt idx="33">
                  <c:v>0.89702787724941169</c:v>
                </c:pt>
                <c:pt idx="34">
                  <c:v>0.91996371229534957</c:v>
                </c:pt>
                <c:pt idx="35">
                  <c:v>0.94348598678491713</c:v>
                </c:pt>
                <c:pt idx="36">
                  <c:v>0.96760969521124518</c:v>
                </c:pt>
                <c:pt idx="37">
                  <c:v>0.99235021545713364</c:v>
                </c:pt>
                <c:pt idx="38">
                  <c:v>1.0177233185978261</c:v>
                </c:pt>
                <c:pt idx="39">
                  <c:v>1.0437451789544292</c:v>
                </c:pt>
                <c:pt idx="40">
                  <c:v>1.0704323844043839</c:v>
                </c:pt>
                <c:pt idx="41">
                  <c:v>1.0978019469555627</c:v>
                </c:pt>
                <c:pt idx="42">
                  <c:v>1.125871313590733</c:v>
                </c:pt>
                <c:pt idx="43">
                  <c:v>1.1546583773892984</c:v>
                </c:pt>
                <c:pt idx="44">
                  <c:v>1.1841814889334092</c:v>
                </c:pt>
                <c:pt idx="45">
                  <c:v>1.2144594680057119</c:v>
                </c:pt>
                <c:pt idx="46">
                  <c:v>1.2455116155861954</c:v>
                </c:pt>
                <c:pt idx="47">
                  <c:v>1.27735772615578</c:v>
                </c:pt>
                <c:pt idx="48">
                  <c:v>1.3100181003144946</c:v>
                </c:pt>
                <c:pt idx="49">
                  <c:v>1.3435135577222828</c:v>
                </c:pt>
              </c:numCache>
            </c:numRef>
          </c:val>
        </c:ser>
        <c:ser>
          <c:idx val="6"/>
          <c:order val="6"/>
          <c:tx>
            <c:strRef>
              <c:f>ACs!$Y$3</c:f>
              <c:strCache>
                <c:ptCount val="1"/>
                <c:pt idx="0">
                  <c:v>Real Projected Tom annual AC</c:v>
                </c:pt>
              </c:strCache>
            </c:strRef>
          </c:tx>
          <c:spPr>
            <a:ln>
              <a:solidFill>
                <a:schemeClr val="accent1">
                  <a:lumMod val="75000"/>
                </a:schemeClr>
              </a:solidFill>
              <a:prstDash val="dash"/>
            </a:ln>
          </c:spPr>
          <c:marker>
            <c:symbol val="none"/>
          </c:marker>
          <c:cat>
            <c:numRef>
              <c:f>ACs!$R$4:$R$53</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cat>
          <c:val>
            <c:numRef>
              <c:f>ACs!$Y$4:$Y$53</c:f>
              <c:numCache>
                <c:formatCode>General</c:formatCode>
                <c:ptCount val="50"/>
                <c:pt idx="19">
                  <c:v>0.51537918312908904</c:v>
                </c:pt>
                <c:pt idx="20">
                  <c:v>0.51776169288351781</c:v>
                </c:pt>
                <c:pt idx="21">
                  <c:v>0.52015521657276531</c:v>
                </c:pt>
                <c:pt idx="22">
                  <c:v>0.52255980511236721</c:v>
                </c:pt>
                <c:pt idx="23">
                  <c:v>0.52497550965323292</c:v>
                </c:pt>
                <c:pt idx="24">
                  <c:v>0.52740238158273367</c:v>
                </c:pt>
                <c:pt idx="25">
                  <c:v>0.5298404725257958</c:v>
                </c:pt>
                <c:pt idx="26">
                  <c:v>0.53228983434599886</c:v>
                </c:pt>
                <c:pt idx="27">
                  <c:v>0.53475051914667882</c:v>
                </c:pt>
                <c:pt idx="28">
                  <c:v>0.53722257927203643</c:v>
                </c:pt>
                <c:pt idx="29">
                  <c:v>0.53970606730825077</c:v>
                </c:pt>
                <c:pt idx="30">
                  <c:v>0.54220103608459769</c:v>
                </c:pt>
                <c:pt idx="31">
                  <c:v>0.544707538674574</c:v>
                </c:pt>
                <c:pt idx="32">
                  <c:v>0.54722562839702593</c:v>
                </c:pt>
                <c:pt idx="33">
                  <c:v>0.54975535881728377</c:v>
                </c:pt>
                <c:pt idx="34">
                  <c:v>0.55229678374830116</c:v>
                </c:pt>
                <c:pt idx="35">
                  <c:v>0.55484995725179975</c:v>
                </c:pt>
                <c:pt idx="36">
                  <c:v>0.5574149336394193</c:v>
                </c:pt>
                <c:pt idx="37">
                  <c:v>0.55999176747387303</c:v>
                </c:pt>
                <c:pt idx="38">
                  <c:v>0.56258051357010819</c:v>
                </c:pt>
                <c:pt idx="39">
                  <c:v>0.56518122699647211</c:v>
                </c:pt>
                <c:pt idx="40">
                  <c:v>0.56779396307588381</c:v>
                </c:pt>
                <c:pt idx="41">
                  <c:v>0.57041877738701052</c:v>
                </c:pt>
                <c:pt idx="42">
                  <c:v>0.57305572576545027</c:v>
                </c:pt>
                <c:pt idx="43">
                  <c:v>0.57570486430491952</c:v>
                </c:pt>
                <c:pt idx="44">
                  <c:v>0.57836624935844616</c:v>
                </c:pt>
                <c:pt idx="45">
                  <c:v>0.58103993753956873</c:v>
                </c:pt>
                <c:pt idx="46">
                  <c:v>0.5837259857235404</c:v>
                </c:pt>
                <c:pt idx="47">
                  <c:v>0.5864244510485388</c:v>
                </c:pt>
                <c:pt idx="48">
                  <c:v>0.58913539091688172</c:v>
                </c:pt>
                <c:pt idx="49">
                  <c:v>0.59185886299624801</c:v>
                </c:pt>
              </c:numCache>
            </c:numRef>
          </c:val>
        </c:ser>
        <c:ser>
          <c:idx val="7"/>
          <c:order val="7"/>
          <c:tx>
            <c:strRef>
              <c:f>ACs!$Z$3</c:f>
              <c:strCache>
                <c:ptCount val="1"/>
                <c:pt idx="0">
                  <c:v>Real Projected Tom winter AC</c:v>
                </c:pt>
              </c:strCache>
            </c:strRef>
          </c:tx>
          <c:spPr>
            <a:ln>
              <a:solidFill>
                <a:srgbClr val="7030A0"/>
              </a:solidFill>
              <a:prstDash val="dash"/>
            </a:ln>
          </c:spPr>
          <c:marker>
            <c:symbol val="none"/>
          </c:marker>
          <c:cat>
            <c:numRef>
              <c:f>ACs!$R$4:$R$53</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cat>
          <c:val>
            <c:numRef>
              <c:f>ACs!$Z$4:$Z$53</c:f>
              <c:numCache>
                <c:formatCode>General</c:formatCode>
                <c:ptCount val="50"/>
                <c:pt idx="19">
                  <c:v>0.53413358871510508</c:v>
                </c:pt>
                <c:pt idx="20">
                  <c:v>0.53661327681814541</c:v>
                </c:pt>
                <c:pt idx="21">
                  <c:v>0.53910447674747464</c:v>
                </c:pt>
                <c:pt idx="22">
                  <c:v>0.54160724194616261</c:v>
                </c:pt>
                <c:pt idx="23">
                  <c:v>0.54412162610538595</c:v>
                </c:pt>
                <c:pt idx="24">
                  <c:v>0.54664768316557988</c:v>
                </c:pt>
                <c:pt idx="25">
                  <c:v>0.54918546731759521</c:v>
                </c:pt>
                <c:pt idx="26">
                  <c:v>0.55173503300386106</c:v>
                </c:pt>
                <c:pt idx="27">
                  <c:v>0.55429643491955294</c:v>
                </c:pt>
                <c:pt idx="28">
                  <c:v>0.55686972801376577</c:v>
                </c:pt>
                <c:pt idx="29">
                  <c:v>0.5594549674906929</c:v>
                </c:pt>
                <c:pt idx="30">
                  <c:v>0.56205220881081031</c:v>
                </c:pt>
                <c:pt idx="31">
                  <c:v>0.56466150769206658</c:v>
                </c:pt>
                <c:pt idx="32">
                  <c:v>0.56728292011107784</c:v>
                </c:pt>
                <c:pt idx="33">
                  <c:v>0.569916502304329</c:v>
                </c:pt>
                <c:pt idx="34">
                  <c:v>0.5725623107693798</c:v>
                </c:pt>
                <c:pt idx="35">
                  <c:v>0.57522040226607729</c:v>
                </c:pt>
                <c:pt idx="36">
                  <c:v>0.57789083381777295</c:v>
                </c:pt>
                <c:pt idx="37">
                  <c:v>0.58057366271254651</c:v>
                </c:pt>
                <c:pt idx="38">
                  <c:v>0.58326894650443462</c:v>
                </c:pt>
                <c:pt idx="39">
                  <c:v>0.58597674301466562</c:v>
                </c:pt>
                <c:pt idx="40">
                  <c:v>0.58869711033289995</c:v>
                </c:pt>
                <c:pt idx="41">
                  <c:v>0.59143010681847641</c:v>
                </c:pt>
                <c:pt idx="42">
                  <c:v>0.59417579110166396</c:v>
                </c:pt>
                <c:pt idx="43">
                  <c:v>0.59693422208491975</c:v>
                </c:pt>
                <c:pt idx="44">
                  <c:v>0.59970545894415261</c:v>
                </c:pt>
                <c:pt idx="45">
                  <c:v>0.60248956112999241</c:v>
                </c:pt>
                <c:pt idx="46">
                  <c:v>0.60528658836906557</c:v>
                </c:pt>
                <c:pt idx="47">
                  <c:v>0.60809660066527638</c:v>
                </c:pt>
                <c:pt idx="48">
                  <c:v>0.61091965830109418</c:v>
                </c:pt>
                <c:pt idx="49">
                  <c:v>0.61375582183884669</c:v>
                </c:pt>
              </c:numCache>
            </c:numRef>
          </c:val>
        </c:ser>
        <c:marker val="1"/>
        <c:axId val="76995968"/>
        <c:axId val="77022336"/>
      </c:lineChart>
      <c:catAx>
        <c:axId val="76995968"/>
        <c:scaling>
          <c:orientation val="minMax"/>
        </c:scaling>
        <c:axPos val="b"/>
        <c:numFmt formatCode="General" sourceLinked="1"/>
        <c:tickLblPos val="nextTo"/>
        <c:crossAx val="77022336"/>
        <c:crosses val="autoZero"/>
        <c:auto val="1"/>
        <c:lblAlgn val="ctr"/>
        <c:lblOffset val="100"/>
      </c:catAx>
      <c:valAx>
        <c:axId val="77022336"/>
        <c:scaling>
          <c:orientation val="minMax"/>
        </c:scaling>
        <c:axPos val="l"/>
        <c:majorGridlines/>
        <c:numFmt formatCode="General" sourceLinked="1"/>
        <c:tickLblPos val="nextTo"/>
        <c:crossAx val="76995968"/>
        <c:crosses val="autoZero"/>
        <c:crossBetween val="between"/>
      </c:valAx>
    </c:plotArea>
    <c:legend>
      <c:legendPos val="r"/>
      <c:layout>
        <c:manualLayout>
          <c:xMode val="edge"/>
          <c:yMode val="edge"/>
          <c:x val="0.74126041796541575"/>
          <c:y val="0.59072104103988865"/>
          <c:w val="0.25119779028839423"/>
          <c:h val="0.35197884935915991"/>
        </c:manualLayout>
      </c:layout>
    </c:legend>
    <c:plotVisOnly val="1"/>
  </c:chart>
  <c:printSettings>
    <c:headerFooter/>
    <c:pageMargins b="0.75000000000000133" l="0.70000000000000062" r="0.70000000000000062" t="0.75000000000000133"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44</xdr:col>
      <xdr:colOff>552449</xdr:colOff>
      <xdr:row>2</xdr:row>
      <xdr:rowOff>9525</xdr:rowOff>
    </xdr:from>
    <xdr:to>
      <xdr:col>57</xdr:col>
      <xdr:colOff>333374</xdr:colOff>
      <xdr:row>29</xdr:row>
      <xdr:rowOff>66675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45</xdr:col>
      <xdr:colOff>9524</xdr:colOff>
      <xdr:row>30</xdr:row>
      <xdr:rowOff>161924</xdr:rowOff>
    </xdr:from>
    <xdr:to>
      <xdr:col>57</xdr:col>
      <xdr:colOff>514349</xdr:colOff>
      <xdr:row>63</xdr:row>
      <xdr:rowOff>28574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GI%20temp\2012%20gas%20DSM%20portfolio%20reoptimization%20P%20updated%20x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ETemp\Temporary%20Internet%20Files\Content.Outlook\KOMML827\2012%20gas%20DSM%20portfolio%20reoptimization%20revis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GI%20temp\2012%20gas%20DSM%20portfolio%20reoptimization%20P%20updated%20x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ommon\Powell,%20Jon\2012\2012%20gas%20DSM%20portfolio%20reopt%20L%20term%20status%20fixed.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Notes"/>
      <sheetName val="ACs etc"/>
      <sheetName val="2012 SS contracted"/>
      <sheetName val="2012 SS projection"/>
      <sheetName val="2012 Non-res prescriptive"/>
      <sheetName val="For Greta"/>
      <sheetName val="2012 Res prescriptive"/>
      <sheetName val="2012 gas NIUC"/>
      <sheetName val="NTG ratios"/>
      <sheetName val="Tables"/>
      <sheetName val="2012 gas portfolio"/>
      <sheetName val="2011 CE @ new ACs"/>
      <sheetName val="Levelized cost calculation"/>
      <sheetName val="Prior Re-Opt analysis @ new ACs"/>
      <sheetName val="Incent tiers @ new AC"/>
    </sheetNames>
    <sheetDataSet>
      <sheetData sheetId="0"/>
      <sheetData sheetId="1">
        <row r="3">
          <cell r="B3">
            <v>1</v>
          </cell>
          <cell r="C3">
            <v>9.0520000000000003E-2</v>
          </cell>
          <cell r="D3">
            <v>8.6050000000000001E-2</v>
          </cell>
        </row>
        <row r="4">
          <cell r="B4">
            <v>11</v>
          </cell>
          <cell r="C4">
            <v>9.9290000000000003E-2</v>
          </cell>
          <cell r="D4">
            <v>7.2270000000000001E-2</v>
          </cell>
          <cell r="M4">
            <v>1</v>
          </cell>
          <cell r="N4">
            <v>5.8568222084360799E-2</v>
          </cell>
          <cell r="O4">
            <v>0.31497704246651875</v>
          </cell>
          <cell r="P4">
            <v>0.28610392245767985</v>
          </cell>
        </row>
        <row r="5">
          <cell r="B5">
            <v>21</v>
          </cell>
          <cell r="C5">
            <v>6.2710000000000002E-2</v>
          </cell>
          <cell r="D5">
            <v>5.3490000000000003E-2</v>
          </cell>
          <cell r="M5">
            <v>2</v>
          </cell>
          <cell r="N5">
            <v>0.11161299615022179</v>
          </cell>
          <cell r="O5">
            <v>0.67968265469229305</v>
          </cell>
          <cell r="P5">
            <v>0.61374961081561463</v>
          </cell>
        </row>
        <row r="6">
          <cell r="B6">
            <v>25</v>
          </cell>
          <cell r="C6">
            <v>4.5859999999999998E-2</v>
          </cell>
          <cell r="D6">
            <v>4.4389999999999999E-2</v>
          </cell>
          <cell r="M6">
            <v>3</v>
          </cell>
          <cell r="N6">
            <v>0.16122670720831397</v>
          </cell>
          <cell r="O6">
            <v>1.0474501304751564</v>
          </cell>
          <cell r="P6">
            <v>0.94393176401628442</v>
          </cell>
        </row>
        <row r="7">
          <cell r="B7">
            <v>31</v>
          </cell>
          <cell r="C7">
            <v>6.5930000000000002E-2</v>
          </cell>
          <cell r="D7">
            <v>9.0920000000000001E-2</v>
          </cell>
          <cell r="M7">
            <v>4</v>
          </cell>
          <cell r="N7">
            <v>0.20365143963330828</v>
          </cell>
          <cell r="O7">
            <v>1.3995879372429572</v>
          </cell>
          <cell r="P7">
            <v>1.2609947585693917</v>
          </cell>
        </row>
        <row r="8">
          <cell r="B8">
            <v>99</v>
          </cell>
          <cell r="C8">
            <v>6.2710000000000002E-2</v>
          </cell>
          <cell r="D8">
            <v>7.2270000000000001E-2</v>
          </cell>
          <cell r="M8">
            <v>5</v>
          </cell>
          <cell r="N8">
            <v>0.2433326310733181</v>
          </cell>
          <cell r="O8">
            <v>1.729514850929651</v>
          </cell>
          <cell r="P8">
            <v>1.5583692494427237</v>
          </cell>
        </row>
        <row r="9">
          <cell r="M9">
            <v>6</v>
          </cell>
          <cell r="N9">
            <v>0.28109072714110489</v>
          </cell>
          <cell r="O9">
            <v>2.0384418704536125</v>
          </cell>
          <cell r="P9">
            <v>1.8370700887966374</v>
          </cell>
        </row>
        <row r="10">
          <cell r="M10">
            <v>7</v>
          </cell>
          <cell r="N10">
            <v>0.31705610227322079</v>
          </cell>
          <cell r="O10">
            <v>2.3366780103234119</v>
          </cell>
          <cell r="P10">
            <v>2.1065147262271324</v>
          </cell>
        </row>
        <row r="11">
          <cell r="M11">
            <v>8</v>
          </cell>
          <cell r="N11">
            <v>0.35501773896255984</v>
          </cell>
          <cell r="O11">
            <v>2.6232949800897964</v>
          </cell>
          <cell r="P11">
            <v>2.3657487484685547</v>
          </cell>
        </row>
        <row r="12">
          <cell r="M12">
            <v>9</v>
          </cell>
          <cell r="N12">
            <v>0.39225878197862601</v>
          </cell>
          <cell r="O12">
            <v>2.8975613820059247</v>
          </cell>
          <cell r="P12">
            <v>2.6139193578684816</v>
          </cell>
        </row>
        <row r="13">
          <cell r="M13">
            <v>10</v>
          </cell>
          <cell r="N13">
            <v>0.4277566434952414</v>
          </cell>
          <cell r="O13">
            <v>3.1646457780617165</v>
          </cell>
          <cell r="P13">
            <v>2.8554969940812067</v>
          </cell>
        </row>
        <row r="14">
          <cell r="M14">
            <v>11</v>
          </cell>
          <cell r="N14">
            <v>0.46308137207929917</v>
          </cell>
          <cell r="O14">
            <v>3.4246328467733562</v>
          </cell>
          <cell r="P14">
            <v>3.0906721991704749</v>
          </cell>
        </row>
        <row r="15">
          <cell r="B15">
            <v>101</v>
          </cell>
          <cell r="C15">
            <v>0.84889000000000003</v>
          </cell>
          <cell r="D15">
            <v>0.91464000000000001</v>
          </cell>
          <cell r="M15">
            <v>12</v>
          </cell>
          <cell r="N15">
            <v>0.49744080485116982</v>
          </cell>
          <cell r="O15">
            <v>3.6761271203399586</v>
          </cell>
          <cell r="P15">
            <v>3.3182743163420523</v>
          </cell>
        </row>
        <row r="16">
          <cell r="B16">
            <v>111</v>
          </cell>
          <cell r="C16">
            <v>0.70523000000000002</v>
          </cell>
          <cell r="D16">
            <v>0.66427000000000003</v>
          </cell>
          <cell r="M16">
            <v>13</v>
          </cell>
          <cell r="N16">
            <v>0.5309306602417454</v>
          </cell>
          <cell r="O16">
            <v>3.9195652071097729</v>
          </cell>
          <cell r="P16">
            <v>3.5386546287348613</v>
          </cell>
        </row>
        <row r="17">
          <cell r="B17">
            <v>121</v>
          </cell>
          <cell r="C17">
            <v>0.63282000000000005</v>
          </cell>
          <cell r="D17" t="str">
            <v>NA</v>
          </cell>
          <cell r="M17">
            <v>14</v>
          </cell>
          <cell r="N17">
            <v>0.56288616543424541</v>
          </cell>
          <cell r="O17">
            <v>4.1535268756840873</v>
          </cell>
          <cell r="P17">
            <v>3.7505175582629633</v>
          </cell>
        </row>
        <row r="18">
          <cell r="B18">
            <v>199</v>
          </cell>
          <cell r="C18">
            <v>0.70523000000000002</v>
          </cell>
          <cell r="D18">
            <v>0.66427000000000003</v>
          </cell>
          <cell r="M18">
            <v>15</v>
          </cell>
          <cell r="N18">
            <v>0.59464515781902261</v>
          </cell>
          <cell r="O18">
            <v>4.3811935429465692</v>
          </cell>
          <cell r="P18">
            <v>3.956754904462743</v>
          </cell>
        </row>
        <row r="19">
          <cell r="M19">
            <v>16</v>
          </cell>
          <cell r="N19">
            <v>0.62497939761109977</v>
          </cell>
          <cell r="O19">
            <v>4.6013246918046731</v>
          </cell>
          <cell r="P19">
            <v>4.1562404511253863</v>
          </cell>
        </row>
        <row r="20">
          <cell r="M20">
            <v>17</v>
          </cell>
          <cell r="N20">
            <v>0.65545091735540262</v>
          </cell>
          <cell r="O20">
            <v>4.8144824336890784</v>
          </cell>
          <cell r="P20">
            <v>4.3494725742252287</v>
          </cell>
        </row>
        <row r="21">
          <cell r="M21">
            <v>18</v>
          </cell>
          <cell r="N21">
            <v>0.6847337922586284</v>
          </cell>
          <cell r="O21">
            <v>5.0210284068118662</v>
          </cell>
          <cell r="P21">
            <v>4.5367684361798961</v>
          </cell>
        </row>
        <row r="22">
          <cell r="M22">
            <v>19</v>
          </cell>
          <cell r="N22">
            <v>0.71210041347726882</v>
          </cell>
          <cell r="O22">
            <v>5.2206371170853441</v>
          </cell>
          <cell r="P22">
            <v>4.7178213209299305</v>
          </cell>
        </row>
        <row r="23">
          <cell r="M23">
            <v>20</v>
          </cell>
          <cell r="N23">
            <v>0.73879805124699305</v>
          </cell>
          <cell r="O23">
            <v>5.4065318017566435</v>
          </cell>
          <cell r="P23">
            <v>4.8864729645134091</v>
          </cell>
        </row>
        <row r="24">
          <cell r="M24">
            <v>21</v>
          </cell>
          <cell r="N24">
            <v>0.76458512050957572</v>
          </cell>
          <cell r="O24">
            <v>5.5850409494678601</v>
          </cell>
          <cell r="P24">
            <v>5.0484730453254931</v>
          </cell>
        </row>
        <row r="25">
          <cell r="M25">
            <v>22</v>
          </cell>
          <cell r="N25">
            <v>0.78949282646965369</v>
          </cell>
          <cell r="O25">
            <v>5.7564579852638529</v>
          </cell>
          <cell r="P25">
            <v>5.2040838987123541</v>
          </cell>
        </row>
        <row r="26">
          <cell r="M26">
            <v>23</v>
          </cell>
          <cell r="N26">
            <v>0.81355129873325172</v>
          </cell>
          <cell r="O26">
            <v>5.9210646765053596</v>
          </cell>
          <cell r="P26">
            <v>5.3535575136044091</v>
          </cell>
        </row>
        <row r="27">
          <cell r="M27">
            <v>24</v>
          </cell>
          <cell r="N27">
            <v>0.83678962863920436</v>
          </cell>
          <cell r="O27">
            <v>6.0791315960250945</v>
          </cell>
          <cell r="P27">
            <v>5.4971359405753955</v>
          </cell>
        </row>
        <row r="28">
          <cell r="M28">
            <v>25</v>
          </cell>
          <cell r="N28">
            <v>0.85923590528427984</v>
          </cell>
          <cell r="O28">
            <v>6.230918566882802</v>
          </cell>
          <cell r="P28">
            <v>5.6350516838077382</v>
          </cell>
        </row>
        <row r="29">
          <cell r="M29">
            <v>26</v>
          </cell>
          <cell r="N29">
            <v>0.88091725028815393</v>
          </cell>
          <cell r="O29">
            <v>6.3766750894503357</v>
          </cell>
          <cell r="P29">
            <v>5.7675280775989393</v>
          </cell>
        </row>
        <row r="30">
          <cell r="M30">
            <v>27</v>
          </cell>
          <cell r="N30">
            <v>0.90185985134272828</v>
          </cell>
          <cell r="O30">
            <v>6.516640751528775</v>
          </cell>
          <cell r="P30">
            <v>5.8947796480186803</v>
          </cell>
        </row>
        <row r="31">
          <cell r="M31">
            <v>28</v>
          </cell>
          <cell r="N31">
            <v>0.92208899458870452</v>
          </cell>
          <cell r="O31">
            <v>6.6510456221717273</v>
          </cell>
          <cell r="P31">
            <v>6.017012460302297</v>
          </cell>
        </row>
        <row r="32">
          <cell r="M32">
            <v>29</v>
          </cell>
          <cell r="N32">
            <v>0.94162909586079124</v>
          </cell>
          <cell r="O32">
            <v>6.7801106298621487</v>
          </cell>
          <cell r="P32">
            <v>6.1344244525431719</v>
          </cell>
        </row>
        <row r="33">
          <cell r="M33">
            <v>30</v>
          </cell>
          <cell r="N33">
            <v>0.96050373084144647</v>
          </cell>
          <cell r="O33">
            <v>6.9040479256643232</v>
          </cell>
          <cell r="P33">
            <v>6.2472057562244183</v>
          </cell>
        </row>
        <row r="34">
          <cell r="M34">
            <v>31</v>
          </cell>
          <cell r="N34">
            <v>0.97770606431021867</v>
          </cell>
          <cell r="O34">
            <v>7.023061231947926</v>
          </cell>
          <cell r="P34">
            <v>6.3555390041088993</v>
          </cell>
        </row>
        <row r="35">
          <cell r="M35">
            <v>32</v>
          </cell>
          <cell r="N35">
            <v>0.99634687748572281</v>
          </cell>
          <cell r="O35">
            <v>7.1373461772573918</v>
          </cell>
          <cell r="P35">
            <v>6.4595996259861748</v>
          </cell>
        </row>
        <row r="36">
          <cell r="M36">
            <v>33</v>
          </cell>
          <cell r="N36">
            <v>1.0133585966162553</v>
          </cell>
          <cell r="O36">
            <v>7.2470906178770296</v>
          </cell>
          <cell r="P36">
            <v>6.55955613275529</v>
          </cell>
        </row>
        <row r="37">
          <cell r="M37">
            <v>34</v>
          </cell>
          <cell r="N37">
            <v>1.0297913176532001</v>
          </cell>
          <cell r="O37">
            <v>7.3524749466204558</v>
          </cell>
          <cell r="P37">
            <v>6.6555703893034348</v>
          </cell>
        </row>
        <row r="38">
          <cell r="M38">
            <v>35</v>
          </cell>
          <cell r="N38">
            <v>1.0456648322408759</v>
          </cell>
          <cell r="O38">
            <v>7.4536723893519214</v>
          </cell>
          <cell r="P38">
            <v>6.7477978766223625</v>
          </cell>
        </row>
        <row r="39">
          <cell r="M39">
            <v>36</v>
          </cell>
          <cell r="N39">
            <v>1.0609982519347037</v>
          </cell>
          <cell r="O39">
            <v>7.5508492897269415</v>
          </cell>
          <cell r="P39">
            <v>6.8363879435870309</v>
          </cell>
        </row>
        <row r="40">
          <cell r="M40">
            <v>37</v>
          </cell>
          <cell r="N40">
            <v>1.0758100317187322</v>
          </cell>
          <cell r="O40">
            <v>7.644165382620268</v>
          </cell>
          <cell r="P40">
            <v>6.9214840488041771</v>
          </cell>
        </row>
        <row r="41">
          <cell r="M41">
            <v>38</v>
          </cell>
          <cell r="N41">
            <v>1.0901179927037983</v>
          </cell>
          <cell r="O41">
            <v>7.7337740566906588</v>
          </cell>
          <cell r="P41">
            <v>7.0032239929224671</v>
          </cell>
        </row>
        <row r="42">
          <cell r="M42">
            <v>39</v>
          </cell>
          <cell r="N42">
            <v>1.1039393440351195</v>
          </cell>
          <cell r="O42">
            <v>7.8198226065140268</v>
          </cell>
          <cell r="P42">
            <v>7.0817401417804167</v>
          </cell>
        </row>
        <row r="43">
          <cell r="M43">
            <v>40</v>
          </cell>
          <cell r="N43">
            <v>1.1172907040370987</v>
          </cell>
          <cell r="O43">
            <v>7.9024524746994249</v>
          </cell>
          <cell r="P43">
            <v>7.1571596407534317</v>
          </cell>
        </row>
        <row r="44">
          <cell r="M44">
            <v>41</v>
          </cell>
          <cell r="N44">
            <v>1.1321941904127484</v>
          </cell>
          <cell r="O44">
            <v>7.9817994843858342</v>
          </cell>
          <cell r="P44">
            <v>7.229604620647077</v>
          </cell>
        </row>
        <row r="45">
          <cell r="M45">
            <v>42</v>
          </cell>
          <cell r="N45">
            <v>1.1472964736685176</v>
          </cell>
          <cell r="O45">
            <v>8.0579940625019315</v>
          </cell>
          <cell r="P45">
            <v>7.2991923954699844</v>
          </cell>
        </row>
        <row r="46">
          <cell r="M46">
            <v>43</v>
          </cell>
          <cell r="N46">
            <v>1.1626002055463243</v>
          </cell>
          <cell r="O46">
            <v>8.1311614541558157</v>
          </cell>
          <cell r="P46">
            <v>7.3660356524066666</v>
          </cell>
        </row>
        <row r="47">
          <cell r="M47">
            <v>44</v>
          </cell>
          <cell r="N47">
            <v>1.1781080731595428</v>
          </cell>
          <cell r="O47">
            <v>8.2014219285070986</v>
          </cell>
          <cell r="P47">
            <v>7.4302426342978656</v>
          </cell>
        </row>
        <row r="48">
          <cell r="M48">
            <v>45</v>
          </cell>
          <cell r="N48">
            <v>1.1938227994648223</v>
          </cell>
          <cell r="O48">
            <v>8.2688909764597636</v>
          </cell>
          <cell r="P48">
            <v>7.4919173149239446</v>
          </cell>
        </row>
        <row r="49">
          <cell r="M49">
            <v>46</v>
          </cell>
          <cell r="N49">
            <v>1.2097471437401981</v>
          </cell>
          <cell r="O49">
            <v>8.3336795005007449</v>
          </cell>
          <cell r="P49">
            <v>7.5511595673751568</v>
          </cell>
        </row>
        <row r="50">
          <cell r="M50">
            <v>47</v>
          </cell>
          <cell r="N50">
            <v>1.2258839020695813</v>
          </cell>
          <cell r="O50">
            <v>8.3958939969962927</v>
          </cell>
          <cell r="P50">
            <v>7.6080653257814532</v>
          </cell>
        </row>
        <row r="51">
          <cell r="M51">
            <v>48</v>
          </cell>
          <cell r="N51">
            <v>1.2422359078337102</v>
          </cell>
          <cell r="O51">
            <v>8.4556367312457414</v>
          </cell>
          <cell r="P51">
            <v>7.6627267406637216</v>
          </cell>
        </row>
        <row r="52">
          <cell r="M52">
            <v>49</v>
          </cell>
          <cell r="N52">
            <v>1.2588060322076509</v>
          </cell>
          <cell r="O52">
            <v>8.513005905580469</v>
          </cell>
          <cell r="P52">
            <v>7.7152323281580246</v>
          </cell>
        </row>
        <row r="53">
          <cell r="M53">
            <v>50</v>
          </cell>
          <cell r="N53">
            <v>1.2755971846649341</v>
          </cell>
          <cell r="O53">
            <v>8.5680958207843183</v>
          </cell>
          <cell r="P53">
            <v>7.7656671133544863</v>
          </cell>
        </row>
      </sheetData>
      <sheetData sheetId="2"/>
      <sheetData sheetId="3"/>
      <sheetData sheetId="4">
        <row r="4">
          <cell r="C4">
            <v>2</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Notes"/>
      <sheetName val="ACs etc"/>
      <sheetName val="2012 SS contracted"/>
      <sheetName val="2012 SS projection"/>
      <sheetName val="2012 Non-res prescriptive"/>
      <sheetName val="2012 Res prescriptive"/>
      <sheetName val="2012 gas NIUC"/>
      <sheetName val="2012 gas portfolio"/>
    </sheetNames>
    <sheetDataSet>
      <sheetData sheetId="0"/>
      <sheetData sheetId="1"/>
      <sheetData sheetId="2"/>
      <sheetData sheetId="3"/>
      <sheetData sheetId="4">
        <row r="4">
          <cell r="N4">
            <v>500</v>
          </cell>
        </row>
        <row r="14">
          <cell r="N14">
            <v>0</v>
          </cell>
        </row>
        <row r="16">
          <cell r="N16">
            <v>0</v>
          </cell>
        </row>
        <row r="17">
          <cell r="N17">
            <v>0</v>
          </cell>
        </row>
        <row r="18">
          <cell r="N18">
            <v>0</v>
          </cell>
        </row>
      </sheetData>
      <sheetData sheetId="5"/>
      <sheetData sheetId="6"/>
      <sheetData sheetId="7"/>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Notes"/>
      <sheetName val="ACs etc"/>
      <sheetName val="2012 SS contracted"/>
      <sheetName val="2012 SS projection"/>
      <sheetName val="2012 Non-res prescriptive"/>
      <sheetName val="For Greta"/>
      <sheetName val="2012 Res prescriptive"/>
      <sheetName val="2012 gas NIUC"/>
      <sheetName val="NTG ratios"/>
      <sheetName val="Tables"/>
      <sheetName val="2012 gas portfolio"/>
      <sheetName val="2011 CE @ new ACs"/>
      <sheetName val="Levelized cost calculation"/>
      <sheetName val="Prior Re-Opt analysis @ new ACs"/>
      <sheetName val="Incent tiers @ new AC"/>
    </sheetNames>
    <sheetDataSet>
      <sheetData sheetId="0"/>
      <sheetData sheetId="1"/>
      <sheetData sheetId="2"/>
      <sheetData sheetId="3"/>
      <sheetData sheetId="4"/>
      <sheetData sheetId="5"/>
      <sheetData sheetId="6"/>
      <sheetData sheetId="7"/>
      <sheetData sheetId="8"/>
      <sheetData sheetId="9"/>
      <sheetData sheetId="10">
        <row r="7">
          <cell r="N7">
            <v>0.75</v>
          </cell>
        </row>
        <row r="8">
          <cell r="N8">
            <v>0.87000000000000011</v>
          </cell>
        </row>
        <row r="9">
          <cell r="N9">
            <v>0.87</v>
          </cell>
        </row>
        <row r="10">
          <cell r="N10">
            <v>0.86999999999999988</v>
          </cell>
        </row>
        <row r="11">
          <cell r="N11">
            <v>0.86999999999999988</v>
          </cell>
        </row>
      </sheetData>
      <sheetData sheetId="11"/>
      <sheetData sheetId="12"/>
      <sheetData sheetId="13"/>
      <sheetData sheetId="1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Notes"/>
      <sheetName val="ACs etc"/>
      <sheetName val="2012 SS contracted"/>
      <sheetName val="2012 SS projection"/>
      <sheetName val="2012 Non-res prescriptive"/>
      <sheetName val="For Greta"/>
      <sheetName val="2012 Res prescriptive"/>
      <sheetName val="2012 gas NIUC"/>
      <sheetName val="NTG ratios"/>
      <sheetName val="2012 gas portfolio"/>
      <sheetName val="Summary of termination rec's"/>
    </sheetNames>
    <sheetDataSet>
      <sheetData sheetId="0"/>
      <sheetData sheetId="1">
        <row r="4">
          <cell r="O4">
            <v>0.77765014382614939</v>
          </cell>
          <cell r="P4">
            <v>0.70636499316324031</v>
          </cell>
        </row>
        <row r="5">
          <cell r="O5">
            <v>1.477844938016502</v>
          </cell>
          <cell r="P5">
            <v>1.3276722533761065</v>
          </cell>
        </row>
        <row r="6">
          <cell r="O6">
            <v>2.0857852519240234</v>
          </cell>
          <cell r="P6">
            <v>1.8726209111571632</v>
          </cell>
        </row>
        <row r="7">
          <cell r="O7">
            <v>2.6148876503487708</v>
          </cell>
          <cell r="P7">
            <v>2.3544308305021531</v>
          </cell>
        </row>
        <row r="8">
          <cell r="O8">
            <v>3.0857733892796424</v>
          </cell>
          <cell r="P8">
            <v>2.7813138380669149</v>
          </cell>
        </row>
        <row r="9">
          <cell r="O9">
            <v>3.5193524259566522</v>
          </cell>
          <cell r="P9">
            <v>3.1750103199382789</v>
          </cell>
        </row>
        <row r="10">
          <cell r="O10">
            <v>3.9310399543403483</v>
          </cell>
          <cell r="P10">
            <v>3.5515401845143115</v>
          </cell>
        </row>
        <row r="11">
          <cell r="O11">
            <v>4.3248382140286008</v>
          </cell>
          <cell r="P11">
            <v>3.911649776633483</v>
          </cell>
        </row>
        <row r="12">
          <cell r="O12">
            <v>4.6971482506820568</v>
          </cell>
          <cell r="P12">
            <v>4.2502258230304175</v>
          </cell>
        </row>
        <row r="13">
          <cell r="O13">
            <v>5.0464274756289633</v>
          </cell>
          <cell r="P13">
            <v>4.5644898724324312</v>
          </cell>
        </row>
        <row r="14">
          <cell r="O14">
            <v>5.3758694878130759</v>
          </cell>
          <cell r="P14">
            <v>4.8628234303907849</v>
          </cell>
        </row>
        <row r="15">
          <cell r="O15">
            <v>5.6899103708925098</v>
          </cell>
          <cell r="P15">
            <v>5.1493643515850902</v>
          </cell>
        </row>
        <row r="16">
          <cell r="O16">
            <v>5.9902520306344638</v>
          </cell>
          <cell r="P16">
            <v>5.4228721205451729</v>
          </cell>
        </row>
        <row r="17">
          <cell r="O17">
            <v>6.2767809545679976</v>
          </cell>
          <cell r="P17">
            <v>5.6839105702418795</v>
          </cell>
        </row>
        <row r="18">
          <cell r="O18">
            <v>6.5488719936649638</v>
          </cell>
          <cell r="P18">
            <v>5.9324537790961038</v>
          </cell>
        </row>
        <row r="19">
          <cell r="O19">
            <v>6.8068495191912461</v>
          </cell>
          <cell r="P19">
            <v>6.1684505097526898</v>
          </cell>
        </row>
        <row r="20">
          <cell r="O20">
            <v>7.0519039521698783</v>
          </cell>
          <cell r="P20">
            <v>6.3927041097710671</v>
          </cell>
        </row>
        <row r="21">
          <cell r="O21">
            <v>7.2847423297669662</v>
          </cell>
          <cell r="P21">
            <v>6.6058034109444677</v>
          </cell>
        </row>
        <row r="22">
          <cell r="O22">
            <v>7.5058835525719738</v>
          </cell>
          <cell r="P22">
            <v>6.8081291038308018</v>
          </cell>
        </row>
        <row r="23">
          <cell r="O23">
            <v>7.7154904458274336</v>
          </cell>
          <cell r="P23">
            <v>6.9998243739043469</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sheetPr>
    <tabColor theme="6" tint="-0.499984740745262"/>
  </sheetPr>
  <dimension ref="C3:D29"/>
  <sheetViews>
    <sheetView topLeftCell="A2" workbookViewId="0">
      <selection activeCell="L14" sqref="L14"/>
    </sheetView>
  </sheetViews>
  <sheetFormatPr defaultRowHeight="15"/>
  <cols>
    <col min="1" max="2" width="9.140625" style="218"/>
    <col min="3" max="3" width="14.28515625" style="218" bestFit="1" customWidth="1"/>
    <col min="4" max="16384" width="9.140625" style="218"/>
  </cols>
  <sheetData>
    <row r="3" spans="3:4">
      <c r="C3" s="225" t="s">
        <v>430</v>
      </c>
    </row>
    <row r="4" spans="3:4">
      <c r="C4" s="217">
        <v>6.8000000000000005E-2</v>
      </c>
      <c r="D4" s="218" t="s">
        <v>289</v>
      </c>
    </row>
    <row r="5" spans="3:4">
      <c r="C5" s="219">
        <v>0.79</v>
      </c>
      <c r="D5" s="218" t="s">
        <v>290</v>
      </c>
    </row>
    <row r="6" spans="3:4">
      <c r="C6" s="219">
        <v>0.87</v>
      </c>
      <c r="D6" s="218" t="s">
        <v>363</v>
      </c>
    </row>
    <row r="7" spans="3:4">
      <c r="C7" s="219">
        <v>0.66</v>
      </c>
      <c r="D7" s="218" t="s">
        <v>364</v>
      </c>
    </row>
    <row r="9" spans="3:4">
      <c r="C9" s="217">
        <v>0.26269999999999999</v>
      </c>
      <c r="D9" s="220" t="s">
        <v>431</v>
      </c>
    </row>
    <row r="10" spans="3:4">
      <c r="C10" s="221">
        <v>1996664</v>
      </c>
      <c r="D10" s="218" t="s">
        <v>302</v>
      </c>
    </row>
    <row r="12" spans="3:4">
      <c r="C12" s="225" t="s">
        <v>303</v>
      </c>
    </row>
    <row r="13" spans="3:4">
      <c r="C13" s="221">
        <f>(C9*C10)</f>
        <v>524523.63280000002</v>
      </c>
      <c r="D13" s="220" t="s">
        <v>295</v>
      </c>
    </row>
    <row r="14" spans="3:4">
      <c r="C14" s="221">
        <f>(1-C9)*C10</f>
        <v>1472140.3672000002</v>
      </c>
      <c r="D14" s="220" t="s">
        <v>296</v>
      </c>
    </row>
    <row r="15" spans="3:4">
      <c r="C15" s="222">
        <f>C13+C14</f>
        <v>1996664.0000000002</v>
      </c>
      <c r="D15" s="220" t="s">
        <v>297</v>
      </c>
    </row>
    <row r="17" spans="3:4">
      <c r="C17" s="226" t="s">
        <v>298</v>
      </c>
      <c r="D17" s="220"/>
    </row>
    <row r="18" spans="3:4">
      <c r="C18" s="223">
        <v>515187</v>
      </c>
      <c r="D18" s="220" t="s">
        <v>299</v>
      </c>
    </row>
    <row r="19" spans="3:4">
      <c r="C19" s="223">
        <v>35877</v>
      </c>
      <c r="D19" s="220" t="s">
        <v>300</v>
      </c>
    </row>
    <row r="20" spans="3:4" ht="15.75" thickBot="1">
      <c r="C20" s="224">
        <v>832374</v>
      </c>
      <c r="D20" s="220" t="s">
        <v>301</v>
      </c>
    </row>
    <row r="21" spans="3:4" ht="15.75" thickTop="1">
      <c r="C21" s="223">
        <f>SUM(C18:C20)</f>
        <v>1383438</v>
      </c>
      <c r="D21" s="223"/>
    </row>
    <row r="23" spans="3:4">
      <c r="C23" s="227" t="s">
        <v>304</v>
      </c>
    </row>
    <row r="24" spans="3:4">
      <c r="C24" s="222">
        <f>C13</f>
        <v>524523.63280000002</v>
      </c>
      <c r="D24" s="220" t="s">
        <v>305</v>
      </c>
    </row>
    <row r="25" spans="3:4">
      <c r="C25" s="221">
        <f>(Portfolio!D21/Calculations!C21)*Calculations!C14</f>
        <v>859584.37270145735</v>
      </c>
      <c r="D25" s="220" t="s">
        <v>306</v>
      </c>
    </row>
    <row r="26" spans="3:4">
      <c r="C26" s="222">
        <f>C24+C25</f>
        <v>1384108.0055014575</v>
      </c>
      <c r="D26" s="220" t="s">
        <v>307</v>
      </c>
    </row>
    <row r="29" spans="3:4">
      <c r="C29" s="299">
        <v>0.68945314968930649</v>
      </c>
      <c r="D29" s="218" t="s">
        <v>508</v>
      </c>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sheetPr>
    <tabColor theme="6" tint="-0.499984740745262"/>
  </sheetPr>
  <dimension ref="A1:AQ36"/>
  <sheetViews>
    <sheetView topLeftCell="AC3" workbookViewId="0">
      <selection activeCell="AK36" sqref="AK36:AM36"/>
    </sheetView>
  </sheetViews>
  <sheetFormatPr defaultColWidth="11.28515625" defaultRowHeight="12"/>
  <cols>
    <col min="1" max="1" width="11" style="1" customWidth="1"/>
    <col min="2" max="2" width="32.85546875" style="1" hidden="1" customWidth="1"/>
    <col min="3" max="3" width="14.42578125" style="1" customWidth="1"/>
    <col min="4" max="4" width="15" style="1" customWidth="1"/>
    <col min="5" max="16384" width="11.28515625" style="1"/>
  </cols>
  <sheetData>
    <row r="1" spans="1:43" ht="35.25" thickBot="1">
      <c r="A1" s="131" t="s">
        <v>309</v>
      </c>
      <c r="B1" s="131" t="s">
        <v>310</v>
      </c>
      <c r="C1" s="131" t="s">
        <v>311</v>
      </c>
      <c r="D1" s="131" t="s">
        <v>312</v>
      </c>
      <c r="E1" s="131" t="s">
        <v>313</v>
      </c>
      <c r="F1" s="131" t="s">
        <v>314</v>
      </c>
      <c r="G1" s="131" t="s">
        <v>315</v>
      </c>
      <c r="H1" s="131" t="s">
        <v>316</v>
      </c>
      <c r="I1" s="131" t="s">
        <v>317</v>
      </c>
      <c r="J1" s="131" t="s">
        <v>318</v>
      </c>
      <c r="K1" s="131" t="s">
        <v>319</v>
      </c>
      <c r="L1" s="131" t="s">
        <v>320</v>
      </c>
      <c r="M1" s="131" t="s">
        <v>321</v>
      </c>
      <c r="N1" s="131" t="s">
        <v>322</v>
      </c>
      <c r="O1" s="131" t="s">
        <v>323</v>
      </c>
      <c r="P1" s="131" t="s">
        <v>324</v>
      </c>
      <c r="Q1" s="131" t="s">
        <v>325</v>
      </c>
      <c r="R1" s="131" t="s">
        <v>326</v>
      </c>
      <c r="S1" s="131" t="s">
        <v>327</v>
      </c>
      <c r="T1" s="131" t="s">
        <v>328</v>
      </c>
      <c r="U1" s="131" t="s">
        <v>329</v>
      </c>
      <c r="V1" s="131" t="s">
        <v>330</v>
      </c>
      <c r="W1" s="131" t="s">
        <v>331</v>
      </c>
      <c r="X1" s="132" t="s">
        <v>332</v>
      </c>
      <c r="Y1" s="133"/>
      <c r="Z1" s="133" t="s">
        <v>333</v>
      </c>
      <c r="AA1" s="133" t="s">
        <v>334</v>
      </c>
      <c r="AB1" s="134" t="s">
        <v>335</v>
      </c>
      <c r="AC1" s="134" t="s">
        <v>336</v>
      </c>
      <c r="AD1" s="134" t="s">
        <v>337</v>
      </c>
      <c r="AE1" s="134" t="s">
        <v>338</v>
      </c>
      <c r="AF1" s="134" t="s">
        <v>339</v>
      </c>
      <c r="AG1" s="133" t="s">
        <v>340</v>
      </c>
      <c r="AH1" s="133" t="s">
        <v>341</v>
      </c>
      <c r="AI1" s="133" t="s">
        <v>342</v>
      </c>
      <c r="AJ1" s="133" t="s">
        <v>343</v>
      </c>
      <c r="AK1" s="133" t="s">
        <v>344</v>
      </c>
      <c r="AL1" s="133" t="s">
        <v>345</v>
      </c>
      <c r="AM1" s="133" t="s">
        <v>346</v>
      </c>
      <c r="AN1" s="133" t="s">
        <v>347</v>
      </c>
      <c r="AO1" s="133" t="s">
        <v>348</v>
      </c>
      <c r="AP1" s="133" t="s">
        <v>349</v>
      </c>
      <c r="AQ1" s="133" t="s">
        <v>350</v>
      </c>
    </row>
    <row r="2" spans="1:43" ht="12.75" thickBot="1">
      <c r="A2" s="135">
        <v>36815</v>
      </c>
      <c r="B2" s="136"/>
      <c r="C2" s="137"/>
      <c r="D2" s="138">
        <v>40784.291666659999</v>
      </c>
      <c r="E2" s="139" t="s">
        <v>357</v>
      </c>
      <c r="F2" s="140" t="s">
        <v>359</v>
      </c>
      <c r="G2" s="141">
        <v>17</v>
      </c>
      <c r="H2" s="141">
        <v>0</v>
      </c>
      <c r="I2" s="141">
        <v>25099</v>
      </c>
      <c r="J2" s="137"/>
      <c r="K2" s="141">
        <v>12399</v>
      </c>
      <c r="L2" s="141">
        <v>24797</v>
      </c>
      <c r="M2" s="141">
        <v>24797</v>
      </c>
      <c r="N2" s="141">
        <v>24797</v>
      </c>
      <c r="O2" s="141">
        <v>0</v>
      </c>
      <c r="P2" s="141">
        <v>0</v>
      </c>
      <c r="Q2" s="140" t="s">
        <v>352</v>
      </c>
      <c r="R2" s="137"/>
      <c r="S2" s="137"/>
      <c r="T2" s="141">
        <v>16</v>
      </c>
      <c r="U2" s="140" t="s">
        <v>356</v>
      </c>
      <c r="V2" s="141">
        <v>21</v>
      </c>
      <c r="W2" s="141">
        <v>111</v>
      </c>
      <c r="X2" s="107" t="s">
        <v>354</v>
      </c>
      <c r="Y2" s="142" t="str">
        <f t="shared" ref="Y2:Y32" si="0">IF(H2=0,IF(I2=0,"none","GE"),IF(H2&gt;0,IF(I2&gt;0,"DF",IF(I2&lt;0,"FE","EE")),"GE"))</f>
        <v>GE</v>
      </c>
      <c r="Z2" s="143" t="str">
        <f t="shared" ref="Z2:Z32" si="1">IF(Y2="DF",AL2/(AK2+AL2)," ")</f>
        <v xml:space="preserve"> </v>
      </c>
      <c r="AA2" s="142" t="str">
        <f t="shared" ref="AA2:AA32" si="2">IF(Y2="GE","yes",IF(Y2="DF","yes","no"))</f>
        <v>yes</v>
      </c>
      <c r="AB2" s="144" t="str">
        <f t="shared" ref="AB2:AB32" si="3">IF(Y2="GE","-",V2)</f>
        <v>-</v>
      </c>
      <c r="AC2" s="144">
        <f t="shared" ref="AC2:AC32" si="4">IF(W2="ee","-",W2)</f>
        <v>111</v>
      </c>
      <c r="AD2" s="144">
        <f t="shared" ref="AD2:AD32" si="5">IF(Y2="EE","--",IF(Y2="FE","---",AC2))</f>
        <v>111</v>
      </c>
      <c r="AE2" s="144" t="str">
        <f>IF(Y2="DF",IF(AB2=0,"no rate",IF(U2=0,"missing state",VLOOKUP(AB2,'[1]ACs etc'!B$3:D$8,IF(U2="WA",2,3)))),"^")</f>
        <v>^</v>
      </c>
      <c r="AF2" s="144">
        <f>IF(U2=0,"missing state",IF(AD2=0,"no rate",IF(AD2="--","--",IF(AD2="---","---",VLOOKUP(AD2,'[1]ACs etc'!B$15:D$18,IF(U2="WA",2,3))))))</f>
        <v>0.70523000000000002</v>
      </c>
      <c r="AG2" s="145">
        <f t="shared" ref="AG2:AH32" si="6">IF(AE2&gt;0,IF(AE2&lt;1,AE2*H2,0),0)</f>
        <v>0</v>
      </c>
      <c r="AH2" s="145">
        <f t="shared" si="6"/>
        <v>17700.567770000001</v>
      </c>
      <c r="AI2" s="145">
        <f t="shared" ref="AI2:AI32" si="7">AG2+AH2</f>
        <v>17700.567770000001</v>
      </c>
      <c r="AJ2" s="146">
        <f t="shared" ref="AJ2:AJ32" si="8">IF(AA2="yes",IF(AI2=0," ",(M2/AI2)*12)," ")</f>
        <v>16.810986170982016</v>
      </c>
      <c r="AK2" s="145">
        <f>IF(AA2="yes",(VLOOKUP(T2,'[1]ACs etc'!M$4:P$53,2)*H2)," ")</f>
        <v>0</v>
      </c>
      <c r="AL2" s="124">
        <f>IF(AA2="yes",(VLOOKUP(T2,'[1]ACs etc'!M$4:Q$53,IF(X2="winter",2,3))*I2)," ")</f>
        <v>15686.357900640993</v>
      </c>
      <c r="AM2" s="145">
        <f t="shared" ref="AM2:AM32" si="9">IF(AA2="no"," ",IF(T2&gt;0,-PV(0.068,T2,O2),0))</f>
        <v>0</v>
      </c>
      <c r="AN2" s="147">
        <f t="shared" ref="AN2:AN32" si="10">IF(AA2="no"," ",IF(Y2="DF",N2*Z2,N2))</f>
        <v>24797</v>
      </c>
      <c r="AO2" s="145">
        <f t="shared" ref="AO2:AO32" si="11">IF(AA2="yes",AK2+AL2+AM2-AN2," ")</f>
        <v>-9110.6420993590073</v>
      </c>
      <c r="AP2" s="148">
        <f t="shared" ref="AP2:AP32" si="12">G2</f>
        <v>17</v>
      </c>
      <c r="AQ2" s="149">
        <f t="shared" ref="AQ2:AQ32" si="13">IF(AJ2=" "," ",IF(AP2=0," ",AJ2/AP2))</f>
        <v>0.98888153946953039</v>
      </c>
    </row>
    <row r="3" spans="1:43" ht="12.75" thickBot="1">
      <c r="A3" s="135">
        <v>32483</v>
      </c>
      <c r="B3" s="136"/>
      <c r="C3" s="137"/>
      <c r="D3" s="138">
        <v>40526.333333330003</v>
      </c>
      <c r="E3" s="139" t="s">
        <v>357</v>
      </c>
      <c r="F3" s="140" t="s">
        <v>359</v>
      </c>
      <c r="G3" s="141">
        <v>22</v>
      </c>
      <c r="H3" s="137"/>
      <c r="I3" s="141">
        <v>2017</v>
      </c>
      <c r="J3" s="137"/>
      <c r="K3" s="141">
        <v>1200</v>
      </c>
      <c r="L3" s="141">
        <v>2400</v>
      </c>
      <c r="M3" s="141">
        <v>2400</v>
      </c>
      <c r="N3" s="141">
        <v>2400</v>
      </c>
      <c r="O3" s="141">
        <v>0</v>
      </c>
      <c r="P3" s="141">
        <v>0</v>
      </c>
      <c r="Q3" s="140" t="s">
        <v>352</v>
      </c>
      <c r="R3" s="137"/>
      <c r="S3" s="137"/>
      <c r="T3" s="141">
        <v>20</v>
      </c>
      <c r="U3" s="140" t="s">
        <v>356</v>
      </c>
      <c r="V3" s="141">
        <v>21</v>
      </c>
      <c r="W3" s="141">
        <v>111</v>
      </c>
      <c r="X3" s="107" t="s">
        <v>354</v>
      </c>
      <c r="Y3" s="142" t="str">
        <f t="shared" si="0"/>
        <v>GE</v>
      </c>
      <c r="Z3" s="143" t="str">
        <f t="shared" si="1"/>
        <v xml:space="preserve"> </v>
      </c>
      <c r="AA3" s="142" t="str">
        <f t="shared" si="2"/>
        <v>yes</v>
      </c>
      <c r="AB3" s="144" t="str">
        <f t="shared" si="3"/>
        <v>-</v>
      </c>
      <c r="AC3" s="144">
        <f t="shared" si="4"/>
        <v>111</v>
      </c>
      <c r="AD3" s="144">
        <f t="shared" si="5"/>
        <v>111</v>
      </c>
      <c r="AE3" s="144" t="str">
        <f>IF(Y3="DF",IF(AB3=0,"no rate",IF(U3=0,"missing state",VLOOKUP(AB3,'[1]ACs etc'!B$3:D$8,IF(U3="WA",2,3)))),"^")</f>
        <v>^</v>
      </c>
      <c r="AF3" s="144">
        <f>IF(U3=0,"missing state",IF(AD3=0,"no rate",IF(AD3="--","--",IF(AD3="---","---",VLOOKUP(AD3,'[1]ACs etc'!B$15:D$18,IF(U3="WA",2,3))))))</f>
        <v>0.70523000000000002</v>
      </c>
      <c r="AG3" s="145">
        <f t="shared" si="6"/>
        <v>0</v>
      </c>
      <c r="AH3" s="145">
        <f t="shared" si="6"/>
        <v>1422.4489100000001</v>
      </c>
      <c r="AI3" s="145">
        <f t="shared" si="7"/>
        <v>1422.4489100000001</v>
      </c>
      <c r="AJ3" s="146">
        <f t="shared" si="8"/>
        <v>20.246772870035802</v>
      </c>
      <c r="AK3" s="145">
        <f>IF(AA3="yes",(VLOOKUP(T3,'[1]ACs etc'!M$4:P$53,2)*H3)," ")</f>
        <v>0</v>
      </c>
      <c r="AL3" s="124">
        <f>IF(AA3="yes",(VLOOKUP(T3,'[1]ACs etc'!M$4:Q$53,IF(X3="winter",2,3))*I3)," ")</f>
        <v>1490.1556693651851</v>
      </c>
      <c r="AM3" s="145">
        <f t="shared" si="9"/>
        <v>0</v>
      </c>
      <c r="AN3" s="147">
        <f t="shared" si="10"/>
        <v>2400</v>
      </c>
      <c r="AO3" s="145">
        <f t="shared" si="11"/>
        <v>-909.84433063481492</v>
      </c>
      <c r="AP3" s="148">
        <f t="shared" si="12"/>
        <v>22</v>
      </c>
      <c r="AQ3" s="149">
        <f t="shared" si="13"/>
        <v>0.92030785772890011</v>
      </c>
    </row>
    <row r="4" spans="1:43" ht="12.75" thickBot="1">
      <c r="A4" s="135">
        <v>35256</v>
      </c>
      <c r="B4" s="136"/>
      <c r="C4" s="137"/>
      <c r="D4" s="138">
        <v>40560.333333330003</v>
      </c>
      <c r="E4" s="139" t="s">
        <v>357</v>
      </c>
      <c r="F4" s="140" t="s">
        <v>359</v>
      </c>
      <c r="G4" s="141">
        <v>25</v>
      </c>
      <c r="H4" s="137"/>
      <c r="I4" s="141">
        <v>3563</v>
      </c>
      <c r="J4" s="137"/>
      <c r="K4" s="141">
        <v>2500</v>
      </c>
      <c r="L4" s="141">
        <v>5000</v>
      </c>
      <c r="M4" s="141">
        <v>5000</v>
      </c>
      <c r="N4" s="141">
        <v>5000</v>
      </c>
      <c r="O4" s="141">
        <v>0</v>
      </c>
      <c r="P4" s="141">
        <v>0</v>
      </c>
      <c r="Q4" s="140" t="s">
        <v>352</v>
      </c>
      <c r="R4" s="137"/>
      <c r="S4" s="137"/>
      <c r="T4" s="141">
        <v>16</v>
      </c>
      <c r="U4" s="140" t="s">
        <v>353</v>
      </c>
      <c r="V4" s="141">
        <v>21</v>
      </c>
      <c r="W4" s="141">
        <v>111</v>
      </c>
      <c r="X4" s="107" t="s">
        <v>354</v>
      </c>
      <c r="Y4" s="142" t="str">
        <f t="shared" si="0"/>
        <v>GE</v>
      </c>
      <c r="Z4" s="143" t="str">
        <f t="shared" si="1"/>
        <v xml:space="preserve"> </v>
      </c>
      <c r="AA4" s="142" t="str">
        <f t="shared" si="2"/>
        <v>yes</v>
      </c>
      <c r="AB4" s="144" t="str">
        <f t="shared" si="3"/>
        <v>-</v>
      </c>
      <c r="AC4" s="144">
        <f t="shared" si="4"/>
        <v>111</v>
      </c>
      <c r="AD4" s="144">
        <f t="shared" si="5"/>
        <v>111</v>
      </c>
      <c r="AE4" s="144" t="str">
        <f>IF(Y4="DF",IF(AB4=0,"no rate",IF(U4=0,"missing state",VLOOKUP(AB4,'[1]ACs etc'!B$3:D$8,IF(U4="WA",2,3)))),"^")</f>
        <v>^</v>
      </c>
      <c r="AF4" s="144">
        <f>IF(U4=0,"missing state",IF(AD4=0,"no rate",IF(AD4="--","--",IF(AD4="---","---",VLOOKUP(AD4,'[1]ACs etc'!B$15:D$18,IF(U4="WA",2,3))))))</f>
        <v>0.66427000000000003</v>
      </c>
      <c r="AG4" s="145">
        <f t="shared" si="6"/>
        <v>0</v>
      </c>
      <c r="AH4" s="145">
        <f t="shared" si="6"/>
        <v>2366.7940100000001</v>
      </c>
      <c r="AI4" s="145">
        <f t="shared" si="7"/>
        <v>2366.7940100000001</v>
      </c>
      <c r="AJ4" s="146">
        <f t="shared" si="8"/>
        <v>25.350748627253793</v>
      </c>
      <c r="AK4" s="145">
        <f>IF(AA4="yes",(VLOOKUP(T4,'[1]ACs etc'!M$4:P$53,2)*H4)," ")</f>
        <v>0</v>
      </c>
      <c r="AL4" s="124">
        <f>IF(AA4="yes",(VLOOKUP(T4,'[1]ACs etc'!M$4:Q$53,IF(X4="winter",2,3))*I4)," ")</f>
        <v>2226.8015936883485</v>
      </c>
      <c r="AM4" s="145">
        <f t="shared" si="9"/>
        <v>0</v>
      </c>
      <c r="AN4" s="147">
        <f t="shared" si="10"/>
        <v>5000</v>
      </c>
      <c r="AO4" s="145">
        <f t="shared" si="11"/>
        <v>-2773.1984063116515</v>
      </c>
      <c r="AP4" s="148">
        <f t="shared" si="12"/>
        <v>25</v>
      </c>
      <c r="AQ4" s="149">
        <f t="shared" si="13"/>
        <v>1.0140299450901518</v>
      </c>
    </row>
    <row r="5" spans="1:43" ht="12.75" thickBot="1">
      <c r="A5" s="135">
        <v>35888</v>
      </c>
      <c r="B5" s="136"/>
      <c r="C5" s="138">
        <v>40900.333333330003</v>
      </c>
      <c r="D5" s="138">
        <v>40633.291666659999</v>
      </c>
      <c r="E5" s="139" t="s">
        <v>357</v>
      </c>
      <c r="F5" s="140" t="s">
        <v>359</v>
      </c>
      <c r="G5" s="141">
        <v>40</v>
      </c>
      <c r="H5" s="137"/>
      <c r="I5" s="141">
        <v>903</v>
      </c>
      <c r="J5" s="137"/>
      <c r="K5" s="141">
        <v>1065</v>
      </c>
      <c r="L5" s="141">
        <v>2130</v>
      </c>
      <c r="M5" s="141">
        <v>2130</v>
      </c>
      <c r="N5" s="141">
        <v>2130</v>
      </c>
      <c r="O5" s="141">
        <v>41</v>
      </c>
      <c r="P5" s="141">
        <v>0</v>
      </c>
      <c r="Q5" s="140" t="s">
        <v>352</v>
      </c>
      <c r="R5" s="137"/>
      <c r="S5" s="137"/>
      <c r="T5" s="141">
        <v>16</v>
      </c>
      <c r="U5" s="140" t="s">
        <v>356</v>
      </c>
      <c r="V5" s="141">
        <v>21</v>
      </c>
      <c r="W5" s="141">
        <v>111</v>
      </c>
      <c r="X5" s="107" t="s">
        <v>354</v>
      </c>
      <c r="Y5" s="142" t="str">
        <f t="shared" si="0"/>
        <v>GE</v>
      </c>
      <c r="Z5" s="143" t="str">
        <f t="shared" si="1"/>
        <v xml:space="preserve"> </v>
      </c>
      <c r="AA5" s="142" t="str">
        <f t="shared" si="2"/>
        <v>yes</v>
      </c>
      <c r="AB5" s="144" t="str">
        <f t="shared" si="3"/>
        <v>-</v>
      </c>
      <c r="AC5" s="144">
        <f t="shared" si="4"/>
        <v>111</v>
      </c>
      <c r="AD5" s="144">
        <f t="shared" si="5"/>
        <v>111</v>
      </c>
      <c r="AE5" s="144" t="str">
        <f>IF(Y5="DF",IF(AB5=0,"no rate",IF(U5=0,"missing state",VLOOKUP(AB5,'[1]ACs etc'!B$3:D$8,IF(U5="WA",2,3)))),"^")</f>
        <v>^</v>
      </c>
      <c r="AF5" s="144">
        <f>IF(U5=0,"missing state",IF(AD5=0,"no rate",IF(AD5="--","--",IF(AD5="---","---",VLOOKUP(AD5,'[1]ACs etc'!B$15:D$18,IF(U5="WA",2,3))))))</f>
        <v>0.70523000000000002</v>
      </c>
      <c r="AG5" s="145">
        <f t="shared" si="6"/>
        <v>0</v>
      </c>
      <c r="AH5" s="145">
        <f t="shared" si="6"/>
        <v>636.82268999999997</v>
      </c>
      <c r="AI5" s="145">
        <f t="shared" si="7"/>
        <v>636.82268999999997</v>
      </c>
      <c r="AJ5" s="146">
        <f t="shared" si="8"/>
        <v>40.136760830553953</v>
      </c>
      <c r="AK5" s="145">
        <f>IF(AA5="yes",(VLOOKUP(T5,'[1]ACs etc'!M$4:P$53,2)*H5)," ")</f>
        <v>0</v>
      </c>
      <c r="AL5" s="124">
        <f>IF(AA5="yes",(VLOOKUP(T5,'[1]ACs etc'!M$4:Q$53,IF(X5="winter",2,3))*I5)," ")</f>
        <v>564.35639604282312</v>
      </c>
      <c r="AM5" s="145">
        <f t="shared" si="9"/>
        <v>392.49797459327942</v>
      </c>
      <c r="AN5" s="147">
        <f t="shared" si="10"/>
        <v>2130</v>
      </c>
      <c r="AO5" s="145">
        <f t="shared" si="11"/>
        <v>-1173.1456293638976</v>
      </c>
      <c r="AP5" s="148">
        <f t="shared" si="12"/>
        <v>40</v>
      </c>
      <c r="AQ5" s="149">
        <f t="shared" si="13"/>
        <v>1.0034190207638489</v>
      </c>
    </row>
    <row r="6" spans="1:43" ht="12.75" thickBot="1">
      <c r="A6" s="135">
        <v>36155</v>
      </c>
      <c r="B6" s="136"/>
      <c r="C6" s="137"/>
      <c r="D6" s="138">
        <v>40735.291666659999</v>
      </c>
      <c r="E6" s="139" t="s">
        <v>355</v>
      </c>
      <c r="F6" s="140" t="s">
        <v>359</v>
      </c>
      <c r="G6" s="141">
        <v>43</v>
      </c>
      <c r="H6" s="141">
        <v>3468</v>
      </c>
      <c r="I6" s="141">
        <v>939</v>
      </c>
      <c r="J6" s="141">
        <v>168</v>
      </c>
      <c r="K6" s="141">
        <v>1322</v>
      </c>
      <c r="L6" s="141">
        <v>3000</v>
      </c>
      <c r="M6" s="141">
        <v>3000</v>
      </c>
      <c r="N6" s="141">
        <v>3000</v>
      </c>
      <c r="O6" s="141">
        <v>0</v>
      </c>
      <c r="P6" s="141">
        <v>0</v>
      </c>
      <c r="Q6" s="140" t="s">
        <v>352</v>
      </c>
      <c r="R6" s="137"/>
      <c r="S6" s="137"/>
      <c r="T6" s="141">
        <v>16</v>
      </c>
      <c r="U6" s="140" t="s">
        <v>353</v>
      </c>
      <c r="V6" s="137"/>
      <c r="W6" s="141">
        <v>111</v>
      </c>
      <c r="X6" s="107" t="s">
        <v>354</v>
      </c>
      <c r="Y6" s="142" t="str">
        <f t="shared" si="0"/>
        <v>DF</v>
      </c>
      <c r="Z6" s="143">
        <f t="shared" si="1"/>
        <v>0.21307011572498297</v>
      </c>
      <c r="AA6" s="142" t="str">
        <f t="shared" si="2"/>
        <v>yes</v>
      </c>
      <c r="AB6" s="144">
        <f t="shared" si="3"/>
        <v>0</v>
      </c>
      <c r="AC6" s="144">
        <f t="shared" si="4"/>
        <v>111</v>
      </c>
      <c r="AD6" s="144">
        <f t="shared" si="5"/>
        <v>111</v>
      </c>
      <c r="AE6" s="144" t="str">
        <f>IF(Y6="DF",IF(AB6=0,"no rate",IF(U6=0,"missing state",VLOOKUP(AB6,'[1]ACs etc'!B$3:D$8,IF(U6="WA",2,3)))),"^")</f>
        <v>no rate</v>
      </c>
      <c r="AF6" s="144">
        <f>IF(U6=0,"missing state",IF(AD6=0,"no rate",IF(AD6="--","--",IF(AD6="---","---",VLOOKUP(AD6,'[1]ACs etc'!B$15:D$18,IF(U6="WA",2,3))))))</f>
        <v>0.66427000000000003</v>
      </c>
      <c r="AG6" s="145">
        <f t="shared" si="6"/>
        <v>0</v>
      </c>
      <c r="AH6" s="145">
        <f t="shared" si="6"/>
        <v>623.74953000000005</v>
      </c>
      <c r="AI6" s="145">
        <f t="shared" si="7"/>
        <v>623.74953000000005</v>
      </c>
      <c r="AJ6" s="146">
        <f t="shared" si="8"/>
        <v>57.715474350738191</v>
      </c>
      <c r="AK6" s="145">
        <f>IF(AA6="yes",(VLOOKUP(T6,'[1]ACs etc'!M$4:P$53,2)*H6)," ")</f>
        <v>2167.4285509152942</v>
      </c>
      <c r="AL6" s="124">
        <f>IF(AA6="yes",(VLOOKUP(T6,'[1]ACs etc'!M$4:Q$53,IF(X6="winter",2,3))*I6)," ")</f>
        <v>586.8556543568227</v>
      </c>
      <c r="AM6" s="145">
        <f t="shared" si="9"/>
        <v>0</v>
      </c>
      <c r="AN6" s="147">
        <f t="shared" si="10"/>
        <v>639.21034717494888</v>
      </c>
      <c r="AO6" s="145">
        <f t="shared" si="11"/>
        <v>2115.0738580971683</v>
      </c>
      <c r="AP6" s="148">
        <f t="shared" si="12"/>
        <v>43</v>
      </c>
      <c r="AQ6" s="149">
        <f t="shared" si="13"/>
        <v>1.3422203337380976</v>
      </c>
    </row>
    <row r="7" spans="1:43" ht="12.75" thickBot="1">
      <c r="A7" s="135">
        <v>37498</v>
      </c>
      <c r="B7" s="136"/>
      <c r="C7" s="137"/>
      <c r="D7" s="138">
        <v>40876.333333330003</v>
      </c>
      <c r="E7" s="139" t="s">
        <v>357</v>
      </c>
      <c r="F7" s="140" t="s">
        <v>359</v>
      </c>
      <c r="G7" s="141">
        <v>59</v>
      </c>
      <c r="H7" s="137"/>
      <c r="I7" s="141">
        <v>10330</v>
      </c>
      <c r="J7" s="137"/>
      <c r="K7" s="141">
        <v>18080</v>
      </c>
      <c r="L7" s="141">
        <v>36160</v>
      </c>
      <c r="M7" s="141">
        <v>36160</v>
      </c>
      <c r="N7" s="141">
        <v>36160</v>
      </c>
      <c r="O7" s="141">
        <v>0</v>
      </c>
      <c r="P7" s="141">
        <v>0</v>
      </c>
      <c r="Q7" s="140" t="s">
        <v>352</v>
      </c>
      <c r="R7" s="137"/>
      <c r="S7" s="137"/>
      <c r="T7" s="141">
        <v>16</v>
      </c>
      <c r="U7" s="140" t="s">
        <v>356</v>
      </c>
      <c r="V7" s="141">
        <v>21</v>
      </c>
      <c r="W7" s="141">
        <v>111</v>
      </c>
      <c r="X7" s="107" t="s">
        <v>354</v>
      </c>
      <c r="Y7" s="142" t="str">
        <f t="shared" si="0"/>
        <v>GE</v>
      </c>
      <c r="Z7" s="143" t="str">
        <f t="shared" si="1"/>
        <v xml:space="preserve"> </v>
      </c>
      <c r="AA7" s="142" t="str">
        <f t="shared" si="2"/>
        <v>yes</v>
      </c>
      <c r="AB7" s="144" t="str">
        <f t="shared" si="3"/>
        <v>-</v>
      </c>
      <c r="AC7" s="144">
        <f t="shared" si="4"/>
        <v>111</v>
      </c>
      <c r="AD7" s="144">
        <f t="shared" si="5"/>
        <v>111</v>
      </c>
      <c r="AE7" s="144" t="str">
        <f>IF(Y7="DF",IF(AB7=0,"no rate",IF(U7=0,"missing state",VLOOKUP(AB7,'[1]ACs etc'!B$3:D$8,IF(U7="WA",2,3)))),"^")</f>
        <v>^</v>
      </c>
      <c r="AF7" s="144">
        <f>IF(U7=0,"missing state",IF(AD7=0,"no rate",IF(AD7="--","--",IF(AD7="---","---",VLOOKUP(AD7,'[1]ACs etc'!B$15:D$18,IF(U7="WA",2,3))))))</f>
        <v>0.70523000000000002</v>
      </c>
      <c r="AG7" s="145">
        <f t="shared" si="6"/>
        <v>0</v>
      </c>
      <c r="AH7" s="145">
        <f t="shared" si="6"/>
        <v>7285.0259000000005</v>
      </c>
      <c r="AI7" s="145">
        <f t="shared" si="7"/>
        <v>7285.0259000000005</v>
      </c>
      <c r="AJ7" s="146">
        <f t="shared" si="8"/>
        <v>59.56327485397135</v>
      </c>
      <c r="AK7" s="145">
        <f>IF(AA7="yes",(VLOOKUP(T7,'[1]ACs etc'!M$4:P$53,2)*H7)," ")</f>
        <v>0</v>
      </c>
      <c r="AL7" s="124">
        <f>IF(AA7="yes",(VLOOKUP(T7,'[1]ACs etc'!M$4:Q$53,IF(X7="winter",2,3))*I7)," ")</f>
        <v>6456.0371773226607</v>
      </c>
      <c r="AM7" s="145">
        <f t="shared" si="9"/>
        <v>0</v>
      </c>
      <c r="AN7" s="147">
        <f t="shared" si="10"/>
        <v>36160</v>
      </c>
      <c r="AO7" s="145">
        <f t="shared" si="11"/>
        <v>-29703.962822677338</v>
      </c>
      <c r="AP7" s="148">
        <f t="shared" si="12"/>
        <v>59</v>
      </c>
      <c r="AQ7" s="149">
        <f t="shared" si="13"/>
        <v>1.0095470314232433</v>
      </c>
    </row>
    <row r="8" spans="1:43" ht="12.75" thickBot="1">
      <c r="A8" s="135">
        <v>35257</v>
      </c>
      <c r="B8" s="136"/>
      <c r="C8" s="137"/>
      <c r="D8" s="138">
        <v>40560.333333330003</v>
      </c>
      <c r="E8" s="139" t="s">
        <v>357</v>
      </c>
      <c r="F8" s="140" t="s">
        <v>358</v>
      </c>
      <c r="G8" s="141">
        <v>64</v>
      </c>
      <c r="H8" s="137"/>
      <c r="I8" s="141">
        <v>462</v>
      </c>
      <c r="J8" s="137"/>
      <c r="K8" s="141">
        <v>834</v>
      </c>
      <c r="L8" s="141">
        <v>1668</v>
      </c>
      <c r="M8" s="141">
        <v>1668</v>
      </c>
      <c r="N8" s="141">
        <v>1668</v>
      </c>
      <c r="O8" s="141">
        <v>0</v>
      </c>
      <c r="P8" s="141">
        <v>0</v>
      </c>
      <c r="Q8" s="140" t="s">
        <v>352</v>
      </c>
      <c r="R8" s="137"/>
      <c r="S8" s="137"/>
      <c r="T8" s="141">
        <v>22</v>
      </c>
      <c r="U8" s="140" t="s">
        <v>353</v>
      </c>
      <c r="V8" s="141">
        <v>21</v>
      </c>
      <c r="W8" s="141">
        <v>111</v>
      </c>
      <c r="X8" s="107" t="s">
        <v>354</v>
      </c>
      <c r="Y8" s="142" t="str">
        <f t="shared" si="0"/>
        <v>GE</v>
      </c>
      <c r="Z8" s="143" t="str">
        <f t="shared" si="1"/>
        <v xml:space="preserve"> </v>
      </c>
      <c r="AA8" s="142" t="str">
        <f t="shared" si="2"/>
        <v>yes</v>
      </c>
      <c r="AB8" s="144" t="str">
        <f t="shared" si="3"/>
        <v>-</v>
      </c>
      <c r="AC8" s="144">
        <f t="shared" si="4"/>
        <v>111</v>
      </c>
      <c r="AD8" s="144">
        <f t="shared" si="5"/>
        <v>111</v>
      </c>
      <c r="AE8" s="144" t="str">
        <f>IF(Y8="DF",IF(AB8=0,"no rate",IF(U8=0,"missing state",VLOOKUP(AB8,'[1]ACs etc'!B$3:D$8,IF(U8="WA",2,3)))),"^")</f>
        <v>^</v>
      </c>
      <c r="AF8" s="144">
        <f>IF(U8=0,"missing state",IF(AD8=0,"no rate",IF(AD8="--","--",IF(AD8="---","---",VLOOKUP(AD8,'[1]ACs etc'!B$15:D$18,IF(U8="WA",2,3))))))</f>
        <v>0.66427000000000003</v>
      </c>
      <c r="AG8" s="145">
        <f t="shared" si="6"/>
        <v>0</v>
      </c>
      <c r="AH8" s="145">
        <f t="shared" si="6"/>
        <v>306.89274</v>
      </c>
      <c r="AI8" s="145">
        <f t="shared" si="7"/>
        <v>306.89274</v>
      </c>
      <c r="AJ8" s="146">
        <f t="shared" si="8"/>
        <v>65.221484222793933</v>
      </c>
      <c r="AK8" s="145">
        <f>IF(AA8="yes",(VLOOKUP(T8,'[1]ACs etc'!M$4:P$53,2)*H8)," ")</f>
        <v>0</v>
      </c>
      <c r="AL8" s="124">
        <f>IF(AA8="yes",(VLOOKUP(T8,'[1]ACs etc'!M$4:Q$53,IF(X8="winter",2,3))*I8)," ")</f>
        <v>364.74568582898002</v>
      </c>
      <c r="AM8" s="145">
        <f t="shared" si="9"/>
        <v>0</v>
      </c>
      <c r="AN8" s="147">
        <f t="shared" si="10"/>
        <v>1668</v>
      </c>
      <c r="AO8" s="145">
        <f t="shared" si="11"/>
        <v>-1303.25431417102</v>
      </c>
      <c r="AP8" s="148">
        <f t="shared" si="12"/>
        <v>64</v>
      </c>
      <c r="AQ8" s="149">
        <f t="shared" si="13"/>
        <v>1.0190856909811552</v>
      </c>
    </row>
    <row r="9" spans="1:43" ht="12.75" thickBot="1">
      <c r="A9" s="135">
        <v>35425</v>
      </c>
      <c r="B9" s="136"/>
      <c r="C9" s="137"/>
      <c r="D9" s="138">
        <v>40602.333333330003</v>
      </c>
      <c r="E9" s="140" t="s">
        <v>355</v>
      </c>
      <c r="F9" s="140" t="s">
        <v>358</v>
      </c>
      <c r="G9" s="141">
        <v>64</v>
      </c>
      <c r="H9" s="141">
        <v>4031</v>
      </c>
      <c r="I9" s="141">
        <v>397</v>
      </c>
      <c r="J9" s="141">
        <v>340</v>
      </c>
      <c r="K9" s="141">
        <v>980</v>
      </c>
      <c r="L9" s="141">
        <v>2640</v>
      </c>
      <c r="M9" s="141">
        <v>2640</v>
      </c>
      <c r="N9" s="141">
        <v>2640</v>
      </c>
      <c r="O9" s="141">
        <v>0</v>
      </c>
      <c r="P9" s="141">
        <v>0</v>
      </c>
      <c r="Q9" s="140" t="s">
        <v>352</v>
      </c>
      <c r="R9" s="137"/>
      <c r="S9" s="137"/>
      <c r="T9" s="141">
        <v>22</v>
      </c>
      <c r="U9" s="140" t="s">
        <v>353</v>
      </c>
      <c r="V9" s="141">
        <v>21</v>
      </c>
      <c r="W9" s="141">
        <v>111</v>
      </c>
      <c r="X9" s="107" t="s">
        <v>354</v>
      </c>
      <c r="Y9" s="142" t="str">
        <f t="shared" si="0"/>
        <v>DF</v>
      </c>
      <c r="Z9" s="143">
        <f t="shared" si="1"/>
        <v>8.9656729900632351E-2</v>
      </c>
      <c r="AA9" s="142" t="str">
        <f t="shared" si="2"/>
        <v>yes</v>
      </c>
      <c r="AB9" s="144">
        <f t="shared" si="3"/>
        <v>21</v>
      </c>
      <c r="AC9" s="144">
        <f t="shared" si="4"/>
        <v>111</v>
      </c>
      <c r="AD9" s="144">
        <f t="shared" si="5"/>
        <v>111</v>
      </c>
      <c r="AE9" s="144">
        <f>IF(Y9="DF",IF(AB9=0,"no rate",IF(U9=0,"missing state",VLOOKUP(AB9,'[1]ACs etc'!B$3:D$8,IF(U9="WA",2,3)))),"^")</f>
        <v>5.3490000000000003E-2</v>
      </c>
      <c r="AF9" s="144">
        <f>IF(U9=0,"missing state",IF(AD9=0,"no rate",IF(AD9="--","--",IF(AD9="---","---",VLOOKUP(AD9,'[1]ACs etc'!B$15:D$18,IF(U9="WA",2,3))))))</f>
        <v>0.66427000000000003</v>
      </c>
      <c r="AG9" s="145">
        <f t="shared" si="6"/>
        <v>215.61819</v>
      </c>
      <c r="AH9" s="145">
        <f t="shared" si="6"/>
        <v>263.71519000000001</v>
      </c>
      <c r="AI9" s="145">
        <f t="shared" si="7"/>
        <v>479.33338000000003</v>
      </c>
      <c r="AJ9" s="146">
        <f t="shared" si="8"/>
        <v>66.091787724026233</v>
      </c>
      <c r="AK9" s="145">
        <f>IF(AA9="yes",(VLOOKUP(T9,'[1]ACs etc'!M$4:P$53,2)*H9)," ")</f>
        <v>3182.4455834991741</v>
      </c>
      <c r="AL9" s="124">
        <f>IF(AA9="yes",(VLOOKUP(T9,'[1]ACs etc'!M$4:Q$53,IF(X9="winter",2,3))*I9)," ")</f>
        <v>313.42865210845252</v>
      </c>
      <c r="AM9" s="145">
        <f t="shared" si="9"/>
        <v>0</v>
      </c>
      <c r="AN9" s="147">
        <f t="shared" si="10"/>
        <v>236.69376693766941</v>
      </c>
      <c r="AO9" s="145">
        <f t="shared" si="11"/>
        <v>3259.180468669957</v>
      </c>
      <c r="AP9" s="148">
        <f t="shared" si="12"/>
        <v>64</v>
      </c>
      <c r="AQ9" s="149">
        <f t="shared" si="13"/>
        <v>1.0326841831879099</v>
      </c>
    </row>
    <row r="10" spans="1:43" ht="12.75" thickBot="1">
      <c r="A10" s="135">
        <v>36638</v>
      </c>
      <c r="B10" s="136"/>
      <c r="C10" s="137"/>
      <c r="D10" s="138">
        <v>40766.291666659999</v>
      </c>
      <c r="E10" s="140" t="s">
        <v>357</v>
      </c>
      <c r="F10" s="140" t="s">
        <v>262</v>
      </c>
      <c r="G10" s="141">
        <v>65</v>
      </c>
      <c r="H10" s="137"/>
      <c r="I10" s="141">
        <v>3438</v>
      </c>
      <c r="J10" s="137"/>
      <c r="K10" s="141">
        <v>6700</v>
      </c>
      <c r="L10" s="141">
        <v>13400</v>
      </c>
      <c r="M10" s="141">
        <v>13400</v>
      </c>
      <c r="N10" s="141">
        <v>13400</v>
      </c>
      <c r="O10" s="141">
        <v>0</v>
      </c>
      <c r="P10" s="141">
        <v>0</v>
      </c>
      <c r="Q10" s="140" t="s">
        <v>352</v>
      </c>
      <c r="R10" s="137"/>
      <c r="S10" s="137"/>
      <c r="T10" s="141">
        <v>12</v>
      </c>
      <c r="U10" s="140" t="s">
        <v>356</v>
      </c>
      <c r="V10" s="141">
        <v>21</v>
      </c>
      <c r="W10" s="141">
        <v>111</v>
      </c>
      <c r="X10" s="107" t="s">
        <v>360</v>
      </c>
      <c r="Y10" s="142" t="str">
        <f t="shared" si="0"/>
        <v>GE</v>
      </c>
      <c r="Z10" s="143" t="str">
        <f t="shared" si="1"/>
        <v xml:space="preserve"> </v>
      </c>
      <c r="AA10" s="142" t="str">
        <f t="shared" si="2"/>
        <v>yes</v>
      </c>
      <c r="AB10" s="144" t="str">
        <f t="shared" si="3"/>
        <v>-</v>
      </c>
      <c r="AC10" s="144">
        <f t="shared" si="4"/>
        <v>111</v>
      </c>
      <c r="AD10" s="144">
        <f t="shared" si="5"/>
        <v>111</v>
      </c>
      <c r="AE10" s="144" t="str">
        <f>IF(Y10="DF",IF(AB10=0,"no rate",IF(U10=0,"missing state",VLOOKUP(AB10,'[1]ACs etc'!B$3:D$8,IF(U10="WA",2,3)))),"^")</f>
        <v>^</v>
      </c>
      <c r="AF10" s="144">
        <f>IF(U10=0,"missing state",IF(AD10=0,"no rate",IF(AD10="--","--",IF(AD10="---","---",VLOOKUP(AD10,'[1]ACs etc'!B$15:D$18,IF(U10="WA",2,3))))))</f>
        <v>0.70523000000000002</v>
      </c>
      <c r="AG10" s="145">
        <f t="shared" si="6"/>
        <v>0</v>
      </c>
      <c r="AH10" s="145">
        <f t="shared" si="6"/>
        <v>2424.5807399999999</v>
      </c>
      <c r="AI10" s="145">
        <f t="shared" si="7"/>
        <v>2424.5807399999999</v>
      </c>
      <c r="AJ10" s="146">
        <f t="shared" si="8"/>
        <v>66.320744591908294</v>
      </c>
      <c r="AK10" s="145">
        <f>IF(AA10="yes",(VLOOKUP(T10,'[1]ACs etc'!M$4:P$53,2)*H10)," ")</f>
        <v>0</v>
      </c>
      <c r="AL10" s="124">
        <f>IF(AA10="yes",(VLOOKUP(T10,'[1]ACs etc'!M$4:Q$53,IF(X10="winter",2,3))*I10)," ")</f>
        <v>12638.525039728778</v>
      </c>
      <c r="AM10" s="145">
        <f t="shared" si="9"/>
        <v>0</v>
      </c>
      <c r="AN10" s="147">
        <f t="shared" si="10"/>
        <v>13400</v>
      </c>
      <c r="AO10" s="145">
        <f t="shared" si="11"/>
        <v>-761.47496027122179</v>
      </c>
      <c r="AP10" s="148">
        <f t="shared" si="12"/>
        <v>65</v>
      </c>
      <c r="AQ10" s="149">
        <f t="shared" si="13"/>
        <v>1.0203191475678199</v>
      </c>
    </row>
    <row r="11" spans="1:43" ht="12.75" thickBot="1">
      <c r="A11" s="135">
        <v>37064</v>
      </c>
      <c r="B11" s="136"/>
      <c r="C11" s="137"/>
      <c r="D11" s="138">
        <v>40868.333333330003</v>
      </c>
      <c r="E11" s="140" t="s">
        <v>357</v>
      </c>
      <c r="F11" s="140" t="s">
        <v>359</v>
      </c>
      <c r="G11" s="141">
        <v>72</v>
      </c>
      <c r="H11" s="137"/>
      <c r="I11" s="141">
        <v>11659</v>
      </c>
      <c r="J11" s="137"/>
      <c r="K11" s="141">
        <v>25000</v>
      </c>
      <c r="L11" s="141">
        <v>50000</v>
      </c>
      <c r="M11" s="141">
        <v>50000</v>
      </c>
      <c r="N11" s="141">
        <v>50000</v>
      </c>
      <c r="O11" s="141">
        <v>11</v>
      </c>
      <c r="P11" s="141">
        <v>0</v>
      </c>
      <c r="Q11" s="140" t="s">
        <v>352</v>
      </c>
      <c r="R11" s="137"/>
      <c r="S11" s="137"/>
      <c r="T11" s="141">
        <v>16</v>
      </c>
      <c r="U11" s="140" t="s">
        <v>356</v>
      </c>
      <c r="V11" s="141">
        <v>21</v>
      </c>
      <c r="W11" s="141">
        <v>111</v>
      </c>
      <c r="X11" s="107" t="s">
        <v>354</v>
      </c>
      <c r="Y11" s="142" t="str">
        <f t="shared" si="0"/>
        <v>GE</v>
      </c>
      <c r="Z11" s="143" t="str">
        <f t="shared" si="1"/>
        <v xml:space="preserve"> </v>
      </c>
      <c r="AA11" s="142" t="str">
        <f t="shared" si="2"/>
        <v>yes</v>
      </c>
      <c r="AB11" s="144" t="str">
        <f t="shared" si="3"/>
        <v>-</v>
      </c>
      <c r="AC11" s="144">
        <f t="shared" si="4"/>
        <v>111</v>
      </c>
      <c r="AD11" s="144">
        <f t="shared" si="5"/>
        <v>111</v>
      </c>
      <c r="AE11" s="144" t="str">
        <f>IF(Y11="DF",IF(AB11=0,"no rate",IF(U11=0,"missing state",VLOOKUP(AB11,'[1]ACs etc'!B$3:D$8,IF(U11="WA",2,3)))),"^")</f>
        <v>^</v>
      </c>
      <c r="AF11" s="144">
        <f>IF(U11=0,"missing state",IF(AD11=0,"no rate",IF(AD11="--","--",IF(AD11="---","---",VLOOKUP(AD11,'[1]ACs etc'!B$15:D$18,IF(U11="WA",2,3))))))</f>
        <v>0.70523000000000002</v>
      </c>
      <c r="AG11" s="145">
        <f t="shared" si="6"/>
        <v>0</v>
      </c>
      <c r="AH11" s="145">
        <f t="shared" si="6"/>
        <v>8222.27657</v>
      </c>
      <c r="AI11" s="145">
        <f t="shared" si="7"/>
        <v>8222.27657</v>
      </c>
      <c r="AJ11" s="146">
        <f t="shared" si="8"/>
        <v>72.972490634671033</v>
      </c>
      <c r="AK11" s="145">
        <f>IF(AA11="yes",(VLOOKUP(T11,'[1]ACs etc'!M$4:P$53,2)*H11)," ")</f>
        <v>0</v>
      </c>
      <c r="AL11" s="124">
        <f>IF(AA11="yes",(VLOOKUP(T11,'[1]ACs etc'!M$4:Q$53,IF(X11="winter",2,3))*I11)," ")</f>
        <v>7286.6347967478123</v>
      </c>
      <c r="AM11" s="145">
        <f t="shared" si="9"/>
        <v>105.30433464697741</v>
      </c>
      <c r="AN11" s="147">
        <f t="shared" si="10"/>
        <v>50000</v>
      </c>
      <c r="AO11" s="145">
        <f t="shared" si="11"/>
        <v>-42608.060868605207</v>
      </c>
      <c r="AP11" s="148">
        <f t="shared" si="12"/>
        <v>72</v>
      </c>
      <c r="AQ11" s="149">
        <f t="shared" si="13"/>
        <v>1.0135068143704311</v>
      </c>
    </row>
    <row r="12" spans="1:43" ht="12.75" thickBot="1">
      <c r="A12" s="135">
        <v>33405</v>
      </c>
      <c r="B12" s="136"/>
      <c r="C12" s="137"/>
      <c r="D12" s="138">
        <v>40455.291666659999</v>
      </c>
      <c r="E12" s="140" t="s">
        <v>355</v>
      </c>
      <c r="F12" s="140" t="s">
        <v>358</v>
      </c>
      <c r="G12" s="141">
        <v>77</v>
      </c>
      <c r="H12" s="141">
        <v>422</v>
      </c>
      <c r="I12" s="141">
        <v>542</v>
      </c>
      <c r="J12" s="141">
        <v>32</v>
      </c>
      <c r="K12" s="141">
        <v>1218</v>
      </c>
      <c r="L12" s="141">
        <v>2500</v>
      </c>
      <c r="M12" s="141">
        <v>2500</v>
      </c>
      <c r="N12" s="141">
        <v>2500</v>
      </c>
      <c r="O12" s="141">
        <v>0</v>
      </c>
      <c r="P12" s="141">
        <v>0</v>
      </c>
      <c r="Q12" s="140" t="s">
        <v>352</v>
      </c>
      <c r="R12" s="137"/>
      <c r="S12" s="137"/>
      <c r="T12" s="141">
        <v>20</v>
      </c>
      <c r="U12" s="140" t="s">
        <v>356</v>
      </c>
      <c r="V12" s="141">
        <v>21</v>
      </c>
      <c r="W12" s="141">
        <v>111</v>
      </c>
      <c r="X12" s="107" t="s">
        <v>354</v>
      </c>
      <c r="Y12" s="142" t="str">
        <f t="shared" si="0"/>
        <v>DF</v>
      </c>
      <c r="Z12" s="143">
        <f t="shared" si="1"/>
        <v>0.56224066390041505</v>
      </c>
      <c r="AA12" s="142" t="str">
        <f t="shared" si="2"/>
        <v>yes</v>
      </c>
      <c r="AB12" s="144">
        <f t="shared" si="3"/>
        <v>21</v>
      </c>
      <c r="AC12" s="144">
        <f t="shared" si="4"/>
        <v>111</v>
      </c>
      <c r="AD12" s="144">
        <f t="shared" si="5"/>
        <v>111</v>
      </c>
      <c r="AE12" s="144">
        <f>IF(Y12="DF",IF(AB12=0,"no rate",IF(U12=0,"missing state",VLOOKUP(AB12,'[1]ACs etc'!B$3:D$8,IF(U12="WA",2,3)))),"^")</f>
        <v>6.2710000000000002E-2</v>
      </c>
      <c r="AF12" s="144">
        <f>IF(U12=0,"missing state",IF(AD12=0,"no rate",IF(AD12="--","--",IF(AD12="---","---",VLOOKUP(AD12,'[1]ACs etc'!B$15:D$18,IF(U12="WA",2,3))))))</f>
        <v>0.70523000000000002</v>
      </c>
      <c r="AG12" s="145">
        <f t="shared" si="6"/>
        <v>26.463620000000002</v>
      </c>
      <c r="AH12" s="145">
        <f t="shared" si="6"/>
        <v>382.23466000000002</v>
      </c>
      <c r="AI12" s="145">
        <f t="shared" si="7"/>
        <v>408.69828000000001</v>
      </c>
      <c r="AJ12" s="146">
        <f t="shared" si="8"/>
        <v>73.403783348439831</v>
      </c>
      <c r="AK12" s="145">
        <f>IF(AA12="yes",(VLOOKUP(T12,'[1]ACs etc'!M$4:P$53,2)*H12)," ")</f>
        <v>311.77277762623106</v>
      </c>
      <c r="AL12" s="124">
        <f>IF(AA12="yes",(VLOOKUP(T12,'[1]ACs etc'!M$4:Q$53,IF(X12="winter",2,3))*I12)," ")</f>
        <v>400.42854377587025</v>
      </c>
      <c r="AM12" s="145">
        <f t="shared" si="9"/>
        <v>0</v>
      </c>
      <c r="AN12" s="147">
        <f t="shared" si="10"/>
        <v>1405.6016597510377</v>
      </c>
      <c r="AO12" s="145">
        <f t="shared" si="11"/>
        <v>-693.40033834893643</v>
      </c>
      <c r="AP12" s="148">
        <f t="shared" si="12"/>
        <v>77</v>
      </c>
      <c r="AQ12" s="149">
        <f t="shared" si="13"/>
        <v>0.95329588764207573</v>
      </c>
    </row>
    <row r="13" spans="1:43" ht="12.75" thickBot="1">
      <c r="A13" s="135">
        <v>35950</v>
      </c>
      <c r="B13" s="136"/>
      <c r="C13" s="137"/>
      <c r="D13" s="138">
        <v>40742.291666659999</v>
      </c>
      <c r="E13" s="140" t="s">
        <v>355</v>
      </c>
      <c r="F13" s="140" t="s">
        <v>361</v>
      </c>
      <c r="G13" s="141">
        <v>70</v>
      </c>
      <c r="H13" s="141">
        <v>123584</v>
      </c>
      <c r="I13" s="141">
        <v>11325</v>
      </c>
      <c r="J13" s="141">
        <v>13264</v>
      </c>
      <c r="K13" s="141">
        <v>35614</v>
      </c>
      <c r="L13" s="141">
        <v>97756</v>
      </c>
      <c r="M13" s="141">
        <v>97756</v>
      </c>
      <c r="N13" s="141">
        <v>97756</v>
      </c>
      <c r="O13" s="141">
        <v>0</v>
      </c>
      <c r="P13" s="141">
        <v>0</v>
      </c>
      <c r="Q13" s="140" t="s">
        <v>352</v>
      </c>
      <c r="R13" s="137"/>
      <c r="S13" s="137"/>
      <c r="T13" s="141">
        <v>16</v>
      </c>
      <c r="U13" s="140" t="s">
        <v>356</v>
      </c>
      <c r="V13" s="141">
        <v>21</v>
      </c>
      <c r="W13" s="141">
        <v>111</v>
      </c>
      <c r="X13" s="107" t="s">
        <v>360</v>
      </c>
      <c r="Y13" s="142" t="str">
        <f t="shared" si="0"/>
        <v>DF</v>
      </c>
      <c r="Z13" s="143">
        <f t="shared" si="1"/>
        <v>0.40286839604358904</v>
      </c>
      <c r="AA13" s="142" t="str">
        <f t="shared" si="2"/>
        <v>yes</v>
      </c>
      <c r="AB13" s="144">
        <f t="shared" si="3"/>
        <v>21</v>
      </c>
      <c r="AC13" s="144">
        <f t="shared" si="4"/>
        <v>111</v>
      </c>
      <c r="AD13" s="144">
        <f t="shared" si="5"/>
        <v>111</v>
      </c>
      <c r="AE13" s="144">
        <f>IF(Y13="DF",IF(AB13=0,"no rate",IF(U13=0,"missing state",VLOOKUP(AB13,'[1]ACs etc'!B$3:D$8,IF(U13="WA",2,3)))),"^")</f>
        <v>6.2710000000000002E-2</v>
      </c>
      <c r="AF13" s="144">
        <f>IF(U13=0,"missing state",IF(AD13=0,"no rate",IF(AD13="--","--",IF(AD13="---","---",VLOOKUP(AD13,'[1]ACs etc'!B$15:D$18,IF(U13="WA",2,3))))))</f>
        <v>0.70523000000000002</v>
      </c>
      <c r="AG13" s="145">
        <f t="shared" si="6"/>
        <v>7749.9526400000004</v>
      </c>
      <c r="AH13" s="145">
        <f t="shared" si="6"/>
        <v>7986.7297500000004</v>
      </c>
      <c r="AI13" s="145">
        <f t="shared" si="7"/>
        <v>15736.682390000002</v>
      </c>
      <c r="AJ13" s="146">
        <f t="shared" si="8"/>
        <v>74.543793343979402</v>
      </c>
      <c r="AK13" s="145">
        <f>IF(AA13="yes",(VLOOKUP(T13,'[1]ACs etc'!M$4:P$53,2)*H13)," ")</f>
        <v>77237.453874370156</v>
      </c>
      <c r="AL13" s="124">
        <f>IF(AA13="yes",(VLOOKUP(T13,'[1]ACs etc'!M$4:Q$53,IF(X13="winter",2,3))*I13)," ")</f>
        <v>52110.002134687922</v>
      </c>
      <c r="AM13" s="145">
        <f t="shared" si="9"/>
        <v>0</v>
      </c>
      <c r="AN13" s="147">
        <f t="shared" si="10"/>
        <v>39382.802923637093</v>
      </c>
      <c r="AO13" s="145">
        <f t="shared" si="11"/>
        <v>89964.653085420985</v>
      </c>
      <c r="AP13" s="148">
        <f t="shared" si="12"/>
        <v>70</v>
      </c>
      <c r="AQ13" s="149">
        <f t="shared" si="13"/>
        <v>1.0649113334854201</v>
      </c>
    </row>
    <row r="14" spans="1:43" ht="12.75" thickBot="1">
      <c r="A14" s="135">
        <v>36478</v>
      </c>
      <c r="B14" s="136"/>
      <c r="C14" s="137"/>
      <c r="D14" s="138">
        <v>40833.291666659999</v>
      </c>
      <c r="E14" s="140" t="s">
        <v>357</v>
      </c>
      <c r="F14" s="140" t="s">
        <v>359</v>
      </c>
      <c r="G14" s="141">
        <v>79</v>
      </c>
      <c r="H14" s="141">
        <v>0</v>
      </c>
      <c r="I14" s="141">
        <v>7953</v>
      </c>
      <c r="J14" s="137"/>
      <c r="K14" s="141">
        <v>18725</v>
      </c>
      <c r="L14" s="141">
        <v>37450</v>
      </c>
      <c r="M14" s="141">
        <v>37450</v>
      </c>
      <c r="N14" s="141">
        <v>37450</v>
      </c>
      <c r="O14" s="141">
        <v>0</v>
      </c>
      <c r="P14" s="141">
        <v>0</v>
      </c>
      <c r="Q14" s="140" t="s">
        <v>352</v>
      </c>
      <c r="R14" s="137"/>
      <c r="S14" s="137"/>
      <c r="T14" s="141">
        <v>20</v>
      </c>
      <c r="U14" s="140" t="s">
        <v>356</v>
      </c>
      <c r="V14" s="141">
        <v>21</v>
      </c>
      <c r="W14" s="141">
        <v>111</v>
      </c>
      <c r="X14" s="107" t="s">
        <v>354</v>
      </c>
      <c r="Y14" s="142" t="str">
        <f t="shared" si="0"/>
        <v>GE</v>
      </c>
      <c r="Z14" s="143" t="str">
        <f t="shared" si="1"/>
        <v xml:space="preserve"> </v>
      </c>
      <c r="AA14" s="142" t="str">
        <f t="shared" si="2"/>
        <v>yes</v>
      </c>
      <c r="AB14" s="144" t="str">
        <f t="shared" si="3"/>
        <v>-</v>
      </c>
      <c r="AC14" s="144">
        <f t="shared" si="4"/>
        <v>111</v>
      </c>
      <c r="AD14" s="144">
        <f t="shared" si="5"/>
        <v>111</v>
      </c>
      <c r="AE14" s="144" t="str">
        <f>IF(Y14="DF",IF(AB14=0,"no rate",IF(U14=0,"missing state",VLOOKUP(AB14,'[1]ACs etc'!B$3:D$8,IF(U14="WA",2,3)))),"^")</f>
        <v>^</v>
      </c>
      <c r="AF14" s="144">
        <f>IF(U14=0,"missing state",IF(AD14=0,"no rate",IF(AD14="--","--",IF(AD14="---","---",VLOOKUP(AD14,'[1]ACs etc'!B$15:D$18,IF(U14="WA",2,3))))))</f>
        <v>0.70523000000000002</v>
      </c>
      <c r="AG14" s="145">
        <f t="shared" si="6"/>
        <v>0</v>
      </c>
      <c r="AH14" s="145">
        <f t="shared" si="6"/>
        <v>5608.6941900000002</v>
      </c>
      <c r="AI14" s="145">
        <f t="shared" si="7"/>
        <v>5608.6941900000002</v>
      </c>
      <c r="AJ14" s="146">
        <f t="shared" si="8"/>
        <v>80.125602283907014</v>
      </c>
      <c r="AK14" s="145">
        <f>IF(AA14="yes",(VLOOKUP(T14,'[1]ACs etc'!M$4:P$53,2)*H14)," ")</f>
        <v>0</v>
      </c>
      <c r="AL14" s="124">
        <f>IF(AA14="yes",(VLOOKUP(T14,'[1]ACs etc'!M$4:Q$53,IF(X14="winter",2,3))*I14)," ")</f>
        <v>5875.6609015673357</v>
      </c>
      <c r="AM14" s="145">
        <f t="shared" si="9"/>
        <v>0</v>
      </c>
      <c r="AN14" s="147">
        <f t="shared" si="10"/>
        <v>37450</v>
      </c>
      <c r="AO14" s="145">
        <f t="shared" si="11"/>
        <v>-31574.339098432665</v>
      </c>
      <c r="AP14" s="148">
        <f t="shared" si="12"/>
        <v>79</v>
      </c>
      <c r="AQ14" s="149">
        <f t="shared" si="13"/>
        <v>1.0142481301760382</v>
      </c>
    </row>
    <row r="15" spans="1:43" ht="12.75" thickBot="1">
      <c r="A15" s="135">
        <v>35426</v>
      </c>
      <c r="B15" s="136"/>
      <c r="C15" s="137"/>
      <c r="D15" s="138">
        <v>40602.333333330003</v>
      </c>
      <c r="E15" s="140" t="s">
        <v>355</v>
      </c>
      <c r="F15" s="140" t="s">
        <v>351</v>
      </c>
      <c r="G15" s="141">
        <v>80</v>
      </c>
      <c r="H15" s="141">
        <v>22030</v>
      </c>
      <c r="I15" s="141">
        <v>2173</v>
      </c>
      <c r="J15" s="141">
        <v>2391</v>
      </c>
      <c r="K15" s="141">
        <v>6911</v>
      </c>
      <c r="L15" s="141">
        <v>18604</v>
      </c>
      <c r="M15" s="141">
        <v>18604</v>
      </c>
      <c r="N15" s="141">
        <v>18604</v>
      </c>
      <c r="O15" s="141">
        <v>0</v>
      </c>
      <c r="P15" s="141">
        <v>0</v>
      </c>
      <c r="Q15" s="140" t="s">
        <v>352</v>
      </c>
      <c r="R15" s="137"/>
      <c r="S15" s="137"/>
      <c r="T15" s="141">
        <v>16</v>
      </c>
      <c r="U15" s="140" t="s">
        <v>353</v>
      </c>
      <c r="V15" s="141">
        <v>21</v>
      </c>
      <c r="W15" s="141">
        <v>111</v>
      </c>
      <c r="X15" s="107" t="s">
        <v>354</v>
      </c>
      <c r="Y15" s="142" t="str">
        <f t="shared" si="0"/>
        <v>DF</v>
      </c>
      <c r="Z15" s="143">
        <f t="shared" si="1"/>
        <v>8.9782258397719292E-2</v>
      </c>
      <c r="AA15" s="142" t="str">
        <f t="shared" si="2"/>
        <v>yes</v>
      </c>
      <c r="AB15" s="144">
        <f t="shared" si="3"/>
        <v>21</v>
      </c>
      <c r="AC15" s="144">
        <f t="shared" si="4"/>
        <v>111</v>
      </c>
      <c r="AD15" s="144">
        <f t="shared" si="5"/>
        <v>111</v>
      </c>
      <c r="AE15" s="144">
        <f>IF(Y15="DF",IF(AB15=0,"no rate",IF(U15=0,"missing state",VLOOKUP(AB15,'[1]ACs etc'!B$3:D$8,IF(U15="WA",2,3)))),"^")</f>
        <v>5.3490000000000003E-2</v>
      </c>
      <c r="AF15" s="144">
        <f>IF(U15=0,"missing state",IF(AD15=0,"no rate",IF(AD15="--","--",IF(AD15="---","---",VLOOKUP(AD15,'[1]ACs etc'!B$15:D$18,IF(U15="WA",2,3))))))</f>
        <v>0.66427000000000003</v>
      </c>
      <c r="AG15" s="145">
        <f t="shared" si="6"/>
        <v>1178.3847000000001</v>
      </c>
      <c r="AH15" s="145">
        <f t="shared" si="6"/>
        <v>1443.4587100000001</v>
      </c>
      <c r="AI15" s="145">
        <f t="shared" si="7"/>
        <v>2621.8434100000004</v>
      </c>
      <c r="AJ15" s="146">
        <f t="shared" si="8"/>
        <v>85.149250008031558</v>
      </c>
      <c r="AK15" s="145">
        <f>IF(AA15="yes",(VLOOKUP(T15,'[1]ACs etc'!M$4:P$53,2)*H15)," ")</f>
        <v>13768.296129372528</v>
      </c>
      <c r="AL15" s="124">
        <f>IF(AA15="yes",(VLOOKUP(T15,'[1]ACs etc'!M$4:Q$53,IF(X15="winter",2,3))*I15)," ")</f>
        <v>1358.0802310089198</v>
      </c>
      <c r="AM15" s="145">
        <f t="shared" si="9"/>
        <v>0</v>
      </c>
      <c r="AN15" s="147">
        <f t="shared" si="10"/>
        <v>1670.3091352311696</v>
      </c>
      <c r="AO15" s="145">
        <f t="shared" si="11"/>
        <v>13456.067225150278</v>
      </c>
      <c r="AP15" s="148">
        <f t="shared" si="12"/>
        <v>80</v>
      </c>
      <c r="AQ15" s="149">
        <f t="shared" si="13"/>
        <v>1.0643656251003946</v>
      </c>
    </row>
    <row r="16" spans="1:43" ht="12.75" thickBot="1">
      <c r="A16" s="135">
        <v>35479</v>
      </c>
      <c r="B16" s="136"/>
      <c r="C16" s="137"/>
      <c r="D16" s="138">
        <v>40583.333333330003</v>
      </c>
      <c r="E16" s="140" t="s">
        <v>355</v>
      </c>
      <c r="F16" s="140" t="s">
        <v>358</v>
      </c>
      <c r="G16" s="141">
        <v>88</v>
      </c>
      <c r="H16" s="141">
        <v>73</v>
      </c>
      <c r="I16" s="141">
        <v>57</v>
      </c>
      <c r="J16" s="141">
        <v>6</v>
      </c>
      <c r="K16" s="141">
        <v>144</v>
      </c>
      <c r="L16" s="141">
        <v>300</v>
      </c>
      <c r="M16" s="141">
        <v>300</v>
      </c>
      <c r="N16" s="141">
        <v>300</v>
      </c>
      <c r="O16" s="141">
        <v>0</v>
      </c>
      <c r="P16" s="141">
        <v>0</v>
      </c>
      <c r="Q16" s="140" t="s">
        <v>352</v>
      </c>
      <c r="R16" s="137"/>
      <c r="S16" s="137"/>
      <c r="T16" s="141">
        <v>20</v>
      </c>
      <c r="U16" s="140" t="s">
        <v>356</v>
      </c>
      <c r="V16" s="141">
        <v>21</v>
      </c>
      <c r="W16" s="141">
        <v>121</v>
      </c>
      <c r="X16" s="107" t="s">
        <v>354</v>
      </c>
      <c r="Y16" s="142" t="str">
        <f t="shared" si="0"/>
        <v>DF</v>
      </c>
      <c r="Z16" s="143">
        <f t="shared" si="1"/>
        <v>0.43846153846153846</v>
      </c>
      <c r="AA16" s="142" t="str">
        <f t="shared" si="2"/>
        <v>yes</v>
      </c>
      <c r="AB16" s="144">
        <f t="shared" si="3"/>
        <v>21</v>
      </c>
      <c r="AC16" s="144">
        <f t="shared" si="4"/>
        <v>121</v>
      </c>
      <c r="AD16" s="144">
        <f t="shared" si="5"/>
        <v>121</v>
      </c>
      <c r="AE16" s="144">
        <f>IF(Y16="DF",IF(AB16=0,"no rate",IF(U16=0,"missing state",VLOOKUP(AB16,'[1]ACs etc'!B$3:D$8,IF(U16="WA",2,3)))),"^")</f>
        <v>6.2710000000000002E-2</v>
      </c>
      <c r="AF16" s="144">
        <f>IF(U16=0,"missing state",IF(AD16=0,"no rate",IF(AD16="--","--",IF(AD16="---","---",VLOOKUP(AD16,'[1]ACs etc'!B$15:D$18,IF(U16="WA",2,3))))))</f>
        <v>0.63282000000000005</v>
      </c>
      <c r="AG16" s="145">
        <f t="shared" si="6"/>
        <v>4.5778300000000005</v>
      </c>
      <c r="AH16" s="145">
        <f t="shared" si="6"/>
        <v>36.070740000000001</v>
      </c>
      <c r="AI16" s="145">
        <f t="shared" si="7"/>
        <v>40.648569999999999</v>
      </c>
      <c r="AJ16" s="146">
        <f t="shared" si="8"/>
        <v>88.564001144443694</v>
      </c>
      <c r="AK16" s="145">
        <f>IF(AA16="yes",(VLOOKUP(T16,'[1]ACs etc'!M$4:P$53,2)*H16)," ")</f>
        <v>53.93225774103049</v>
      </c>
      <c r="AL16" s="124">
        <f>IF(AA16="yes",(VLOOKUP(T16,'[1]ACs etc'!M$4:Q$53,IF(X16="winter",2,3))*I16)," ")</f>
        <v>42.111488921078603</v>
      </c>
      <c r="AM16" s="145">
        <f t="shared" si="9"/>
        <v>0</v>
      </c>
      <c r="AN16" s="147">
        <f t="shared" si="10"/>
        <v>131.53846153846155</v>
      </c>
      <c r="AO16" s="145">
        <f t="shared" si="11"/>
        <v>-35.494714876352447</v>
      </c>
      <c r="AP16" s="148">
        <f t="shared" si="12"/>
        <v>88</v>
      </c>
      <c r="AQ16" s="149">
        <f t="shared" si="13"/>
        <v>1.006409103914133</v>
      </c>
    </row>
    <row r="17" spans="1:43" ht="12.75" thickBot="1">
      <c r="A17" s="135">
        <v>37571</v>
      </c>
      <c r="B17" s="136"/>
      <c r="C17" s="137"/>
      <c r="D17" s="138">
        <v>40868.333333330003</v>
      </c>
      <c r="E17" s="140" t="s">
        <v>357</v>
      </c>
      <c r="F17" s="140" t="s">
        <v>359</v>
      </c>
      <c r="G17" s="141">
        <v>96</v>
      </c>
      <c r="H17" s="137"/>
      <c r="I17" s="141">
        <v>967</v>
      </c>
      <c r="J17" s="137"/>
      <c r="K17" s="141">
        <v>2750</v>
      </c>
      <c r="L17" s="141">
        <v>5500</v>
      </c>
      <c r="M17" s="141">
        <v>5500</v>
      </c>
      <c r="N17" s="141">
        <v>5500</v>
      </c>
      <c r="O17" s="141">
        <v>11</v>
      </c>
      <c r="P17" s="141">
        <v>0</v>
      </c>
      <c r="Q17" s="140" t="s">
        <v>352</v>
      </c>
      <c r="R17" s="137"/>
      <c r="S17" s="137"/>
      <c r="T17" s="141">
        <v>16</v>
      </c>
      <c r="U17" s="140" t="s">
        <v>356</v>
      </c>
      <c r="V17" s="141">
        <v>21</v>
      </c>
      <c r="W17" s="141">
        <v>111</v>
      </c>
      <c r="X17" s="107" t="s">
        <v>354</v>
      </c>
      <c r="Y17" s="142" t="str">
        <f t="shared" si="0"/>
        <v>GE</v>
      </c>
      <c r="Z17" s="143" t="str">
        <f t="shared" si="1"/>
        <v xml:space="preserve"> </v>
      </c>
      <c r="AA17" s="142" t="str">
        <f t="shared" si="2"/>
        <v>yes</v>
      </c>
      <c r="AB17" s="144" t="str">
        <f t="shared" si="3"/>
        <v>-</v>
      </c>
      <c r="AC17" s="144">
        <f t="shared" si="4"/>
        <v>111</v>
      </c>
      <c r="AD17" s="144">
        <f t="shared" si="5"/>
        <v>111</v>
      </c>
      <c r="AE17" s="144" t="str">
        <f>IF(Y17="DF",IF(AB17=0,"no rate",IF(U17=0,"missing state",VLOOKUP(AB17,'[1]ACs etc'!B$3:D$8,IF(U17="WA",2,3)))),"^")</f>
        <v>^</v>
      </c>
      <c r="AF17" s="144">
        <f>IF(U17=0,"missing state",IF(AD17=0,"no rate",IF(AD17="--","--",IF(AD17="---","---",VLOOKUP(AD17,'[1]ACs etc'!B$15:D$18,IF(U17="WA",2,3))))))</f>
        <v>0.70523000000000002</v>
      </c>
      <c r="AG17" s="145">
        <f t="shared" si="6"/>
        <v>0</v>
      </c>
      <c r="AH17" s="145">
        <f t="shared" si="6"/>
        <v>681.95740999999998</v>
      </c>
      <c r="AI17" s="145">
        <f t="shared" si="7"/>
        <v>681.95740999999998</v>
      </c>
      <c r="AJ17" s="146">
        <f t="shared" si="8"/>
        <v>96.780237346493536</v>
      </c>
      <c r="AK17" s="145">
        <f>IF(AA17="yes",(VLOOKUP(T17,'[1]ACs etc'!M$4:P$53,2)*H17)," ")</f>
        <v>0</v>
      </c>
      <c r="AL17" s="124">
        <f>IF(AA17="yes",(VLOOKUP(T17,'[1]ACs etc'!M$4:Q$53,IF(X17="winter",2,3))*I17)," ")</f>
        <v>604.35507748993348</v>
      </c>
      <c r="AM17" s="145">
        <f t="shared" si="9"/>
        <v>105.30433464697741</v>
      </c>
      <c r="AN17" s="147">
        <f t="shared" si="10"/>
        <v>5500</v>
      </c>
      <c r="AO17" s="145">
        <f t="shared" si="11"/>
        <v>-4790.3405878630892</v>
      </c>
      <c r="AP17" s="148">
        <f t="shared" si="12"/>
        <v>96</v>
      </c>
      <c r="AQ17" s="149">
        <f t="shared" si="13"/>
        <v>1.0081274723593077</v>
      </c>
    </row>
    <row r="18" spans="1:43" ht="12.75" thickBot="1">
      <c r="A18" s="135">
        <v>37570</v>
      </c>
      <c r="B18" s="136"/>
      <c r="C18" s="137"/>
      <c r="D18" s="138">
        <v>40868.333333330003</v>
      </c>
      <c r="E18" s="140" t="s">
        <v>357</v>
      </c>
      <c r="F18" s="140" t="s">
        <v>359</v>
      </c>
      <c r="G18" s="141">
        <v>96</v>
      </c>
      <c r="H18" s="137"/>
      <c r="I18" s="141">
        <v>1436</v>
      </c>
      <c r="J18" s="137"/>
      <c r="K18" s="141">
        <v>4100</v>
      </c>
      <c r="L18" s="141">
        <v>82000</v>
      </c>
      <c r="M18" s="141">
        <v>8200</v>
      </c>
      <c r="N18" s="141">
        <v>8200</v>
      </c>
      <c r="O18" s="141">
        <v>11</v>
      </c>
      <c r="P18" s="141">
        <v>0</v>
      </c>
      <c r="Q18" s="140" t="s">
        <v>352</v>
      </c>
      <c r="R18" s="137"/>
      <c r="S18" s="137"/>
      <c r="T18" s="141">
        <v>16</v>
      </c>
      <c r="U18" s="140" t="s">
        <v>356</v>
      </c>
      <c r="V18" s="141">
        <v>21</v>
      </c>
      <c r="W18" s="141">
        <v>111</v>
      </c>
      <c r="X18" s="107" t="s">
        <v>354</v>
      </c>
      <c r="Y18" s="142" t="str">
        <f t="shared" si="0"/>
        <v>GE</v>
      </c>
      <c r="Z18" s="143" t="str">
        <f t="shared" si="1"/>
        <v xml:space="preserve"> </v>
      </c>
      <c r="AA18" s="142" t="str">
        <f t="shared" si="2"/>
        <v>yes</v>
      </c>
      <c r="AB18" s="144" t="str">
        <f t="shared" si="3"/>
        <v>-</v>
      </c>
      <c r="AC18" s="144">
        <f t="shared" si="4"/>
        <v>111</v>
      </c>
      <c r="AD18" s="144">
        <f t="shared" si="5"/>
        <v>111</v>
      </c>
      <c r="AE18" s="144" t="str">
        <f>IF(Y18="DF",IF(AB18=0,"no rate",IF(U18=0,"missing state",VLOOKUP(AB18,'[1]ACs etc'!B$3:D$8,IF(U18="WA",2,3)))),"^")</f>
        <v>^</v>
      </c>
      <c r="AF18" s="144">
        <f>IF(U18=0,"missing state",IF(AD18=0,"no rate",IF(AD18="--","--",IF(AD18="---","---",VLOOKUP(AD18,'[1]ACs etc'!B$15:D$18,IF(U18="WA",2,3))))))</f>
        <v>0.70523000000000002</v>
      </c>
      <c r="AG18" s="145">
        <f t="shared" si="6"/>
        <v>0</v>
      </c>
      <c r="AH18" s="145">
        <f t="shared" si="6"/>
        <v>1012.71028</v>
      </c>
      <c r="AI18" s="145">
        <f t="shared" si="7"/>
        <v>1012.71028</v>
      </c>
      <c r="AJ18" s="146">
        <f t="shared" si="8"/>
        <v>97.165005572966038</v>
      </c>
      <c r="AK18" s="145">
        <f>IF(AA18="yes",(VLOOKUP(T18,'[1]ACs etc'!M$4:P$53,2)*H18)," ")</f>
        <v>0</v>
      </c>
      <c r="AL18" s="124">
        <f>IF(AA18="yes",(VLOOKUP(T18,'[1]ACs etc'!M$4:Q$53,IF(X18="winter",2,3))*I18)," ")</f>
        <v>897.47041496953932</v>
      </c>
      <c r="AM18" s="145">
        <f t="shared" si="9"/>
        <v>105.30433464697741</v>
      </c>
      <c r="AN18" s="147">
        <f t="shared" si="10"/>
        <v>8200</v>
      </c>
      <c r="AO18" s="145">
        <f t="shared" si="11"/>
        <v>-7197.2252503834834</v>
      </c>
      <c r="AP18" s="148">
        <f t="shared" si="12"/>
        <v>96</v>
      </c>
      <c r="AQ18" s="149">
        <f t="shared" si="13"/>
        <v>1.0121354747183962</v>
      </c>
    </row>
    <row r="19" spans="1:43" ht="12.75" thickBot="1">
      <c r="A19" s="135">
        <v>36581</v>
      </c>
      <c r="B19" s="136"/>
      <c r="C19" s="137"/>
      <c r="D19" s="138">
        <v>40724.291666659999</v>
      </c>
      <c r="E19" s="140" t="s">
        <v>357</v>
      </c>
      <c r="F19" s="140" t="s">
        <v>358</v>
      </c>
      <c r="G19" s="141">
        <v>101</v>
      </c>
      <c r="H19" s="137"/>
      <c r="I19" s="141">
        <v>225</v>
      </c>
      <c r="J19" s="137"/>
      <c r="K19" s="141">
        <v>788</v>
      </c>
      <c r="L19" s="141">
        <v>1631</v>
      </c>
      <c r="M19" s="141">
        <v>1631</v>
      </c>
      <c r="N19" s="141">
        <v>1631</v>
      </c>
      <c r="O19" s="141">
        <v>0</v>
      </c>
      <c r="P19" s="141">
        <v>0</v>
      </c>
      <c r="Q19" s="140" t="s">
        <v>352</v>
      </c>
      <c r="R19" s="137"/>
      <c r="S19" s="137"/>
      <c r="T19" s="141">
        <v>22</v>
      </c>
      <c r="U19" s="140" t="s">
        <v>356</v>
      </c>
      <c r="V19" s="141">
        <v>11</v>
      </c>
      <c r="W19" s="141">
        <v>101</v>
      </c>
      <c r="X19" s="107" t="s">
        <v>354</v>
      </c>
      <c r="Y19" s="142" t="str">
        <f t="shared" si="0"/>
        <v>GE</v>
      </c>
      <c r="Z19" s="143" t="str">
        <f t="shared" si="1"/>
        <v xml:space="preserve"> </v>
      </c>
      <c r="AA19" s="142" t="str">
        <f t="shared" si="2"/>
        <v>yes</v>
      </c>
      <c r="AB19" s="144" t="str">
        <f t="shared" si="3"/>
        <v>-</v>
      </c>
      <c r="AC19" s="144">
        <f t="shared" si="4"/>
        <v>101</v>
      </c>
      <c r="AD19" s="144">
        <f t="shared" si="5"/>
        <v>101</v>
      </c>
      <c r="AE19" s="144" t="str">
        <f>IF(Y19="DF",IF(AB19=0,"no rate",IF(U19=0,"missing state",VLOOKUP(AB19,'[1]ACs etc'!B$3:D$8,IF(U19="WA",2,3)))),"^")</f>
        <v>^</v>
      </c>
      <c r="AF19" s="144">
        <f>IF(U19=0,"missing state",IF(AD19=0,"no rate",IF(AD19="--","--",IF(AD19="---","---",VLOOKUP(AD19,'[1]ACs etc'!B$15:D$18,IF(U19="WA",2,3))))))</f>
        <v>0.84889000000000003</v>
      </c>
      <c r="AG19" s="145">
        <f t="shared" si="6"/>
        <v>0</v>
      </c>
      <c r="AH19" s="145">
        <f t="shared" si="6"/>
        <v>191.00024999999999</v>
      </c>
      <c r="AI19" s="145">
        <f t="shared" si="7"/>
        <v>191.00024999999999</v>
      </c>
      <c r="AJ19" s="146">
        <f t="shared" si="8"/>
        <v>102.47107006404441</v>
      </c>
      <c r="AK19" s="145">
        <f>IF(AA19="yes",(VLOOKUP(T19,'[1]ACs etc'!M$4:P$53,2)*H19)," ")</f>
        <v>0</v>
      </c>
      <c r="AL19" s="124">
        <f>IF(AA19="yes",(VLOOKUP(T19,'[1]ACs etc'!M$4:Q$53,IF(X19="winter",2,3))*I19)," ")</f>
        <v>177.63588595567208</v>
      </c>
      <c r="AM19" s="145">
        <f t="shared" si="9"/>
        <v>0</v>
      </c>
      <c r="AN19" s="147">
        <f t="shared" si="10"/>
        <v>1631</v>
      </c>
      <c r="AO19" s="145">
        <f t="shared" si="11"/>
        <v>-1453.3641140443278</v>
      </c>
      <c r="AP19" s="148">
        <f t="shared" si="12"/>
        <v>101</v>
      </c>
      <c r="AQ19" s="149">
        <f t="shared" si="13"/>
        <v>1.0145650501390535</v>
      </c>
    </row>
    <row r="20" spans="1:43" ht="12.75" thickBot="1">
      <c r="A20" s="135">
        <v>36593</v>
      </c>
      <c r="B20" s="136"/>
      <c r="C20" s="137"/>
      <c r="D20" s="138">
        <v>40724.291666659999</v>
      </c>
      <c r="E20" s="140" t="s">
        <v>357</v>
      </c>
      <c r="F20" s="140" t="s">
        <v>358</v>
      </c>
      <c r="G20" s="141">
        <v>102</v>
      </c>
      <c r="H20" s="137"/>
      <c r="I20" s="141">
        <v>423</v>
      </c>
      <c r="J20" s="137"/>
      <c r="K20" s="141">
        <v>1481</v>
      </c>
      <c r="L20" s="141">
        <v>3075</v>
      </c>
      <c r="M20" s="141">
        <v>3075</v>
      </c>
      <c r="N20" s="141">
        <v>3075</v>
      </c>
      <c r="O20" s="141">
        <v>0</v>
      </c>
      <c r="P20" s="141">
        <v>0</v>
      </c>
      <c r="Q20" s="140" t="s">
        <v>352</v>
      </c>
      <c r="R20" s="137"/>
      <c r="S20" s="137"/>
      <c r="T20" s="141">
        <v>22</v>
      </c>
      <c r="U20" s="140" t="s">
        <v>356</v>
      </c>
      <c r="V20" s="141">
        <v>11</v>
      </c>
      <c r="W20" s="141">
        <v>101</v>
      </c>
      <c r="X20" s="107" t="s">
        <v>354</v>
      </c>
      <c r="Y20" s="142" t="str">
        <f t="shared" si="0"/>
        <v>GE</v>
      </c>
      <c r="Z20" s="143" t="str">
        <f t="shared" si="1"/>
        <v xml:space="preserve"> </v>
      </c>
      <c r="AA20" s="142" t="str">
        <f t="shared" si="2"/>
        <v>yes</v>
      </c>
      <c r="AB20" s="144" t="str">
        <f t="shared" si="3"/>
        <v>-</v>
      </c>
      <c r="AC20" s="144">
        <f t="shared" si="4"/>
        <v>101</v>
      </c>
      <c r="AD20" s="144">
        <f t="shared" si="5"/>
        <v>101</v>
      </c>
      <c r="AE20" s="144" t="str">
        <f>IF(Y20="DF",IF(AB20=0,"no rate",IF(U20=0,"missing state",VLOOKUP(AB20,'[1]ACs etc'!B$3:D$8,IF(U20="WA",2,3)))),"^")</f>
        <v>^</v>
      </c>
      <c r="AF20" s="144">
        <f>IF(U20=0,"missing state",IF(AD20=0,"no rate",IF(AD20="--","--",IF(AD20="---","---",VLOOKUP(AD20,'[1]ACs etc'!B$15:D$18,IF(U20="WA",2,3))))))</f>
        <v>0.84889000000000003</v>
      </c>
      <c r="AG20" s="145">
        <f t="shared" si="6"/>
        <v>0</v>
      </c>
      <c r="AH20" s="145">
        <f t="shared" si="6"/>
        <v>359.08046999999999</v>
      </c>
      <c r="AI20" s="145">
        <f t="shared" si="7"/>
        <v>359.08046999999999</v>
      </c>
      <c r="AJ20" s="146">
        <f t="shared" si="8"/>
        <v>102.76248106726607</v>
      </c>
      <c r="AK20" s="145">
        <f>IF(AA20="yes",(VLOOKUP(T20,'[1]ACs etc'!M$4:P$53,2)*H20)," ")</f>
        <v>0</v>
      </c>
      <c r="AL20" s="124">
        <f>IF(AA20="yes",(VLOOKUP(T20,'[1]ACs etc'!M$4:Q$53,IF(X20="winter",2,3))*I20)," ")</f>
        <v>333.95546559666349</v>
      </c>
      <c r="AM20" s="145">
        <f t="shared" si="9"/>
        <v>0</v>
      </c>
      <c r="AN20" s="147">
        <f t="shared" si="10"/>
        <v>3075</v>
      </c>
      <c r="AO20" s="145">
        <f t="shared" si="11"/>
        <v>-2741.0445344033365</v>
      </c>
      <c r="AP20" s="148">
        <f t="shared" si="12"/>
        <v>102</v>
      </c>
      <c r="AQ20" s="149">
        <f t="shared" si="13"/>
        <v>1.0074753045810398</v>
      </c>
    </row>
    <row r="21" spans="1:43" ht="12.75" thickBot="1">
      <c r="A21" s="135">
        <v>36595</v>
      </c>
      <c r="B21" s="136"/>
      <c r="C21" s="137"/>
      <c r="D21" s="138">
        <v>40724.291666659999</v>
      </c>
      <c r="E21" s="140" t="s">
        <v>357</v>
      </c>
      <c r="F21" s="140" t="s">
        <v>358</v>
      </c>
      <c r="G21" s="141">
        <v>108</v>
      </c>
      <c r="H21" s="137"/>
      <c r="I21" s="141">
        <v>1346</v>
      </c>
      <c r="J21" s="137"/>
      <c r="K21" s="141">
        <v>4711</v>
      </c>
      <c r="L21" s="141">
        <v>10350</v>
      </c>
      <c r="M21" s="141">
        <v>10350</v>
      </c>
      <c r="N21" s="141">
        <v>10350</v>
      </c>
      <c r="O21" s="141">
        <v>0</v>
      </c>
      <c r="P21" s="141">
        <v>0</v>
      </c>
      <c r="Q21" s="140" t="s">
        <v>352</v>
      </c>
      <c r="R21" s="137"/>
      <c r="S21" s="137"/>
      <c r="T21" s="141">
        <v>22</v>
      </c>
      <c r="U21" s="140" t="s">
        <v>356</v>
      </c>
      <c r="V21" s="141">
        <v>11</v>
      </c>
      <c r="W21" s="141">
        <v>101</v>
      </c>
      <c r="X21" s="107" t="s">
        <v>354</v>
      </c>
      <c r="Y21" s="142" t="str">
        <f t="shared" si="0"/>
        <v>GE</v>
      </c>
      <c r="Z21" s="143" t="str">
        <f t="shared" si="1"/>
        <v xml:space="preserve"> </v>
      </c>
      <c r="AA21" s="142" t="str">
        <f t="shared" si="2"/>
        <v>yes</v>
      </c>
      <c r="AB21" s="144" t="str">
        <f t="shared" si="3"/>
        <v>-</v>
      </c>
      <c r="AC21" s="144">
        <f t="shared" si="4"/>
        <v>101</v>
      </c>
      <c r="AD21" s="144">
        <f t="shared" si="5"/>
        <v>101</v>
      </c>
      <c r="AE21" s="144" t="str">
        <f>IF(Y21="DF",IF(AB21=0,"no rate",IF(U21=0,"missing state",VLOOKUP(AB21,'[1]ACs etc'!B$3:D$8,IF(U21="WA",2,3)))),"^")</f>
        <v>^</v>
      </c>
      <c r="AF21" s="144">
        <f>IF(U21=0,"missing state",IF(AD21=0,"no rate",IF(AD21="--","--",IF(AD21="---","---",VLOOKUP(AD21,'[1]ACs etc'!B$15:D$18,IF(U21="WA",2,3))))))</f>
        <v>0.84889000000000003</v>
      </c>
      <c r="AG21" s="145">
        <f t="shared" si="6"/>
        <v>0</v>
      </c>
      <c r="AH21" s="145">
        <f t="shared" si="6"/>
        <v>1142.6059400000001</v>
      </c>
      <c r="AI21" s="145">
        <f t="shared" si="7"/>
        <v>1142.6059400000001</v>
      </c>
      <c r="AJ21" s="146">
        <f t="shared" si="8"/>
        <v>108.69889228827218</v>
      </c>
      <c r="AK21" s="145">
        <f>IF(AA21="yes",(VLOOKUP(T21,'[1]ACs etc'!M$4:P$53,2)*H21)," ")</f>
        <v>0</v>
      </c>
      <c r="AL21" s="124">
        <f>IF(AA21="yes",(VLOOKUP(T21,'[1]ACs etc'!M$4:Q$53,IF(X21="winter",2,3))*I21)," ")</f>
        <v>1062.6573444281539</v>
      </c>
      <c r="AM21" s="145">
        <f t="shared" si="9"/>
        <v>0</v>
      </c>
      <c r="AN21" s="147">
        <f t="shared" si="10"/>
        <v>10350</v>
      </c>
      <c r="AO21" s="145">
        <f t="shared" si="11"/>
        <v>-9287.342655571847</v>
      </c>
      <c r="AP21" s="148">
        <f t="shared" si="12"/>
        <v>108</v>
      </c>
      <c r="AQ21" s="149">
        <f t="shared" si="13"/>
        <v>1.0064712248914089</v>
      </c>
    </row>
    <row r="22" spans="1:43" ht="12.75" thickBot="1">
      <c r="A22" s="135">
        <v>36594</v>
      </c>
      <c r="B22" s="136"/>
      <c r="C22" s="137"/>
      <c r="D22" s="138">
        <v>40724.291666659999</v>
      </c>
      <c r="E22" s="140" t="s">
        <v>357</v>
      </c>
      <c r="F22" s="140" t="s">
        <v>358</v>
      </c>
      <c r="G22" s="141">
        <v>108</v>
      </c>
      <c r="H22" s="137"/>
      <c r="I22" s="141">
        <v>2692</v>
      </c>
      <c r="J22" s="137"/>
      <c r="K22" s="141">
        <v>9422</v>
      </c>
      <c r="L22" s="141">
        <v>20700</v>
      </c>
      <c r="M22" s="141">
        <v>20700</v>
      </c>
      <c r="N22" s="141">
        <v>20700</v>
      </c>
      <c r="O22" s="141">
        <v>0</v>
      </c>
      <c r="P22" s="141">
        <v>0</v>
      </c>
      <c r="Q22" s="140" t="s">
        <v>352</v>
      </c>
      <c r="R22" s="137"/>
      <c r="S22" s="137"/>
      <c r="T22" s="141">
        <v>22</v>
      </c>
      <c r="U22" s="140" t="s">
        <v>356</v>
      </c>
      <c r="V22" s="141">
        <v>11</v>
      </c>
      <c r="W22" s="141">
        <v>101</v>
      </c>
      <c r="X22" s="107" t="s">
        <v>354</v>
      </c>
      <c r="Y22" s="142" t="str">
        <f t="shared" si="0"/>
        <v>GE</v>
      </c>
      <c r="Z22" s="143" t="str">
        <f t="shared" si="1"/>
        <v xml:space="preserve"> </v>
      </c>
      <c r="AA22" s="142" t="str">
        <f t="shared" si="2"/>
        <v>yes</v>
      </c>
      <c r="AB22" s="144" t="str">
        <f t="shared" si="3"/>
        <v>-</v>
      </c>
      <c r="AC22" s="144">
        <f t="shared" si="4"/>
        <v>101</v>
      </c>
      <c r="AD22" s="144">
        <f t="shared" si="5"/>
        <v>101</v>
      </c>
      <c r="AE22" s="144" t="str">
        <f>IF(Y22="DF",IF(AB22=0,"no rate",IF(U22=0,"missing state",VLOOKUP(AB22,'[1]ACs etc'!B$3:D$8,IF(U22="WA",2,3)))),"^")</f>
        <v>^</v>
      </c>
      <c r="AF22" s="144">
        <f>IF(U22=0,"missing state",IF(AD22=0,"no rate",IF(AD22="--","--",IF(AD22="---","---",VLOOKUP(AD22,'[1]ACs etc'!B$15:D$18,IF(U22="WA",2,3))))))</f>
        <v>0.84889000000000003</v>
      </c>
      <c r="AG22" s="145">
        <f t="shared" si="6"/>
        <v>0</v>
      </c>
      <c r="AH22" s="145">
        <f t="shared" si="6"/>
        <v>2285.2118800000003</v>
      </c>
      <c r="AI22" s="145">
        <f t="shared" si="7"/>
        <v>2285.2118800000003</v>
      </c>
      <c r="AJ22" s="146">
        <f t="shared" si="8"/>
        <v>108.69889228827218</v>
      </c>
      <c r="AK22" s="145">
        <f>IF(AA22="yes",(VLOOKUP(T22,'[1]ACs etc'!M$4:P$53,2)*H22)," ")</f>
        <v>0</v>
      </c>
      <c r="AL22" s="124">
        <f>IF(AA22="yes",(VLOOKUP(T22,'[1]ACs etc'!M$4:Q$53,IF(X22="winter",2,3))*I22)," ")</f>
        <v>2125.3146888563078</v>
      </c>
      <c r="AM22" s="145">
        <f t="shared" si="9"/>
        <v>0</v>
      </c>
      <c r="AN22" s="147">
        <f t="shared" si="10"/>
        <v>20700</v>
      </c>
      <c r="AO22" s="145">
        <f t="shared" si="11"/>
        <v>-18574.685311143694</v>
      </c>
      <c r="AP22" s="148">
        <f t="shared" si="12"/>
        <v>108</v>
      </c>
      <c r="AQ22" s="149">
        <f t="shared" si="13"/>
        <v>1.0064712248914089</v>
      </c>
    </row>
    <row r="23" spans="1:43" ht="12.75" thickBot="1">
      <c r="A23" s="135">
        <v>37572</v>
      </c>
      <c r="B23" s="136"/>
      <c r="C23" s="137"/>
      <c r="D23" s="138">
        <v>40868.333333330003</v>
      </c>
      <c r="E23" s="140" t="s">
        <v>357</v>
      </c>
      <c r="F23" s="140" t="s">
        <v>359</v>
      </c>
      <c r="G23" s="141">
        <v>110</v>
      </c>
      <c r="H23" s="137"/>
      <c r="I23" s="141">
        <v>766</v>
      </c>
      <c r="J23" s="137"/>
      <c r="K23" s="141">
        <v>2500</v>
      </c>
      <c r="L23" s="141">
        <v>5000</v>
      </c>
      <c r="M23" s="141">
        <v>5000</v>
      </c>
      <c r="N23" s="141">
        <v>5000</v>
      </c>
      <c r="O23" s="141">
        <v>11</v>
      </c>
      <c r="P23" s="141">
        <v>0</v>
      </c>
      <c r="Q23" s="140" t="s">
        <v>352</v>
      </c>
      <c r="R23" s="137"/>
      <c r="S23" s="137"/>
      <c r="T23" s="141">
        <v>16</v>
      </c>
      <c r="U23" s="140" t="s">
        <v>356</v>
      </c>
      <c r="V23" s="141">
        <v>21</v>
      </c>
      <c r="W23" s="141">
        <v>111</v>
      </c>
      <c r="X23" s="107" t="s">
        <v>354</v>
      </c>
      <c r="Y23" s="142" t="str">
        <f t="shared" si="0"/>
        <v>GE</v>
      </c>
      <c r="Z23" s="143" t="str">
        <f t="shared" si="1"/>
        <v xml:space="preserve"> </v>
      </c>
      <c r="AA23" s="142" t="str">
        <f t="shared" si="2"/>
        <v>yes</v>
      </c>
      <c r="AB23" s="144" t="str">
        <f t="shared" si="3"/>
        <v>-</v>
      </c>
      <c r="AC23" s="144">
        <f t="shared" si="4"/>
        <v>111</v>
      </c>
      <c r="AD23" s="144">
        <f t="shared" si="5"/>
        <v>111</v>
      </c>
      <c r="AE23" s="144" t="str">
        <f>IF(Y23="DF",IF(AB23=0,"no rate",IF(U23=0,"missing state",VLOOKUP(AB23,'[1]ACs etc'!B$3:D$8,IF(U23="WA",2,3)))),"^")</f>
        <v>^</v>
      </c>
      <c r="AF23" s="144">
        <f>IF(U23=0,"missing state",IF(AD23=0,"no rate",IF(AD23="--","--",IF(AD23="---","---",VLOOKUP(AD23,'[1]ACs etc'!B$15:D$18,IF(U23="WA",2,3))))))</f>
        <v>0.70523000000000002</v>
      </c>
      <c r="AG23" s="145">
        <f t="shared" si="6"/>
        <v>0</v>
      </c>
      <c r="AH23" s="145">
        <f t="shared" si="6"/>
        <v>540.20618000000002</v>
      </c>
      <c r="AI23" s="145">
        <f t="shared" si="7"/>
        <v>540.20618000000002</v>
      </c>
      <c r="AJ23" s="146">
        <f t="shared" si="8"/>
        <v>111.06870343467747</v>
      </c>
      <c r="AK23" s="145">
        <f>IF(AA23="yes",(VLOOKUP(T23,'[1]ACs etc'!M$4:P$53,2)*H23)," ")</f>
        <v>0</v>
      </c>
      <c r="AL23" s="124">
        <f>IF(AA23="yes",(VLOOKUP(T23,'[1]ACs etc'!M$4:Q$53,IF(X23="winter",2,3))*I23)," ")</f>
        <v>478.73421857010243</v>
      </c>
      <c r="AM23" s="145">
        <f t="shared" si="9"/>
        <v>105.30433464697741</v>
      </c>
      <c r="AN23" s="147">
        <f t="shared" si="10"/>
        <v>5000</v>
      </c>
      <c r="AO23" s="145">
        <f t="shared" si="11"/>
        <v>-4415.9614467829197</v>
      </c>
      <c r="AP23" s="148">
        <f t="shared" si="12"/>
        <v>110</v>
      </c>
      <c r="AQ23" s="149">
        <f t="shared" si="13"/>
        <v>1.0097154857697952</v>
      </c>
    </row>
    <row r="24" spans="1:43" ht="12.75" thickBot="1">
      <c r="A24" s="135">
        <v>37289</v>
      </c>
      <c r="B24" s="136"/>
      <c r="C24" s="138">
        <v>40900.333333330003</v>
      </c>
      <c r="D24" s="138">
        <v>40848.291666659999</v>
      </c>
      <c r="E24" s="140" t="s">
        <v>357</v>
      </c>
      <c r="F24" s="140" t="s">
        <v>359</v>
      </c>
      <c r="G24" s="141">
        <v>114</v>
      </c>
      <c r="H24" s="137"/>
      <c r="I24" s="141">
        <v>402</v>
      </c>
      <c r="J24" s="137"/>
      <c r="K24" s="141">
        <v>1370</v>
      </c>
      <c r="L24" s="141">
        <v>11787</v>
      </c>
      <c r="M24" s="141">
        <v>2739</v>
      </c>
      <c r="N24" s="141">
        <v>2739</v>
      </c>
      <c r="O24" s="141">
        <v>0</v>
      </c>
      <c r="P24" s="141">
        <v>0</v>
      </c>
      <c r="Q24" s="140" t="s">
        <v>352</v>
      </c>
      <c r="R24" s="137"/>
      <c r="S24" s="137"/>
      <c r="T24" s="141">
        <v>16</v>
      </c>
      <c r="U24" s="140" t="s">
        <v>356</v>
      </c>
      <c r="V24" s="141">
        <v>21</v>
      </c>
      <c r="W24" s="141">
        <v>111</v>
      </c>
      <c r="X24" s="107" t="s">
        <v>354</v>
      </c>
      <c r="Y24" s="142" t="str">
        <f t="shared" si="0"/>
        <v>GE</v>
      </c>
      <c r="Z24" s="143" t="str">
        <f t="shared" si="1"/>
        <v xml:space="preserve"> </v>
      </c>
      <c r="AA24" s="142" t="str">
        <f t="shared" si="2"/>
        <v>yes</v>
      </c>
      <c r="AB24" s="144" t="str">
        <f t="shared" si="3"/>
        <v>-</v>
      </c>
      <c r="AC24" s="144">
        <f t="shared" si="4"/>
        <v>111</v>
      </c>
      <c r="AD24" s="144">
        <f t="shared" si="5"/>
        <v>111</v>
      </c>
      <c r="AE24" s="144" t="str">
        <f>IF(Y24="DF",IF(AB24=0,"no rate",IF(U24=0,"missing state",VLOOKUP(AB24,'[1]ACs etc'!B$3:D$8,IF(U24="WA",2,3)))),"^")</f>
        <v>^</v>
      </c>
      <c r="AF24" s="144">
        <f>IF(U24=0,"missing state",IF(AD24=0,"no rate",IF(AD24="--","--",IF(AD24="---","---",VLOOKUP(AD24,'[1]ACs etc'!B$15:D$18,IF(U24="WA",2,3))))))</f>
        <v>0.70523000000000002</v>
      </c>
      <c r="AG24" s="145">
        <f t="shared" si="6"/>
        <v>0</v>
      </c>
      <c r="AH24" s="145">
        <f t="shared" si="6"/>
        <v>283.50245999999999</v>
      </c>
      <c r="AI24" s="145">
        <f t="shared" si="7"/>
        <v>283.50245999999999</v>
      </c>
      <c r="AJ24" s="146">
        <f t="shared" si="8"/>
        <v>115.93550193532712</v>
      </c>
      <c r="AK24" s="145">
        <f>IF(AA24="yes",(VLOOKUP(T24,'[1]ACs etc'!M$4:P$53,2)*H24)," ")</f>
        <v>0</v>
      </c>
      <c r="AL24" s="124">
        <f>IF(AA24="yes",(VLOOKUP(T24,'[1]ACs etc'!M$4:Q$53,IF(X24="winter",2,3))*I24)," ")</f>
        <v>251.2417178396621</v>
      </c>
      <c r="AM24" s="145">
        <f t="shared" si="9"/>
        <v>0</v>
      </c>
      <c r="AN24" s="147">
        <f t="shared" si="10"/>
        <v>2739</v>
      </c>
      <c r="AO24" s="145">
        <f t="shared" si="11"/>
        <v>-2487.7582821603378</v>
      </c>
      <c r="AP24" s="148">
        <f t="shared" si="12"/>
        <v>114</v>
      </c>
      <c r="AQ24" s="149">
        <f t="shared" si="13"/>
        <v>1.0169780871519922</v>
      </c>
    </row>
    <row r="25" spans="1:43" ht="12.75" thickBot="1">
      <c r="A25" s="135">
        <v>37378</v>
      </c>
      <c r="B25" s="136"/>
      <c r="C25" s="137"/>
      <c r="D25" s="138">
        <v>40833.291666659999</v>
      </c>
      <c r="E25" s="140" t="s">
        <v>357</v>
      </c>
      <c r="F25" s="140" t="s">
        <v>359</v>
      </c>
      <c r="G25" s="141">
        <v>123</v>
      </c>
      <c r="H25" s="137"/>
      <c r="I25" s="141">
        <v>368</v>
      </c>
      <c r="J25" s="137"/>
      <c r="K25" s="141">
        <v>1288</v>
      </c>
      <c r="L25" s="141">
        <v>2700</v>
      </c>
      <c r="M25" s="141">
        <v>2700</v>
      </c>
      <c r="N25" s="141">
        <v>2700</v>
      </c>
      <c r="O25" s="141">
        <v>0</v>
      </c>
      <c r="P25" s="141">
        <v>0</v>
      </c>
      <c r="Q25" s="140" t="s">
        <v>352</v>
      </c>
      <c r="R25" s="137"/>
      <c r="S25" s="137"/>
      <c r="T25" s="141">
        <v>12</v>
      </c>
      <c r="U25" s="140" t="s">
        <v>356</v>
      </c>
      <c r="V25" s="141">
        <v>21</v>
      </c>
      <c r="W25" s="141">
        <v>111</v>
      </c>
      <c r="X25" s="107" t="s">
        <v>354</v>
      </c>
      <c r="Y25" s="142" t="str">
        <f t="shared" si="0"/>
        <v>GE</v>
      </c>
      <c r="Z25" s="143" t="str">
        <f t="shared" si="1"/>
        <v xml:space="preserve"> </v>
      </c>
      <c r="AA25" s="142" t="str">
        <f t="shared" si="2"/>
        <v>yes</v>
      </c>
      <c r="AB25" s="144" t="str">
        <f t="shared" si="3"/>
        <v>-</v>
      </c>
      <c r="AC25" s="144">
        <f t="shared" si="4"/>
        <v>111</v>
      </c>
      <c r="AD25" s="144">
        <f t="shared" si="5"/>
        <v>111</v>
      </c>
      <c r="AE25" s="144" t="str">
        <f>IF(Y25="DF",IF(AB25=0,"no rate",IF(U25=0,"missing state",VLOOKUP(AB25,'[1]ACs etc'!B$3:D$8,IF(U25="WA",2,3)))),"^")</f>
        <v>^</v>
      </c>
      <c r="AF25" s="144">
        <f>IF(U25=0,"missing state",IF(AD25=0,"no rate",IF(AD25="--","--",IF(AD25="---","---",VLOOKUP(AD25,'[1]ACs etc'!B$15:D$18,IF(U25="WA",2,3))))))</f>
        <v>0.70523000000000002</v>
      </c>
      <c r="AG25" s="145">
        <f t="shared" si="6"/>
        <v>0</v>
      </c>
      <c r="AH25" s="145">
        <f t="shared" si="6"/>
        <v>259.52464000000003</v>
      </c>
      <c r="AI25" s="145">
        <f t="shared" si="7"/>
        <v>259.52464000000003</v>
      </c>
      <c r="AJ25" s="146">
        <f t="shared" si="8"/>
        <v>124.84363719760867</v>
      </c>
      <c r="AK25" s="145">
        <f>IF(AA25="yes",(VLOOKUP(T25,'[1]ACs etc'!M$4:P$53,2)*H25)," ")</f>
        <v>0</v>
      </c>
      <c r="AL25" s="124">
        <f>IF(AA25="yes",(VLOOKUP(T25,'[1]ACs etc'!M$4:Q$53,IF(X25="winter",2,3))*I25)," ")</f>
        <v>183.05821618523049</v>
      </c>
      <c r="AM25" s="145">
        <f t="shared" si="9"/>
        <v>0</v>
      </c>
      <c r="AN25" s="147">
        <f t="shared" si="10"/>
        <v>2700</v>
      </c>
      <c r="AO25" s="145">
        <f t="shared" si="11"/>
        <v>-2516.9417838147697</v>
      </c>
      <c r="AP25" s="148">
        <f t="shared" si="12"/>
        <v>123</v>
      </c>
      <c r="AQ25" s="149">
        <f t="shared" si="13"/>
        <v>1.0149889203057616</v>
      </c>
    </row>
    <row r="26" spans="1:43" ht="12.75" thickBot="1">
      <c r="A26" s="135">
        <v>34995</v>
      </c>
      <c r="B26" s="136"/>
      <c r="C26" s="137"/>
      <c r="D26" s="138">
        <v>40522.333333330003</v>
      </c>
      <c r="E26" s="140" t="s">
        <v>355</v>
      </c>
      <c r="F26" s="140" t="s">
        <v>351</v>
      </c>
      <c r="G26" s="141">
        <v>130</v>
      </c>
      <c r="H26" s="141">
        <v>6210</v>
      </c>
      <c r="I26" s="141">
        <v>11856</v>
      </c>
      <c r="J26" s="141">
        <v>1242</v>
      </c>
      <c r="K26" s="141">
        <v>41496</v>
      </c>
      <c r="L26" s="141">
        <v>93233</v>
      </c>
      <c r="M26" s="141">
        <v>93233</v>
      </c>
      <c r="N26" s="141">
        <v>93233</v>
      </c>
      <c r="O26" s="141">
        <v>0</v>
      </c>
      <c r="P26" s="141">
        <v>0</v>
      </c>
      <c r="Q26" s="140" t="s">
        <v>352</v>
      </c>
      <c r="R26" s="137"/>
      <c r="S26" s="137"/>
      <c r="T26" s="141">
        <v>16</v>
      </c>
      <c r="U26" s="140" t="s">
        <v>356</v>
      </c>
      <c r="V26" s="137"/>
      <c r="W26" s="141">
        <v>111</v>
      </c>
      <c r="X26" s="107" t="s">
        <v>354</v>
      </c>
      <c r="Y26" s="142" t="str">
        <f t="shared" si="0"/>
        <v>DF</v>
      </c>
      <c r="Z26" s="143">
        <f t="shared" si="1"/>
        <v>0.6562603786117569</v>
      </c>
      <c r="AA26" s="142" t="str">
        <f t="shared" si="2"/>
        <v>yes</v>
      </c>
      <c r="AB26" s="144">
        <f t="shared" si="3"/>
        <v>0</v>
      </c>
      <c r="AC26" s="144">
        <f t="shared" si="4"/>
        <v>111</v>
      </c>
      <c r="AD26" s="144">
        <f t="shared" si="5"/>
        <v>111</v>
      </c>
      <c r="AE26" s="144" t="str">
        <f>IF(Y26="DF",IF(AB26=0,"no rate",IF(U26=0,"missing state",VLOOKUP(AB26,'[1]ACs etc'!B$3:D$8,IF(U26="WA",2,3)))),"^")</f>
        <v>no rate</v>
      </c>
      <c r="AF26" s="144">
        <f>IF(U26=0,"missing state",IF(AD26=0,"no rate",IF(AD26="--","--",IF(AD26="---","---",VLOOKUP(AD26,'[1]ACs etc'!B$15:D$18,IF(U26="WA",2,3))))))</f>
        <v>0.70523000000000002</v>
      </c>
      <c r="AG26" s="145">
        <f t="shared" si="6"/>
        <v>0</v>
      </c>
      <c r="AH26" s="145">
        <f t="shared" si="6"/>
        <v>8361.2068799999997</v>
      </c>
      <c r="AI26" s="145">
        <f t="shared" si="7"/>
        <v>8361.2068799999997</v>
      </c>
      <c r="AJ26" s="146">
        <f t="shared" si="8"/>
        <v>133.80795572420999</v>
      </c>
      <c r="AK26" s="145">
        <f>IF(AA26="yes",(VLOOKUP(T26,'[1]ACs etc'!M$4:P$53,2)*H26)," ")</f>
        <v>3881.1220591649294</v>
      </c>
      <c r="AL26" s="124">
        <f>IF(AA26="yes",(VLOOKUP(T26,'[1]ACs etc'!M$4:Q$53,IF(X26="winter",2,3))*I26)," ")</f>
        <v>7409.7557380771987</v>
      </c>
      <c r="AM26" s="145">
        <f t="shared" si="9"/>
        <v>0</v>
      </c>
      <c r="AN26" s="147">
        <f t="shared" si="10"/>
        <v>61185.123879109931</v>
      </c>
      <c r="AO26" s="145">
        <f t="shared" si="11"/>
        <v>-49894.246081867801</v>
      </c>
      <c r="AP26" s="148">
        <f t="shared" si="12"/>
        <v>130</v>
      </c>
      <c r="AQ26" s="149">
        <f t="shared" si="13"/>
        <v>1.0292919671093077</v>
      </c>
    </row>
    <row r="27" spans="1:43" ht="12.75" thickBot="1">
      <c r="A27" s="135">
        <v>30438</v>
      </c>
      <c r="B27" s="136"/>
      <c r="C27" s="137"/>
      <c r="D27" s="138">
        <v>40553.333333330003</v>
      </c>
      <c r="E27" s="140" t="s">
        <v>355</v>
      </c>
      <c r="F27" s="140" t="s">
        <v>351</v>
      </c>
      <c r="G27" s="141">
        <v>118</v>
      </c>
      <c r="H27" s="141">
        <v>483712</v>
      </c>
      <c r="I27" s="141">
        <v>37963</v>
      </c>
      <c r="J27" s="141">
        <v>96742</v>
      </c>
      <c r="K27" s="141">
        <v>132871</v>
      </c>
      <c r="L27" s="141">
        <v>647393</v>
      </c>
      <c r="M27" s="141">
        <v>647393</v>
      </c>
      <c r="N27" s="141">
        <v>647393</v>
      </c>
      <c r="O27" s="141">
        <v>0</v>
      </c>
      <c r="P27" s="141">
        <v>0</v>
      </c>
      <c r="Q27" s="140" t="s">
        <v>352</v>
      </c>
      <c r="R27" s="137"/>
      <c r="S27" s="137"/>
      <c r="T27" s="141">
        <v>20</v>
      </c>
      <c r="U27" s="140" t="s">
        <v>356</v>
      </c>
      <c r="V27" s="141">
        <v>21</v>
      </c>
      <c r="W27" s="141">
        <v>111</v>
      </c>
      <c r="X27" s="107" t="s">
        <v>354</v>
      </c>
      <c r="Y27" s="142" t="str">
        <f t="shared" si="0"/>
        <v>DF</v>
      </c>
      <c r="Z27" s="143">
        <f t="shared" si="1"/>
        <v>7.277136147984857E-2</v>
      </c>
      <c r="AA27" s="142" t="str">
        <f t="shared" si="2"/>
        <v>yes</v>
      </c>
      <c r="AB27" s="144">
        <f t="shared" si="3"/>
        <v>21</v>
      </c>
      <c r="AC27" s="144">
        <f t="shared" si="4"/>
        <v>111</v>
      </c>
      <c r="AD27" s="144">
        <f t="shared" si="5"/>
        <v>111</v>
      </c>
      <c r="AE27" s="144">
        <f>IF(Y27="DF",IF(AB27=0,"no rate",IF(U27=0,"missing state",VLOOKUP(AB27,'[1]ACs etc'!B$3:D$8,IF(U27="WA",2,3)))),"^")</f>
        <v>6.2710000000000002E-2</v>
      </c>
      <c r="AF27" s="144">
        <f>IF(U27=0,"missing state",IF(AD27=0,"no rate",IF(AD27="--","--",IF(AD27="---","---",VLOOKUP(AD27,'[1]ACs etc'!B$15:D$18,IF(U27="WA",2,3))))))</f>
        <v>0.70523000000000002</v>
      </c>
      <c r="AG27" s="145">
        <f t="shared" si="6"/>
        <v>30333.579519999999</v>
      </c>
      <c r="AH27" s="145">
        <f t="shared" si="6"/>
        <v>26772.646489999999</v>
      </c>
      <c r="AI27" s="145">
        <f t="shared" si="7"/>
        <v>57106.226009999998</v>
      </c>
      <c r="AJ27" s="146">
        <f t="shared" si="8"/>
        <v>136.03973756976345</v>
      </c>
      <c r="AK27" s="145">
        <f>IF(AA27="yes",(VLOOKUP(T27,'[1]ACs etc'!M$4:P$53,2)*H27)," ")</f>
        <v>357365.48296478548</v>
      </c>
      <c r="AL27" s="124">
        <f>IF(AA27="yes",(VLOOKUP(T27,'[1]ACs etc'!M$4:Q$53,IF(X27="winter",2,3))*I27)," ")</f>
        <v>28046.990419489597</v>
      </c>
      <c r="AM27" s="145">
        <f t="shared" si="9"/>
        <v>0</v>
      </c>
      <c r="AN27" s="147">
        <f t="shared" si="10"/>
        <v>47111.670022523605</v>
      </c>
      <c r="AO27" s="145">
        <f t="shared" si="11"/>
        <v>338300.80336175149</v>
      </c>
      <c r="AP27" s="148">
        <f t="shared" si="12"/>
        <v>118</v>
      </c>
      <c r="AQ27" s="149">
        <f t="shared" si="13"/>
        <v>1.1528791319471479</v>
      </c>
    </row>
    <row r="28" spans="1:43" ht="12.75" thickBot="1">
      <c r="A28" s="135">
        <v>31908</v>
      </c>
      <c r="B28" s="136"/>
      <c r="C28" s="137"/>
      <c r="D28" s="138">
        <v>40147.333333330003</v>
      </c>
      <c r="E28" s="140" t="s">
        <v>357</v>
      </c>
      <c r="F28" s="140" t="s">
        <v>359</v>
      </c>
      <c r="G28" s="141">
        <v>104</v>
      </c>
      <c r="H28" s="137"/>
      <c r="I28" s="141">
        <v>308</v>
      </c>
      <c r="J28" s="137"/>
      <c r="K28" s="141">
        <v>1078</v>
      </c>
      <c r="L28" s="141">
        <v>3031</v>
      </c>
      <c r="M28" s="141">
        <v>3031</v>
      </c>
      <c r="N28" s="141">
        <v>3031</v>
      </c>
      <c r="O28" s="141">
        <v>0</v>
      </c>
      <c r="P28" s="141">
        <v>0</v>
      </c>
      <c r="Q28" s="140" t="s">
        <v>352</v>
      </c>
      <c r="R28" s="137"/>
      <c r="S28" s="137"/>
      <c r="T28" s="141">
        <v>16</v>
      </c>
      <c r="U28" s="140" t="s">
        <v>356</v>
      </c>
      <c r="V28" s="141">
        <v>11</v>
      </c>
      <c r="W28" s="141">
        <v>101</v>
      </c>
      <c r="X28" s="107" t="s">
        <v>354</v>
      </c>
      <c r="Y28" s="142" t="str">
        <f t="shared" si="0"/>
        <v>GE</v>
      </c>
      <c r="Z28" s="143" t="str">
        <f t="shared" si="1"/>
        <v xml:space="preserve"> </v>
      </c>
      <c r="AA28" s="142" t="str">
        <f t="shared" si="2"/>
        <v>yes</v>
      </c>
      <c r="AB28" s="144" t="str">
        <f t="shared" si="3"/>
        <v>-</v>
      </c>
      <c r="AC28" s="144">
        <f t="shared" si="4"/>
        <v>101</v>
      </c>
      <c r="AD28" s="144">
        <f t="shared" si="5"/>
        <v>101</v>
      </c>
      <c r="AE28" s="144" t="str">
        <f>IF(Y28="DF",IF(AB28=0,"no rate",IF(U28=0,"missing state",VLOOKUP(AB28,'[1]ACs etc'!B$3:D$8,IF(U28="WA",2,3)))),"^")</f>
        <v>^</v>
      </c>
      <c r="AF28" s="144">
        <f>IF(U28=0,"missing state",IF(AD28=0,"no rate",IF(AD28="--","--",IF(AD28="---","---",VLOOKUP(AD28,'[1]ACs etc'!B$15:D$18,IF(U28="WA",2,3))))))</f>
        <v>0.84889000000000003</v>
      </c>
      <c r="AG28" s="145">
        <f t="shared" si="6"/>
        <v>0</v>
      </c>
      <c r="AH28" s="145">
        <f t="shared" si="6"/>
        <v>261.45812000000001</v>
      </c>
      <c r="AI28" s="145">
        <f t="shared" si="7"/>
        <v>261.45812000000001</v>
      </c>
      <c r="AJ28" s="146">
        <f t="shared" si="8"/>
        <v>139.11214537915288</v>
      </c>
      <c r="AK28" s="145">
        <f>IF(AA28="yes",(VLOOKUP(T28,'[1]ACs etc'!M$4:P$53,2)*H28)," ")</f>
        <v>0</v>
      </c>
      <c r="AL28" s="124">
        <f>IF(AA28="yes",(VLOOKUP(T28,'[1]ACs etc'!M$4:Q$53,IF(X28="winter",2,3))*I28)," ")</f>
        <v>192.49365446421874</v>
      </c>
      <c r="AM28" s="145">
        <f t="shared" si="9"/>
        <v>0</v>
      </c>
      <c r="AN28" s="147">
        <f t="shared" si="10"/>
        <v>3031</v>
      </c>
      <c r="AO28" s="145">
        <f t="shared" si="11"/>
        <v>-2838.5063455357813</v>
      </c>
      <c r="AP28" s="148">
        <f t="shared" si="12"/>
        <v>104</v>
      </c>
      <c r="AQ28" s="149">
        <f t="shared" si="13"/>
        <v>1.3376167824918546</v>
      </c>
    </row>
    <row r="29" spans="1:43" ht="12.75" thickBot="1">
      <c r="A29" s="135">
        <v>37057</v>
      </c>
      <c r="B29" s="136"/>
      <c r="C29" s="137"/>
      <c r="D29" s="138">
        <v>40806.291666659999</v>
      </c>
      <c r="E29" s="140" t="s">
        <v>355</v>
      </c>
      <c r="F29" s="140" t="s">
        <v>351</v>
      </c>
      <c r="G29" s="141">
        <v>123</v>
      </c>
      <c r="H29" s="141">
        <v>18110</v>
      </c>
      <c r="I29" s="141">
        <v>4766</v>
      </c>
      <c r="J29" s="141">
        <v>3622</v>
      </c>
      <c r="K29" s="141">
        <v>16681</v>
      </c>
      <c r="L29" s="141">
        <v>47998</v>
      </c>
      <c r="M29" s="141">
        <v>47998</v>
      </c>
      <c r="N29" s="141">
        <v>47998</v>
      </c>
      <c r="O29" s="141">
        <v>0</v>
      </c>
      <c r="P29" s="141">
        <v>0</v>
      </c>
      <c r="Q29" s="140" t="s">
        <v>352</v>
      </c>
      <c r="R29" s="141">
        <v>0</v>
      </c>
      <c r="S29" s="141">
        <v>0</v>
      </c>
      <c r="T29" s="141">
        <v>16</v>
      </c>
      <c r="U29" s="140" t="s">
        <v>362</v>
      </c>
      <c r="V29" s="141">
        <v>21</v>
      </c>
      <c r="W29" s="141">
        <v>111</v>
      </c>
      <c r="X29" s="107" t="s">
        <v>354</v>
      </c>
      <c r="Y29" s="142" t="str">
        <f t="shared" si="0"/>
        <v>DF</v>
      </c>
      <c r="Z29" s="143">
        <f t="shared" si="1"/>
        <v>0.20834061898933379</v>
      </c>
      <c r="AA29" s="142" t="str">
        <f t="shared" si="2"/>
        <v>yes</v>
      </c>
      <c r="AB29" s="144">
        <f t="shared" si="3"/>
        <v>21</v>
      </c>
      <c r="AC29" s="144">
        <f t="shared" si="4"/>
        <v>111</v>
      </c>
      <c r="AD29" s="144">
        <f t="shared" si="5"/>
        <v>111</v>
      </c>
      <c r="AE29" s="144">
        <f>IF(Y29="DF",IF(AB29=0,"no rate",IF(U29=0,"missing state",VLOOKUP(AB29,'[1]ACs etc'!B$3:D$8,IF(U29="WA",2,3)))),"^")</f>
        <v>5.3490000000000003E-2</v>
      </c>
      <c r="AF29" s="144">
        <f>IF(U29=0,"missing state",IF(AD29=0,"no rate",IF(AD29="--","--",IF(AD29="---","---",VLOOKUP(AD29,'[1]ACs etc'!B$15:D$18,IF(U29="WA",2,3))))))</f>
        <v>0.66427000000000003</v>
      </c>
      <c r="AG29" s="145">
        <f t="shared" si="6"/>
        <v>968.70390000000009</v>
      </c>
      <c r="AH29" s="145">
        <f t="shared" si="6"/>
        <v>3165.9108200000001</v>
      </c>
      <c r="AI29" s="145">
        <f t="shared" si="7"/>
        <v>4134.6147200000005</v>
      </c>
      <c r="AJ29" s="146">
        <f t="shared" si="8"/>
        <v>139.30584564841871</v>
      </c>
      <c r="AK29" s="145">
        <f>IF(AA29="yes",(VLOOKUP(T29,'[1]ACs etc'!M$4:P$53,2)*H29)," ")</f>
        <v>11318.376890737018</v>
      </c>
      <c r="AL29" s="124">
        <f>IF(AA29="yes",(VLOOKUP(T29,'[1]ACs etc'!M$4:Q$53,IF(X29="winter",2,3))*I29)," ")</f>
        <v>2978.6518090145014</v>
      </c>
      <c r="AM29" s="145">
        <f t="shared" si="9"/>
        <v>0</v>
      </c>
      <c r="AN29" s="147">
        <f t="shared" si="10"/>
        <v>9999.9330302500439</v>
      </c>
      <c r="AO29" s="145">
        <f t="shared" si="11"/>
        <v>4297.0956695014756</v>
      </c>
      <c r="AP29" s="148">
        <f t="shared" si="12"/>
        <v>123</v>
      </c>
      <c r="AQ29" s="149">
        <f t="shared" si="13"/>
        <v>1.1325678508001522</v>
      </c>
    </row>
    <row r="30" spans="1:43" ht="12.75" thickBot="1">
      <c r="A30" s="135">
        <v>35480</v>
      </c>
      <c r="B30" s="136"/>
      <c r="C30" s="137"/>
      <c r="D30" s="138">
        <v>40583.333333330003</v>
      </c>
      <c r="E30" s="140" t="s">
        <v>355</v>
      </c>
      <c r="F30" s="140" t="s">
        <v>358</v>
      </c>
      <c r="G30" s="141">
        <v>144</v>
      </c>
      <c r="H30" s="141">
        <v>44</v>
      </c>
      <c r="I30" s="141">
        <v>35</v>
      </c>
      <c r="J30" s="141">
        <v>9</v>
      </c>
      <c r="K30" s="141">
        <v>121</v>
      </c>
      <c r="L30" s="141">
        <v>300</v>
      </c>
      <c r="M30" s="141">
        <v>300</v>
      </c>
      <c r="N30" s="141">
        <v>300</v>
      </c>
      <c r="O30" s="141">
        <v>0</v>
      </c>
      <c r="P30" s="141">
        <v>0</v>
      </c>
      <c r="Q30" s="140" t="s">
        <v>352</v>
      </c>
      <c r="R30" s="137"/>
      <c r="S30" s="137"/>
      <c r="T30" s="141">
        <v>20</v>
      </c>
      <c r="U30" s="140" t="s">
        <v>356</v>
      </c>
      <c r="V30" s="141">
        <v>21</v>
      </c>
      <c r="W30" s="141">
        <v>121</v>
      </c>
      <c r="X30" s="107" t="s">
        <v>354</v>
      </c>
      <c r="Y30" s="142" t="str">
        <f t="shared" si="0"/>
        <v>DF</v>
      </c>
      <c r="Z30" s="143">
        <f t="shared" si="1"/>
        <v>0.44303797468354428</v>
      </c>
      <c r="AA30" s="142" t="str">
        <f t="shared" si="2"/>
        <v>yes</v>
      </c>
      <c r="AB30" s="144">
        <f t="shared" si="3"/>
        <v>21</v>
      </c>
      <c r="AC30" s="144">
        <f t="shared" si="4"/>
        <v>121</v>
      </c>
      <c r="AD30" s="144">
        <f t="shared" si="5"/>
        <v>121</v>
      </c>
      <c r="AE30" s="144">
        <f>IF(Y30="DF",IF(AB30=0,"no rate",IF(U30=0,"missing state",VLOOKUP(AB30,'[1]ACs etc'!B$3:D$8,IF(U30="WA",2,3)))),"^")</f>
        <v>6.2710000000000002E-2</v>
      </c>
      <c r="AF30" s="144">
        <f>IF(U30=0,"missing state",IF(AD30=0,"no rate",IF(AD30="--","--",IF(AD30="---","---",VLOOKUP(AD30,'[1]ACs etc'!B$15:D$18,IF(U30="WA",2,3))))))</f>
        <v>0.63282000000000005</v>
      </c>
      <c r="AG30" s="145">
        <f t="shared" si="6"/>
        <v>2.7592400000000001</v>
      </c>
      <c r="AH30" s="145">
        <f t="shared" si="6"/>
        <v>22.148700000000002</v>
      </c>
      <c r="AI30" s="145">
        <f t="shared" si="7"/>
        <v>24.907940000000004</v>
      </c>
      <c r="AJ30" s="146">
        <f t="shared" si="8"/>
        <v>144.53222546705987</v>
      </c>
      <c r="AK30" s="145">
        <f>IF(AA30="yes",(VLOOKUP(T30,'[1]ACs etc'!M$4:P$53,2)*H30)," ")</f>
        <v>32.507114254867695</v>
      </c>
      <c r="AL30" s="124">
        <f>IF(AA30="yes",(VLOOKUP(T30,'[1]ACs etc'!M$4:Q$53,IF(X30="winter",2,3))*I30)," ")</f>
        <v>25.857931793644756</v>
      </c>
      <c r="AM30" s="145">
        <f t="shared" si="9"/>
        <v>0</v>
      </c>
      <c r="AN30" s="147">
        <f t="shared" si="10"/>
        <v>132.91139240506328</v>
      </c>
      <c r="AO30" s="145">
        <f t="shared" si="11"/>
        <v>-74.546346356550828</v>
      </c>
      <c r="AP30" s="148">
        <f t="shared" si="12"/>
        <v>144</v>
      </c>
      <c r="AQ30" s="149">
        <f t="shared" si="13"/>
        <v>1.0036960101879158</v>
      </c>
    </row>
    <row r="31" spans="1:43" ht="12.75" thickBot="1">
      <c r="A31" s="135">
        <v>35952</v>
      </c>
      <c r="B31" s="136"/>
      <c r="C31" s="137"/>
      <c r="D31" s="138">
        <v>40840.291666659999</v>
      </c>
      <c r="E31" s="140" t="s">
        <v>357</v>
      </c>
      <c r="F31" s="140" t="s">
        <v>359</v>
      </c>
      <c r="G31" s="141">
        <v>104</v>
      </c>
      <c r="H31" s="137"/>
      <c r="I31" s="141">
        <v>3799</v>
      </c>
      <c r="J31" s="137"/>
      <c r="K31" s="141">
        <v>13297</v>
      </c>
      <c r="L31" s="141">
        <v>40630</v>
      </c>
      <c r="M31" s="141">
        <v>40630</v>
      </c>
      <c r="N31" s="141">
        <v>40630</v>
      </c>
      <c r="O31" s="141">
        <v>0</v>
      </c>
      <c r="P31" s="141">
        <v>0</v>
      </c>
      <c r="Q31" s="140" t="s">
        <v>352</v>
      </c>
      <c r="R31" s="141">
        <v>1854</v>
      </c>
      <c r="S31" s="137"/>
      <c r="T31" s="141">
        <v>12</v>
      </c>
      <c r="U31" s="140" t="s">
        <v>356</v>
      </c>
      <c r="V31" s="141">
        <v>21</v>
      </c>
      <c r="W31" s="141">
        <v>101</v>
      </c>
      <c r="X31" s="107" t="s">
        <v>354</v>
      </c>
      <c r="Y31" s="142" t="str">
        <f t="shared" si="0"/>
        <v>GE</v>
      </c>
      <c r="Z31" s="143" t="str">
        <f t="shared" si="1"/>
        <v xml:space="preserve"> </v>
      </c>
      <c r="AA31" s="142" t="str">
        <f t="shared" si="2"/>
        <v>yes</v>
      </c>
      <c r="AB31" s="144" t="str">
        <f t="shared" si="3"/>
        <v>-</v>
      </c>
      <c r="AC31" s="144">
        <f t="shared" si="4"/>
        <v>101</v>
      </c>
      <c r="AD31" s="144">
        <f t="shared" si="5"/>
        <v>101</v>
      </c>
      <c r="AE31" s="144" t="str">
        <f>IF(Y31="DF",IF(AB31=0,"no rate",IF(U31=0,"missing state",VLOOKUP(AB31,'[1]ACs etc'!B$3:D$8,IF(U31="WA",2,3)))),"^")</f>
        <v>^</v>
      </c>
      <c r="AF31" s="144">
        <f>IF(U31=0,"missing state",IF(AD31=0,"no rate",IF(AD31="--","--",IF(AD31="---","---",VLOOKUP(AD31,'[1]ACs etc'!B$15:D$18,IF(U31="WA",2,3))))))</f>
        <v>0.84889000000000003</v>
      </c>
      <c r="AG31" s="145">
        <f t="shared" si="6"/>
        <v>0</v>
      </c>
      <c r="AH31" s="145">
        <f t="shared" si="6"/>
        <v>3224.9331099999999</v>
      </c>
      <c r="AI31" s="145">
        <f t="shared" si="7"/>
        <v>3224.9331099999999</v>
      </c>
      <c r="AJ31" s="146">
        <f t="shared" si="8"/>
        <v>151.18453108008805</v>
      </c>
      <c r="AK31" s="145">
        <f>IF(AA31="yes",(VLOOKUP(T31,'[1]ACs etc'!M$4:P$53,2)*H31)," ")</f>
        <v>0</v>
      </c>
      <c r="AL31" s="124">
        <f>IF(AA31="yes",(VLOOKUP(T31,'[1]ACs etc'!M$4:Q$53,IF(X31="winter",2,3))*I31)," ")</f>
        <v>1889.777617629594</v>
      </c>
      <c r="AM31" s="145">
        <f t="shared" si="9"/>
        <v>0</v>
      </c>
      <c r="AN31" s="147">
        <f t="shared" si="10"/>
        <v>40630</v>
      </c>
      <c r="AO31" s="145">
        <f t="shared" si="11"/>
        <v>-38740.222382370404</v>
      </c>
      <c r="AP31" s="148">
        <f t="shared" si="12"/>
        <v>104</v>
      </c>
      <c r="AQ31" s="149">
        <f t="shared" si="13"/>
        <v>1.4536974142316159</v>
      </c>
    </row>
    <row r="32" spans="1:43" ht="12.75" thickBot="1">
      <c r="A32" s="135">
        <v>36339</v>
      </c>
      <c r="B32" s="136"/>
      <c r="C32" s="137"/>
      <c r="D32" s="138">
        <v>40689.291666659999</v>
      </c>
      <c r="E32" s="140" t="s">
        <v>357</v>
      </c>
      <c r="F32" s="140" t="s">
        <v>359</v>
      </c>
      <c r="G32" s="141">
        <v>127</v>
      </c>
      <c r="H32" s="137"/>
      <c r="I32" s="141">
        <v>3561</v>
      </c>
      <c r="J32" s="137"/>
      <c r="K32" s="141">
        <v>12464</v>
      </c>
      <c r="L32" s="141">
        <v>32425</v>
      </c>
      <c r="M32" s="141">
        <v>32425</v>
      </c>
      <c r="N32" s="141">
        <v>32425</v>
      </c>
      <c r="O32" s="141">
        <v>0</v>
      </c>
      <c r="P32" s="141">
        <v>0</v>
      </c>
      <c r="Q32" s="140" t="s">
        <v>352</v>
      </c>
      <c r="R32" s="137"/>
      <c r="S32" s="137"/>
      <c r="T32" s="141">
        <v>16</v>
      </c>
      <c r="U32" s="140" t="s">
        <v>356</v>
      </c>
      <c r="V32" s="137"/>
      <c r="W32" s="141">
        <v>111</v>
      </c>
      <c r="X32" s="107" t="s">
        <v>354</v>
      </c>
      <c r="Y32" s="142" t="str">
        <f t="shared" si="0"/>
        <v>GE</v>
      </c>
      <c r="Z32" s="143" t="str">
        <f t="shared" si="1"/>
        <v xml:space="preserve"> </v>
      </c>
      <c r="AA32" s="142" t="str">
        <f t="shared" si="2"/>
        <v>yes</v>
      </c>
      <c r="AB32" s="144" t="str">
        <f t="shared" si="3"/>
        <v>-</v>
      </c>
      <c r="AC32" s="144">
        <f t="shared" si="4"/>
        <v>111</v>
      </c>
      <c r="AD32" s="144">
        <f t="shared" si="5"/>
        <v>111</v>
      </c>
      <c r="AE32" s="144" t="str">
        <f>IF(Y32="DF",IF(AB32=0,"no rate",IF(U32=0,"missing state",VLOOKUP(AB32,'[1]ACs etc'!B$3:D$8,IF(U32="WA",2,3)))),"^")</f>
        <v>^</v>
      </c>
      <c r="AF32" s="144">
        <f>IF(U32=0,"missing state",IF(AD32=0,"no rate",IF(AD32="--","--",IF(AD32="---","---",VLOOKUP(AD32,'[1]ACs etc'!B$15:D$18,IF(U32="WA",2,3))))))</f>
        <v>0.70523000000000002</v>
      </c>
      <c r="AG32" s="145">
        <f t="shared" si="6"/>
        <v>0</v>
      </c>
      <c r="AH32" s="145">
        <f t="shared" si="6"/>
        <v>2511.3240300000002</v>
      </c>
      <c r="AI32" s="145">
        <f t="shared" si="7"/>
        <v>2511.3240300000002</v>
      </c>
      <c r="AJ32" s="146">
        <f t="shared" si="8"/>
        <v>154.93819011479772</v>
      </c>
      <c r="AK32" s="145">
        <f>IF(AA32="yes",(VLOOKUP(T32,'[1]ACs etc'!M$4:P$53,2)*H32)," ")</f>
        <v>0</v>
      </c>
      <c r="AL32" s="124">
        <f>IF(AA32="yes",(VLOOKUP(T32,'[1]ACs etc'!M$4:Q$53,IF(X32="winter",2,3))*I32)," ")</f>
        <v>2225.5516348931264</v>
      </c>
      <c r="AM32" s="145">
        <f t="shared" si="9"/>
        <v>0</v>
      </c>
      <c r="AN32" s="147">
        <f t="shared" si="10"/>
        <v>32425</v>
      </c>
      <c r="AO32" s="145">
        <f t="shared" si="11"/>
        <v>-30199.448365106873</v>
      </c>
      <c r="AP32" s="148">
        <f t="shared" si="12"/>
        <v>127</v>
      </c>
      <c r="AQ32" s="149">
        <f t="shared" si="13"/>
        <v>1.2199857489354151</v>
      </c>
    </row>
    <row r="33" spans="6:41">
      <c r="F33" s="150" t="s">
        <v>6</v>
      </c>
      <c r="H33" s="33">
        <f t="shared" ref="H33:P33" si="14">SUM(H2:H32)</f>
        <v>661684</v>
      </c>
      <c r="I33" s="33">
        <f t="shared" si="14"/>
        <v>151770</v>
      </c>
      <c r="J33" s="33">
        <f t="shared" si="14"/>
        <v>117816</v>
      </c>
      <c r="K33" s="33">
        <f t="shared" si="14"/>
        <v>379110</v>
      </c>
      <c r="L33" s="33">
        <f t="shared" si="14"/>
        <v>1305558</v>
      </c>
      <c r="M33" s="33">
        <f t="shared" si="14"/>
        <v>1222710</v>
      </c>
      <c r="N33" s="33">
        <f t="shared" si="14"/>
        <v>1222710</v>
      </c>
      <c r="O33" s="33">
        <f t="shared" si="14"/>
        <v>85</v>
      </c>
      <c r="P33" s="33">
        <f t="shared" si="14"/>
        <v>0</v>
      </c>
      <c r="R33" s="33">
        <f>SUM(R2:R32)</f>
        <v>1854</v>
      </c>
      <c r="S33" s="33">
        <f>SUM(S2:S32)</f>
        <v>0</v>
      </c>
      <c r="AH33" s="33">
        <f>SUM(AH2:AH32)</f>
        <v>107785.48976000003</v>
      </c>
      <c r="AI33" s="33">
        <f>SUM(AI2:AI32)</f>
        <v>148265.52940000003</v>
      </c>
      <c r="AK33" s="33">
        <f>SUM(AK2:AK32)</f>
        <v>469318.81820246676</v>
      </c>
      <c r="AL33" s="33">
        <f>SUM(AL2:AL32)</f>
        <v>156283.68370104511</v>
      </c>
      <c r="AM33" s="33">
        <f>SUM(AM2:AM32)</f>
        <v>813.715313181189</v>
      </c>
      <c r="AN33" s="33">
        <f>SUM(AN2:AN32)</f>
        <v>470881.79461855895</v>
      </c>
      <c r="AO33" s="33">
        <f>SUM(AO2:AO32)</f>
        <v>155534.42259813403</v>
      </c>
    </row>
    <row r="34" spans="6:41">
      <c r="F34" s="100" t="s">
        <v>7</v>
      </c>
      <c r="G34" s="1">
        <f>COUNT(I2:I32)</f>
        <v>31</v>
      </c>
    </row>
    <row r="35" spans="6:41">
      <c r="F35" s="100" t="s">
        <v>8</v>
      </c>
      <c r="G35" s="1">
        <f>116-G34-2</f>
        <v>83</v>
      </c>
      <c r="H35" s="33">
        <f>($G35/$G34)*H33</f>
        <v>1771605.5483870967</v>
      </c>
      <c r="I35" s="33">
        <f t="shared" ref="I35:S35" si="15">($G35/$G34)*I33</f>
        <v>406351.93548387097</v>
      </c>
      <c r="J35" s="33">
        <f t="shared" si="15"/>
        <v>315442.83870967739</v>
      </c>
      <c r="K35" s="33">
        <f t="shared" si="15"/>
        <v>1015036.4516129032</v>
      </c>
      <c r="L35" s="33">
        <f t="shared" si="15"/>
        <v>3495526.2580645159</v>
      </c>
      <c r="M35" s="33">
        <f t="shared" si="15"/>
        <v>3273707.4193548383</v>
      </c>
      <c r="N35" s="33">
        <f t="shared" si="15"/>
        <v>3273707.4193548383</v>
      </c>
      <c r="O35" s="33">
        <f t="shared" si="15"/>
        <v>227.58064516129031</v>
      </c>
      <c r="P35" s="33">
        <f t="shared" si="15"/>
        <v>0</v>
      </c>
      <c r="R35" s="33">
        <f t="shared" si="15"/>
        <v>4963.9354838709678</v>
      </c>
      <c r="S35" s="33">
        <f t="shared" si="15"/>
        <v>0</v>
      </c>
      <c r="AH35" s="33">
        <f t="shared" ref="AH35" si="16">($G35/$G34)*AH33</f>
        <v>288586.95645419363</v>
      </c>
      <c r="AI35" s="33">
        <f t="shared" ref="AI35" si="17">($G35/$G34)*AI33</f>
        <v>396968.99807096779</v>
      </c>
      <c r="AJ35" s="33">
        <f t="shared" ref="AJ35" si="18">($G35/$G34)*AJ33</f>
        <v>0</v>
      </c>
      <c r="AK35" s="33">
        <f t="shared" ref="AK35" si="19">($G35/$G34)*AK33</f>
        <v>1256563.2874453142</v>
      </c>
      <c r="AL35" s="33">
        <f t="shared" ref="AL35" si="20">($G35/$G34)*AL33</f>
        <v>418436.95958666917</v>
      </c>
      <c r="AM35" s="33">
        <f t="shared" ref="AM35" si="21">($G35/$G34)*AM33</f>
        <v>2178.6571288399577</v>
      </c>
      <c r="AN35" s="33">
        <f t="shared" ref="AN35" si="22">($G35/$G34)*AN33</f>
        <v>1260748.0307529159</v>
      </c>
      <c r="AO35" s="33">
        <f t="shared" ref="AO35" si="23">($G35/$G34)*AO33</f>
        <v>416430.8734079072</v>
      </c>
    </row>
    <row r="36" spans="6:41">
      <c r="F36" s="150" t="s">
        <v>9</v>
      </c>
      <c r="G36" s="1">
        <f>G34+G35</f>
        <v>114</v>
      </c>
      <c r="H36" s="24">
        <f>H33+H35</f>
        <v>2433289.5483870967</v>
      </c>
      <c r="I36" s="24">
        <f t="shared" ref="I36:S36" si="24">I33+I35</f>
        <v>558121.93548387103</v>
      </c>
      <c r="J36" s="24">
        <f t="shared" si="24"/>
        <v>433258.83870967739</v>
      </c>
      <c r="K36" s="24">
        <f t="shared" si="24"/>
        <v>1394146.4516129033</v>
      </c>
      <c r="L36" s="24">
        <f t="shared" si="24"/>
        <v>4801084.2580645159</v>
      </c>
      <c r="M36" s="24">
        <f t="shared" si="24"/>
        <v>4496417.4193548383</v>
      </c>
      <c r="N36" s="24">
        <f t="shared" si="24"/>
        <v>4496417.4193548383</v>
      </c>
      <c r="O36" s="24">
        <f t="shared" si="24"/>
        <v>312.58064516129031</v>
      </c>
      <c r="P36" s="24">
        <f t="shared" si="24"/>
        <v>0</v>
      </c>
      <c r="R36" s="24">
        <f t="shared" si="24"/>
        <v>6817.9354838709678</v>
      </c>
      <c r="S36" s="24">
        <f t="shared" si="24"/>
        <v>0</v>
      </c>
      <c r="AH36" s="24">
        <f t="shared" ref="AH36" si="25">AH33+AH35</f>
        <v>396372.44621419365</v>
      </c>
      <c r="AI36" s="24">
        <f t="shared" ref="AI36" si="26">AI33+AI35</f>
        <v>545234.52747096785</v>
      </c>
      <c r="AJ36" s="24">
        <f t="shared" ref="AJ36" si="27">AJ33+AJ35</f>
        <v>0</v>
      </c>
      <c r="AK36" s="24">
        <f t="shared" ref="AK36" si="28">AK33+AK35</f>
        <v>1725882.1056477809</v>
      </c>
      <c r="AL36" s="24">
        <f t="shared" ref="AL36" si="29">AL33+AL35</f>
        <v>574720.64328771434</v>
      </c>
      <c r="AM36" s="24">
        <f t="shared" ref="AM36" si="30">AM33+AM35</f>
        <v>2992.3724420211465</v>
      </c>
      <c r="AN36" s="24">
        <f t="shared" ref="AN36" si="31">AN33+AN35</f>
        <v>1731629.825371475</v>
      </c>
      <c r="AO36" s="24">
        <f t="shared" ref="AO36" si="32">AO33+AO35</f>
        <v>571965.29600604123</v>
      </c>
    </row>
  </sheetData>
  <conditionalFormatting sqref="AQ2:AQ32">
    <cfRule type="cellIs" dxfId="35" priority="6" operator="lessThan">
      <formula>0.75</formula>
    </cfRule>
  </conditionalFormatting>
  <conditionalFormatting sqref="AQ2:AQ32">
    <cfRule type="cellIs" dxfId="34" priority="5" operator="greaterThan">
      <formula>1.25</formula>
    </cfRule>
  </conditionalFormatting>
  <conditionalFormatting sqref="AQ2:AQ32">
    <cfRule type="cellIs" dxfId="33" priority="4" operator="equal">
      <formula>" "</formula>
    </cfRule>
  </conditionalFormatting>
  <conditionalFormatting sqref="AJ2:AJ32">
    <cfRule type="cellIs" dxfId="32" priority="1" operator="greaterThan">
      <formula>240</formula>
    </cfRule>
    <cfRule type="cellIs" dxfId="31" priority="2" operator="between">
      <formula>156</formula>
      <formula>240</formula>
    </cfRule>
    <cfRule type="cellIs" dxfId="30" priority="3" operator="lessThan">
      <formula>156</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sheetPr>
    <tabColor theme="6" tint="-0.499984740745262"/>
  </sheetPr>
  <dimension ref="A1:BP169"/>
  <sheetViews>
    <sheetView topLeftCell="A2" workbookViewId="0">
      <pane xSplit="7830" ySplit="1770" topLeftCell="BC147" activePane="bottomRight"/>
      <selection activeCell="AE164" sqref="AE164"/>
      <selection pane="topRight" activeCell="C2" sqref="C2"/>
      <selection pane="bottomLeft"/>
      <selection pane="bottomRight" activeCell="BJ165" sqref="BJ165"/>
    </sheetView>
  </sheetViews>
  <sheetFormatPr defaultRowHeight="12"/>
  <cols>
    <col min="1" max="1" width="56.7109375" style="1" customWidth="1"/>
    <col min="2" max="2" width="14.140625" style="1" customWidth="1"/>
    <col min="3" max="3" width="9" style="1" bestFit="1" customWidth="1"/>
    <col min="4" max="5" width="7.85546875" style="1" bestFit="1" customWidth="1"/>
    <col min="6" max="6" width="7.7109375" style="1" bestFit="1" customWidth="1"/>
    <col min="7" max="7" width="7.85546875" style="1" bestFit="1" customWidth="1"/>
    <col min="8" max="8" width="8" style="1" bestFit="1" customWidth="1"/>
    <col min="9" max="10" width="9.42578125" style="1" bestFit="1" customWidth="1"/>
    <col min="11" max="11" width="13.28515625" style="1" customWidth="1"/>
    <col min="12" max="12" width="7.85546875" style="1" bestFit="1" customWidth="1"/>
    <col min="13" max="13" width="8.28515625" style="1" bestFit="1" customWidth="1"/>
    <col min="14" max="14" width="7.85546875" style="1" bestFit="1" customWidth="1"/>
    <col min="15" max="15" width="9.140625" style="1"/>
    <col min="16" max="16" width="8.140625" style="1" bestFit="1" customWidth="1"/>
    <col min="17" max="17" width="9.140625" style="1"/>
    <col min="18" max="18" width="8.140625" style="1" bestFit="1" customWidth="1"/>
    <col min="19" max="19" width="7.7109375" style="1" bestFit="1" customWidth="1"/>
    <col min="20" max="21" width="9.85546875" style="1" bestFit="1" customWidth="1"/>
    <col min="22" max="30" width="10.5703125" style="1" bestFit="1" customWidth="1"/>
    <col min="31" max="39" width="10" style="1" bestFit="1" customWidth="1"/>
    <col min="40" max="40" width="10.5703125" style="1" bestFit="1" customWidth="1"/>
    <col min="41" max="41" width="10" style="1" bestFit="1" customWidth="1"/>
    <col min="42" max="42" width="10.5703125" style="1" bestFit="1" customWidth="1"/>
    <col min="43" max="43" width="6.85546875" style="1" bestFit="1" customWidth="1"/>
    <col min="44" max="44" width="8.28515625" style="1" bestFit="1" customWidth="1"/>
    <col min="45" max="45" width="7.140625" style="1" bestFit="1" customWidth="1"/>
    <col min="46" max="46" width="6.85546875" style="1" bestFit="1" customWidth="1"/>
    <col min="47" max="47" width="8.140625" style="1" bestFit="1" customWidth="1"/>
    <col min="48" max="50" width="8.5703125" style="1" bestFit="1" customWidth="1"/>
    <col min="51" max="51" width="7.5703125" style="1" bestFit="1" customWidth="1"/>
    <col min="52" max="52" width="7.7109375" style="1" bestFit="1" customWidth="1"/>
    <col min="53" max="53" width="7.140625" style="1" bestFit="1" customWidth="1"/>
    <col min="54" max="54" width="9" style="1" bestFit="1" customWidth="1"/>
    <col min="55" max="55" width="7.85546875" style="1" bestFit="1" customWidth="1"/>
    <col min="56" max="56" width="8.85546875" style="1" bestFit="1" customWidth="1"/>
    <col min="57" max="58" width="9" style="1" bestFit="1" customWidth="1"/>
    <col min="59" max="59" width="7.85546875" style="1" bestFit="1" customWidth="1"/>
    <col min="60" max="60" width="9" style="1" bestFit="1" customWidth="1"/>
    <col min="61" max="61" width="8.85546875" style="1" bestFit="1" customWidth="1"/>
    <col min="62" max="62" width="8.7109375" style="1" customWidth="1"/>
    <col min="63" max="63" width="9.85546875" style="1" bestFit="1" customWidth="1"/>
    <col min="64" max="64" width="7.5703125" style="1" bestFit="1" customWidth="1"/>
    <col min="65" max="65" width="9" style="1" bestFit="1" customWidth="1"/>
    <col min="66" max="66" width="9.140625" style="1"/>
    <col min="67" max="67" width="10.7109375" style="1" bestFit="1" customWidth="1"/>
    <col min="68" max="16384" width="9.140625" style="1"/>
  </cols>
  <sheetData>
    <row r="1" spans="1:68" ht="15.75" customHeight="1">
      <c r="C1" s="1" t="s">
        <v>436</v>
      </c>
      <c r="X1" s="1">
        <v>6.8000000000000005E-2</v>
      </c>
    </row>
    <row r="2" spans="1:68">
      <c r="A2" s="10" t="s">
        <v>10</v>
      </c>
      <c r="B2" s="10" t="s">
        <v>10</v>
      </c>
      <c r="C2" s="10"/>
      <c r="D2" s="10"/>
      <c r="E2" s="10" t="s">
        <v>10</v>
      </c>
      <c r="F2" s="10" t="s">
        <v>10</v>
      </c>
      <c r="G2" s="10" t="s">
        <v>10</v>
      </c>
      <c r="H2" s="10" t="s">
        <v>10</v>
      </c>
      <c r="I2" s="10" t="s">
        <v>10</v>
      </c>
      <c r="J2" s="10" t="s">
        <v>10</v>
      </c>
      <c r="K2" s="10" t="s">
        <v>10</v>
      </c>
      <c r="L2" s="10" t="s">
        <v>10</v>
      </c>
      <c r="M2" s="10" t="s">
        <v>10</v>
      </c>
      <c r="N2" s="10" t="s">
        <v>10</v>
      </c>
      <c r="O2" s="10" t="s">
        <v>10</v>
      </c>
      <c r="P2" s="10" t="s">
        <v>10</v>
      </c>
      <c r="Q2" s="10" t="s">
        <v>10</v>
      </c>
      <c r="R2" s="10" t="s">
        <v>10</v>
      </c>
      <c r="S2" s="10"/>
      <c r="T2" s="11" t="s">
        <v>11</v>
      </c>
      <c r="U2" s="11" t="s">
        <v>11</v>
      </c>
      <c r="V2" s="12" t="s">
        <v>12</v>
      </c>
      <c r="W2" s="13" t="s">
        <v>12</v>
      </c>
      <c r="X2" s="14" t="s">
        <v>12</v>
      </c>
      <c r="Y2" s="14" t="s">
        <v>12</v>
      </c>
      <c r="Z2" s="14" t="s">
        <v>12</v>
      </c>
      <c r="AA2" s="14" t="s">
        <v>12</v>
      </c>
      <c r="AB2" s="14" t="s">
        <v>12</v>
      </c>
      <c r="AC2" s="14" t="s">
        <v>12</v>
      </c>
      <c r="AD2" s="14" t="s">
        <v>12</v>
      </c>
      <c r="AE2" s="15" t="s">
        <v>13</v>
      </c>
      <c r="AF2" s="15" t="s">
        <v>13</v>
      </c>
      <c r="AG2" s="15" t="s">
        <v>13</v>
      </c>
      <c r="AH2" s="15" t="s">
        <v>13</v>
      </c>
      <c r="AI2" s="15" t="s">
        <v>13</v>
      </c>
      <c r="AJ2" s="15" t="s">
        <v>13</v>
      </c>
      <c r="AK2" s="15" t="s">
        <v>13</v>
      </c>
      <c r="AL2" s="15" t="s">
        <v>13</v>
      </c>
      <c r="AM2" s="15" t="s">
        <v>13</v>
      </c>
      <c r="AN2" s="14" t="s">
        <v>12</v>
      </c>
      <c r="AO2" s="15" t="s">
        <v>13</v>
      </c>
      <c r="AP2" s="14" t="s">
        <v>12</v>
      </c>
      <c r="AQ2" s="16"/>
      <c r="AR2" s="16"/>
      <c r="AS2" s="16"/>
      <c r="AT2" s="16"/>
      <c r="AU2" s="16"/>
      <c r="AV2" s="16"/>
      <c r="AW2" s="16"/>
      <c r="AX2" s="16"/>
      <c r="AY2" s="16"/>
      <c r="AZ2" s="16"/>
      <c r="BA2" s="16"/>
      <c r="BB2" s="16"/>
      <c r="BD2" s="16"/>
      <c r="BF2" s="16"/>
      <c r="BG2" s="16"/>
      <c r="BH2" s="16"/>
      <c r="BI2" s="16"/>
      <c r="BJ2" s="130">
        <v>1</v>
      </c>
      <c r="BK2" s="16"/>
      <c r="BL2" s="16"/>
      <c r="BM2" s="16"/>
    </row>
    <row r="3" spans="1:68" ht="60">
      <c r="A3" s="17" t="s">
        <v>14</v>
      </c>
      <c r="B3" s="17" t="s">
        <v>15</v>
      </c>
      <c r="C3" s="17" t="s">
        <v>16</v>
      </c>
      <c r="D3" s="17" t="s">
        <v>227</v>
      </c>
      <c r="E3" s="17" t="s">
        <v>0</v>
      </c>
      <c r="F3" s="17" t="s">
        <v>17</v>
      </c>
      <c r="G3" s="18" t="s">
        <v>18</v>
      </c>
      <c r="H3" s="17" t="s">
        <v>19</v>
      </c>
      <c r="I3" s="19" t="s">
        <v>20</v>
      </c>
      <c r="J3" s="19" t="s">
        <v>21</v>
      </c>
      <c r="K3" s="17" t="s">
        <v>22</v>
      </c>
      <c r="L3" s="17" t="s">
        <v>23</v>
      </c>
      <c r="M3" s="17" t="s">
        <v>24</v>
      </c>
      <c r="N3" s="17" t="s">
        <v>25</v>
      </c>
      <c r="O3" s="18" t="s">
        <v>26</v>
      </c>
      <c r="P3" s="18" t="s">
        <v>27</v>
      </c>
      <c r="Q3" s="18" t="s">
        <v>28</v>
      </c>
      <c r="R3" s="18" t="s">
        <v>29</v>
      </c>
      <c r="S3" s="18" t="s">
        <v>30</v>
      </c>
      <c r="T3" s="18" t="s">
        <v>228</v>
      </c>
      <c r="U3" s="18" t="s">
        <v>229</v>
      </c>
      <c r="V3" s="20" t="s">
        <v>31</v>
      </c>
      <c r="W3" s="21" t="s">
        <v>32</v>
      </c>
      <c r="X3" s="22" t="s">
        <v>33</v>
      </c>
      <c r="Y3" s="21" t="s">
        <v>34</v>
      </c>
      <c r="Z3" s="21" t="s">
        <v>35</v>
      </c>
      <c r="AA3" s="21" t="s">
        <v>36</v>
      </c>
      <c r="AB3" s="21" t="s">
        <v>37</v>
      </c>
      <c r="AC3" s="21" t="s">
        <v>38</v>
      </c>
      <c r="AD3" s="21" t="s">
        <v>39</v>
      </c>
      <c r="AE3" s="17" t="s">
        <v>40</v>
      </c>
      <c r="AF3" s="22" t="s">
        <v>33</v>
      </c>
      <c r="AG3" s="21" t="s">
        <v>34</v>
      </c>
      <c r="AH3" s="21" t="s">
        <v>35</v>
      </c>
      <c r="AI3" s="21" t="s">
        <v>36</v>
      </c>
      <c r="AJ3" s="17" t="s">
        <v>37</v>
      </c>
      <c r="AK3" s="17" t="s">
        <v>38</v>
      </c>
      <c r="AL3" s="21" t="s">
        <v>39</v>
      </c>
      <c r="AM3" s="17" t="s">
        <v>41</v>
      </c>
      <c r="AN3" s="17" t="s">
        <v>42</v>
      </c>
      <c r="AO3" s="17" t="s">
        <v>43</v>
      </c>
      <c r="AP3" s="17" t="s">
        <v>44</v>
      </c>
      <c r="AQ3" s="17" t="s">
        <v>45</v>
      </c>
      <c r="AR3" s="17" t="s">
        <v>46</v>
      </c>
      <c r="AS3" s="17" t="s">
        <v>47</v>
      </c>
      <c r="AT3" s="17" t="s">
        <v>48</v>
      </c>
      <c r="AU3" s="17" t="s">
        <v>49</v>
      </c>
      <c r="AV3" s="17" t="s">
        <v>50</v>
      </c>
      <c r="AW3" s="17" t="s">
        <v>51</v>
      </c>
      <c r="AX3" s="17" t="s">
        <v>52</v>
      </c>
      <c r="AY3" s="17" t="s">
        <v>53</v>
      </c>
      <c r="AZ3" s="17" t="s">
        <v>54</v>
      </c>
      <c r="BA3" s="17" t="s">
        <v>55</v>
      </c>
      <c r="BB3" s="17" t="s">
        <v>56</v>
      </c>
      <c r="BC3" s="18" t="s">
        <v>57</v>
      </c>
      <c r="BD3" s="18" t="s">
        <v>58</v>
      </c>
      <c r="BE3" s="18" t="s">
        <v>59</v>
      </c>
      <c r="BF3" s="18" t="s">
        <v>60</v>
      </c>
      <c r="BG3" s="18" t="s">
        <v>61</v>
      </c>
      <c r="BH3" s="18" t="s">
        <v>62</v>
      </c>
      <c r="BI3" s="18" t="s">
        <v>63</v>
      </c>
      <c r="BJ3" s="18" t="s">
        <v>292</v>
      </c>
      <c r="BK3" s="18" t="s">
        <v>293</v>
      </c>
      <c r="BL3" s="18" t="s">
        <v>294</v>
      </c>
      <c r="BM3" s="18" t="s">
        <v>64</v>
      </c>
      <c r="BO3" s="17" t="s">
        <v>468</v>
      </c>
      <c r="BP3" s="17" t="s">
        <v>507</v>
      </c>
    </row>
    <row r="4" spans="1:68">
      <c r="A4" s="23" t="s">
        <v>65</v>
      </c>
      <c r="B4" s="1" t="s">
        <v>66</v>
      </c>
      <c r="C4" s="24">
        <v>2</v>
      </c>
      <c r="D4" s="24" t="s">
        <v>432</v>
      </c>
      <c r="E4" s="24">
        <v>10</v>
      </c>
      <c r="F4" s="24">
        <v>2</v>
      </c>
      <c r="G4" s="24" t="s">
        <v>67</v>
      </c>
      <c r="H4" s="24">
        <v>2500</v>
      </c>
      <c r="I4" s="24">
        <v>0</v>
      </c>
      <c r="J4" s="24">
        <v>0</v>
      </c>
      <c r="K4" s="24">
        <v>0</v>
      </c>
      <c r="L4" s="24">
        <v>0</v>
      </c>
      <c r="M4" s="24">
        <v>0</v>
      </c>
      <c r="N4" s="24">
        <v>0</v>
      </c>
      <c r="O4" s="24">
        <v>505</v>
      </c>
      <c r="P4" s="24">
        <v>0</v>
      </c>
      <c r="Q4" s="24">
        <v>0</v>
      </c>
      <c r="R4" s="24">
        <v>500</v>
      </c>
      <c r="S4" s="24">
        <v>0</v>
      </c>
      <c r="T4" s="28">
        <f>IF(O4=0,0,(O4*100000)/((O4*100000)+(Q4*3413)))</f>
        <v>1</v>
      </c>
      <c r="U4" s="28">
        <f>IF(V4+W4=0,0,V4/(V4+W4))</f>
        <v>1</v>
      </c>
      <c r="V4" s="29">
        <f>IF(O4&gt;0,((VLOOKUP(E4,ACs!G$4:P$53,7)*P4)+(VLOOKUP(E4,ACs!G$4:P$53,6)*(1-P4)))*O4*F4,0)</f>
        <v>3153.0891603560958</v>
      </c>
      <c r="W4" s="29">
        <f>IF(E4&gt;0,VLOOKUP(E4,ACs!G$4:P$53,10)*Q4*F4,0)</f>
        <v>0</v>
      </c>
      <c r="X4" s="29">
        <f>(PV(X$1,E4,-L4)+K4)*F4</f>
        <v>0</v>
      </c>
      <c r="Y4" s="29">
        <f>F4*H4</f>
        <v>5000</v>
      </c>
      <c r="Z4" s="29">
        <f>S4*F43</f>
        <v>0</v>
      </c>
      <c r="AA4" s="29">
        <f>F4*R4</f>
        <v>1000</v>
      </c>
      <c r="AB4" s="30">
        <f>IF(Y4=0," ",(V4+W4+X4)/(Y4+Z4))</f>
        <v>0.63061783207121913</v>
      </c>
      <c r="AC4" s="30">
        <f>IF(Y4=0," ",(V4+W4)/(Y4+Z4))</f>
        <v>0.63061783207121913</v>
      </c>
      <c r="AD4" s="31">
        <f>IF(AA4=0," ",(V4+W4)/(Z4+AA4))</f>
        <v>3.153089160356096</v>
      </c>
      <c r="AE4" s="29">
        <f>U4*(V4+W4)</f>
        <v>3153.0891603560958</v>
      </c>
      <c r="AF4" s="29">
        <f>U4*X4</f>
        <v>0</v>
      </c>
      <c r="AG4" s="29">
        <f>U4*H4*F4</f>
        <v>5000</v>
      </c>
      <c r="AH4" s="29">
        <f>Z4*U4</f>
        <v>0</v>
      </c>
      <c r="AI4" s="29">
        <f>F4*R4*U4</f>
        <v>1000</v>
      </c>
      <c r="AJ4" s="30">
        <f>IF(AG4=0," ",(AE4+AF4)/(AG4+AH4))</f>
        <v>0.63061783207121913</v>
      </c>
      <c r="AK4" s="30">
        <f>IF(AG4=0," ",(AE4)/(AG4+AH4))</f>
        <v>0.63061783207121913</v>
      </c>
      <c r="AL4" s="30">
        <f>IF(AI4=0," ",(AE4/(AH4+AI4)))</f>
        <v>3.153089160356096</v>
      </c>
      <c r="AM4" s="32">
        <f>IF(AE4+AF4=0," ",(AE4/(AE4+AF4)))</f>
        <v>1</v>
      </c>
      <c r="AN4" s="32">
        <f>IF(V4+W4+X4=0," ",(V4+W4)/(V4+W4+X4))</f>
        <v>1</v>
      </c>
      <c r="AO4" s="32">
        <f>IF(AE4=0," ",AI4/AE4)</f>
        <v>0.31714929364289351</v>
      </c>
      <c r="AP4" s="32">
        <f>IF(V4+W4=0," ",AA4/(V4+W4))</f>
        <v>0.31714929364289351</v>
      </c>
      <c r="AQ4" s="33">
        <f>F4*O4</f>
        <v>1010</v>
      </c>
      <c r="AR4" s="27">
        <v>0.87</v>
      </c>
      <c r="AS4" s="30">
        <f>IF(SUM(AG4:AH4)=0," ",(AR4*SUM(AE4:AF4))/((AR4*AG4)+AH4))</f>
        <v>0.63061783207121913</v>
      </c>
      <c r="AT4" s="33">
        <f>AR4*AQ4</f>
        <v>878.7</v>
      </c>
      <c r="AU4" s="32">
        <v>1</v>
      </c>
      <c r="AV4" s="33">
        <f>SUM(AE4:AF4)*AU4</f>
        <v>3153.0891603560958</v>
      </c>
      <c r="AW4" s="33">
        <f>SUM(AG4:AH4)*AU4</f>
        <v>5000</v>
      </c>
      <c r="AX4" s="30">
        <f t="shared" ref="AX4:AX67" si="0">IF(AW4=0," ",AV4/AW4)</f>
        <v>0.63061783207121913</v>
      </c>
      <c r="AY4" s="29">
        <f>(SUM(AE4:AF4)*AR4*AU4)</f>
        <v>2743.1875695098033</v>
      </c>
      <c r="AZ4" s="29">
        <f>((AG4*AR4)+AH4)*AU4</f>
        <v>4350</v>
      </c>
      <c r="BA4" s="30">
        <f>IF(AZ4=0," ",AY4/AZ4)</f>
        <v>0.63061783207121913</v>
      </c>
      <c r="BB4" s="34">
        <f>IF(AQ4&gt;0,1,0)</f>
        <v>1</v>
      </c>
      <c r="BC4" s="35">
        <f>IF(O4&gt;0,IF(D4="Y",1,0),0)</f>
        <v>1</v>
      </c>
      <c r="BD4" s="27">
        <f>11/12</f>
        <v>0.91666666666666663</v>
      </c>
      <c r="BE4" s="36">
        <f>((AE4*BE$2)+AF4)*BD4</f>
        <v>0</v>
      </c>
      <c r="BF4" s="36">
        <f>SUM(AG4+AH4)*BD4</f>
        <v>4583.333333333333</v>
      </c>
      <c r="BG4" s="30">
        <f>IF(BF4=0," ",BE4/BF4)</f>
        <v>0</v>
      </c>
      <c r="BH4" s="33">
        <f>BD4*AQ4</f>
        <v>925.83333333333326</v>
      </c>
      <c r="BI4" s="27">
        <v>0</v>
      </c>
      <c r="BJ4" s="36">
        <f>((AE4)+AF4)*BI4</f>
        <v>0</v>
      </c>
      <c r="BK4" s="37">
        <f>(AG4+AH4)*BI4</f>
        <v>0</v>
      </c>
      <c r="BL4" s="30" t="str">
        <f>IF(BK4=0," ",BJ4/BK4)</f>
        <v xml:space="preserve"> </v>
      </c>
      <c r="BM4" s="26">
        <f>BI4*AQ4</f>
        <v>0</v>
      </c>
      <c r="BO4" s="50">
        <f>AE4*BI4</f>
        <v>0</v>
      </c>
      <c r="BP4" s="50">
        <f>BI4*AF4</f>
        <v>0</v>
      </c>
    </row>
    <row r="5" spans="1:68">
      <c r="A5" s="16" t="s">
        <v>68</v>
      </c>
      <c r="B5" s="1" t="s">
        <v>66</v>
      </c>
      <c r="C5" s="24">
        <v>0</v>
      </c>
      <c r="D5" s="24" t="s">
        <v>433</v>
      </c>
      <c r="E5" s="24">
        <v>10</v>
      </c>
      <c r="F5" s="24">
        <v>0</v>
      </c>
      <c r="G5" s="24" t="s">
        <v>67</v>
      </c>
      <c r="H5" s="24">
        <v>0</v>
      </c>
      <c r="I5" s="24">
        <v>0</v>
      </c>
      <c r="J5" s="24">
        <v>0</v>
      </c>
      <c r="K5" s="24">
        <v>0</v>
      </c>
      <c r="L5" s="24">
        <v>0</v>
      </c>
      <c r="M5" s="24">
        <v>0</v>
      </c>
      <c r="N5" s="24">
        <v>0</v>
      </c>
      <c r="O5" s="24">
        <v>0</v>
      </c>
      <c r="P5" s="24">
        <v>0</v>
      </c>
      <c r="Q5" s="24">
        <v>0</v>
      </c>
      <c r="R5" s="24">
        <v>0</v>
      </c>
      <c r="S5" s="24">
        <v>0</v>
      </c>
      <c r="T5" s="28">
        <f t="shared" ref="T5:T68" si="1">IF(O5=0,0,(O5*100000)/((O5*100000)+(Q5*3413)))</f>
        <v>0</v>
      </c>
      <c r="U5" s="28">
        <f t="shared" ref="U5:U68" si="2">IF(V5+W5=0,0,V5/(V5+W5))</f>
        <v>0</v>
      </c>
      <c r="V5" s="29">
        <f>IF(O5&gt;0,((VLOOKUP(E5,ACs!G$4:P$53,7)*P5)+(VLOOKUP(E5,ACs!G$4:P$53,6)*(1-P5)))*O5*F5,0)</f>
        <v>0</v>
      </c>
      <c r="W5" s="29">
        <f>IF(E5&gt;0,VLOOKUP(E5,ACs!G$4:P$53,10)*Q5*F5,0)</f>
        <v>0</v>
      </c>
      <c r="X5" s="29">
        <f t="shared" ref="X5:X68" si="3">(PV(X$1,E5,-L5)+K5)*F5</f>
        <v>0</v>
      </c>
      <c r="Y5" s="29">
        <f t="shared" ref="Y5:Y68" si="4">F5*H5</f>
        <v>0</v>
      </c>
      <c r="Z5" s="29">
        <f t="shared" ref="Z5:Z68" si="5">S5*F44</f>
        <v>0</v>
      </c>
      <c r="AA5" s="29">
        <f t="shared" ref="AA5:AA68" si="6">F5*R5</f>
        <v>0</v>
      </c>
      <c r="AB5" s="30" t="str">
        <f t="shared" ref="AB5:AB68" si="7">IF(Y5=0," ",(V5+W5+X5)/(Y5+Z5))</f>
        <v xml:space="preserve"> </v>
      </c>
      <c r="AC5" s="30" t="str">
        <f t="shared" ref="AC5:AC68" si="8">IF(Y5=0," ",(V5+W5)/(Y5+Z5))</f>
        <v xml:space="preserve"> </v>
      </c>
      <c r="AD5" s="31" t="str">
        <f t="shared" ref="AD5:AD68" si="9">IF(AA5=0," ",(V5+W5)/(Z5+AA5))</f>
        <v xml:space="preserve"> </v>
      </c>
      <c r="AE5" s="29">
        <f t="shared" ref="AE5:AE68" si="10">U5*(V5+W5)</f>
        <v>0</v>
      </c>
      <c r="AF5" s="29">
        <f t="shared" ref="AF5:AF68" si="11">U5*X5</f>
        <v>0</v>
      </c>
      <c r="AG5" s="29">
        <f t="shared" ref="AG5:AG68" si="12">U5*H5*F5</f>
        <v>0</v>
      </c>
      <c r="AH5" s="29">
        <f t="shared" ref="AH5:AH68" si="13">Z5*U5</f>
        <v>0</v>
      </c>
      <c r="AI5" s="29">
        <f t="shared" ref="AI5:AI68" si="14">F5*R5*U5</f>
        <v>0</v>
      </c>
      <c r="AJ5" s="30" t="str">
        <f t="shared" ref="AJ5:AJ68" si="15">IF(AG5=0," ",(AE5+AF5)/(AG5+AH5))</f>
        <v xml:space="preserve"> </v>
      </c>
      <c r="AK5" s="30" t="str">
        <f t="shared" ref="AK5:AK68" si="16">IF(AG5=0," ",(AE5)/(AG5+AH5))</f>
        <v xml:space="preserve"> </v>
      </c>
      <c r="AL5" s="30" t="str">
        <f t="shared" ref="AL5:AL68" si="17">IF(AI5=0," ",(AE5/(AH5+AI5)))</f>
        <v xml:space="preserve"> </v>
      </c>
      <c r="AM5" s="32" t="str">
        <f t="shared" ref="AM5:AM68" si="18">IF(AE5+AF5=0," ",(AE5/(AE5+AF5)))</f>
        <v xml:space="preserve"> </v>
      </c>
      <c r="AN5" s="32" t="str">
        <f t="shared" ref="AN5:AN68" si="19">IF(V5+W5+X5=0," ",(V5+W5)/(V5+W5+X5))</f>
        <v xml:space="preserve"> </v>
      </c>
      <c r="AO5" s="32" t="str">
        <f t="shared" ref="AO5:AO68" si="20">IF(AE5=0," ",AI5/AE5)</f>
        <v xml:space="preserve"> </v>
      </c>
      <c r="AP5" s="32" t="str">
        <f t="shared" ref="AP5:AP68" si="21">IF(V5+W5=0," ",AA5/(V5+W5))</f>
        <v xml:space="preserve"> </v>
      </c>
      <c r="AQ5" s="33">
        <f t="shared" ref="AQ5:AQ68" si="22">F5*O5</f>
        <v>0</v>
      </c>
      <c r="AR5" s="27">
        <v>0.87</v>
      </c>
      <c r="AS5" s="30" t="str">
        <f>IF(SUM(AG5:AH5)=0," ",(AR5*SUM(AE5:AF5))/((AR5*AG5)+AH5))</f>
        <v xml:space="preserve"> </v>
      </c>
      <c r="AT5" s="33">
        <f>AR5*AQ5</f>
        <v>0</v>
      </c>
      <c r="AU5" s="32">
        <v>1</v>
      </c>
      <c r="AV5" s="33">
        <f t="shared" ref="AV5:AV68" si="23">SUM(AE5:AF5)*AU5</f>
        <v>0</v>
      </c>
      <c r="AW5" s="33">
        <f t="shared" ref="AW5:AW68" si="24">SUM(AG5:AH5)*AU5</f>
        <v>0</v>
      </c>
      <c r="AX5" s="30" t="str">
        <f t="shared" si="0"/>
        <v xml:space="preserve"> </v>
      </c>
      <c r="AY5" s="29">
        <f t="shared" ref="AY5:AY68" si="25">(SUM(AE5:AF5)*AR5*AU5)</f>
        <v>0</v>
      </c>
      <c r="AZ5" s="29">
        <f t="shared" ref="AZ5:AZ68" si="26">((AG5*AR5)+AH5)*AU5</f>
        <v>0</v>
      </c>
      <c r="BA5" s="30" t="str">
        <f>IF(AZ5=0," ",AY5/AZ5)</f>
        <v xml:space="preserve"> </v>
      </c>
      <c r="BB5" s="34">
        <f t="shared" ref="BB5:BB68" si="27">IF(AQ5&gt;0,1,0)</f>
        <v>0</v>
      </c>
      <c r="BC5" s="35">
        <f t="shared" ref="BC5:BC68" si="28">IF(O5&gt;0,IF(D5="Y",1,0),0)</f>
        <v>0</v>
      </c>
      <c r="BD5" s="27">
        <v>1</v>
      </c>
      <c r="BE5" s="36">
        <f t="shared" ref="BE5:BE68" si="29">((AE5*BE$2)+AF5)*BD5</f>
        <v>0</v>
      </c>
      <c r="BF5" s="36">
        <f t="shared" ref="BF5:BF68" si="30">SUM(AG5+AH5)*BD5</f>
        <v>0</v>
      </c>
      <c r="BG5" s="30" t="str">
        <f t="shared" ref="BG5:BG68" si="31">IF(BF5=0," ",BE5/BF5)</f>
        <v xml:space="preserve"> </v>
      </c>
      <c r="BH5" s="33">
        <f t="shared" ref="BH5:BH68" si="32">BD5*AQ5</f>
        <v>0</v>
      </c>
      <c r="BI5" s="27">
        <v>1</v>
      </c>
      <c r="BJ5" s="36">
        <f t="shared" ref="BJ5:BJ68" si="33">((AE5)+AF5)*BI5</f>
        <v>0</v>
      </c>
      <c r="BK5" s="37">
        <f t="shared" ref="BK5:BK68" si="34">(AG5+AH5)*BI5</f>
        <v>0</v>
      </c>
      <c r="BL5" s="30" t="str">
        <f t="shared" ref="BL5:BL68" si="35">IF(BK5=0," ",BJ5/BK5)</f>
        <v xml:space="preserve"> </v>
      </c>
      <c r="BM5" s="26">
        <f t="shared" ref="BM5:BM68" si="36">BI5*AQ5</f>
        <v>0</v>
      </c>
      <c r="BO5" s="50">
        <f t="shared" ref="BO5:BO68" si="37">AE5*BI5</f>
        <v>0</v>
      </c>
      <c r="BP5" s="50">
        <f t="shared" ref="BP5:BP68" si="38">BI5*AF5</f>
        <v>0</v>
      </c>
    </row>
    <row r="6" spans="1:68">
      <c r="A6" s="16" t="s">
        <v>69</v>
      </c>
      <c r="B6" s="1" t="s">
        <v>66</v>
      </c>
      <c r="C6" s="24">
        <v>1</v>
      </c>
      <c r="D6" s="24" t="s">
        <v>432</v>
      </c>
      <c r="E6" s="24">
        <v>10</v>
      </c>
      <c r="F6" s="24">
        <v>1</v>
      </c>
      <c r="G6" s="24" t="s">
        <v>67</v>
      </c>
      <c r="H6" s="24">
        <v>1867</v>
      </c>
      <c r="I6" s="24">
        <v>0</v>
      </c>
      <c r="J6" s="24">
        <v>0</v>
      </c>
      <c r="K6" s="24">
        <v>0</v>
      </c>
      <c r="L6" s="24">
        <v>0</v>
      </c>
      <c r="M6" s="24">
        <v>0</v>
      </c>
      <c r="N6" s="24">
        <v>0</v>
      </c>
      <c r="O6" s="24">
        <v>1042</v>
      </c>
      <c r="P6" s="24">
        <v>0</v>
      </c>
      <c r="Q6" s="24">
        <v>0</v>
      </c>
      <c r="R6" s="24">
        <v>500</v>
      </c>
      <c r="S6" s="24">
        <v>0</v>
      </c>
      <c r="T6" s="28">
        <f t="shared" si="1"/>
        <v>1</v>
      </c>
      <c r="U6" s="28">
        <f t="shared" si="2"/>
        <v>1</v>
      </c>
      <c r="V6" s="29">
        <f>IF(O6&gt;0,((VLOOKUP(E6,ACs!G$4:P$53,7)*P6)+(VLOOKUP(E6,ACs!G$4:P$53,6)*(1-P6)))*O6*F6,0)</f>
        <v>3252.9890149416356</v>
      </c>
      <c r="W6" s="29">
        <f>IF(E6&gt;0,VLOOKUP(E6,ACs!G$4:P$53,10)*Q6*F6,0)</f>
        <v>0</v>
      </c>
      <c r="X6" s="29">
        <f t="shared" si="3"/>
        <v>0</v>
      </c>
      <c r="Y6" s="29">
        <f t="shared" si="4"/>
        <v>1867</v>
      </c>
      <c r="Z6" s="29">
        <f t="shared" si="5"/>
        <v>0</v>
      </c>
      <c r="AA6" s="29">
        <f t="shared" si="6"/>
        <v>500</v>
      </c>
      <c r="AB6" s="30">
        <f t="shared" si="7"/>
        <v>1.7423615505847003</v>
      </c>
      <c r="AC6" s="30">
        <f t="shared" si="8"/>
        <v>1.7423615505847003</v>
      </c>
      <c r="AD6" s="31">
        <f t="shared" si="9"/>
        <v>6.5059780298832708</v>
      </c>
      <c r="AE6" s="29">
        <f t="shared" si="10"/>
        <v>3252.9890149416356</v>
      </c>
      <c r="AF6" s="29">
        <f t="shared" si="11"/>
        <v>0</v>
      </c>
      <c r="AG6" s="29">
        <f t="shared" si="12"/>
        <v>1867</v>
      </c>
      <c r="AH6" s="29">
        <f t="shared" si="13"/>
        <v>0</v>
      </c>
      <c r="AI6" s="29">
        <f t="shared" si="14"/>
        <v>500</v>
      </c>
      <c r="AJ6" s="30">
        <f t="shared" si="15"/>
        <v>1.7423615505847003</v>
      </c>
      <c r="AK6" s="30">
        <f t="shared" si="16"/>
        <v>1.7423615505847003</v>
      </c>
      <c r="AL6" s="30">
        <f t="shared" si="17"/>
        <v>6.5059780298832708</v>
      </c>
      <c r="AM6" s="32">
        <f t="shared" si="18"/>
        <v>1</v>
      </c>
      <c r="AN6" s="32">
        <f t="shared" si="19"/>
        <v>1</v>
      </c>
      <c r="AO6" s="32">
        <f t="shared" si="20"/>
        <v>0.15370479202462689</v>
      </c>
      <c r="AP6" s="32">
        <f t="shared" si="21"/>
        <v>0.15370479202462689</v>
      </c>
      <c r="AQ6" s="33">
        <f t="shared" si="22"/>
        <v>1042</v>
      </c>
      <c r="AR6" s="27">
        <v>0.87</v>
      </c>
      <c r="AS6" s="30">
        <f t="shared" ref="AS6:AS69" si="39">IF(SUM(AG6:AH6)=0," ",(AR6*SUM(AE6:AF6))/((AR6*AG6)+AH6))</f>
        <v>1.7423615505847005</v>
      </c>
      <c r="AT6" s="33">
        <f t="shared" ref="AT6:AT69" si="40">AR6*AQ6</f>
        <v>906.54</v>
      </c>
      <c r="AU6" s="32">
        <v>1</v>
      </c>
      <c r="AV6" s="33">
        <f t="shared" si="23"/>
        <v>3252.9890149416356</v>
      </c>
      <c r="AW6" s="33">
        <f t="shared" si="24"/>
        <v>1867</v>
      </c>
      <c r="AX6" s="30">
        <f t="shared" si="0"/>
        <v>1.7423615505847003</v>
      </c>
      <c r="AY6" s="29">
        <f t="shared" si="25"/>
        <v>2830.1004429992231</v>
      </c>
      <c r="AZ6" s="29">
        <f t="shared" si="26"/>
        <v>1624.29</v>
      </c>
      <c r="BA6" s="30">
        <f t="shared" ref="BA6:BA69" si="41">IF(AZ6=0," ",AY6/AZ6)</f>
        <v>1.7423615505847005</v>
      </c>
      <c r="BB6" s="34">
        <f t="shared" si="27"/>
        <v>1</v>
      </c>
      <c r="BC6" s="35">
        <f t="shared" si="28"/>
        <v>1</v>
      </c>
      <c r="BD6" s="27">
        <v>1</v>
      </c>
      <c r="BE6" s="36">
        <f t="shared" si="29"/>
        <v>0</v>
      </c>
      <c r="BF6" s="36">
        <f t="shared" si="30"/>
        <v>1867</v>
      </c>
      <c r="BG6" s="30">
        <f t="shared" si="31"/>
        <v>0</v>
      </c>
      <c r="BH6" s="33">
        <f t="shared" si="32"/>
        <v>1042</v>
      </c>
      <c r="BI6" s="27">
        <v>1</v>
      </c>
      <c r="BJ6" s="36">
        <f t="shared" si="33"/>
        <v>3252.9890149416356</v>
      </c>
      <c r="BK6" s="37">
        <f t="shared" si="34"/>
        <v>1867</v>
      </c>
      <c r="BL6" s="30">
        <f t="shared" si="35"/>
        <v>1.7423615505847003</v>
      </c>
      <c r="BM6" s="26">
        <f t="shared" si="36"/>
        <v>1042</v>
      </c>
      <c r="BO6" s="50">
        <f t="shared" si="37"/>
        <v>3252.9890149416356</v>
      </c>
      <c r="BP6" s="50">
        <f t="shared" si="38"/>
        <v>0</v>
      </c>
    </row>
    <row r="7" spans="1:68">
      <c r="A7" s="16" t="s">
        <v>70</v>
      </c>
      <c r="B7" s="1" t="s">
        <v>66</v>
      </c>
      <c r="C7" s="24">
        <v>1</v>
      </c>
      <c r="D7" s="24" t="s">
        <v>432</v>
      </c>
      <c r="E7" s="24">
        <v>10</v>
      </c>
      <c r="F7" s="24">
        <v>1</v>
      </c>
      <c r="G7" s="24" t="s">
        <v>67</v>
      </c>
      <c r="H7" s="24">
        <v>2489</v>
      </c>
      <c r="I7" s="24">
        <v>0</v>
      </c>
      <c r="J7" s="24">
        <v>0</v>
      </c>
      <c r="K7" s="24">
        <v>0</v>
      </c>
      <c r="L7" s="24">
        <v>0</v>
      </c>
      <c r="M7" s="24">
        <v>0</v>
      </c>
      <c r="N7" s="24">
        <v>0</v>
      </c>
      <c r="O7" s="24">
        <v>1389</v>
      </c>
      <c r="P7" s="24">
        <v>0</v>
      </c>
      <c r="Q7" s="24">
        <v>0</v>
      </c>
      <c r="R7" s="24">
        <v>540</v>
      </c>
      <c r="S7" s="24">
        <v>0</v>
      </c>
      <c r="T7" s="28">
        <f t="shared" si="1"/>
        <v>1</v>
      </c>
      <c r="U7" s="28">
        <f t="shared" si="2"/>
        <v>1</v>
      </c>
      <c r="V7" s="29">
        <f>IF(O7&gt;0,((VLOOKUP(E7,ACs!G$4:P$53,7)*P7)+(VLOOKUP(E7,ACs!G$4:P$53,6)*(1-P7)))*O7*F7,0)</f>
        <v>4336.2780631035812</v>
      </c>
      <c r="W7" s="29">
        <f>IF(E7&gt;0,VLOOKUP(E7,ACs!G$4:P$53,10)*Q7*F7,0)</f>
        <v>0</v>
      </c>
      <c r="X7" s="29">
        <f t="shared" si="3"/>
        <v>0</v>
      </c>
      <c r="Y7" s="29">
        <f t="shared" si="4"/>
        <v>2489</v>
      </c>
      <c r="Z7" s="29">
        <f t="shared" si="5"/>
        <v>0</v>
      </c>
      <c r="AA7" s="29">
        <f t="shared" si="6"/>
        <v>540</v>
      </c>
      <c r="AB7" s="30">
        <f t="shared" si="7"/>
        <v>1.7421768031754044</v>
      </c>
      <c r="AC7" s="30">
        <f t="shared" si="8"/>
        <v>1.7421768031754044</v>
      </c>
      <c r="AD7" s="31">
        <f t="shared" si="9"/>
        <v>8.0301445613029276</v>
      </c>
      <c r="AE7" s="29">
        <f t="shared" si="10"/>
        <v>4336.2780631035812</v>
      </c>
      <c r="AF7" s="29">
        <f t="shared" si="11"/>
        <v>0</v>
      </c>
      <c r="AG7" s="29">
        <f t="shared" si="12"/>
        <v>2489</v>
      </c>
      <c r="AH7" s="29">
        <f t="shared" si="13"/>
        <v>0</v>
      </c>
      <c r="AI7" s="29">
        <f t="shared" si="14"/>
        <v>540</v>
      </c>
      <c r="AJ7" s="30">
        <f t="shared" si="15"/>
        <v>1.7421768031754044</v>
      </c>
      <c r="AK7" s="30">
        <f t="shared" si="16"/>
        <v>1.7421768031754044</v>
      </c>
      <c r="AL7" s="30">
        <f t="shared" si="17"/>
        <v>8.0301445613029276</v>
      </c>
      <c r="AM7" s="32">
        <f t="shared" si="18"/>
        <v>1</v>
      </c>
      <c r="AN7" s="32">
        <f t="shared" si="19"/>
        <v>1</v>
      </c>
      <c r="AO7" s="32">
        <f t="shared" si="20"/>
        <v>0.12453075936129167</v>
      </c>
      <c r="AP7" s="32">
        <f t="shared" si="21"/>
        <v>0.12453075936129167</v>
      </c>
      <c r="AQ7" s="33">
        <f t="shared" si="22"/>
        <v>1389</v>
      </c>
      <c r="AR7" s="27">
        <v>0.87</v>
      </c>
      <c r="AS7" s="30">
        <f t="shared" si="39"/>
        <v>1.7421768031754044</v>
      </c>
      <c r="AT7" s="33">
        <f t="shared" si="40"/>
        <v>1208.43</v>
      </c>
      <c r="AU7" s="32">
        <v>1</v>
      </c>
      <c r="AV7" s="33">
        <f t="shared" si="23"/>
        <v>4336.2780631035812</v>
      </c>
      <c r="AW7" s="33">
        <f t="shared" si="24"/>
        <v>2489</v>
      </c>
      <c r="AX7" s="30">
        <f t="shared" si="0"/>
        <v>1.7421768031754044</v>
      </c>
      <c r="AY7" s="29">
        <f t="shared" si="25"/>
        <v>3772.5619149001154</v>
      </c>
      <c r="AZ7" s="29">
        <f t="shared" si="26"/>
        <v>2165.4299999999998</v>
      </c>
      <c r="BA7" s="30">
        <f t="shared" si="41"/>
        <v>1.7421768031754044</v>
      </c>
      <c r="BB7" s="34">
        <f t="shared" si="27"/>
        <v>1</v>
      </c>
      <c r="BC7" s="35">
        <f t="shared" si="28"/>
        <v>1</v>
      </c>
      <c r="BD7" s="27">
        <v>1</v>
      </c>
      <c r="BE7" s="36">
        <f t="shared" si="29"/>
        <v>0</v>
      </c>
      <c r="BF7" s="36">
        <f t="shared" si="30"/>
        <v>2489</v>
      </c>
      <c r="BG7" s="30">
        <f t="shared" si="31"/>
        <v>0</v>
      </c>
      <c r="BH7" s="33">
        <f t="shared" si="32"/>
        <v>1389</v>
      </c>
      <c r="BI7" s="27">
        <v>1</v>
      </c>
      <c r="BJ7" s="36">
        <f t="shared" si="33"/>
        <v>4336.2780631035812</v>
      </c>
      <c r="BK7" s="37">
        <f t="shared" si="34"/>
        <v>2489</v>
      </c>
      <c r="BL7" s="30">
        <f t="shared" si="35"/>
        <v>1.7421768031754044</v>
      </c>
      <c r="BM7" s="26">
        <f t="shared" si="36"/>
        <v>1389</v>
      </c>
      <c r="BO7" s="50">
        <f t="shared" si="37"/>
        <v>4336.2780631035812</v>
      </c>
      <c r="BP7" s="50">
        <f t="shared" si="38"/>
        <v>0</v>
      </c>
    </row>
    <row r="8" spans="1:68">
      <c r="A8" s="16" t="s">
        <v>71</v>
      </c>
      <c r="B8" s="1" t="s">
        <v>66</v>
      </c>
      <c r="C8" s="24">
        <v>1</v>
      </c>
      <c r="D8" s="24" t="s">
        <v>432</v>
      </c>
      <c r="E8" s="24">
        <v>10</v>
      </c>
      <c r="F8" s="24">
        <v>1</v>
      </c>
      <c r="G8" s="24" t="s">
        <v>67</v>
      </c>
      <c r="H8" s="24">
        <v>3111</v>
      </c>
      <c r="I8" s="24">
        <v>0</v>
      </c>
      <c r="J8" s="24">
        <v>0</v>
      </c>
      <c r="K8" s="24">
        <v>0</v>
      </c>
      <c r="L8" s="24">
        <v>0</v>
      </c>
      <c r="M8" s="24">
        <v>0</v>
      </c>
      <c r="N8" s="24">
        <v>0</v>
      </c>
      <c r="O8" s="24">
        <v>1737</v>
      </c>
      <c r="P8" s="24">
        <v>0</v>
      </c>
      <c r="Q8" s="24">
        <v>0</v>
      </c>
      <c r="R8" s="24">
        <v>590</v>
      </c>
      <c r="S8" s="24">
        <v>0</v>
      </c>
      <c r="T8" s="28">
        <f t="shared" si="1"/>
        <v>1</v>
      </c>
      <c r="U8" s="28">
        <f t="shared" si="2"/>
        <v>1</v>
      </c>
      <c r="V8" s="29">
        <f>IF(O8&gt;0,((VLOOKUP(E8,ACs!G$4:P$53,7)*P8)+(VLOOKUP(E8,ACs!G$4:P$53,6)*(1-P8)))*O8*F8,0)</f>
        <v>5422.688981721325</v>
      </c>
      <c r="W8" s="29">
        <f>IF(E8&gt;0,VLOOKUP(E8,ACs!G$4:P$53,10)*Q8*F8,0)</f>
        <v>0</v>
      </c>
      <c r="X8" s="29">
        <f t="shared" si="3"/>
        <v>0</v>
      </c>
      <c r="Y8" s="29">
        <f t="shared" si="4"/>
        <v>3111</v>
      </c>
      <c r="Z8" s="29">
        <f t="shared" si="5"/>
        <v>0</v>
      </c>
      <c r="AA8" s="29">
        <f t="shared" si="6"/>
        <v>590</v>
      </c>
      <c r="AB8" s="30">
        <f t="shared" si="7"/>
        <v>1.7430694251756107</v>
      </c>
      <c r="AC8" s="30">
        <f t="shared" si="8"/>
        <v>1.7430694251756107</v>
      </c>
      <c r="AD8" s="31">
        <f t="shared" si="9"/>
        <v>9.19099827410394</v>
      </c>
      <c r="AE8" s="29">
        <f t="shared" si="10"/>
        <v>5422.688981721325</v>
      </c>
      <c r="AF8" s="29">
        <f t="shared" si="11"/>
        <v>0</v>
      </c>
      <c r="AG8" s="29">
        <f t="shared" si="12"/>
        <v>3111</v>
      </c>
      <c r="AH8" s="29">
        <f t="shared" si="13"/>
        <v>0</v>
      </c>
      <c r="AI8" s="29">
        <f t="shared" si="14"/>
        <v>590</v>
      </c>
      <c r="AJ8" s="30">
        <f t="shared" si="15"/>
        <v>1.7430694251756107</v>
      </c>
      <c r="AK8" s="30">
        <f t="shared" si="16"/>
        <v>1.7430694251756107</v>
      </c>
      <c r="AL8" s="30">
        <f t="shared" si="17"/>
        <v>9.19099827410394</v>
      </c>
      <c r="AM8" s="32">
        <f t="shared" si="18"/>
        <v>1</v>
      </c>
      <c r="AN8" s="32">
        <f t="shared" si="19"/>
        <v>1</v>
      </c>
      <c r="AO8" s="32">
        <f t="shared" si="20"/>
        <v>0.10880210943108823</v>
      </c>
      <c r="AP8" s="32">
        <f t="shared" si="21"/>
        <v>0.10880210943108823</v>
      </c>
      <c r="AQ8" s="33">
        <f t="shared" si="22"/>
        <v>1737</v>
      </c>
      <c r="AR8" s="27">
        <v>0.87</v>
      </c>
      <c r="AS8" s="30">
        <f t="shared" si="39"/>
        <v>1.7430694251756107</v>
      </c>
      <c r="AT8" s="33">
        <f t="shared" si="40"/>
        <v>1511.19</v>
      </c>
      <c r="AU8" s="32">
        <v>1</v>
      </c>
      <c r="AV8" s="33">
        <f t="shared" si="23"/>
        <v>5422.688981721325</v>
      </c>
      <c r="AW8" s="33">
        <f t="shared" si="24"/>
        <v>3111</v>
      </c>
      <c r="AX8" s="30">
        <f t="shared" si="0"/>
        <v>1.7430694251756107</v>
      </c>
      <c r="AY8" s="29">
        <f t="shared" si="25"/>
        <v>4717.739414097553</v>
      </c>
      <c r="AZ8" s="29">
        <f t="shared" si="26"/>
        <v>2706.57</v>
      </c>
      <c r="BA8" s="30">
        <f t="shared" si="41"/>
        <v>1.7430694251756107</v>
      </c>
      <c r="BB8" s="34">
        <f t="shared" si="27"/>
        <v>1</v>
      </c>
      <c r="BC8" s="35">
        <f t="shared" si="28"/>
        <v>1</v>
      </c>
      <c r="BD8" s="27">
        <v>1</v>
      </c>
      <c r="BE8" s="36">
        <f t="shared" si="29"/>
        <v>0</v>
      </c>
      <c r="BF8" s="36">
        <f t="shared" si="30"/>
        <v>3111</v>
      </c>
      <c r="BG8" s="30">
        <f t="shared" si="31"/>
        <v>0</v>
      </c>
      <c r="BH8" s="33">
        <f t="shared" si="32"/>
        <v>1737</v>
      </c>
      <c r="BI8" s="27">
        <v>1</v>
      </c>
      <c r="BJ8" s="36">
        <f t="shared" si="33"/>
        <v>5422.688981721325</v>
      </c>
      <c r="BK8" s="37">
        <f t="shared" si="34"/>
        <v>3111</v>
      </c>
      <c r="BL8" s="30">
        <f t="shared" si="35"/>
        <v>1.7430694251756107</v>
      </c>
      <c r="BM8" s="26">
        <f t="shared" si="36"/>
        <v>1737</v>
      </c>
      <c r="BO8" s="50">
        <f t="shared" si="37"/>
        <v>5422.688981721325</v>
      </c>
      <c r="BP8" s="50">
        <f t="shared" si="38"/>
        <v>0</v>
      </c>
    </row>
    <row r="9" spans="1:68">
      <c r="A9" s="16" t="s">
        <v>72</v>
      </c>
      <c r="B9" s="1" t="s">
        <v>66</v>
      </c>
      <c r="C9" s="24">
        <v>2</v>
      </c>
      <c r="D9" s="24" t="s">
        <v>432</v>
      </c>
      <c r="E9" s="24">
        <v>10</v>
      </c>
      <c r="F9" s="24">
        <v>2</v>
      </c>
      <c r="G9" s="24" t="s">
        <v>67</v>
      </c>
      <c r="H9" s="24">
        <v>3733</v>
      </c>
      <c r="I9" s="24">
        <v>0</v>
      </c>
      <c r="J9" s="24">
        <v>0</v>
      </c>
      <c r="K9" s="24">
        <v>0</v>
      </c>
      <c r="L9" s="24">
        <v>0</v>
      </c>
      <c r="M9" s="24">
        <v>0</v>
      </c>
      <c r="N9" s="24">
        <v>0</v>
      </c>
      <c r="O9" s="24">
        <v>2084</v>
      </c>
      <c r="P9" s="24">
        <v>0</v>
      </c>
      <c r="Q9" s="24">
        <v>0</v>
      </c>
      <c r="R9" s="24">
        <v>630</v>
      </c>
      <c r="S9" s="24">
        <v>0</v>
      </c>
      <c r="T9" s="28">
        <f t="shared" si="1"/>
        <v>1</v>
      </c>
      <c r="U9" s="28">
        <f t="shared" si="2"/>
        <v>1</v>
      </c>
      <c r="V9" s="29">
        <f>IF(O9&gt;0,((VLOOKUP(E9,ACs!G$4:P$53,7)*P9)+(VLOOKUP(E9,ACs!G$4:P$53,6)*(1-P9)))*O9*F9,0)</f>
        <v>13011.956059766542</v>
      </c>
      <c r="W9" s="29">
        <f>IF(E9&gt;0,VLOOKUP(E9,ACs!G$4:P$53,10)*Q9*F9,0)</f>
        <v>0</v>
      </c>
      <c r="X9" s="29">
        <f t="shared" si="3"/>
        <v>0</v>
      </c>
      <c r="Y9" s="29">
        <f t="shared" si="4"/>
        <v>7466</v>
      </c>
      <c r="Z9" s="29">
        <f t="shared" si="5"/>
        <v>0</v>
      </c>
      <c r="AA9" s="29">
        <f t="shared" si="6"/>
        <v>1260</v>
      </c>
      <c r="AB9" s="30">
        <f t="shared" si="7"/>
        <v>1.7428282962451838</v>
      </c>
      <c r="AC9" s="30">
        <f t="shared" si="8"/>
        <v>1.7428282962451838</v>
      </c>
      <c r="AD9" s="31">
        <f t="shared" si="9"/>
        <v>10.326949253782971</v>
      </c>
      <c r="AE9" s="29">
        <f t="shared" si="10"/>
        <v>13011.956059766542</v>
      </c>
      <c r="AF9" s="29">
        <f t="shared" si="11"/>
        <v>0</v>
      </c>
      <c r="AG9" s="29">
        <f t="shared" si="12"/>
        <v>7466</v>
      </c>
      <c r="AH9" s="29">
        <f t="shared" si="13"/>
        <v>0</v>
      </c>
      <c r="AI9" s="29">
        <f t="shared" si="14"/>
        <v>1260</v>
      </c>
      <c r="AJ9" s="30">
        <f t="shared" si="15"/>
        <v>1.7428282962451838</v>
      </c>
      <c r="AK9" s="30">
        <f t="shared" si="16"/>
        <v>1.7428282962451838</v>
      </c>
      <c r="AL9" s="30">
        <f t="shared" si="17"/>
        <v>10.326949253782971</v>
      </c>
      <c r="AM9" s="32">
        <f t="shared" si="18"/>
        <v>1</v>
      </c>
      <c r="AN9" s="32">
        <f t="shared" si="19"/>
        <v>1</v>
      </c>
      <c r="AO9" s="32">
        <f t="shared" si="20"/>
        <v>9.6834018975514941E-2</v>
      </c>
      <c r="AP9" s="32">
        <f t="shared" si="21"/>
        <v>9.6834018975514941E-2</v>
      </c>
      <c r="AQ9" s="33">
        <f t="shared" si="22"/>
        <v>4168</v>
      </c>
      <c r="AR9" s="27">
        <v>0.87</v>
      </c>
      <c r="AS9" s="30">
        <f t="shared" si="39"/>
        <v>1.742828296245184</v>
      </c>
      <c r="AT9" s="33">
        <f t="shared" si="40"/>
        <v>3626.16</v>
      </c>
      <c r="AU9" s="32">
        <v>1</v>
      </c>
      <c r="AV9" s="33">
        <f t="shared" si="23"/>
        <v>13011.956059766542</v>
      </c>
      <c r="AW9" s="33">
        <f t="shared" si="24"/>
        <v>7466</v>
      </c>
      <c r="AX9" s="30">
        <f t="shared" si="0"/>
        <v>1.7428282962451838</v>
      </c>
      <c r="AY9" s="29">
        <f t="shared" si="25"/>
        <v>11320.401771996892</v>
      </c>
      <c r="AZ9" s="29">
        <f t="shared" si="26"/>
        <v>6495.42</v>
      </c>
      <c r="BA9" s="30">
        <f t="shared" si="41"/>
        <v>1.742828296245184</v>
      </c>
      <c r="BB9" s="34">
        <f t="shared" si="27"/>
        <v>1</v>
      </c>
      <c r="BC9" s="35">
        <f t="shared" si="28"/>
        <v>1</v>
      </c>
      <c r="BD9" s="27">
        <v>1</v>
      </c>
      <c r="BE9" s="36">
        <f t="shared" si="29"/>
        <v>0</v>
      </c>
      <c r="BF9" s="36">
        <f t="shared" si="30"/>
        <v>7466</v>
      </c>
      <c r="BG9" s="30">
        <f t="shared" si="31"/>
        <v>0</v>
      </c>
      <c r="BH9" s="33">
        <f t="shared" si="32"/>
        <v>4168</v>
      </c>
      <c r="BI9" s="27">
        <v>1</v>
      </c>
      <c r="BJ9" s="36">
        <f t="shared" si="33"/>
        <v>13011.956059766542</v>
      </c>
      <c r="BK9" s="37">
        <f t="shared" si="34"/>
        <v>7466</v>
      </c>
      <c r="BL9" s="30">
        <f t="shared" si="35"/>
        <v>1.7428282962451838</v>
      </c>
      <c r="BM9" s="26">
        <f t="shared" si="36"/>
        <v>4168</v>
      </c>
      <c r="BO9" s="50">
        <f t="shared" si="37"/>
        <v>13011.956059766542</v>
      </c>
      <c r="BP9" s="50">
        <f t="shared" si="38"/>
        <v>0</v>
      </c>
    </row>
    <row r="10" spans="1:68">
      <c r="A10" s="16" t="s">
        <v>73</v>
      </c>
      <c r="B10" s="1" t="s">
        <v>66</v>
      </c>
      <c r="C10" s="24">
        <v>0</v>
      </c>
      <c r="D10" s="24" t="s">
        <v>433</v>
      </c>
      <c r="E10" s="24">
        <v>10</v>
      </c>
      <c r="F10" s="24">
        <v>0</v>
      </c>
      <c r="G10" s="24" t="s">
        <v>67</v>
      </c>
      <c r="H10" s="24">
        <v>0</v>
      </c>
      <c r="I10" s="24">
        <v>0</v>
      </c>
      <c r="J10" s="24">
        <v>0</v>
      </c>
      <c r="K10" s="24">
        <v>0</v>
      </c>
      <c r="L10" s="24">
        <v>0</v>
      </c>
      <c r="M10" s="24">
        <v>0</v>
      </c>
      <c r="N10" s="24">
        <v>0</v>
      </c>
      <c r="O10" s="24">
        <v>0</v>
      </c>
      <c r="P10" s="24">
        <v>0</v>
      </c>
      <c r="Q10" s="24">
        <v>0</v>
      </c>
      <c r="R10" s="24">
        <v>0</v>
      </c>
      <c r="S10" s="24">
        <v>0</v>
      </c>
      <c r="T10" s="28">
        <f t="shared" si="1"/>
        <v>0</v>
      </c>
      <c r="U10" s="28">
        <f t="shared" si="2"/>
        <v>0</v>
      </c>
      <c r="V10" s="29">
        <f>IF(O10&gt;0,((VLOOKUP(E10,ACs!G$4:P$53,7)*P10)+(VLOOKUP(E10,ACs!G$4:P$53,6)*(1-P10)))*O10*F10,0)</f>
        <v>0</v>
      </c>
      <c r="W10" s="29">
        <f>IF(E10&gt;0,VLOOKUP(E10,ACs!G$4:P$53,10)*Q10*F10,0)</f>
        <v>0</v>
      </c>
      <c r="X10" s="29">
        <f t="shared" si="3"/>
        <v>0</v>
      </c>
      <c r="Y10" s="29">
        <f t="shared" si="4"/>
        <v>0</v>
      </c>
      <c r="Z10" s="29">
        <f t="shared" si="5"/>
        <v>0</v>
      </c>
      <c r="AA10" s="29">
        <f t="shared" si="6"/>
        <v>0</v>
      </c>
      <c r="AB10" s="30" t="str">
        <f t="shared" si="7"/>
        <v xml:space="preserve"> </v>
      </c>
      <c r="AC10" s="30" t="str">
        <f t="shared" si="8"/>
        <v xml:space="preserve"> </v>
      </c>
      <c r="AD10" s="31" t="str">
        <f t="shared" si="9"/>
        <v xml:space="preserve"> </v>
      </c>
      <c r="AE10" s="29">
        <f t="shared" si="10"/>
        <v>0</v>
      </c>
      <c r="AF10" s="29">
        <f t="shared" si="11"/>
        <v>0</v>
      </c>
      <c r="AG10" s="29">
        <f t="shared" si="12"/>
        <v>0</v>
      </c>
      <c r="AH10" s="29">
        <f t="shared" si="13"/>
        <v>0</v>
      </c>
      <c r="AI10" s="29">
        <f t="shared" si="14"/>
        <v>0</v>
      </c>
      <c r="AJ10" s="30" t="str">
        <f t="shared" si="15"/>
        <v xml:space="preserve"> </v>
      </c>
      <c r="AK10" s="30" t="str">
        <f t="shared" si="16"/>
        <v xml:space="preserve"> </v>
      </c>
      <c r="AL10" s="30" t="str">
        <f t="shared" si="17"/>
        <v xml:space="preserve"> </v>
      </c>
      <c r="AM10" s="32" t="str">
        <f t="shared" si="18"/>
        <v xml:space="preserve"> </v>
      </c>
      <c r="AN10" s="32" t="str">
        <f t="shared" si="19"/>
        <v xml:space="preserve"> </v>
      </c>
      <c r="AO10" s="32" t="str">
        <f t="shared" si="20"/>
        <v xml:space="preserve"> </v>
      </c>
      <c r="AP10" s="32" t="str">
        <f t="shared" si="21"/>
        <v xml:space="preserve"> </v>
      </c>
      <c r="AQ10" s="33">
        <f t="shared" si="22"/>
        <v>0</v>
      </c>
      <c r="AR10" s="27">
        <v>0.87</v>
      </c>
      <c r="AS10" s="30" t="str">
        <f t="shared" si="39"/>
        <v xml:space="preserve"> </v>
      </c>
      <c r="AT10" s="33">
        <f t="shared" si="40"/>
        <v>0</v>
      </c>
      <c r="AU10" s="32">
        <v>1</v>
      </c>
      <c r="AV10" s="33">
        <f t="shared" si="23"/>
        <v>0</v>
      </c>
      <c r="AW10" s="33">
        <f t="shared" si="24"/>
        <v>0</v>
      </c>
      <c r="AX10" s="30" t="str">
        <f t="shared" si="0"/>
        <v xml:space="preserve"> </v>
      </c>
      <c r="AY10" s="29">
        <f t="shared" si="25"/>
        <v>0</v>
      </c>
      <c r="AZ10" s="29">
        <f t="shared" si="26"/>
        <v>0</v>
      </c>
      <c r="BA10" s="30" t="str">
        <f t="shared" si="41"/>
        <v xml:space="preserve"> </v>
      </c>
      <c r="BB10" s="34">
        <f t="shared" si="27"/>
        <v>0</v>
      </c>
      <c r="BC10" s="35">
        <f t="shared" si="28"/>
        <v>0</v>
      </c>
      <c r="BD10" s="27">
        <v>1</v>
      </c>
      <c r="BE10" s="36">
        <f t="shared" si="29"/>
        <v>0</v>
      </c>
      <c r="BF10" s="36">
        <f t="shared" si="30"/>
        <v>0</v>
      </c>
      <c r="BG10" s="30" t="str">
        <f t="shared" si="31"/>
        <v xml:space="preserve"> </v>
      </c>
      <c r="BH10" s="33">
        <f t="shared" si="32"/>
        <v>0</v>
      </c>
      <c r="BI10" s="27">
        <v>1</v>
      </c>
      <c r="BJ10" s="36">
        <f t="shared" si="33"/>
        <v>0</v>
      </c>
      <c r="BK10" s="37">
        <f t="shared" si="34"/>
        <v>0</v>
      </c>
      <c r="BL10" s="30" t="str">
        <f t="shared" si="35"/>
        <v xml:space="preserve"> </v>
      </c>
      <c r="BM10" s="26">
        <f t="shared" si="36"/>
        <v>0</v>
      </c>
      <c r="BO10" s="50">
        <f t="shared" si="37"/>
        <v>0</v>
      </c>
      <c r="BP10" s="50">
        <f t="shared" si="38"/>
        <v>0</v>
      </c>
    </row>
    <row r="11" spans="1:68">
      <c r="A11" s="16" t="s">
        <v>74</v>
      </c>
      <c r="B11" s="1" t="s">
        <v>66</v>
      </c>
      <c r="C11" s="24">
        <v>0</v>
      </c>
      <c r="D11" s="24" t="s">
        <v>433</v>
      </c>
      <c r="E11" s="24">
        <v>10</v>
      </c>
      <c r="F11" s="24">
        <v>0</v>
      </c>
      <c r="G11" s="24" t="s">
        <v>67</v>
      </c>
      <c r="H11" s="24">
        <v>0</v>
      </c>
      <c r="I11" s="24">
        <v>0</v>
      </c>
      <c r="J11" s="24">
        <v>0</v>
      </c>
      <c r="K11" s="24">
        <v>0</v>
      </c>
      <c r="L11" s="24">
        <v>0</v>
      </c>
      <c r="M11" s="24">
        <v>0</v>
      </c>
      <c r="N11" s="24">
        <v>0</v>
      </c>
      <c r="O11" s="24">
        <v>0</v>
      </c>
      <c r="P11" s="24">
        <v>0</v>
      </c>
      <c r="Q11" s="24">
        <v>0</v>
      </c>
      <c r="R11" s="24">
        <v>0</v>
      </c>
      <c r="S11" s="24">
        <v>0</v>
      </c>
      <c r="T11" s="28">
        <f t="shared" si="1"/>
        <v>0</v>
      </c>
      <c r="U11" s="28">
        <f t="shared" si="2"/>
        <v>0</v>
      </c>
      <c r="V11" s="29">
        <f>IF(O11&gt;0,((VLOOKUP(E11,ACs!G$4:P$53,7)*P11)+(VLOOKUP(E11,ACs!G$4:P$53,6)*(1-P11)))*O11*F11,0)</f>
        <v>0</v>
      </c>
      <c r="W11" s="29">
        <f>IF(E11&gt;0,VLOOKUP(E11,ACs!G$4:P$53,10)*Q11*F11,0)</f>
        <v>0</v>
      </c>
      <c r="X11" s="29">
        <f t="shared" si="3"/>
        <v>0</v>
      </c>
      <c r="Y11" s="29">
        <f t="shared" si="4"/>
        <v>0</v>
      </c>
      <c r="Z11" s="29">
        <f t="shared" si="5"/>
        <v>0</v>
      </c>
      <c r="AA11" s="29">
        <f t="shared" si="6"/>
        <v>0</v>
      </c>
      <c r="AB11" s="30" t="str">
        <f t="shared" si="7"/>
        <v xml:space="preserve"> </v>
      </c>
      <c r="AC11" s="30" t="str">
        <f t="shared" si="8"/>
        <v xml:space="preserve"> </v>
      </c>
      <c r="AD11" s="31" t="str">
        <f t="shared" si="9"/>
        <v xml:space="preserve"> </v>
      </c>
      <c r="AE11" s="29">
        <f t="shared" si="10"/>
        <v>0</v>
      </c>
      <c r="AF11" s="29">
        <f t="shared" si="11"/>
        <v>0</v>
      </c>
      <c r="AG11" s="29">
        <f t="shared" si="12"/>
        <v>0</v>
      </c>
      <c r="AH11" s="29">
        <f t="shared" si="13"/>
        <v>0</v>
      </c>
      <c r="AI11" s="29">
        <f t="shared" si="14"/>
        <v>0</v>
      </c>
      <c r="AJ11" s="30" t="str">
        <f t="shared" si="15"/>
        <v xml:space="preserve"> </v>
      </c>
      <c r="AK11" s="30" t="str">
        <f t="shared" si="16"/>
        <v xml:space="preserve"> </v>
      </c>
      <c r="AL11" s="30" t="str">
        <f t="shared" si="17"/>
        <v xml:space="preserve"> </v>
      </c>
      <c r="AM11" s="32" t="str">
        <f t="shared" si="18"/>
        <v xml:space="preserve"> </v>
      </c>
      <c r="AN11" s="32" t="str">
        <f t="shared" si="19"/>
        <v xml:space="preserve"> </v>
      </c>
      <c r="AO11" s="32" t="str">
        <f t="shared" si="20"/>
        <v xml:space="preserve"> </v>
      </c>
      <c r="AP11" s="32" t="str">
        <f t="shared" si="21"/>
        <v xml:space="preserve"> </v>
      </c>
      <c r="AQ11" s="33">
        <f t="shared" si="22"/>
        <v>0</v>
      </c>
      <c r="AR11" s="27">
        <v>0.87</v>
      </c>
      <c r="AS11" s="30" t="str">
        <f t="shared" si="39"/>
        <v xml:space="preserve"> </v>
      </c>
      <c r="AT11" s="33">
        <f t="shared" si="40"/>
        <v>0</v>
      </c>
      <c r="AU11" s="32">
        <v>1</v>
      </c>
      <c r="AV11" s="33">
        <f t="shared" si="23"/>
        <v>0</v>
      </c>
      <c r="AW11" s="33">
        <f t="shared" si="24"/>
        <v>0</v>
      </c>
      <c r="AX11" s="30" t="str">
        <f t="shared" si="0"/>
        <v xml:space="preserve"> </v>
      </c>
      <c r="AY11" s="29">
        <f t="shared" si="25"/>
        <v>0</v>
      </c>
      <c r="AZ11" s="29">
        <f t="shared" si="26"/>
        <v>0</v>
      </c>
      <c r="BA11" s="30" t="str">
        <f t="shared" si="41"/>
        <v xml:space="preserve"> </v>
      </c>
      <c r="BB11" s="34">
        <f t="shared" si="27"/>
        <v>0</v>
      </c>
      <c r="BC11" s="35">
        <f t="shared" si="28"/>
        <v>0</v>
      </c>
      <c r="BD11" s="27">
        <v>1</v>
      </c>
      <c r="BE11" s="36">
        <f t="shared" si="29"/>
        <v>0</v>
      </c>
      <c r="BF11" s="36">
        <f t="shared" si="30"/>
        <v>0</v>
      </c>
      <c r="BG11" s="30" t="str">
        <f t="shared" si="31"/>
        <v xml:space="preserve"> </v>
      </c>
      <c r="BH11" s="33">
        <f t="shared" si="32"/>
        <v>0</v>
      </c>
      <c r="BI11" s="27">
        <v>1</v>
      </c>
      <c r="BJ11" s="36">
        <f t="shared" si="33"/>
        <v>0</v>
      </c>
      <c r="BK11" s="37">
        <f t="shared" si="34"/>
        <v>0</v>
      </c>
      <c r="BL11" s="30" t="str">
        <f t="shared" si="35"/>
        <v xml:space="preserve"> </v>
      </c>
      <c r="BM11" s="26">
        <f t="shared" si="36"/>
        <v>0</v>
      </c>
      <c r="BO11" s="50">
        <f t="shared" si="37"/>
        <v>0</v>
      </c>
      <c r="BP11" s="50">
        <f t="shared" si="38"/>
        <v>0</v>
      </c>
    </row>
    <row r="12" spans="1:68">
      <c r="A12" s="16" t="s">
        <v>75</v>
      </c>
      <c r="B12" s="1" t="s">
        <v>66</v>
      </c>
      <c r="C12" s="24">
        <v>0</v>
      </c>
      <c r="D12" s="24" t="s">
        <v>433</v>
      </c>
      <c r="E12" s="24">
        <v>10</v>
      </c>
      <c r="F12" s="24">
        <v>0</v>
      </c>
      <c r="G12" s="24" t="s">
        <v>67</v>
      </c>
      <c r="H12" s="24">
        <v>0</v>
      </c>
      <c r="I12" s="24">
        <v>0</v>
      </c>
      <c r="J12" s="24">
        <v>0</v>
      </c>
      <c r="K12" s="24">
        <v>0</v>
      </c>
      <c r="L12" s="24">
        <v>0</v>
      </c>
      <c r="M12" s="24">
        <v>0</v>
      </c>
      <c r="N12" s="24">
        <v>0</v>
      </c>
      <c r="O12" s="24">
        <v>0</v>
      </c>
      <c r="P12" s="24">
        <v>0</v>
      </c>
      <c r="Q12" s="24">
        <v>0</v>
      </c>
      <c r="R12" s="24">
        <v>0</v>
      </c>
      <c r="S12" s="24">
        <v>0</v>
      </c>
      <c r="T12" s="28">
        <f t="shared" si="1"/>
        <v>0</v>
      </c>
      <c r="U12" s="28">
        <f t="shared" si="2"/>
        <v>0</v>
      </c>
      <c r="V12" s="29">
        <f>IF(O12&gt;0,((VLOOKUP(E12,ACs!G$4:P$53,7)*P12)+(VLOOKUP(E12,ACs!G$4:P$53,6)*(1-P12)))*O12*F12,0)</f>
        <v>0</v>
      </c>
      <c r="W12" s="29">
        <f>IF(E12&gt;0,VLOOKUP(E12,ACs!G$4:P$53,10)*Q12*F12,0)</f>
        <v>0</v>
      </c>
      <c r="X12" s="29">
        <f t="shared" si="3"/>
        <v>0</v>
      </c>
      <c r="Y12" s="29">
        <f t="shared" si="4"/>
        <v>0</v>
      </c>
      <c r="Z12" s="29">
        <f t="shared" si="5"/>
        <v>0</v>
      </c>
      <c r="AA12" s="29">
        <f t="shared" si="6"/>
        <v>0</v>
      </c>
      <c r="AB12" s="30" t="str">
        <f t="shared" si="7"/>
        <v xml:space="preserve"> </v>
      </c>
      <c r="AC12" s="30" t="str">
        <f t="shared" si="8"/>
        <v xml:space="preserve"> </v>
      </c>
      <c r="AD12" s="31" t="str">
        <f t="shared" si="9"/>
        <v xml:space="preserve"> </v>
      </c>
      <c r="AE12" s="29">
        <f t="shared" si="10"/>
        <v>0</v>
      </c>
      <c r="AF12" s="29">
        <f t="shared" si="11"/>
        <v>0</v>
      </c>
      <c r="AG12" s="29">
        <f t="shared" si="12"/>
        <v>0</v>
      </c>
      <c r="AH12" s="29">
        <f t="shared" si="13"/>
        <v>0</v>
      </c>
      <c r="AI12" s="29">
        <f t="shared" si="14"/>
        <v>0</v>
      </c>
      <c r="AJ12" s="30" t="str">
        <f t="shared" si="15"/>
        <v xml:space="preserve"> </v>
      </c>
      <c r="AK12" s="30" t="str">
        <f t="shared" si="16"/>
        <v xml:space="preserve"> </v>
      </c>
      <c r="AL12" s="30" t="str">
        <f t="shared" si="17"/>
        <v xml:space="preserve"> </v>
      </c>
      <c r="AM12" s="32" t="str">
        <f t="shared" si="18"/>
        <v xml:space="preserve"> </v>
      </c>
      <c r="AN12" s="32" t="str">
        <f t="shared" si="19"/>
        <v xml:space="preserve"> </v>
      </c>
      <c r="AO12" s="32" t="str">
        <f t="shared" si="20"/>
        <v xml:space="preserve"> </v>
      </c>
      <c r="AP12" s="32" t="str">
        <f t="shared" si="21"/>
        <v xml:space="preserve"> </v>
      </c>
      <c r="AQ12" s="33">
        <f t="shared" si="22"/>
        <v>0</v>
      </c>
      <c r="AR12" s="27">
        <v>0.87</v>
      </c>
      <c r="AS12" s="30" t="str">
        <f t="shared" si="39"/>
        <v xml:space="preserve"> </v>
      </c>
      <c r="AT12" s="33">
        <f t="shared" si="40"/>
        <v>0</v>
      </c>
      <c r="AU12" s="32">
        <v>1</v>
      </c>
      <c r="AV12" s="33">
        <f t="shared" si="23"/>
        <v>0</v>
      </c>
      <c r="AW12" s="33">
        <f t="shared" si="24"/>
        <v>0</v>
      </c>
      <c r="AX12" s="30" t="str">
        <f t="shared" si="0"/>
        <v xml:space="preserve"> </v>
      </c>
      <c r="AY12" s="29">
        <f t="shared" si="25"/>
        <v>0</v>
      </c>
      <c r="AZ12" s="29">
        <f t="shared" si="26"/>
        <v>0</v>
      </c>
      <c r="BA12" s="30" t="str">
        <f t="shared" si="41"/>
        <v xml:space="preserve"> </v>
      </c>
      <c r="BB12" s="34">
        <f t="shared" si="27"/>
        <v>0</v>
      </c>
      <c r="BC12" s="35">
        <f t="shared" si="28"/>
        <v>0</v>
      </c>
      <c r="BD12" s="27">
        <v>1</v>
      </c>
      <c r="BE12" s="36">
        <f t="shared" si="29"/>
        <v>0</v>
      </c>
      <c r="BF12" s="36">
        <f t="shared" si="30"/>
        <v>0</v>
      </c>
      <c r="BG12" s="30" t="str">
        <f t="shared" si="31"/>
        <v xml:space="preserve"> </v>
      </c>
      <c r="BH12" s="33">
        <f t="shared" si="32"/>
        <v>0</v>
      </c>
      <c r="BI12" s="27">
        <v>1</v>
      </c>
      <c r="BJ12" s="36">
        <f t="shared" si="33"/>
        <v>0</v>
      </c>
      <c r="BK12" s="37">
        <f t="shared" si="34"/>
        <v>0</v>
      </c>
      <c r="BL12" s="30" t="str">
        <f t="shared" si="35"/>
        <v xml:space="preserve"> </v>
      </c>
      <c r="BM12" s="26">
        <f t="shared" si="36"/>
        <v>0</v>
      </c>
      <c r="BO12" s="50">
        <f t="shared" si="37"/>
        <v>0</v>
      </c>
      <c r="BP12" s="50">
        <f t="shared" si="38"/>
        <v>0</v>
      </c>
    </row>
    <row r="13" spans="1:68">
      <c r="A13" s="16" t="s">
        <v>76</v>
      </c>
      <c r="B13" s="1" t="s">
        <v>66</v>
      </c>
      <c r="C13" s="24">
        <v>0</v>
      </c>
      <c r="D13" s="24" t="s">
        <v>433</v>
      </c>
      <c r="E13" s="24">
        <v>10</v>
      </c>
      <c r="F13" s="24">
        <v>0</v>
      </c>
      <c r="G13" s="24" t="s">
        <v>67</v>
      </c>
      <c r="H13" s="24">
        <v>0</v>
      </c>
      <c r="I13" s="24">
        <v>0</v>
      </c>
      <c r="J13" s="24">
        <v>0</v>
      </c>
      <c r="K13" s="24">
        <v>0</v>
      </c>
      <c r="L13" s="24">
        <v>0</v>
      </c>
      <c r="M13" s="24">
        <v>0</v>
      </c>
      <c r="N13" s="24">
        <v>0</v>
      </c>
      <c r="O13" s="24">
        <v>0</v>
      </c>
      <c r="P13" s="24">
        <v>0</v>
      </c>
      <c r="Q13" s="24">
        <v>0</v>
      </c>
      <c r="R13" s="24">
        <v>0</v>
      </c>
      <c r="S13" s="24">
        <v>0</v>
      </c>
      <c r="T13" s="28">
        <f t="shared" si="1"/>
        <v>0</v>
      </c>
      <c r="U13" s="28">
        <f t="shared" si="2"/>
        <v>0</v>
      </c>
      <c r="V13" s="29">
        <f>IF(O13&gt;0,((VLOOKUP(E13,ACs!G$4:P$53,7)*P13)+(VLOOKUP(E13,ACs!G$4:P$53,6)*(1-P13)))*O13*F13,0)</f>
        <v>0</v>
      </c>
      <c r="W13" s="29">
        <f>IF(E13&gt;0,VLOOKUP(E13,ACs!G$4:P$53,10)*Q13*F13,0)</f>
        <v>0</v>
      </c>
      <c r="X13" s="29">
        <f t="shared" si="3"/>
        <v>0</v>
      </c>
      <c r="Y13" s="29">
        <f t="shared" si="4"/>
        <v>0</v>
      </c>
      <c r="Z13" s="29">
        <f t="shared" si="5"/>
        <v>0</v>
      </c>
      <c r="AA13" s="29">
        <f t="shared" si="6"/>
        <v>0</v>
      </c>
      <c r="AB13" s="30" t="str">
        <f t="shared" si="7"/>
        <v xml:space="preserve"> </v>
      </c>
      <c r="AC13" s="30" t="str">
        <f t="shared" si="8"/>
        <v xml:space="preserve"> </v>
      </c>
      <c r="AD13" s="31" t="str">
        <f t="shared" si="9"/>
        <v xml:space="preserve"> </v>
      </c>
      <c r="AE13" s="29">
        <f t="shared" si="10"/>
        <v>0</v>
      </c>
      <c r="AF13" s="29">
        <f t="shared" si="11"/>
        <v>0</v>
      </c>
      <c r="AG13" s="29">
        <f t="shared" si="12"/>
        <v>0</v>
      </c>
      <c r="AH13" s="29">
        <f t="shared" si="13"/>
        <v>0</v>
      </c>
      <c r="AI13" s="29">
        <f t="shared" si="14"/>
        <v>0</v>
      </c>
      <c r="AJ13" s="30" t="str">
        <f t="shared" si="15"/>
        <v xml:space="preserve"> </v>
      </c>
      <c r="AK13" s="30" t="str">
        <f t="shared" si="16"/>
        <v xml:space="preserve"> </v>
      </c>
      <c r="AL13" s="30" t="str">
        <f t="shared" si="17"/>
        <v xml:space="preserve"> </v>
      </c>
      <c r="AM13" s="32" t="str">
        <f t="shared" si="18"/>
        <v xml:space="preserve"> </v>
      </c>
      <c r="AN13" s="32" t="str">
        <f t="shared" si="19"/>
        <v xml:space="preserve"> </v>
      </c>
      <c r="AO13" s="32" t="str">
        <f t="shared" si="20"/>
        <v xml:space="preserve"> </v>
      </c>
      <c r="AP13" s="32" t="str">
        <f t="shared" si="21"/>
        <v xml:space="preserve"> </v>
      </c>
      <c r="AQ13" s="33">
        <f t="shared" si="22"/>
        <v>0</v>
      </c>
      <c r="AR13" s="27">
        <v>0.87</v>
      </c>
      <c r="AS13" s="30" t="str">
        <f t="shared" si="39"/>
        <v xml:space="preserve"> </v>
      </c>
      <c r="AT13" s="33">
        <f t="shared" si="40"/>
        <v>0</v>
      </c>
      <c r="AU13" s="32">
        <v>1</v>
      </c>
      <c r="AV13" s="33">
        <f t="shared" si="23"/>
        <v>0</v>
      </c>
      <c r="AW13" s="33">
        <f t="shared" si="24"/>
        <v>0</v>
      </c>
      <c r="AX13" s="30" t="str">
        <f t="shared" si="0"/>
        <v xml:space="preserve"> </v>
      </c>
      <c r="AY13" s="29">
        <f t="shared" si="25"/>
        <v>0</v>
      </c>
      <c r="AZ13" s="29">
        <f t="shared" si="26"/>
        <v>0</v>
      </c>
      <c r="BA13" s="30" t="str">
        <f t="shared" si="41"/>
        <v xml:space="preserve"> </v>
      </c>
      <c r="BB13" s="34">
        <f t="shared" si="27"/>
        <v>0</v>
      </c>
      <c r="BC13" s="35">
        <f t="shared" si="28"/>
        <v>0</v>
      </c>
      <c r="BD13" s="27">
        <v>1</v>
      </c>
      <c r="BE13" s="36">
        <f t="shared" si="29"/>
        <v>0</v>
      </c>
      <c r="BF13" s="36">
        <f t="shared" si="30"/>
        <v>0</v>
      </c>
      <c r="BG13" s="30" t="str">
        <f t="shared" si="31"/>
        <v xml:space="preserve"> </v>
      </c>
      <c r="BH13" s="33">
        <f t="shared" si="32"/>
        <v>0</v>
      </c>
      <c r="BI13" s="27">
        <v>1</v>
      </c>
      <c r="BJ13" s="36">
        <f t="shared" si="33"/>
        <v>0</v>
      </c>
      <c r="BK13" s="37">
        <f t="shared" si="34"/>
        <v>0</v>
      </c>
      <c r="BL13" s="30" t="str">
        <f t="shared" si="35"/>
        <v xml:space="preserve"> </v>
      </c>
      <c r="BM13" s="26">
        <f t="shared" si="36"/>
        <v>0</v>
      </c>
      <c r="BO13" s="50">
        <f t="shared" si="37"/>
        <v>0</v>
      </c>
      <c r="BP13" s="50">
        <f t="shared" si="38"/>
        <v>0</v>
      </c>
    </row>
    <row r="14" spans="1:68">
      <c r="A14" s="16" t="s">
        <v>77</v>
      </c>
      <c r="B14" s="1" t="s">
        <v>66</v>
      </c>
      <c r="C14" s="24">
        <v>0</v>
      </c>
      <c r="D14" s="24" t="s">
        <v>433</v>
      </c>
      <c r="E14" s="24">
        <v>10</v>
      </c>
      <c r="F14" s="24">
        <v>0</v>
      </c>
      <c r="G14" s="24" t="s">
        <v>67</v>
      </c>
      <c r="H14" s="24">
        <v>0</v>
      </c>
      <c r="I14" s="24">
        <v>0</v>
      </c>
      <c r="J14" s="24">
        <v>0</v>
      </c>
      <c r="K14" s="24">
        <v>0</v>
      </c>
      <c r="L14" s="24">
        <v>0</v>
      </c>
      <c r="M14" s="24">
        <v>0</v>
      </c>
      <c r="N14" s="24">
        <v>0</v>
      </c>
      <c r="O14" s="24">
        <v>0</v>
      </c>
      <c r="P14" s="24">
        <v>0</v>
      </c>
      <c r="Q14" s="24">
        <v>0</v>
      </c>
      <c r="R14" s="24">
        <v>0</v>
      </c>
      <c r="S14" s="24">
        <v>0</v>
      </c>
      <c r="T14" s="28">
        <f t="shared" si="1"/>
        <v>0</v>
      </c>
      <c r="U14" s="28">
        <f t="shared" si="2"/>
        <v>0</v>
      </c>
      <c r="V14" s="29">
        <f>IF(O14&gt;0,((VLOOKUP(E14,ACs!G$4:P$53,7)*P14)+(VLOOKUP(E14,ACs!G$4:P$53,6)*(1-P14)))*O14*F14,0)</f>
        <v>0</v>
      </c>
      <c r="W14" s="29">
        <f>IF(E14&gt;0,VLOOKUP(E14,ACs!G$4:P$53,10)*Q14*F14,0)</f>
        <v>0</v>
      </c>
      <c r="X14" s="29">
        <f t="shared" si="3"/>
        <v>0</v>
      </c>
      <c r="Y14" s="29">
        <f t="shared" si="4"/>
        <v>0</v>
      </c>
      <c r="Z14" s="29">
        <f t="shared" si="5"/>
        <v>0</v>
      </c>
      <c r="AA14" s="29">
        <f t="shared" si="6"/>
        <v>0</v>
      </c>
      <c r="AB14" s="30" t="str">
        <f t="shared" si="7"/>
        <v xml:space="preserve"> </v>
      </c>
      <c r="AC14" s="30" t="str">
        <f t="shared" si="8"/>
        <v xml:space="preserve"> </v>
      </c>
      <c r="AD14" s="31" t="str">
        <f t="shared" si="9"/>
        <v xml:space="preserve"> </v>
      </c>
      <c r="AE14" s="29">
        <f t="shared" si="10"/>
        <v>0</v>
      </c>
      <c r="AF14" s="29">
        <f t="shared" si="11"/>
        <v>0</v>
      </c>
      <c r="AG14" s="29">
        <f t="shared" si="12"/>
        <v>0</v>
      </c>
      <c r="AH14" s="29">
        <f t="shared" si="13"/>
        <v>0</v>
      </c>
      <c r="AI14" s="29">
        <f t="shared" si="14"/>
        <v>0</v>
      </c>
      <c r="AJ14" s="30" t="str">
        <f t="shared" si="15"/>
        <v xml:space="preserve"> </v>
      </c>
      <c r="AK14" s="30" t="str">
        <f t="shared" si="16"/>
        <v xml:space="preserve"> </v>
      </c>
      <c r="AL14" s="30" t="str">
        <f t="shared" si="17"/>
        <v xml:space="preserve"> </v>
      </c>
      <c r="AM14" s="32" t="str">
        <f t="shared" si="18"/>
        <v xml:space="preserve"> </v>
      </c>
      <c r="AN14" s="32" t="str">
        <f t="shared" si="19"/>
        <v xml:space="preserve"> </v>
      </c>
      <c r="AO14" s="32" t="str">
        <f t="shared" si="20"/>
        <v xml:space="preserve"> </v>
      </c>
      <c r="AP14" s="32" t="str">
        <f t="shared" si="21"/>
        <v xml:space="preserve"> </v>
      </c>
      <c r="AQ14" s="33">
        <f t="shared" si="22"/>
        <v>0</v>
      </c>
      <c r="AR14" s="27">
        <v>0.87</v>
      </c>
      <c r="AS14" s="30" t="str">
        <f t="shared" si="39"/>
        <v xml:space="preserve"> </v>
      </c>
      <c r="AT14" s="33">
        <f t="shared" si="40"/>
        <v>0</v>
      </c>
      <c r="AU14" s="32">
        <v>1</v>
      </c>
      <c r="AV14" s="33">
        <f t="shared" si="23"/>
        <v>0</v>
      </c>
      <c r="AW14" s="33">
        <f t="shared" si="24"/>
        <v>0</v>
      </c>
      <c r="AX14" s="30" t="str">
        <f t="shared" si="0"/>
        <v xml:space="preserve"> </v>
      </c>
      <c r="AY14" s="29">
        <f t="shared" si="25"/>
        <v>0</v>
      </c>
      <c r="AZ14" s="29">
        <f t="shared" si="26"/>
        <v>0</v>
      </c>
      <c r="BA14" s="30" t="str">
        <f t="shared" si="41"/>
        <v xml:space="preserve"> </v>
      </c>
      <c r="BB14" s="34">
        <f t="shared" si="27"/>
        <v>0</v>
      </c>
      <c r="BC14" s="35">
        <f t="shared" si="28"/>
        <v>0</v>
      </c>
      <c r="BD14" s="27">
        <v>1</v>
      </c>
      <c r="BE14" s="36">
        <f t="shared" si="29"/>
        <v>0</v>
      </c>
      <c r="BF14" s="36">
        <f t="shared" si="30"/>
        <v>0</v>
      </c>
      <c r="BG14" s="30" t="str">
        <f t="shared" si="31"/>
        <v xml:space="preserve"> </v>
      </c>
      <c r="BH14" s="33">
        <f t="shared" si="32"/>
        <v>0</v>
      </c>
      <c r="BI14" s="27">
        <v>1</v>
      </c>
      <c r="BJ14" s="36">
        <f t="shared" si="33"/>
        <v>0</v>
      </c>
      <c r="BK14" s="37">
        <f t="shared" si="34"/>
        <v>0</v>
      </c>
      <c r="BL14" s="30" t="str">
        <f t="shared" si="35"/>
        <v xml:space="preserve"> </v>
      </c>
      <c r="BM14" s="26">
        <f t="shared" si="36"/>
        <v>0</v>
      </c>
      <c r="BO14" s="50">
        <f t="shared" si="37"/>
        <v>0</v>
      </c>
      <c r="BP14" s="50">
        <f t="shared" si="38"/>
        <v>0</v>
      </c>
    </row>
    <row r="15" spans="1:68">
      <c r="A15" s="16" t="s">
        <v>78</v>
      </c>
      <c r="B15" s="1" t="s">
        <v>66</v>
      </c>
      <c r="C15" s="24">
        <v>0</v>
      </c>
      <c r="D15" s="24" t="s">
        <v>433</v>
      </c>
      <c r="E15" s="24">
        <v>10</v>
      </c>
      <c r="F15" s="24">
        <v>0</v>
      </c>
      <c r="G15" s="24" t="s">
        <v>67</v>
      </c>
      <c r="H15" s="24">
        <v>0</v>
      </c>
      <c r="I15" s="24">
        <v>0</v>
      </c>
      <c r="J15" s="24">
        <v>0</v>
      </c>
      <c r="K15" s="24">
        <v>0</v>
      </c>
      <c r="L15" s="24">
        <v>0</v>
      </c>
      <c r="M15" s="24">
        <v>0</v>
      </c>
      <c r="N15" s="24">
        <v>0</v>
      </c>
      <c r="O15" s="24">
        <v>0</v>
      </c>
      <c r="P15" s="24">
        <v>0</v>
      </c>
      <c r="Q15" s="24">
        <v>0</v>
      </c>
      <c r="R15" s="24">
        <v>0</v>
      </c>
      <c r="S15" s="24">
        <v>0</v>
      </c>
      <c r="T15" s="28">
        <f t="shared" si="1"/>
        <v>0</v>
      </c>
      <c r="U15" s="28">
        <f t="shared" si="2"/>
        <v>0</v>
      </c>
      <c r="V15" s="29">
        <f>IF(O15&gt;0,((VLOOKUP(E15,ACs!G$4:P$53,7)*P15)+(VLOOKUP(E15,ACs!G$4:P$53,6)*(1-P15)))*O15*F15,0)</f>
        <v>0</v>
      </c>
      <c r="W15" s="29">
        <f>IF(E15&gt;0,VLOOKUP(E15,ACs!G$4:P$53,10)*Q15*F15,0)</f>
        <v>0</v>
      </c>
      <c r="X15" s="29">
        <f t="shared" si="3"/>
        <v>0</v>
      </c>
      <c r="Y15" s="29">
        <f t="shared" si="4"/>
        <v>0</v>
      </c>
      <c r="Z15" s="29">
        <f t="shared" si="5"/>
        <v>0</v>
      </c>
      <c r="AA15" s="29">
        <f t="shared" si="6"/>
        <v>0</v>
      </c>
      <c r="AB15" s="30" t="str">
        <f t="shared" si="7"/>
        <v xml:space="preserve"> </v>
      </c>
      <c r="AC15" s="30" t="str">
        <f t="shared" si="8"/>
        <v xml:space="preserve"> </v>
      </c>
      <c r="AD15" s="31" t="str">
        <f t="shared" si="9"/>
        <v xml:space="preserve"> </v>
      </c>
      <c r="AE15" s="29">
        <f t="shared" si="10"/>
        <v>0</v>
      </c>
      <c r="AF15" s="29">
        <f t="shared" si="11"/>
        <v>0</v>
      </c>
      <c r="AG15" s="29">
        <f t="shared" si="12"/>
        <v>0</v>
      </c>
      <c r="AH15" s="29">
        <f t="shared" si="13"/>
        <v>0</v>
      </c>
      <c r="AI15" s="29">
        <f t="shared" si="14"/>
        <v>0</v>
      </c>
      <c r="AJ15" s="30" t="str">
        <f t="shared" si="15"/>
        <v xml:space="preserve"> </v>
      </c>
      <c r="AK15" s="30" t="str">
        <f t="shared" si="16"/>
        <v xml:space="preserve"> </v>
      </c>
      <c r="AL15" s="30" t="str">
        <f t="shared" si="17"/>
        <v xml:space="preserve"> </v>
      </c>
      <c r="AM15" s="32" t="str">
        <f t="shared" si="18"/>
        <v xml:space="preserve"> </v>
      </c>
      <c r="AN15" s="32" t="str">
        <f t="shared" si="19"/>
        <v xml:space="preserve"> </v>
      </c>
      <c r="AO15" s="32" t="str">
        <f t="shared" si="20"/>
        <v xml:space="preserve"> </v>
      </c>
      <c r="AP15" s="32" t="str">
        <f t="shared" si="21"/>
        <v xml:space="preserve"> </v>
      </c>
      <c r="AQ15" s="33">
        <f t="shared" si="22"/>
        <v>0</v>
      </c>
      <c r="AR15" s="27">
        <v>0.87</v>
      </c>
      <c r="AS15" s="30" t="str">
        <f t="shared" si="39"/>
        <v xml:space="preserve"> </v>
      </c>
      <c r="AT15" s="33">
        <f t="shared" si="40"/>
        <v>0</v>
      </c>
      <c r="AU15" s="32">
        <v>1</v>
      </c>
      <c r="AV15" s="33">
        <f t="shared" si="23"/>
        <v>0</v>
      </c>
      <c r="AW15" s="33">
        <f t="shared" si="24"/>
        <v>0</v>
      </c>
      <c r="AX15" s="30" t="str">
        <f t="shared" si="0"/>
        <v xml:space="preserve"> </v>
      </c>
      <c r="AY15" s="29">
        <f t="shared" si="25"/>
        <v>0</v>
      </c>
      <c r="AZ15" s="29">
        <f t="shared" si="26"/>
        <v>0</v>
      </c>
      <c r="BA15" s="30" t="str">
        <f t="shared" si="41"/>
        <v xml:space="preserve"> </v>
      </c>
      <c r="BB15" s="34">
        <f t="shared" si="27"/>
        <v>0</v>
      </c>
      <c r="BC15" s="35">
        <f t="shared" si="28"/>
        <v>0</v>
      </c>
      <c r="BD15" s="27">
        <v>1</v>
      </c>
      <c r="BE15" s="36">
        <f t="shared" si="29"/>
        <v>0</v>
      </c>
      <c r="BF15" s="36">
        <f t="shared" si="30"/>
        <v>0</v>
      </c>
      <c r="BG15" s="30" t="str">
        <f t="shared" si="31"/>
        <v xml:space="preserve"> </v>
      </c>
      <c r="BH15" s="33">
        <f t="shared" si="32"/>
        <v>0</v>
      </c>
      <c r="BI15" s="27">
        <v>1</v>
      </c>
      <c r="BJ15" s="36">
        <f t="shared" si="33"/>
        <v>0</v>
      </c>
      <c r="BK15" s="37">
        <f t="shared" si="34"/>
        <v>0</v>
      </c>
      <c r="BL15" s="30" t="str">
        <f t="shared" si="35"/>
        <v xml:space="preserve"> </v>
      </c>
      <c r="BM15" s="26">
        <f t="shared" si="36"/>
        <v>0</v>
      </c>
      <c r="BO15" s="50">
        <f t="shared" si="37"/>
        <v>0</v>
      </c>
      <c r="BP15" s="50">
        <f t="shared" si="38"/>
        <v>0</v>
      </c>
    </row>
    <row r="16" spans="1:68">
      <c r="A16" s="16" t="s">
        <v>79</v>
      </c>
      <c r="B16" s="1" t="s">
        <v>66</v>
      </c>
      <c r="C16" s="24">
        <v>0</v>
      </c>
      <c r="D16" s="24" t="s">
        <v>433</v>
      </c>
      <c r="E16" s="24">
        <v>10</v>
      </c>
      <c r="F16" s="24">
        <v>0</v>
      </c>
      <c r="G16" s="24" t="s">
        <v>67</v>
      </c>
      <c r="H16" s="24">
        <v>0</v>
      </c>
      <c r="I16" s="24">
        <v>0</v>
      </c>
      <c r="J16" s="24">
        <v>0</v>
      </c>
      <c r="K16" s="24">
        <v>0</v>
      </c>
      <c r="L16" s="24">
        <v>0</v>
      </c>
      <c r="M16" s="24">
        <v>0</v>
      </c>
      <c r="N16" s="24">
        <v>0</v>
      </c>
      <c r="O16" s="24">
        <v>0</v>
      </c>
      <c r="P16" s="24">
        <v>0</v>
      </c>
      <c r="Q16" s="24">
        <v>0</v>
      </c>
      <c r="R16" s="24">
        <v>0</v>
      </c>
      <c r="S16" s="24">
        <v>0</v>
      </c>
      <c r="T16" s="28">
        <f t="shared" si="1"/>
        <v>0</v>
      </c>
      <c r="U16" s="28">
        <f t="shared" si="2"/>
        <v>0</v>
      </c>
      <c r="V16" s="29">
        <f>IF(O16&gt;0,((VLOOKUP(E16,ACs!G$4:P$53,7)*P16)+(VLOOKUP(E16,ACs!G$4:P$53,6)*(1-P16)))*O16*F16,0)</f>
        <v>0</v>
      </c>
      <c r="W16" s="29">
        <f>IF(E16&gt;0,VLOOKUP(E16,ACs!G$4:P$53,10)*Q16*F16,0)</f>
        <v>0</v>
      </c>
      <c r="X16" s="29">
        <f t="shared" si="3"/>
        <v>0</v>
      </c>
      <c r="Y16" s="29">
        <f t="shared" si="4"/>
        <v>0</v>
      </c>
      <c r="Z16" s="29">
        <f t="shared" si="5"/>
        <v>0</v>
      </c>
      <c r="AA16" s="29">
        <f t="shared" si="6"/>
        <v>0</v>
      </c>
      <c r="AB16" s="30" t="str">
        <f t="shared" si="7"/>
        <v xml:space="preserve"> </v>
      </c>
      <c r="AC16" s="30" t="str">
        <f t="shared" si="8"/>
        <v xml:space="preserve"> </v>
      </c>
      <c r="AD16" s="31" t="str">
        <f t="shared" si="9"/>
        <v xml:space="preserve"> </v>
      </c>
      <c r="AE16" s="29">
        <f t="shared" si="10"/>
        <v>0</v>
      </c>
      <c r="AF16" s="29">
        <f t="shared" si="11"/>
        <v>0</v>
      </c>
      <c r="AG16" s="29">
        <f t="shared" si="12"/>
        <v>0</v>
      </c>
      <c r="AH16" s="29">
        <f t="shared" si="13"/>
        <v>0</v>
      </c>
      <c r="AI16" s="29">
        <f t="shared" si="14"/>
        <v>0</v>
      </c>
      <c r="AJ16" s="30" t="str">
        <f t="shared" si="15"/>
        <v xml:space="preserve"> </v>
      </c>
      <c r="AK16" s="30" t="str">
        <f t="shared" si="16"/>
        <v xml:space="preserve"> </v>
      </c>
      <c r="AL16" s="30" t="str">
        <f t="shared" si="17"/>
        <v xml:space="preserve"> </v>
      </c>
      <c r="AM16" s="32" t="str">
        <f t="shared" si="18"/>
        <v xml:space="preserve"> </v>
      </c>
      <c r="AN16" s="32" t="str">
        <f t="shared" si="19"/>
        <v xml:space="preserve"> </v>
      </c>
      <c r="AO16" s="32" t="str">
        <f t="shared" si="20"/>
        <v xml:space="preserve"> </v>
      </c>
      <c r="AP16" s="32" t="str">
        <f t="shared" si="21"/>
        <v xml:space="preserve"> </v>
      </c>
      <c r="AQ16" s="33">
        <f t="shared" si="22"/>
        <v>0</v>
      </c>
      <c r="AR16" s="27">
        <v>0.87</v>
      </c>
      <c r="AS16" s="30" t="str">
        <f t="shared" si="39"/>
        <v xml:space="preserve"> </v>
      </c>
      <c r="AT16" s="33">
        <f t="shared" si="40"/>
        <v>0</v>
      </c>
      <c r="AU16" s="32">
        <v>1</v>
      </c>
      <c r="AV16" s="33">
        <f t="shared" si="23"/>
        <v>0</v>
      </c>
      <c r="AW16" s="33">
        <f t="shared" si="24"/>
        <v>0</v>
      </c>
      <c r="AX16" s="30" t="str">
        <f t="shared" si="0"/>
        <v xml:space="preserve"> </v>
      </c>
      <c r="AY16" s="29">
        <f t="shared" si="25"/>
        <v>0</v>
      </c>
      <c r="AZ16" s="29">
        <f t="shared" si="26"/>
        <v>0</v>
      </c>
      <c r="BA16" s="30" t="str">
        <f t="shared" si="41"/>
        <v xml:space="preserve"> </v>
      </c>
      <c r="BB16" s="34">
        <f t="shared" si="27"/>
        <v>0</v>
      </c>
      <c r="BC16" s="35">
        <f t="shared" si="28"/>
        <v>0</v>
      </c>
      <c r="BD16" s="27">
        <v>1</v>
      </c>
      <c r="BE16" s="36">
        <f t="shared" si="29"/>
        <v>0</v>
      </c>
      <c r="BF16" s="36">
        <f t="shared" si="30"/>
        <v>0</v>
      </c>
      <c r="BG16" s="30" t="str">
        <f t="shared" si="31"/>
        <v xml:space="preserve"> </v>
      </c>
      <c r="BH16" s="33">
        <f t="shared" si="32"/>
        <v>0</v>
      </c>
      <c r="BI16" s="27">
        <v>1</v>
      </c>
      <c r="BJ16" s="36">
        <f t="shared" si="33"/>
        <v>0</v>
      </c>
      <c r="BK16" s="37">
        <f t="shared" si="34"/>
        <v>0</v>
      </c>
      <c r="BL16" s="30" t="str">
        <f t="shared" si="35"/>
        <v xml:space="preserve"> </v>
      </c>
      <c r="BM16" s="26">
        <f t="shared" si="36"/>
        <v>0</v>
      </c>
      <c r="BO16" s="50">
        <f t="shared" si="37"/>
        <v>0</v>
      </c>
      <c r="BP16" s="50">
        <f t="shared" si="38"/>
        <v>0</v>
      </c>
    </row>
    <row r="17" spans="1:68">
      <c r="A17" s="16" t="s">
        <v>80</v>
      </c>
      <c r="B17" s="1" t="s">
        <v>66</v>
      </c>
      <c r="C17" s="24">
        <v>0</v>
      </c>
      <c r="D17" s="24" t="s">
        <v>433</v>
      </c>
      <c r="E17" s="24">
        <v>10</v>
      </c>
      <c r="F17" s="24">
        <v>0</v>
      </c>
      <c r="G17" s="24" t="s">
        <v>67</v>
      </c>
      <c r="H17" s="24">
        <v>0</v>
      </c>
      <c r="I17" s="24">
        <v>0</v>
      </c>
      <c r="J17" s="24">
        <v>0</v>
      </c>
      <c r="K17" s="24">
        <v>0</v>
      </c>
      <c r="L17" s="24">
        <v>0</v>
      </c>
      <c r="M17" s="24">
        <v>0</v>
      </c>
      <c r="N17" s="24">
        <v>0</v>
      </c>
      <c r="O17" s="24">
        <v>0</v>
      </c>
      <c r="P17" s="24">
        <v>0</v>
      </c>
      <c r="Q17" s="24">
        <v>0</v>
      </c>
      <c r="R17" s="24">
        <v>0</v>
      </c>
      <c r="S17" s="24">
        <v>0</v>
      </c>
      <c r="T17" s="28">
        <f t="shared" si="1"/>
        <v>0</v>
      </c>
      <c r="U17" s="28">
        <f t="shared" si="2"/>
        <v>0</v>
      </c>
      <c r="V17" s="29">
        <f>IF(O17&gt;0,((VLOOKUP(E17,ACs!G$4:P$53,7)*P17)+(VLOOKUP(E17,ACs!G$4:P$53,6)*(1-P17)))*O17*F17,0)</f>
        <v>0</v>
      </c>
      <c r="W17" s="29">
        <f>IF(E17&gt;0,VLOOKUP(E17,ACs!G$4:P$53,10)*Q17*F17,0)</f>
        <v>0</v>
      </c>
      <c r="X17" s="29">
        <f t="shared" si="3"/>
        <v>0</v>
      </c>
      <c r="Y17" s="29">
        <f t="shared" si="4"/>
        <v>0</v>
      </c>
      <c r="Z17" s="29">
        <f t="shared" si="5"/>
        <v>0</v>
      </c>
      <c r="AA17" s="29">
        <f t="shared" si="6"/>
        <v>0</v>
      </c>
      <c r="AB17" s="30" t="str">
        <f t="shared" si="7"/>
        <v xml:space="preserve"> </v>
      </c>
      <c r="AC17" s="30" t="str">
        <f t="shared" si="8"/>
        <v xml:space="preserve"> </v>
      </c>
      <c r="AD17" s="31" t="str">
        <f t="shared" si="9"/>
        <v xml:space="preserve"> </v>
      </c>
      <c r="AE17" s="29">
        <f t="shared" si="10"/>
        <v>0</v>
      </c>
      <c r="AF17" s="29">
        <f t="shared" si="11"/>
        <v>0</v>
      </c>
      <c r="AG17" s="29">
        <f t="shared" si="12"/>
        <v>0</v>
      </c>
      <c r="AH17" s="29">
        <f t="shared" si="13"/>
        <v>0</v>
      </c>
      <c r="AI17" s="29">
        <f t="shared" si="14"/>
        <v>0</v>
      </c>
      <c r="AJ17" s="30" t="str">
        <f t="shared" si="15"/>
        <v xml:space="preserve"> </v>
      </c>
      <c r="AK17" s="30" t="str">
        <f t="shared" si="16"/>
        <v xml:space="preserve"> </v>
      </c>
      <c r="AL17" s="30" t="str">
        <f t="shared" si="17"/>
        <v xml:space="preserve"> </v>
      </c>
      <c r="AM17" s="32" t="str">
        <f t="shared" si="18"/>
        <v xml:space="preserve"> </v>
      </c>
      <c r="AN17" s="32" t="str">
        <f t="shared" si="19"/>
        <v xml:space="preserve"> </v>
      </c>
      <c r="AO17" s="32" t="str">
        <f t="shared" si="20"/>
        <v xml:space="preserve"> </v>
      </c>
      <c r="AP17" s="32" t="str">
        <f t="shared" si="21"/>
        <v xml:space="preserve"> </v>
      </c>
      <c r="AQ17" s="33">
        <f t="shared" si="22"/>
        <v>0</v>
      </c>
      <c r="AR17" s="27">
        <v>0.87</v>
      </c>
      <c r="AS17" s="30" t="str">
        <f t="shared" si="39"/>
        <v xml:space="preserve"> </v>
      </c>
      <c r="AT17" s="33">
        <f t="shared" si="40"/>
        <v>0</v>
      </c>
      <c r="AU17" s="32">
        <v>1</v>
      </c>
      <c r="AV17" s="33">
        <f t="shared" si="23"/>
        <v>0</v>
      </c>
      <c r="AW17" s="33">
        <f t="shared" si="24"/>
        <v>0</v>
      </c>
      <c r="AX17" s="30" t="str">
        <f t="shared" si="0"/>
        <v xml:space="preserve"> </v>
      </c>
      <c r="AY17" s="29">
        <f t="shared" si="25"/>
        <v>0</v>
      </c>
      <c r="AZ17" s="29">
        <f t="shared" si="26"/>
        <v>0</v>
      </c>
      <c r="BA17" s="30" t="str">
        <f t="shared" si="41"/>
        <v xml:space="preserve"> </v>
      </c>
      <c r="BB17" s="34">
        <f t="shared" si="27"/>
        <v>0</v>
      </c>
      <c r="BC17" s="35">
        <f t="shared" si="28"/>
        <v>0</v>
      </c>
      <c r="BD17" s="27">
        <v>1</v>
      </c>
      <c r="BE17" s="36">
        <f t="shared" si="29"/>
        <v>0</v>
      </c>
      <c r="BF17" s="36">
        <f t="shared" si="30"/>
        <v>0</v>
      </c>
      <c r="BG17" s="30" t="str">
        <f t="shared" si="31"/>
        <v xml:space="preserve"> </v>
      </c>
      <c r="BH17" s="33">
        <f t="shared" si="32"/>
        <v>0</v>
      </c>
      <c r="BI17" s="27">
        <v>1</v>
      </c>
      <c r="BJ17" s="36">
        <f t="shared" si="33"/>
        <v>0</v>
      </c>
      <c r="BK17" s="37">
        <f t="shared" si="34"/>
        <v>0</v>
      </c>
      <c r="BL17" s="30" t="str">
        <f t="shared" si="35"/>
        <v xml:space="preserve"> </v>
      </c>
      <c r="BM17" s="26">
        <f t="shared" si="36"/>
        <v>0</v>
      </c>
      <c r="BO17" s="50">
        <f t="shared" si="37"/>
        <v>0</v>
      </c>
      <c r="BP17" s="50">
        <f t="shared" si="38"/>
        <v>0</v>
      </c>
    </row>
    <row r="18" spans="1:68">
      <c r="A18" s="16" t="s">
        <v>81</v>
      </c>
      <c r="B18" s="1" t="s">
        <v>66</v>
      </c>
      <c r="C18" s="24">
        <v>0</v>
      </c>
      <c r="D18" s="24" t="s">
        <v>433</v>
      </c>
      <c r="E18" s="24">
        <v>10</v>
      </c>
      <c r="F18" s="24">
        <v>0</v>
      </c>
      <c r="G18" s="24" t="s">
        <v>67</v>
      </c>
      <c r="H18" s="24">
        <v>0</v>
      </c>
      <c r="I18" s="24">
        <v>0</v>
      </c>
      <c r="J18" s="24">
        <v>0</v>
      </c>
      <c r="K18" s="24">
        <v>0</v>
      </c>
      <c r="L18" s="24">
        <v>0</v>
      </c>
      <c r="M18" s="24">
        <v>0</v>
      </c>
      <c r="N18" s="24">
        <v>0</v>
      </c>
      <c r="O18" s="24">
        <v>0</v>
      </c>
      <c r="P18" s="24">
        <v>0</v>
      </c>
      <c r="Q18" s="24">
        <v>0</v>
      </c>
      <c r="R18" s="24">
        <v>0</v>
      </c>
      <c r="S18" s="24">
        <v>0</v>
      </c>
      <c r="T18" s="28">
        <f t="shared" si="1"/>
        <v>0</v>
      </c>
      <c r="U18" s="28">
        <f t="shared" si="2"/>
        <v>0</v>
      </c>
      <c r="V18" s="29">
        <f>IF(O18&gt;0,((VLOOKUP(E18,ACs!G$4:P$53,7)*P18)+(VLOOKUP(E18,ACs!G$4:P$53,6)*(1-P18)))*O18*F18,0)</f>
        <v>0</v>
      </c>
      <c r="W18" s="29">
        <f>IF(E18&gt;0,VLOOKUP(E18,ACs!G$4:P$53,10)*Q18*F18,0)</f>
        <v>0</v>
      </c>
      <c r="X18" s="29">
        <f t="shared" si="3"/>
        <v>0</v>
      </c>
      <c r="Y18" s="29">
        <f t="shared" si="4"/>
        <v>0</v>
      </c>
      <c r="Z18" s="29">
        <f t="shared" si="5"/>
        <v>0</v>
      </c>
      <c r="AA18" s="29">
        <f t="shared" si="6"/>
        <v>0</v>
      </c>
      <c r="AB18" s="30" t="str">
        <f t="shared" si="7"/>
        <v xml:space="preserve"> </v>
      </c>
      <c r="AC18" s="30" t="str">
        <f t="shared" si="8"/>
        <v xml:space="preserve"> </v>
      </c>
      <c r="AD18" s="31" t="str">
        <f t="shared" si="9"/>
        <v xml:space="preserve"> </v>
      </c>
      <c r="AE18" s="29">
        <f t="shared" si="10"/>
        <v>0</v>
      </c>
      <c r="AF18" s="29">
        <f t="shared" si="11"/>
        <v>0</v>
      </c>
      <c r="AG18" s="29">
        <f t="shared" si="12"/>
        <v>0</v>
      </c>
      <c r="AH18" s="29">
        <f t="shared" si="13"/>
        <v>0</v>
      </c>
      <c r="AI18" s="29">
        <f t="shared" si="14"/>
        <v>0</v>
      </c>
      <c r="AJ18" s="30" t="str">
        <f t="shared" si="15"/>
        <v xml:space="preserve"> </v>
      </c>
      <c r="AK18" s="30" t="str">
        <f t="shared" si="16"/>
        <v xml:space="preserve"> </v>
      </c>
      <c r="AL18" s="30" t="str">
        <f t="shared" si="17"/>
        <v xml:space="preserve"> </v>
      </c>
      <c r="AM18" s="32" t="str">
        <f t="shared" si="18"/>
        <v xml:space="preserve"> </v>
      </c>
      <c r="AN18" s="32" t="str">
        <f t="shared" si="19"/>
        <v xml:space="preserve"> </v>
      </c>
      <c r="AO18" s="32" t="str">
        <f t="shared" si="20"/>
        <v xml:space="preserve"> </v>
      </c>
      <c r="AP18" s="32" t="str">
        <f t="shared" si="21"/>
        <v xml:space="preserve"> </v>
      </c>
      <c r="AQ18" s="33">
        <f t="shared" si="22"/>
        <v>0</v>
      </c>
      <c r="AR18" s="27">
        <v>0.87</v>
      </c>
      <c r="AS18" s="30" t="str">
        <f t="shared" si="39"/>
        <v xml:space="preserve"> </v>
      </c>
      <c r="AT18" s="33">
        <f t="shared" si="40"/>
        <v>0</v>
      </c>
      <c r="AU18" s="32">
        <v>1</v>
      </c>
      <c r="AV18" s="33">
        <f t="shared" si="23"/>
        <v>0</v>
      </c>
      <c r="AW18" s="33">
        <f t="shared" si="24"/>
        <v>0</v>
      </c>
      <c r="AX18" s="30" t="str">
        <f t="shared" si="0"/>
        <v xml:space="preserve"> </v>
      </c>
      <c r="AY18" s="29">
        <f t="shared" si="25"/>
        <v>0</v>
      </c>
      <c r="AZ18" s="29">
        <f t="shared" si="26"/>
        <v>0</v>
      </c>
      <c r="BA18" s="30" t="str">
        <f t="shared" si="41"/>
        <v xml:space="preserve"> </v>
      </c>
      <c r="BB18" s="34">
        <f t="shared" si="27"/>
        <v>0</v>
      </c>
      <c r="BC18" s="35">
        <f t="shared" si="28"/>
        <v>0</v>
      </c>
      <c r="BD18" s="27">
        <v>1</v>
      </c>
      <c r="BE18" s="36">
        <f t="shared" si="29"/>
        <v>0</v>
      </c>
      <c r="BF18" s="36">
        <f t="shared" si="30"/>
        <v>0</v>
      </c>
      <c r="BG18" s="30" t="str">
        <f t="shared" si="31"/>
        <v xml:space="preserve"> </v>
      </c>
      <c r="BH18" s="33">
        <f t="shared" si="32"/>
        <v>0</v>
      </c>
      <c r="BI18" s="27">
        <v>1</v>
      </c>
      <c r="BJ18" s="36">
        <f t="shared" si="33"/>
        <v>0</v>
      </c>
      <c r="BK18" s="37">
        <f t="shared" si="34"/>
        <v>0</v>
      </c>
      <c r="BL18" s="30" t="str">
        <f t="shared" si="35"/>
        <v xml:space="preserve"> </v>
      </c>
      <c r="BM18" s="26">
        <f t="shared" si="36"/>
        <v>0</v>
      </c>
      <c r="BO18" s="50">
        <f t="shared" si="37"/>
        <v>0</v>
      </c>
      <c r="BP18" s="50">
        <f t="shared" si="38"/>
        <v>0</v>
      </c>
    </row>
    <row r="19" spans="1:68">
      <c r="A19" s="16" t="s">
        <v>82</v>
      </c>
      <c r="B19" s="1" t="s">
        <v>66</v>
      </c>
      <c r="C19" s="24">
        <v>0</v>
      </c>
      <c r="D19" s="24" t="s">
        <v>433</v>
      </c>
      <c r="E19" s="24">
        <v>10</v>
      </c>
      <c r="F19" s="24">
        <v>0</v>
      </c>
      <c r="G19" s="24" t="s">
        <v>67</v>
      </c>
      <c r="H19" s="24">
        <v>0</v>
      </c>
      <c r="I19" s="24">
        <v>0</v>
      </c>
      <c r="J19" s="24">
        <v>0</v>
      </c>
      <c r="K19" s="24">
        <v>0</v>
      </c>
      <c r="L19" s="24">
        <v>0</v>
      </c>
      <c r="M19" s="24">
        <v>0</v>
      </c>
      <c r="N19" s="24">
        <v>0</v>
      </c>
      <c r="O19" s="24">
        <v>0</v>
      </c>
      <c r="P19" s="24">
        <v>0</v>
      </c>
      <c r="Q19" s="24">
        <v>0</v>
      </c>
      <c r="R19" s="24">
        <v>0</v>
      </c>
      <c r="S19" s="24">
        <v>0</v>
      </c>
      <c r="T19" s="28">
        <f t="shared" si="1"/>
        <v>0</v>
      </c>
      <c r="U19" s="28">
        <f t="shared" si="2"/>
        <v>0</v>
      </c>
      <c r="V19" s="29">
        <f>IF(O19&gt;0,((VLOOKUP(E19,ACs!G$4:P$53,7)*P19)+(VLOOKUP(E19,ACs!G$4:P$53,6)*(1-P19)))*O19*F19,0)</f>
        <v>0</v>
      </c>
      <c r="W19" s="29">
        <f>IF(E19&gt;0,VLOOKUP(E19,ACs!G$4:P$53,10)*Q19*F19,0)</f>
        <v>0</v>
      </c>
      <c r="X19" s="29">
        <f t="shared" si="3"/>
        <v>0</v>
      </c>
      <c r="Y19" s="29">
        <f t="shared" si="4"/>
        <v>0</v>
      </c>
      <c r="Z19" s="29">
        <f t="shared" si="5"/>
        <v>0</v>
      </c>
      <c r="AA19" s="29">
        <f t="shared" si="6"/>
        <v>0</v>
      </c>
      <c r="AB19" s="30" t="str">
        <f t="shared" si="7"/>
        <v xml:space="preserve"> </v>
      </c>
      <c r="AC19" s="30" t="str">
        <f t="shared" si="8"/>
        <v xml:space="preserve"> </v>
      </c>
      <c r="AD19" s="31" t="str">
        <f t="shared" si="9"/>
        <v xml:space="preserve"> </v>
      </c>
      <c r="AE19" s="29">
        <f t="shared" si="10"/>
        <v>0</v>
      </c>
      <c r="AF19" s="29">
        <f t="shared" si="11"/>
        <v>0</v>
      </c>
      <c r="AG19" s="29">
        <f t="shared" si="12"/>
        <v>0</v>
      </c>
      <c r="AH19" s="29">
        <f t="shared" si="13"/>
        <v>0</v>
      </c>
      <c r="AI19" s="29">
        <f t="shared" si="14"/>
        <v>0</v>
      </c>
      <c r="AJ19" s="30" t="str">
        <f t="shared" si="15"/>
        <v xml:space="preserve"> </v>
      </c>
      <c r="AK19" s="30" t="str">
        <f t="shared" si="16"/>
        <v xml:space="preserve"> </v>
      </c>
      <c r="AL19" s="30" t="str">
        <f t="shared" si="17"/>
        <v xml:space="preserve"> </v>
      </c>
      <c r="AM19" s="32" t="str">
        <f t="shared" si="18"/>
        <v xml:space="preserve"> </v>
      </c>
      <c r="AN19" s="32" t="str">
        <f t="shared" si="19"/>
        <v xml:space="preserve"> </v>
      </c>
      <c r="AO19" s="32" t="str">
        <f t="shared" si="20"/>
        <v xml:space="preserve"> </v>
      </c>
      <c r="AP19" s="32" t="str">
        <f t="shared" si="21"/>
        <v xml:space="preserve"> </v>
      </c>
      <c r="AQ19" s="33">
        <f t="shared" si="22"/>
        <v>0</v>
      </c>
      <c r="AR19" s="27">
        <v>0.87</v>
      </c>
      <c r="AS19" s="30" t="str">
        <f t="shared" si="39"/>
        <v xml:space="preserve"> </v>
      </c>
      <c r="AT19" s="33">
        <f t="shared" si="40"/>
        <v>0</v>
      </c>
      <c r="AU19" s="32">
        <v>1</v>
      </c>
      <c r="AV19" s="33">
        <f t="shared" si="23"/>
        <v>0</v>
      </c>
      <c r="AW19" s="33">
        <f t="shared" si="24"/>
        <v>0</v>
      </c>
      <c r="AX19" s="30" t="str">
        <f t="shared" si="0"/>
        <v xml:space="preserve"> </v>
      </c>
      <c r="AY19" s="29">
        <f t="shared" si="25"/>
        <v>0</v>
      </c>
      <c r="AZ19" s="29">
        <f t="shared" si="26"/>
        <v>0</v>
      </c>
      <c r="BA19" s="30" t="str">
        <f t="shared" si="41"/>
        <v xml:space="preserve"> </v>
      </c>
      <c r="BB19" s="34">
        <f t="shared" si="27"/>
        <v>0</v>
      </c>
      <c r="BC19" s="35">
        <f t="shared" si="28"/>
        <v>0</v>
      </c>
      <c r="BD19" s="27">
        <v>1</v>
      </c>
      <c r="BE19" s="36">
        <f t="shared" si="29"/>
        <v>0</v>
      </c>
      <c r="BF19" s="36">
        <f t="shared" si="30"/>
        <v>0</v>
      </c>
      <c r="BG19" s="30" t="str">
        <f t="shared" si="31"/>
        <v xml:space="preserve"> </v>
      </c>
      <c r="BH19" s="33">
        <f t="shared" si="32"/>
        <v>0</v>
      </c>
      <c r="BI19" s="27">
        <v>1</v>
      </c>
      <c r="BJ19" s="36">
        <f t="shared" si="33"/>
        <v>0</v>
      </c>
      <c r="BK19" s="37">
        <f t="shared" si="34"/>
        <v>0</v>
      </c>
      <c r="BL19" s="30" t="str">
        <f t="shared" si="35"/>
        <v xml:space="preserve"> </v>
      </c>
      <c r="BM19" s="26">
        <f t="shared" si="36"/>
        <v>0</v>
      </c>
      <c r="BO19" s="50">
        <f t="shared" si="37"/>
        <v>0</v>
      </c>
      <c r="BP19" s="50">
        <f t="shared" si="38"/>
        <v>0</v>
      </c>
    </row>
    <row r="20" spans="1:68">
      <c r="A20" s="16" t="s">
        <v>83</v>
      </c>
      <c r="B20" s="1" t="s">
        <v>66</v>
      </c>
      <c r="C20" s="24">
        <v>0</v>
      </c>
      <c r="D20" s="24" t="s">
        <v>433</v>
      </c>
      <c r="E20" s="24">
        <v>10</v>
      </c>
      <c r="F20" s="24">
        <v>0</v>
      </c>
      <c r="G20" s="24" t="s">
        <v>67</v>
      </c>
      <c r="H20" s="24">
        <v>0</v>
      </c>
      <c r="I20" s="24">
        <v>0</v>
      </c>
      <c r="J20" s="24">
        <v>0</v>
      </c>
      <c r="K20" s="24">
        <v>0</v>
      </c>
      <c r="L20" s="24">
        <v>0</v>
      </c>
      <c r="M20" s="24">
        <v>0</v>
      </c>
      <c r="N20" s="24">
        <v>0</v>
      </c>
      <c r="O20" s="24">
        <v>0</v>
      </c>
      <c r="P20" s="24">
        <v>0</v>
      </c>
      <c r="Q20" s="24">
        <v>0</v>
      </c>
      <c r="R20" s="24">
        <v>0</v>
      </c>
      <c r="S20" s="24">
        <v>0</v>
      </c>
      <c r="T20" s="28">
        <f t="shared" si="1"/>
        <v>0</v>
      </c>
      <c r="U20" s="28">
        <f t="shared" si="2"/>
        <v>0</v>
      </c>
      <c r="V20" s="29">
        <f>IF(O20&gt;0,((VLOOKUP(E20,ACs!G$4:P$53,7)*P20)+(VLOOKUP(E20,ACs!G$4:P$53,6)*(1-P20)))*O20*F20,0)</f>
        <v>0</v>
      </c>
      <c r="W20" s="29">
        <f>IF(E20&gt;0,VLOOKUP(E20,ACs!G$4:P$53,10)*Q20*F20,0)</f>
        <v>0</v>
      </c>
      <c r="X20" s="29">
        <f t="shared" si="3"/>
        <v>0</v>
      </c>
      <c r="Y20" s="29">
        <f t="shared" si="4"/>
        <v>0</v>
      </c>
      <c r="Z20" s="29">
        <f t="shared" si="5"/>
        <v>0</v>
      </c>
      <c r="AA20" s="29">
        <f t="shared" si="6"/>
        <v>0</v>
      </c>
      <c r="AB20" s="30" t="str">
        <f t="shared" si="7"/>
        <v xml:space="preserve"> </v>
      </c>
      <c r="AC20" s="30" t="str">
        <f t="shared" si="8"/>
        <v xml:space="preserve"> </v>
      </c>
      <c r="AD20" s="31" t="str">
        <f t="shared" si="9"/>
        <v xml:space="preserve"> </v>
      </c>
      <c r="AE20" s="29">
        <f t="shared" si="10"/>
        <v>0</v>
      </c>
      <c r="AF20" s="29">
        <f t="shared" si="11"/>
        <v>0</v>
      </c>
      <c r="AG20" s="29">
        <f t="shared" si="12"/>
        <v>0</v>
      </c>
      <c r="AH20" s="29">
        <f t="shared" si="13"/>
        <v>0</v>
      </c>
      <c r="AI20" s="29">
        <f t="shared" si="14"/>
        <v>0</v>
      </c>
      <c r="AJ20" s="30" t="str">
        <f t="shared" si="15"/>
        <v xml:space="preserve"> </v>
      </c>
      <c r="AK20" s="30" t="str">
        <f t="shared" si="16"/>
        <v xml:space="preserve"> </v>
      </c>
      <c r="AL20" s="30" t="str">
        <f t="shared" si="17"/>
        <v xml:space="preserve"> </v>
      </c>
      <c r="AM20" s="32" t="str">
        <f t="shared" si="18"/>
        <v xml:space="preserve"> </v>
      </c>
      <c r="AN20" s="32" t="str">
        <f t="shared" si="19"/>
        <v xml:space="preserve"> </v>
      </c>
      <c r="AO20" s="32" t="str">
        <f t="shared" si="20"/>
        <v xml:space="preserve"> </v>
      </c>
      <c r="AP20" s="32" t="str">
        <f t="shared" si="21"/>
        <v xml:space="preserve"> </v>
      </c>
      <c r="AQ20" s="33">
        <f t="shared" si="22"/>
        <v>0</v>
      </c>
      <c r="AR20" s="27">
        <v>0.87</v>
      </c>
      <c r="AS20" s="30" t="str">
        <f t="shared" si="39"/>
        <v xml:space="preserve"> </v>
      </c>
      <c r="AT20" s="33">
        <f t="shared" si="40"/>
        <v>0</v>
      </c>
      <c r="AU20" s="32">
        <v>1</v>
      </c>
      <c r="AV20" s="33">
        <f t="shared" si="23"/>
        <v>0</v>
      </c>
      <c r="AW20" s="33">
        <f t="shared" si="24"/>
        <v>0</v>
      </c>
      <c r="AX20" s="30" t="str">
        <f t="shared" si="0"/>
        <v xml:space="preserve"> </v>
      </c>
      <c r="AY20" s="29">
        <f t="shared" si="25"/>
        <v>0</v>
      </c>
      <c r="AZ20" s="29">
        <f t="shared" si="26"/>
        <v>0</v>
      </c>
      <c r="BA20" s="30" t="str">
        <f t="shared" si="41"/>
        <v xml:space="preserve"> </v>
      </c>
      <c r="BB20" s="34">
        <f t="shared" si="27"/>
        <v>0</v>
      </c>
      <c r="BC20" s="35">
        <f t="shared" si="28"/>
        <v>0</v>
      </c>
      <c r="BD20" s="27">
        <v>1</v>
      </c>
      <c r="BE20" s="36">
        <f t="shared" si="29"/>
        <v>0</v>
      </c>
      <c r="BF20" s="36">
        <f t="shared" si="30"/>
        <v>0</v>
      </c>
      <c r="BG20" s="30" t="str">
        <f t="shared" si="31"/>
        <v xml:space="preserve"> </v>
      </c>
      <c r="BH20" s="33">
        <f t="shared" si="32"/>
        <v>0</v>
      </c>
      <c r="BI20" s="27">
        <v>1</v>
      </c>
      <c r="BJ20" s="36">
        <f t="shared" si="33"/>
        <v>0</v>
      </c>
      <c r="BK20" s="37">
        <f t="shared" si="34"/>
        <v>0</v>
      </c>
      <c r="BL20" s="30" t="str">
        <f t="shared" si="35"/>
        <v xml:space="preserve"> </v>
      </c>
      <c r="BM20" s="26">
        <f t="shared" si="36"/>
        <v>0</v>
      </c>
      <c r="BO20" s="50">
        <f t="shared" si="37"/>
        <v>0</v>
      </c>
      <c r="BP20" s="50">
        <f t="shared" si="38"/>
        <v>0</v>
      </c>
    </row>
    <row r="21" spans="1:68">
      <c r="A21" s="16" t="s">
        <v>84</v>
      </c>
      <c r="B21" s="1" t="s">
        <v>66</v>
      </c>
      <c r="C21" s="24">
        <v>0</v>
      </c>
      <c r="D21" s="24" t="s">
        <v>433</v>
      </c>
      <c r="E21" s="24">
        <v>10</v>
      </c>
      <c r="F21" s="24">
        <v>0</v>
      </c>
      <c r="G21" s="24" t="s">
        <v>67</v>
      </c>
      <c r="H21" s="24">
        <v>0</v>
      </c>
      <c r="I21" s="24">
        <v>0</v>
      </c>
      <c r="J21" s="24">
        <v>0</v>
      </c>
      <c r="K21" s="24">
        <v>0</v>
      </c>
      <c r="L21" s="24">
        <v>0</v>
      </c>
      <c r="M21" s="24">
        <v>0</v>
      </c>
      <c r="N21" s="24">
        <v>0</v>
      </c>
      <c r="O21" s="24">
        <v>0</v>
      </c>
      <c r="P21" s="24">
        <v>0</v>
      </c>
      <c r="Q21" s="24">
        <v>0</v>
      </c>
      <c r="R21" s="24">
        <v>0</v>
      </c>
      <c r="S21" s="24">
        <v>0</v>
      </c>
      <c r="T21" s="28">
        <f t="shared" si="1"/>
        <v>0</v>
      </c>
      <c r="U21" s="28">
        <f t="shared" si="2"/>
        <v>0</v>
      </c>
      <c r="V21" s="29">
        <f>IF(O21&gt;0,((VLOOKUP(E21,ACs!G$4:P$53,7)*P21)+(VLOOKUP(E21,ACs!G$4:P$53,6)*(1-P21)))*O21*F21,0)</f>
        <v>0</v>
      </c>
      <c r="W21" s="29">
        <f>IF(E21&gt;0,VLOOKUP(E21,ACs!G$4:P$53,10)*Q21*F21,0)</f>
        <v>0</v>
      </c>
      <c r="X21" s="29">
        <f t="shared" si="3"/>
        <v>0</v>
      </c>
      <c r="Y21" s="29">
        <f t="shared" si="4"/>
        <v>0</v>
      </c>
      <c r="Z21" s="29">
        <f t="shared" si="5"/>
        <v>0</v>
      </c>
      <c r="AA21" s="29">
        <f t="shared" si="6"/>
        <v>0</v>
      </c>
      <c r="AB21" s="30" t="str">
        <f t="shared" si="7"/>
        <v xml:space="preserve"> </v>
      </c>
      <c r="AC21" s="30" t="str">
        <f t="shared" si="8"/>
        <v xml:space="preserve"> </v>
      </c>
      <c r="AD21" s="31" t="str">
        <f t="shared" si="9"/>
        <v xml:space="preserve"> </v>
      </c>
      <c r="AE21" s="29">
        <f t="shared" si="10"/>
        <v>0</v>
      </c>
      <c r="AF21" s="29">
        <f t="shared" si="11"/>
        <v>0</v>
      </c>
      <c r="AG21" s="29">
        <f t="shared" si="12"/>
        <v>0</v>
      </c>
      <c r="AH21" s="29">
        <f t="shared" si="13"/>
        <v>0</v>
      </c>
      <c r="AI21" s="29">
        <f t="shared" si="14"/>
        <v>0</v>
      </c>
      <c r="AJ21" s="30" t="str">
        <f t="shared" si="15"/>
        <v xml:space="preserve"> </v>
      </c>
      <c r="AK21" s="30" t="str">
        <f t="shared" si="16"/>
        <v xml:space="preserve"> </v>
      </c>
      <c r="AL21" s="30" t="str">
        <f t="shared" si="17"/>
        <v xml:space="preserve"> </v>
      </c>
      <c r="AM21" s="32" t="str">
        <f t="shared" si="18"/>
        <v xml:space="preserve"> </v>
      </c>
      <c r="AN21" s="32" t="str">
        <f t="shared" si="19"/>
        <v xml:space="preserve"> </v>
      </c>
      <c r="AO21" s="32" t="str">
        <f t="shared" si="20"/>
        <v xml:space="preserve"> </v>
      </c>
      <c r="AP21" s="32" t="str">
        <f t="shared" si="21"/>
        <v xml:space="preserve"> </v>
      </c>
      <c r="AQ21" s="33">
        <f t="shared" si="22"/>
        <v>0</v>
      </c>
      <c r="AR21" s="27">
        <v>0.87</v>
      </c>
      <c r="AS21" s="30" t="str">
        <f t="shared" si="39"/>
        <v xml:space="preserve"> </v>
      </c>
      <c r="AT21" s="33">
        <f t="shared" si="40"/>
        <v>0</v>
      </c>
      <c r="AU21" s="32">
        <v>1</v>
      </c>
      <c r="AV21" s="33">
        <f t="shared" si="23"/>
        <v>0</v>
      </c>
      <c r="AW21" s="33">
        <f t="shared" si="24"/>
        <v>0</v>
      </c>
      <c r="AX21" s="30" t="str">
        <f t="shared" si="0"/>
        <v xml:space="preserve"> </v>
      </c>
      <c r="AY21" s="29">
        <f t="shared" si="25"/>
        <v>0</v>
      </c>
      <c r="AZ21" s="29">
        <f t="shared" si="26"/>
        <v>0</v>
      </c>
      <c r="BA21" s="30" t="str">
        <f t="shared" si="41"/>
        <v xml:space="preserve"> </v>
      </c>
      <c r="BB21" s="34">
        <f t="shared" si="27"/>
        <v>0</v>
      </c>
      <c r="BC21" s="35">
        <f t="shared" si="28"/>
        <v>0</v>
      </c>
      <c r="BD21" s="27">
        <v>1</v>
      </c>
      <c r="BE21" s="36">
        <f t="shared" si="29"/>
        <v>0</v>
      </c>
      <c r="BF21" s="36">
        <f t="shared" si="30"/>
        <v>0</v>
      </c>
      <c r="BG21" s="30" t="str">
        <f t="shared" si="31"/>
        <v xml:space="preserve"> </v>
      </c>
      <c r="BH21" s="33">
        <f t="shared" si="32"/>
        <v>0</v>
      </c>
      <c r="BI21" s="27">
        <v>1</v>
      </c>
      <c r="BJ21" s="36">
        <f t="shared" si="33"/>
        <v>0</v>
      </c>
      <c r="BK21" s="37">
        <f t="shared" si="34"/>
        <v>0</v>
      </c>
      <c r="BL21" s="30" t="str">
        <f t="shared" si="35"/>
        <v xml:space="preserve"> </v>
      </c>
      <c r="BM21" s="26">
        <f t="shared" si="36"/>
        <v>0</v>
      </c>
      <c r="BO21" s="50">
        <f t="shared" si="37"/>
        <v>0</v>
      </c>
      <c r="BP21" s="50">
        <f t="shared" si="38"/>
        <v>0</v>
      </c>
    </row>
    <row r="22" spans="1:68">
      <c r="A22" s="16" t="s">
        <v>85</v>
      </c>
      <c r="B22" s="1" t="s">
        <v>66</v>
      </c>
      <c r="C22" s="24">
        <v>0</v>
      </c>
      <c r="D22" s="24" t="s">
        <v>433</v>
      </c>
      <c r="E22" s="24">
        <v>10</v>
      </c>
      <c r="F22" s="24">
        <v>0</v>
      </c>
      <c r="G22" s="24" t="s">
        <v>67</v>
      </c>
      <c r="H22" s="24">
        <v>0</v>
      </c>
      <c r="I22" s="24">
        <v>0</v>
      </c>
      <c r="J22" s="24">
        <v>0</v>
      </c>
      <c r="K22" s="24">
        <v>0</v>
      </c>
      <c r="L22" s="24">
        <v>0</v>
      </c>
      <c r="M22" s="24">
        <v>0</v>
      </c>
      <c r="N22" s="24">
        <v>0</v>
      </c>
      <c r="O22" s="24">
        <v>0</v>
      </c>
      <c r="P22" s="24">
        <v>0</v>
      </c>
      <c r="Q22" s="24">
        <v>0</v>
      </c>
      <c r="R22" s="24">
        <v>0</v>
      </c>
      <c r="S22" s="24">
        <v>0</v>
      </c>
      <c r="T22" s="28">
        <f t="shared" si="1"/>
        <v>0</v>
      </c>
      <c r="U22" s="28">
        <f t="shared" si="2"/>
        <v>0</v>
      </c>
      <c r="V22" s="29">
        <f>IF(O22&gt;0,((VLOOKUP(E22,ACs!G$4:P$53,7)*P22)+(VLOOKUP(E22,ACs!G$4:P$53,6)*(1-P22)))*O22*F22,0)</f>
        <v>0</v>
      </c>
      <c r="W22" s="29">
        <f>IF(E22&gt;0,VLOOKUP(E22,ACs!G$4:P$53,10)*Q22*F22,0)</f>
        <v>0</v>
      </c>
      <c r="X22" s="29">
        <f t="shared" si="3"/>
        <v>0</v>
      </c>
      <c r="Y22" s="29">
        <f t="shared" si="4"/>
        <v>0</v>
      </c>
      <c r="Z22" s="29">
        <f t="shared" si="5"/>
        <v>0</v>
      </c>
      <c r="AA22" s="29">
        <f t="shared" si="6"/>
        <v>0</v>
      </c>
      <c r="AB22" s="30" t="str">
        <f t="shared" si="7"/>
        <v xml:space="preserve"> </v>
      </c>
      <c r="AC22" s="30" t="str">
        <f t="shared" si="8"/>
        <v xml:space="preserve"> </v>
      </c>
      <c r="AD22" s="31" t="str">
        <f t="shared" si="9"/>
        <v xml:space="preserve"> </v>
      </c>
      <c r="AE22" s="29">
        <f t="shared" si="10"/>
        <v>0</v>
      </c>
      <c r="AF22" s="29">
        <f t="shared" si="11"/>
        <v>0</v>
      </c>
      <c r="AG22" s="29">
        <f t="shared" si="12"/>
        <v>0</v>
      </c>
      <c r="AH22" s="29">
        <f t="shared" si="13"/>
        <v>0</v>
      </c>
      <c r="AI22" s="29">
        <f t="shared" si="14"/>
        <v>0</v>
      </c>
      <c r="AJ22" s="30" t="str">
        <f t="shared" si="15"/>
        <v xml:space="preserve"> </v>
      </c>
      <c r="AK22" s="30" t="str">
        <f t="shared" si="16"/>
        <v xml:space="preserve"> </v>
      </c>
      <c r="AL22" s="30" t="str">
        <f t="shared" si="17"/>
        <v xml:space="preserve"> </v>
      </c>
      <c r="AM22" s="32" t="str">
        <f t="shared" si="18"/>
        <v xml:space="preserve"> </v>
      </c>
      <c r="AN22" s="32" t="str">
        <f t="shared" si="19"/>
        <v xml:space="preserve"> </v>
      </c>
      <c r="AO22" s="32" t="str">
        <f t="shared" si="20"/>
        <v xml:space="preserve"> </v>
      </c>
      <c r="AP22" s="32" t="str">
        <f t="shared" si="21"/>
        <v xml:space="preserve"> </v>
      </c>
      <c r="AQ22" s="33">
        <f t="shared" si="22"/>
        <v>0</v>
      </c>
      <c r="AR22" s="27">
        <v>0.87</v>
      </c>
      <c r="AS22" s="30" t="str">
        <f t="shared" si="39"/>
        <v xml:space="preserve"> </v>
      </c>
      <c r="AT22" s="33">
        <f t="shared" si="40"/>
        <v>0</v>
      </c>
      <c r="AU22" s="32">
        <v>1</v>
      </c>
      <c r="AV22" s="33">
        <f t="shared" si="23"/>
        <v>0</v>
      </c>
      <c r="AW22" s="33">
        <f t="shared" si="24"/>
        <v>0</v>
      </c>
      <c r="AX22" s="30" t="str">
        <f t="shared" si="0"/>
        <v xml:space="preserve"> </v>
      </c>
      <c r="AY22" s="29">
        <f t="shared" si="25"/>
        <v>0</v>
      </c>
      <c r="AZ22" s="29">
        <f t="shared" si="26"/>
        <v>0</v>
      </c>
      <c r="BA22" s="30" t="str">
        <f t="shared" si="41"/>
        <v xml:space="preserve"> </v>
      </c>
      <c r="BB22" s="34">
        <f t="shared" si="27"/>
        <v>0</v>
      </c>
      <c r="BC22" s="35">
        <f t="shared" si="28"/>
        <v>0</v>
      </c>
      <c r="BD22" s="27">
        <v>1</v>
      </c>
      <c r="BE22" s="36">
        <f t="shared" si="29"/>
        <v>0</v>
      </c>
      <c r="BF22" s="36">
        <f t="shared" si="30"/>
        <v>0</v>
      </c>
      <c r="BG22" s="30" t="str">
        <f t="shared" si="31"/>
        <v xml:space="preserve"> </v>
      </c>
      <c r="BH22" s="33">
        <f t="shared" si="32"/>
        <v>0</v>
      </c>
      <c r="BI22" s="27">
        <v>1</v>
      </c>
      <c r="BJ22" s="36">
        <f t="shared" si="33"/>
        <v>0</v>
      </c>
      <c r="BK22" s="37">
        <f t="shared" si="34"/>
        <v>0</v>
      </c>
      <c r="BL22" s="30" t="str">
        <f t="shared" si="35"/>
        <v xml:space="preserve"> </v>
      </c>
      <c r="BM22" s="26">
        <f t="shared" si="36"/>
        <v>0</v>
      </c>
      <c r="BO22" s="50">
        <f t="shared" si="37"/>
        <v>0</v>
      </c>
      <c r="BP22" s="50">
        <f t="shared" si="38"/>
        <v>0</v>
      </c>
    </row>
    <row r="23" spans="1:68">
      <c r="A23" s="16" t="s">
        <v>86</v>
      </c>
      <c r="B23" s="1" t="s">
        <v>66</v>
      </c>
      <c r="C23" s="24">
        <v>0</v>
      </c>
      <c r="D23" s="24" t="s">
        <v>433</v>
      </c>
      <c r="E23" s="24">
        <v>10</v>
      </c>
      <c r="F23" s="24">
        <v>0</v>
      </c>
      <c r="G23" s="24" t="s">
        <v>67</v>
      </c>
      <c r="H23" s="24">
        <v>0</v>
      </c>
      <c r="I23" s="24">
        <v>0</v>
      </c>
      <c r="J23" s="24">
        <v>0</v>
      </c>
      <c r="K23" s="24">
        <v>0</v>
      </c>
      <c r="L23" s="24">
        <v>0</v>
      </c>
      <c r="M23" s="24">
        <v>0</v>
      </c>
      <c r="N23" s="24">
        <v>0</v>
      </c>
      <c r="O23" s="24">
        <v>0</v>
      </c>
      <c r="P23" s="24">
        <v>0</v>
      </c>
      <c r="Q23" s="24">
        <v>0</v>
      </c>
      <c r="R23" s="24">
        <v>0</v>
      </c>
      <c r="S23" s="24">
        <v>0</v>
      </c>
      <c r="T23" s="28">
        <f t="shared" si="1"/>
        <v>0</v>
      </c>
      <c r="U23" s="28">
        <f t="shared" si="2"/>
        <v>0</v>
      </c>
      <c r="V23" s="29">
        <f>IF(O23&gt;0,((VLOOKUP(E23,ACs!G$4:P$53,7)*P23)+(VLOOKUP(E23,ACs!G$4:P$53,6)*(1-P23)))*O23*F23,0)</f>
        <v>0</v>
      </c>
      <c r="W23" s="29">
        <f>IF(E23&gt;0,VLOOKUP(E23,ACs!G$4:P$53,10)*Q23*F23,0)</f>
        <v>0</v>
      </c>
      <c r="X23" s="29">
        <f t="shared" si="3"/>
        <v>0</v>
      </c>
      <c r="Y23" s="29">
        <f t="shared" si="4"/>
        <v>0</v>
      </c>
      <c r="Z23" s="29">
        <f t="shared" si="5"/>
        <v>0</v>
      </c>
      <c r="AA23" s="29">
        <f t="shared" si="6"/>
        <v>0</v>
      </c>
      <c r="AB23" s="30" t="str">
        <f t="shared" si="7"/>
        <v xml:space="preserve"> </v>
      </c>
      <c r="AC23" s="30" t="str">
        <f t="shared" si="8"/>
        <v xml:space="preserve"> </v>
      </c>
      <c r="AD23" s="31" t="str">
        <f t="shared" si="9"/>
        <v xml:space="preserve"> </v>
      </c>
      <c r="AE23" s="29">
        <f t="shared" si="10"/>
        <v>0</v>
      </c>
      <c r="AF23" s="29">
        <f t="shared" si="11"/>
        <v>0</v>
      </c>
      <c r="AG23" s="29">
        <f t="shared" si="12"/>
        <v>0</v>
      </c>
      <c r="AH23" s="29">
        <f t="shared" si="13"/>
        <v>0</v>
      </c>
      <c r="AI23" s="29">
        <f t="shared" si="14"/>
        <v>0</v>
      </c>
      <c r="AJ23" s="30" t="str">
        <f t="shared" si="15"/>
        <v xml:space="preserve"> </v>
      </c>
      <c r="AK23" s="30" t="str">
        <f t="shared" si="16"/>
        <v xml:space="preserve"> </v>
      </c>
      <c r="AL23" s="30" t="str">
        <f t="shared" si="17"/>
        <v xml:space="preserve"> </v>
      </c>
      <c r="AM23" s="32" t="str">
        <f t="shared" si="18"/>
        <v xml:space="preserve"> </v>
      </c>
      <c r="AN23" s="32" t="str">
        <f t="shared" si="19"/>
        <v xml:space="preserve"> </v>
      </c>
      <c r="AO23" s="32" t="str">
        <f t="shared" si="20"/>
        <v xml:space="preserve"> </v>
      </c>
      <c r="AP23" s="32" t="str">
        <f t="shared" si="21"/>
        <v xml:space="preserve"> </v>
      </c>
      <c r="AQ23" s="33">
        <f t="shared" si="22"/>
        <v>0</v>
      </c>
      <c r="AR23" s="27">
        <v>0.87</v>
      </c>
      <c r="AS23" s="30" t="str">
        <f t="shared" si="39"/>
        <v xml:space="preserve"> </v>
      </c>
      <c r="AT23" s="33">
        <f t="shared" si="40"/>
        <v>0</v>
      </c>
      <c r="AU23" s="32">
        <v>1</v>
      </c>
      <c r="AV23" s="33">
        <f t="shared" si="23"/>
        <v>0</v>
      </c>
      <c r="AW23" s="33">
        <f t="shared" si="24"/>
        <v>0</v>
      </c>
      <c r="AX23" s="30" t="str">
        <f t="shared" si="0"/>
        <v xml:space="preserve"> </v>
      </c>
      <c r="AY23" s="29">
        <f t="shared" si="25"/>
        <v>0</v>
      </c>
      <c r="AZ23" s="29">
        <f t="shared" si="26"/>
        <v>0</v>
      </c>
      <c r="BA23" s="30" t="str">
        <f t="shared" si="41"/>
        <v xml:space="preserve"> </v>
      </c>
      <c r="BB23" s="34">
        <f t="shared" si="27"/>
        <v>0</v>
      </c>
      <c r="BC23" s="35">
        <f t="shared" si="28"/>
        <v>0</v>
      </c>
      <c r="BD23" s="27">
        <v>1</v>
      </c>
      <c r="BE23" s="36">
        <f t="shared" si="29"/>
        <v>0</v>
      </c>
      <c r="BF23" s="36">
        <f t="shared" si="30"/>
        <v>0</v>
      </c>
      <c r="BG23" s="30" t="str">
        <f t="shared" si="31"/>
        <v xml:space="preserve"> </v>
      </c>
      <c r="BH23" s="33">
        <f t="shared" si="32"/>
        <v>0</v>
      </c>
      <c r="BI23" s="27">
        <v>1</v>
      </c>
      <c r="BJ23" s="36">
        <f t="shared" si="33"/>
        <v>0</v>
      </c>
      <c r="BK23" s="37">
        <f t="shared" si="34"/>
        <v>0</v>
      </c>
      <c r="BL23" s="30" t="str">
        <f t="shared" si="35"/>
        <v xml:space="preserve"> </v>
      </c>
      <c r="BM23" s="26">
        <f t="shared" si="36"/>
        <v>0</v>
      </c>
      <c r="BO23" s="50">
        <f t="shared" si="37"/>
        <v>0</v>
      </c>
      <c r="BP23" s="50">
        <f t="shared" si="38"/>
        <v>0</v>
      </c>
    </row>
    <row r="24" spans="1:68">
      <c r="A24" s="16" t="s">
        <v>87</v>
      </c>
      <c r="B24" s="1" t="s">
        <v>66</v>
      </c>
      <c r="C24" s="24">
        <v>0</v>
      </c>
      <c r="D24" s="24" t="s">
        <v>433</v>
      </c>
      <c r="E24" s="24">
        <v>10</v>
      </c>
      <c r="F24" s="24">
        <v>0</v>
      </c>
      <c r="G24" s="24" t="s">
        <v>67</v>
      </c>
      <c r="H24" s="24">
        <v>0</v>
      </c>
      <c r="I24" s="24">
        <v>0</v>
      </c>
      <c r="J24" s="24">
        <v>0</v>
      </c>
      <c r="K24" s="24">
        <v>0</v>
      </c>
      <c r="L24" s="24">
        <v>0</v>
      </c>
      <c r="M24" s="24">
        <v>0</v>
      </c>
      <c r="N24" s="24">
        <v>0</v>
      </c>
      <c r="O24" s="24">
        <v>0</v>
      </c>
      <c r="P24" s="24">
        <v>0</v>
      </c>
      <c r="Q24" s="24">
        <v>0</v>
      </c>
      <c r="R24" s="24">
        <v>0</v>
      </c>
      <c r="S24" s="24">
        <v>0</v>
      </c>
      <c r="T24" s="28">
        <f t="shared" si="1"/>
        <v>0</v>
      </c>
      <c r="U24" s="28">
        <f t="shared" si="2"/>
        <v>0</v>
      </c>
      <c r="V24" s="29">
        <f>IF(O24&gt;0,((VLOOKUP(E24,ACs!G$4:P$53,7)*P24)+(VLOOKUP(E24,ACs!G$4:P$53,6)*(1-P24)))*O24*F24,0)</f>
        <v>0</v>
      </c>
      <c r="W24" s="29">
        <f>IF(E24&gt;0,VLOOKUP(E24,ACs!G$4:P$53,10)*Q24*F24,0)</f>
        <v>0</v>
      </c>
      <c r="X24" s="29">
        <f t="shared" si="3"/>
        <v>0</v>
      </c>
      <c r="Y24" s="29">
        <f t="shared" si="4"/>
        <v>0</v>
      </c>
      <c r="Z24" s="29">
        <f t="shared" si="5"/>
        <v>0</v>
      </c>
      <c r="AA24" s="29">
        <f t="shared" si="6"/>
        <v>0</v>
      </c>
      <c r="AB24" s="30" t="str">
        <f t="shared" si="7"/>
        <v xml:space="preserve"> </v>
      </c>
      <c r="AC24" s="30" t="str">
        <f t="shared" si="8"/>
        <v xml:space="preserve"> </v>
      </c>
      <c r="AD24" s="31" t="str">
        <f t="shared" si="9"/>
        <v xml:space="preserve"> </v>
      </c>
      <c r="AE24" s="29">
        <f t="shared" si="10"/>
        <v>0</v>
      </c>
      <c r="AF24" s="29">
        <f t="shared" si="11"/>
        <v>0</v>
      </c>
      <c r="AG24" s="29">
        <f t="shared" si="12"/>
        <v>0</v>
      </c>
      <c r="AH24" s="29">
        <f t="shared" si="13"/>
        <v>0</v>
      </c>
      <c r="AI24" s="29">
        <f t="shared" si="14"/>
        <v>0</v>
      </c>
      <c r="AJ24" s="30" t="str">
        <f t="shared" si="15"/>
        <v xml:space="preserve"> </v>
      </c>
      <c r="AK24" s="30" t="str">
        <f t="shared" si="16"/>
        <v xml:space="preserve"> </v>
      </c>
      <c r="AL24" s="30" t="str">
        <f t="shared" si="17"/>
        <v xml:space="preserve"> </v>
      </c>
      <c r="AM24" s="32" t="str">
        <f t="shared" si="18"/>
        <v xml:space="preserve"> </v>
      </c>
      <c r="AN24" s="32" t="str">
        <f t="shared" si="19"/>
        <v xml:space="preserve"> </v>
      </c>
      <c r="AO24" s="32" t="str">
        <f t="shared" si="20"/>
        <v xml:space="preserve"> </v>
      </c>
      <c r="AP24" s="32" t="str">
        <f t="shared" si="21"/>
        <v xml:space="preserve"> </v>
      </c>
      <c r="AQ24" s="33">
        <f t="shared" si="22"/>
        <v>0</v>
      </c>
      <c r="AR24" s="27">
        <v>0.87</v>
      </c>
      <c r="AS24" s="30" t="str">
        <f t="shared" si="39"/>
        <v xml:space="preserve"> </v>
      </c>
      <c r="AT24" s="33">
        <f t="shared" si="40"/>
        <v>0</v>
      </c>
      <c r="AU24" s="32">
        <v>1</v>
      </c>
      <c r="AV24" s="33">
        <f t="shared" si="23"/>
        <v>0</v>
      </c>
      <c r="AW24" s="33">
        <f t="shared" si="24"/>
        <v>0</v>
      </c>
      <c r="AX24" s="30" t="str">
        <f t="shared" si="0"/>
        <v xml:space="preserve"> </v>
      </c>
      <c r="AY24" s="29">
        <f t="shared" si="25"/>
        <v>0</v>
      </c>
      <c r="AZ24" s="29">
        <f t="shared" si="26"/>
        <v>0</v>
      </c>
      <c r="BA24" s="30" t="str">
        <f t="shared" si="41"/>
        <v xml:space="preserve"> </v>
      </c>
      <c r="BB24" s="34">
        <f t="shared" si="27"/>
        <v>0</v>
      </c>
      <c r="BC24" s="35">
        <f t="shared" si="28"/>
        <v>0</v>
      </c>
      <c r="BD24" s="27">
        <v>1</v>
      </c>
      <c r="BE24" s="36">
        <f t="shared" si="29"/>
        <v>0</v>
      </c>
      <c r="BF24" s="36">
        <f t="shared" si="30"/>
        <v>0</v>
      </c>
      <c r="BG24" s="30" t="str">
        <f t="shared" si="31"/>
        <v xml:space="preserve"> </v>
      </c>
      <c r="BH24" s="33">
        <f t="shared" si="32"/>
        <v>0</v>
      </c>
      <c r="BI24" s="27">
        <v>1</v>
      </c>
      <c r="BJ24" s="36">
        <f t="shared" si="33"/>
        <v>0</v>
      </c>
      <c r="BK24" s="37">
        <f t="shared" si="34"/>
        <v>0</v>
      </c>
      <c r="BL24" s="30" t="str">
        <f t="shared" si="35"/>
        <v xml:space="preserve"> </v>
      </c>
      <c r="BM24" s="26">
        <f t="shared" si="36"/>
        <v>0</v>
      </c>
      <c r="BO24" s="50">
        <f t="shared" si="37"/>
        <v>0</v>
      </c>
      <c r="BP24" s="50">
        <f t="shared" si="38"/>
        <v>0</v>
      </c>
    </row>
    <row r="25" spans="1:68">
      <c r="A25" s="16" t="s">
        <v>88</v>
      </c>
      <c r="B25" s="1" t="s">
        <v>66</v>
      </c>
      <c r="C25" s="24">
        <v>0</v>
      </c>
      <c r="D25" s="24" t="s">
        <v>433</v>
      </c>
      <c r="E25" s="24">
        <v>10</v>
      </c>
      <c r="F25" s="24">
        <v>0</v>
      </c>
      <c r="G25" s="24" t="s">
        <v>67</v>
      </c>
      <c r="H25" s="24">
        <v>0</v>
      </c>
      <c r="I25" s="24">
        <v>0</v>
      </c>
      <c r="J25" s="24">
        <v>0</v>
      </c>
      <c r="K25" s="24">
        <v>0</v>
      </c>
      <c r="L25" s="24">
        <v>0</v>
      </c>
      <c r="M25" s="24">
        <v>0</v>
      </c>
      <c r="N25" s="24">
        <v>0</v>
      </c>
      <c r="O25" s="24">
        <v>0</v>
      </c>
      <c r="P25" s="24">
        <v>0</v>
      </c>
      <c r="Q25" s="24">
        <v>0</v>
      </c>
      <c r="R25" s="24">
        <v>0</v>
      </c>
      <c r="S25" s="24">
        <v>0</v>
      </c>
      <c r="T25" s="28">
        <f t="shared" si="1"/>
        <v>0</v>
      </c>
      <c r="U25" s="28">
        <f t="shared" si="2"/>
        <v>0</v>
      </c>
      <c r="V25" s="29">
        <f>IF(O25&gt;0,((VLOOKUP(E25,ACs!G$4:P$53,7)*P25)+(VLOOKUP(E25,ACs!G$4:P$53,6)*(1-P25)))*O25*F25,0)</f>
        <v>0</v>
      </c>
      <c r="W25" s="29">
        <f>IF(E25&gt;0,VLOOKUP(E25,ACs!G$4:P$53,10)*Q25*F25,0)</f>
        <v>0</v>
      </c>
      <c r="X25" s="29">
        <f t="shared" si="3"/>
        <v>0</v>
      </c>
      <c r="Y25" s="29">
        <f t="shared" si="4"/>
        <v>0</v>
      </c>
      <c r="Z25" s="29">
        <f t="shared" si="5"/>
        <v>0</v>
      </c>
      <c r="AA25" s="29">
        <f t="shared" si="6"/>
        <v>0</v>
      </c>
      <c r="AB25" s="30" t="str">
        <f t="shared" si="7"/>
        <v xml:space="preserve"> </v>
      </c>
      <c r="AC25" s="30" t="str">
        <f t="shared" si="8"/>
        <v xml:space="preserve"> </v>
      </c>
      <c r="AD25" s="31" t="str">
        <f t="shared" si="9"/>
        <v xml:space="preserve"> </v>
      </c>
      <c r="AE25" s="29">
        <f t="shared" si="10"/>
        <v>0</v>
      </c>
      <c r="AF25" s="29">
        <f t="shared" si="11"/>
        <v>0</v>
      </c>
      <c r="AG25" s="29">
        <f t="shared" si="12"/>
        <v>0</v>
      </c>
      <c r="AH25" s="29">
        <f t="shared" si="13"/>
        <v>0</v>
      </c>
      <c r="AI25" s="29">
        <f t="shared" si="14"/>
        <v>0</v>
      </c>
      <c r="AJ25" s="30" t="str">
        <f t="shared" si="15"/>
        <v xml:space="preserve"> </v>
      </c>
      <c r="AK25" s="30" t="str">
        <f t="shared" si="16"/>
        <v xml:space="preserve"> </v>
      </c>
      <c r="AL25" s="30" t="str">
        <f t="shared" si="17"/>
        <v xml:space="preserve"> </v>
      </c>
      <c r="AM25" s="32" t="str">
        <f t="shared" si="18"/>
        <v xml:space="preserve"> </v>
      </c>
      <c r="AN25" s="32" t="str">
        <f t="shared" si="19"/>
        <v xml:space="preserve"> </v>
      </c>
      <c r="AO25" s="32" t="str">
        <f t="shared" si="20"/>
        <v xml:space="preserve"> </v>
      </c>
      <c r="AP25" s="32" t="str">
        <f t="shared" si="21"/>
        <v xml:space="preserve"> </v>
      </c>
      <c r="AQ25" s="33">
        <f t="shared" si="22"/>
        <v>0</v>
      </c>
      <c r="AR25" s="27">
        <v>0.87</v>
      </c>
      <c r="AS25" s="30" t="str">
        <f t="shared" si="39"/>
        <v xml:space="preserve"> </v>
      </c>
      <c r="AT25" s="33">
        <f t="shared" si="40"/>
        <v>0</v>
      </c>
      <c r="AU25" s="32">
        <v>1</v>
      </c>
      <c r="AV25" s="33">
        <f t="shared" si="23"/>
        <v>0</v>
      </c>
      <c r="AW25" s="33">
        <f t="shared" si="24"/>
        <v>0</v>
      </c>
      <c r="AX25" s="30" t="str">
        <f t="shared" si="0"/>
        <v xml:space="preserve"> </v>
      </c>
      <c r="AY25" s="29">
        <f t="shared" si="25"/>
        <v>0</v>
      </c>
      <c r="AZ25" s="29">
        <f t="shared" si="26"/>
        <v>0</v>
      </c>
      <c r="BA25" s="30" t="str">
        <f t="shared" si="41"/>
        <v xml:space="preserve"> </v>
      </c>
      <c r="BB25" s="34">
        <f t="shared" si="27"/>
        <v>0</v>
      </c>
      <c r="BC25" s="35">
        <f t="shared" si="28"/>
        <v>0</v>
      </c>
      <c r="BD25" s="27">
        <v>1</v>
      </c>
      <c r="BE25" s="36">
        <f t="shared" si="29"/>
        <v>0</v>
      </c>
      <c r="BF25" s="36">
        <f t="shared" si="30"/>
        <v>0</v>
      </c>
      <c r="BG25" s="30" t="str">
        <f t="shared" si="31"/>
        <v xml:space="preserve"> </v>
      </c>
      <c r="BH25" s="33">
        <f t="shared" si="32"/>
        <v>0</v>
      </c>
      <c r="BI25" s="27">
        <v>1</v>
      </c>
      <c r="BJ25" s="36">
        <f t="shared" si="33"/>
        <v>0</v>
      </c>
      <c r="BK25" s="37">
        <f t="shared" si="34"/>
        <v>0</v>
      </c>
      <c r="BL25" s="30" t="str">
        <f t="shared" si="35"/>
        <v xml:space="preserve"> </v>
      </c>
      <c r="BM25" s="26">
        <f t="shared" si="36"/>
        <v>0</v>
      </c>
      <c r="BO25" s="50">
        <f t="shared" si="37"/>
        <v>0</v>
      </c>
      <c r="BP25" s="50">
        <f t="shared" si="38"/>
        <v>0</v>
      </c>
    </row>
    <row r="26" spans="1:68">
      <c r="A26" s="16" t="s">
        <v>89</v>
      </c>
      <c r="B26" s="1" t="s">
        <v>66</v>
      </c>
      <c r="C26" s="24">
        <v>0</v>
      </c>
      <c r="D26" s="24" t="s">
        <v>433</v>
      </c>
      <c r="E26" s="24">
        <v>10</v>
      </c>
      <c r="F26" s="24">
        <v>0</v>
      </c>
      <c r="G26" s="24" t="s">
        <v>67</v>
      </c>
      <c r="H26" s="24">
        <v>0</v>
      </c>
      <c r="I26" s="24">
        <v>0</v>
      </c>
      <c r="J26" s="24">
        <v>0</v>
      </c>
      <c r="K26" s="24">
        <v>0</v>
      </c>
      <c r="L26" s="24">
        <v>0</v>
      </c>
      <c r="M26" s="24">
        <v>0</v>
      </c>
      <c r="N26" s="24">
        <v>0</v>
      </c>
      <c r="O26" s="24">
        <v>0</v>
      </c>
      <c r="P26" s="24">
        <v>0</v>
      </c>
      <c r="Q26" s="24">
        <v>0</v>
      </c>
      <c r="R26" s="24">
        <v>0</v>
      </c>
      <c r="S26" s="24">
        <v>0</v>
      </c>
      <c r="T26" s="28">
        <f t="shared" si="1"/>
        <v>0</v>
      </c>
      <c r="U26" s="28">
        <f t="shared" si="2"/>
        <v>0</v>
      </c>
      <c r="V26" s="29">
        <f>IF(O26&gt;0,((VLOOKUP(E26,ACs!G$4:P$53,7)*P26)+(VLOOKUP(E26,ACs!G$4:P$53,6)*(1-P26)))*O26*F26,0)</f>
        <v>0</v>
      </c>
      <c r="W26" s="29">
        <f>IF(E26&gt;0,VLOOKUP(E26,ACs!G$4:P$53,10)*Q26*F26,0)</f>
        <v>0</v>
      </c>
      <c r="X26" s="29">
        <f t="shared" si="3"/>
        <v>0</v>
      </c>
      <c r="Y26" s="29">
        <f t="shared" si="4"/>
        <v>0</v>
      </c>
      <c r="Z26" s="29">
        <f t="shared" si="5"/>
        <v>0</v>
      </c>
      <c r="AA26" s="29">
        <f t="shared" si="6"/>
        <v>0</v>
      </c>
      <c r="AB26" s="30" t="str">
        <f t="shared" si="7"/>
        <v xml:space="preserve"> </v>
      </c>
      <c r="AC26" s="30" t="str">
        <f t="shared" si="8"/>
        <v xml:space="preserve"> </v>
      </c>
      <c r="AD26" s="31" t="str">
        <f t="shared" si="9"/>
        <v xml:space="preserve"> </v>
      </c>
      <c r="AE26" s="29">
        <f t="shared" si="10"/>
        <v>0</v>
      </c>
      <c r="AF26" s="29">
        <f t="shared" si="11"/>
        <v>0</v>
      </c>
      <c r="AG26" s="29">
        <f t="shared" si="12"/>
        <v>0</v>
      </c>
      <c r="AH26" s="29">
        <f t="shared" si="13"/>
        <v>0</v>
      </c>
      <c r="AI26" s="29">
        <f t="shared" si="14"/>
        <v>0</v>
      </c>
      <c r="AJ26" s="30" t="str">
        <f t="shared" si="15"/>
        <v xml:space="preserve"> </v>
      </c>
      <c r="AK26" s="30" t="str">
        <f t="shared" si="16"/>
        <v xml:space="preserve"> </v>
      </c>
      <c r="AL26" s="30" t="str">
        <f t="shared" si="17"/>
        <v xml:space="preserve"> </v>
      </c>
      <c r="AM26" s="32" t="str">
        <f t="shared" si="18"/>
        <v xml:space="preserve"> </v>
      </c>
      <c r="AN26" s="32" t="str">
        <f t="shared" si="19"/>
        <v xml:space="preserve"> </v>
      </c>
      <c r="AO26" s="32" t="str">
        <f t="shared" si="20"/>
        <v xml:space="preserve"> </v>
      </c>
      <c r="AP26" s="32" t="str">
        <f t="shared" si="21"/>
        <v xml:space="preserve"> </v>
      </c>
      <c r="AQ26" s="33">
        <f t="shared" si="22"/>
        <v>0</v>
      </c>
      <c r="AR26" s="27">
        <v>0.87</v>
      </c>
      <c r="AS26" s="30" t="str">
        <f t="shared" si="39"/>
        <v xml:space="preserve"> </v>
      </c>
      <c r="AT26" s="33">
        <f t="shared" si="40"/>
        <v>0</v>
      </c>
      <c r="AU26" s="32">
        <v>1</v>
      </c>
      <c r="AV26" s="33">
        <f t="shared" si="23"/>
        <v>0</v>
      </c>
      <c r="AW26" s="33">
        <f t="shared" si="24"/>
        <v>0</v>
      </c>
      <c r="AX26" s="30" t="str">
        <f t="shared" si="0"/>
        <v xml:space="preserve"> </v>
      </c>
      <c r="AY26" s="29">
        <f t="shared" si="25"/>
        <v>0</v>
      </c>
      <c r="AZ26" s="29">
        <f t="shared" si="26"/>
        <v>0</v>
      </c>
      <c r="BA26" s="30" t="str">
        <f t="shared" si="41"/>
        <v xml:space="preserve"> </v>
      </c>
      <c r="BB26" s="34">
        <f t="shared" si="27"/>
        <v>0</v>
      </c>
      <c r="BC26" s="35">
        <f t="shared" si="28"/>
        <v>0</v>
      </c>
      <c r="BD26" s="27">
        <v>1</v>
      </c>
      <c r="BE26" s="36">
        <f t="shared" si="29"/>
        <v>0</v>
      </c>
      <c r="BF26" s="36">
        <f t="shared" si="30"/>
        <v>0</v>
      </c>
      <c r="BG26" s="30" t="str">
        <f t="shared" si="31"/>
        <v xml:space="preserve"> </v>
      </c>
      <c r="BH26" s="33">
        <f t="shared" si="32"/>
        <v>0</v>
      </c>
      <c r="BI26" s="27">
        <v>1</v>
      </c>
      <c r="BJ26" s="36">
        <f t="shared" si="33"/>
        <v>0</v>
      </c>
      <c r="BK26" s="37">
        <f t="shared" si="34"/>
        <v>0</v>
      </c>
      <c r="BL26" s="30" t="str">
        <f t="shared" si="35"/>
        <v xml:space="preserve"> </v>
      </c>
      <c r="BM26" s="26">
        <f t="shared" si="36"/>
        <v>0</v>
      </c>
      <c r="BO26" s="50">
        <f t="shared" si="37"/>
        <v>0</v>
      </c>
      <c r="BP26" s="50">
        <f t="shared" si="38"/>
        <v>0</v>
      </c>
    </row>
    <row r="27" spans="1:68">
      <c r="A27" s="23" t="s">
        <v>90</v>
      </c>
      <c r="B27" s="1" t="s">
        <v>66</v>
      </c>
      <c r="C27" s="24">
        <v>7</v>
      </c>
      <c r="D27" s="24" t="s">
        <v>432</v>
      </c>
      <c r="E27" s="24">
        <v>10</v>
      </c>
      <c r="F27" s="24">
        <v>7</v>
      </c>
      <c r="G27" s="24" t="s">
        <v>434</v>
      </c>
      <c r="H27" s="24">
        <v>1297.5951903807613</v>
      </c>
      <c r="I27" s="24">
        <v>0</v>
      </c>
      <c r="J27" s="24">
        <v>0</v>
      </c>
      <c r="K27" s="24">
        <v>0</v>
      </c>
      <c r="L27" s="24">
        <v>0</v>
      </c>
      <c r="M27" s="24">
        <v>0</v>
      </c>
      <c r="N27" s="24">
        <v>0</v>
      </c>
      <c r="O27" s="24">
        <v>292.68</v>
      </c>
      <c r="P27" s="24">
        <v>0</v>
      </c>
      <c r="Q27" s="24">
        <v>0</v>
      </c>
      <c r="R27" s="24">
        <v>650</v>
      </c>
      <c r="S27" s="24">
        <v>0</v>
      </c>
      <c r="T27" s="28">
        <f t="shared" si="1"/>
        <v>1</v>
      </c>
      <c r="U27" s="28">
        <f t="shared" si="2"/>
        <v>1</v>
      </c>
      <c r="V27" s="29">
        <f>IF(O27&gt;0,((VLOOKUP(E27,ACs!G$4:P$53,7)*P27)+(VLOOKUP(E27,ACs!G$4:P$53,6)*(1-P27)))*O27*F27,0)</f>
        <v>6395.9633150209456</v>
      </c>
      <c r="W27" s="29">
        <f>IF(E27&gt;0,VLOOKUP(E27,ACs!G$4:P$53,10)*Q27*F27,0)</f>
        <v>0</v>
      </c>
      <c r="X27" s="29">
        <f t="shared" si="3"/>
        <v>0</v>
      </c>
      <c r="Y27" s="29">
        <f t="shared" si="4"/>
        <v>9083.1663326653288</v>
      </c>
      <c r="Z27" s="29">
        <f t="shared" si="5"/>
        <v>0</v>
      </c>
      <c r="AA27" s="29">
        <f t="shared" si="6"/>
        <v>4550</v>
      </c>
      <c r="AB27" s="30">
        <f t="shared" si="7"/>
        <v>0.70415569645790455</v>
      </c>
      <c r="AC27" s="30">
        <f t="shared" si="8"/>
        <v>0.70415569645790455</v>
      </c>
      <c r="AD27" s="31">
        <f t="shared" si="9"/>
        <v>1.4057062230815265</v>
      </c>
      <c r="AE27" s="29">
        <f t="shared" si="10"/>
        <v>6395.9633150209456</v>
      </c>
      <c r="AF27" s="29">
        <f t="shared" si="11"/>
        <v>0</v>
      </c>
      <c r="AG27" s="29">
        <f t="shared" si="12"/>
        <v>9083.1663326653288</v>
      </c>
      <c r="AH27" s="29">
        <f t="shared" si="13"/>
        <v>0</v>
      </c>
      <c r="AI27" s="29">
        <f t="shared" si="14"/>
        <v>4550</v>
      </c>
      <c r="AJ27" s="30">
        <f t="shared" si="15"/>
        <v>0.70415569645790455</v>
      </c>
      <c r="AK27" s="30">
        <f t="shared" si="16"/>
        <v>0.70415569645790455</v>
      </c>
      <c r="AL27" s="30">
        <f t="shared" si="17"/>
        <v>1.4057062230815265</v>
      </c>
      <c r="AM27" s="32">
        <f t="shared" si="18"/>
        <v>1</v>
      </c>
      <c r="AN27" s="32">
        <f t="shared" si="19"/>
        <v>1</v>
      </c>
      <c r="AO27" s="32">
        <f t="shared" si="20"/>
        <v>0.71138619405685244</v>
      </c>
      <c r="AP27" s="32">
        <f t="shared" si="21"/>
        <v>0.71138619405685244</v>
      </c>
      <c r="AQ27" s="33">
        <f t="shared" si="22"/>
        <v>2048.7600000000002</v>
      </c>
      <c r="AR27" s="27">
        <v>0.87</v>
      </c>
      <c r="AS27" s="30">
        <f t="shared" si="39"/>
        <v>0.70415569645790455</v>
      </c>
      <c r="AT27" s="33">
        <f t="shared" si="40"/>
        <v>1782.4212000000002</v>
      </c>
      <c r="AU27" s="32">
        <v>1</v>
      </c>
      <c r="AV27" s="33">
        <f t="shared" si="23"/>
        <v>6395.9633150209456</v>
      </c>
      <c r="AW27" s="33">
        <f t="shared" si="24"/>
        <v>9083.1663326653288</v>
      </c>
      <c r="AX27" s="30">
        <f t="shared" si="0"/>
        <v>0.70415569645790455</v>
      </c>
      <c r="AY27" s="29">
        <f t="shared" si="25"/>
        <v>5564.4880840682226</v>
      </c>
      <c r="AZ27" s="29">
        <f t="shared" si="26"/>
        <v>7902.3547094188361</v>
      </c>
      <c r="BA27" s="30">
        <f t="shared" si="41"/>
        <v>0.70415569645790455</v>
      </c>
      <c r="BB27" s="34">
        <f t="shared" si="27"/>
        <v>1</v>
      </c>
      <c r="BC27" s="35">
        <f t="shared" si="28"/>
        <v>1</v>
      </c>
      <c r="BD27" s="27">
        <f>11/12</f>
        <v>0.91666666666666663</v>
      </c>
      <c r="BE27" s="36">
        <f t="shared" si="29"/>
        <v>0</v>
      </c>
      <c r="BF27" s="36">
        <f t="shared" si="30"/>
        <v>8326.2358049432169</v>
      </c>
      <c r="BG27" s="30">
        <f t="shared" si="31"/>
        <v>0</v>
      </c>
      <c r="BH27" s="33">
        <f t="shared" si="32"/>
        <v>1878.0300000000002</v>
      </c>
      <c r="BI27" s="27">
        <v>0</v>
      </c>
      <c r="BJ27" s="36">
        <f t="shared" si="33"/>
        <v>0</v>
      </c>
      <c r="BK27" s="37">
        <f t="shared" si="34"/>
        <v>0</v>
      </c>
      <c r="BL27" s="30" t="str">
        <f t="shared" si="35"/>
        <v xml:space="preserve"> </v>
      </c>
      <c r="BM27" s="26">
        <f t="shared" si="36"/>
        <v>0</v>
      </c>
      <c r="BO27" s="50">
        <f t="shared" si="37"/>
        <v>0</v>
      </c>
      <c r="BP27" s="50">
        <f t="shared" si="38"/>
        <v>0</v>
      </c>
    </row>
    <row r="28" spans="1:68">
      <c r="A28" s="16" t="s">
        <v>91</v>
      </c>
      <c r="B28" s="1" t="s">
        <v>66</v>
      </c>
      <c r="C28" s="24">
        <v>0</v>
      </c>
      <c r="D28" s="24" t="s">
        <v>433</v>
      </c>
      <c r="E28" s="24">
        <v>10</v>
      </c>
      <c r="F28" s="24">
        <v>0</v>
      </c>
      <c r="G28" s="24" t="s">
        <v>67</v>
      </c>
      <c r="H28" s="24">
        <v>0</v>
      </c>
      <c r="I28" s="24">
        <v>0</v>
      </c>
      <c r="J28" s="24">
        <v>0</v>
      </c>
      <c r="K28" s="24">
        <v>0</v>
      </c>
      <c r="L28" s="24">
        <v>0</v>
      </c>
      <c r="M28" s="24">
        <v>0</v>
      </c>
      <c r="N28" s="24">
        <v>0</v>
      </c>
      <c r="O28" s="24">
        <v>0</v>
      </c>
      <c r="P28" s="24">
        <v>0</v>
      </c>
      <c r="Q28" s="24">
        <v>0</v>
      </c>
      <c r="R28" s="24">
        <v>0</v>
      </c>
      <c r="S28" s="24">
        <v>0</v>
      </c>
      <c r="T28" s="28">
        <f t="shared" si="1"/>
        <v>0</v>
      </c>
      <c r="U28" s="28">
        <f t="shared" si="2"/>
        <v>0</v>
      </c>
      <c r="V28" s="29">
        <f>IF(O28&gt;0,((VLOOKUP(E28,ACs!G$4:P$53,7)*P28)+(VLOOKUP(E28,ACs!G$4:P$53,6)*(1-P28)))*O28*F28,0)</f>
        <v>0</v>
      </c>
      <c r="W28" s="29">
        <f>IF(E28&gt;0,VLOOKUP(E28,ACs!G$4:P$53,10)*Q28*F28,0)</f>
        <v>0</v>
      </c>
      <c r="X28" s="29">
        <f t="shared" si="3"/>
        <v>0</v>
      </c>
      <c r="Y28" s="29">
        <f t="shared" si="4"/>
        <v>0</v>
      </c>
      <c r="Z28" s="29">
        <f t="shared" si="5"/>
        <v>0</v>
      </c>
      <c r="AA28" s="29">
        <f t="shared" si="6"/>
        <v>0</v>
      </c>
      <c r="AB28" s="30" t="str">
        <f t="shared" si="7"/>
        <v xml:space="preserve"> </v>
      </c>
      <c r="AC28" s="30" t="str">
        <f t="shared" si="8"/>
        <v xml:space="preserve"> </v>
      </c>
      <c r="AD28" s="31" t="str">
        <f t="shared" si="9"/>
        <v xml:space="preserve"> </v>
      </c>
      <c r="AE28" s="29">
        <f t="shared" si="10"/>
        <v>0</v>
      </c>
      <c r="AF28" s="29">
        <f t="shared" si="11"/>
        <v>0</v>
      </c>
      <c r="AG28" s="29">
        <f t="shared" si="12"/>
        <v>0</v>
      </c>
      <c r="AH28" s="29">
        <f t="shared" si="13"/>
        <v>0</v>
      </c>
      <c r="AI28" s="29">
        <f t="shared" si="14"/>
        <v>0</v>
      </c>
      <c r="AJ28" s="30" t="str">
        <f t="shared" si="15"/>
        <v xml:space="preserve"> </v>
      </c>
      <c r="AK28" s="30" t="str">
        <f t="shared" si="16"/>
        <v xml:space="preserve"> </v>
      </c>
      <c r="AL28" s="30" t="str">
        <f t="shared" si="17"/>
        <v xml:space="preserve"> </v>
      </c>
      <c r="AM28" s="32" t="str">
        <f t="shared" si="18"/>
        <v xml:space="preserve"> </v>
      </c>
      <c r="AN28" s="32" t="str">
        <f t="shared" si="19"/>
        <v xml:space="preserve"> </v>
      </c>
      <c r="AO28" s="32" t="str">
        <f t="shared" si="20"/>
        <v xml:space="preserve"> </v>
      </c>
      <c r="AP28" s="32" t="str">
        <f t="shared" si="21"/>
        <v xml:space="preserve"> </v>
      </c>
      <c r="AQ28" s="33">
        <f t="shared" si="22"/>
        <v>0</v>
      </c>
      <c r="AR28" s="27">
        <v>0.87</v>
      </c>
      <c r="AS28" s="30" t="str">
        <f t="shared" si="39"/>
        <v xml:space="preserve"> </v>
      </c>
      <c r="AT28" s="33">
        <f t="shared" si="40"/>
        <v>0</v>
      </c>
      <c r="AU28" s="32">
        <v>1</v>
      </c>
      <c r="AV28" s="33">
        <f t="shared" si="23"/>
        <v>0</v>
      </c>
      <c r="AW28" s="33">
        <f t="shared" si="24"/>
        <v>0</v>
      </c>
      <c r="AX28" s="30" t="str">
        <f t="shared" si="0"/>
        <v xml:space="preserve"> </v>
      </c>
      <c r="AY28" s="29">
        <f t="shared" si="25"/>
        <v>0</v>
      </c>
      <c r="AZ28" s="29">
        <f t="shared" si="26"/>
        <v>0</v>
      </c>
      <c r="BA28" s="30" t="str">
        <f t="shared" si="41"/>
        <v xml:space="preserve"> </v>
      </c>
      <c r="BB28" s="34">
        <f t="shared" si="27"/>
        <v>0</v>
      </c>
      <c r="BC28" s="35">
        <f t="shared" si="28"/>
        <v>0</v>
      </c>
      <c r="BD28" s="27">
        <v>1</v>
      </c>
      <c r="BE28" s="36">
        <f t="shared" si="29"/>
        <v>0</v>
      </c>
      <c r="BF28" s="36">
        <f t="shared" si="30"/>
        <v>0</v>
      </c>
      <c r="BG28" s="30" t="str">
        <f t="shared" si="31"/>
        <v xml:space="preserve"> </v>
      </c>
      <c r="BH28" s="33">
        <f t="shared" si="32"/>
        <v>0</v>
      </c>
      <c r="BI28" s="27">
        <v>1</v>
      </c>
      <c r="BJ28" s="36">
        <f t="shared" si="33"/>
        <v>0</v>
      </c>
      <c r="BK28" s="37">
        <f t="shared" si="34"/>
        <v>0</v>
      </c>
      <c r="BL28" s="30" t="str">
        <f t="shared" si="35"/>
        <v xml:space="preserve"> </v>
      </c>
      <c r="BM28" s="26">
        <f t="shared" si="36"/>
        <v>0</v>
      </c>
      <c r="BO28" s="50">
        <f t="shared" si="37"/>
        <v>0</v>
      </c>
      <c r="BP28" s="50">
        <f t="shared" si="38"/>
        <v>0</v>
      </c>
    </row>
    <row r="29" spans="1:68">
      <c r="A29" s="16" t="s">
        <v>92</v>
      </c>
      <c r="B29" s="1" t="s">
        <v>66</v>
      </c>
      <c r="C29" s="24">
        <v>0</v>
      </c>
      <c r="D29" s="24" t="s">
        <v>433</v>
      </c>
      <c r="E29" s="24">
        <v>10</v>
      </c>
      <c r="F29" s="24">
        <v>0</v>
      </c>
      <c r="G29" s="24" t="s">
        <v>67</v>
      </c>
      <c r="H29" s="24">
        <v>0</v>
      </c>
      <c r="I29" s="24">
        <v>0</v>
      </c>
      <c r="J29" s="24">
        <v>0</v>
      </c>
      <c r="K29" s="24">
        <v>0</v>
      </c>
      <c r="L29" s="24">
        <v>0</v>
      </c>
      <c r="M29" s="24">
        <v>0</v>
      </c>
      <c r="N29" s="24">
        <v>0</v>
      </c>
      <c r="O29" s="24">
        <v>0</v>
      </c>
      <c r="P29" s="24">
        <v>0</v>
      </c>
      <c r="Q29" s="24">
        <v>0</v>
      </c>
      <c r="R29" s="24">
        <v>0</v>
      </c>
      <c r="S29" s="24">
        <v>0</v>
      </c>
      <c r="T29" s="28">
        <f t="shared" si="1"/>
        <v>0</v>
      </c>
      <c r="U29" s="28">
        <f t="shared" si="2"/>
        <v>0</v>
      </c>
      <c r="V29" s="29">
        <f>IF(O29&gt;0,((VLOOKUP(E29,ACs!G$4:P$53,7)*P29)+(VLOOKUP(E29,ACs!G$4:P$53,6)*(1-P29)))*O29*F29,0)</f>
        <v>0</v>
      </c>
      <c r="W29" s="29">
        <f>IF(E29&gt;0,VLOOKUP(E29,ACs!G$4:P$53,10)*Q29*F29,0)</f>
        <v>0</v>
      </c>
      <c r="X29" s="29">
        <f t="shared" si="3"/>
        <v>0</v>
      </c>
      <c r="Y29" s="29">
        <f t="shared" si="4"/>
        <v>0</v>
      </c>
      <c r="Z29" s="29">
        <f t="shared" si="5"/>
        <v>0</v>
      </c>
      <c r="AA29" s="29">
        <f t="shared" si="6"/>
        <v>0</v>
      </c>
      <c r="AB29" s="30" t="str">
        <f t="shared" si="7"/>
        <v xml:space="preserve"> </v>
      </c>
      <c r="AC29" s="30" t="str">
        <f t="shared" si="8"/>
        <v xml:space="preserve"> </v>
      </c>
      <c r="AD29" s="31" t="str">
        <f t="shared" si="9"/>
        <v xml:space="preserve"> </v>
      </c>
      <c r="AE29" s="29">
        <f t="shared" si="10"/>
        <v>0</v>
      </c>
      <c r="AF29" s="29">
        <f t="shared" si="11"/>
        <v>0</v>
      </c>
      <c r="AG29" s="29">
        <f t="shared" si="12"/>
        <v>0</v>
      </c>
      <c r="AH29" s="29">
        <f t="shared" si="13"/>
        <v>0</v>
      </c>
      <c r="AI29" s="29">
        <f t="shared" si="14"/>
        <v>0</v>
      </c>
      <c r="AJ29" s="30" t="str">
        <f t="shared" si="15"/>
        <v xml:space="preserve"> </v>
      </c>
      <c r="AK29" s="30" t="str">
        <f t="shared" si="16"/>
        <v xml:space="preserve"> </v>
      </c>
      <c r="AL29" s="30" t="str">
        <f t="shared" si="17"/>
        <v xml:space="preserve"> </v>
      </c>
      <c r="AM29" s="32" t="str">
        <f t="shared" si="18"/>
        <v xml:space="preserve"> </v>
      </c>
      <c r="AN29" s="32" t="str">
        <f t="shared" si="19"/>
        <v xml:space="preserve"> </v>
      </c>
      <c r="AO29" s="32" t="str">
        <f t="shared" si="20"/>
        <v xml:space="preserve"> </v>
      </c>
      <c r="AP29" s="32" t="str">
        <f t="shared" si="21"/>
        <v xml:space="preserve"> </v>
      </c>
      <c r="AQ29" s="33">
        <f t="shared" si="22"/>
        <v>0</v>
      </c>
      <c r="AR29" s="27">
        <v>0.87</v>
      </c>
      <c r="AS29" s="30" t="str">
        <f t="shared" si="39"/>
        <v xml:space="preserve"> </v>
      </c>
      <c r="AT29" s="33">
        <f t="shared" si="40"/>
        <v>0</v>
      </c>
      <c r="AU29" s="32">
        <v>1</v>
      </c>
      <c r="AV29" s="33">
        <f t="shared" si="23"/>
        <v>0</v>
      </c>
      <c r="AW29" s="33">
        <f t="shared" si="24"/>
        <v>0</v>
      </c>
      <c r="AX29" s="30" t="str">
        <f t="shared" si="0"/>
        <v xml:space="preserve"> </v>
      </c>
      <c r="AY29" s="29">
        <f t="shared" si="25"/>
        <v>0</v>
      </c>
      <c r="AZ29" s="29">
        <f t="shared" si="26"/>
        <v>0</v>
      </c>
      <c r="BA29" s="30" t="str">
        <f t="shared" si="41"/>
        <v xml:space="preserve"> </v>
      </c>
      <c r="BB29" s="34">
        <f t="shared" si="27"/>
        <v>0</v>
      </c>
      <c r="BC29" s="35">
        <f t="shared" si="28"/>
        <v>0</v>
      </c>
      <c r="BD29" s="27">
        <v>1</v>
      </c>
      <c r="BE29" s="36">
        <f t="shared" si="29"/>
        <v>0</v>
      </c>
      <c r="BF29" s="36">
        <f t="shared" si="30"/>
        <v>0</v>
      </c>
      <c r="BG29" s="30" t="str">
        <f t="shared" si="31"/>
        <v xml:space="preserve"> </v>
      </c>
      <c r="BH29" s="33">
        <f t="shared" si="32"/>
        <v>0</v>
      </c>
      <c r="BI29" s="27">
        <v>1</v>
      </c>
      <c r="BJ29" s="36">
        <f t="shared" si="33"/>
        <v>0</v>
      </c>
      <c r="BK29" s="37">
        <f t="shared" si="34"/>
        <v>0</v>
      </c>
      <c r="BL29" s="30" t="str">
        <f t="shared" si="35"/>
        <v xml:space="preserve"> </v>
      </c>
      <c r="BM29" s="26">
        <f t="shared" si="36"/>
        <v>0</v>
      </c>
      <c r="BO29" s="50">
        <f t="shared" si="37"/>
        <v>0</v>
      </c>
      <c r="BP29" s="50">
        <f t="shared" si="38"/>
        <v>0</v>
      </c>
    </row>
    <row r="30" spans="1:68">
      <c r="A30" s="23" t="s">
        <v>93</v>
      </c>
      <c r="B30" s="1" t="s">
        <v>66</v>
      </c>
      <c r="C30" s="24">
        <v>7</v>
      </c>
      <c r="D30" s="24" t="s">
        <v>432</v>
      </c>
      <c r="E30" s="24">
        <v>10</v>
      </c>
      <c r="F30" s="24">
        <v>7</v>
      </c>
      <c r="G30" s="24" t="s">
        <v>434</v>
      </c>
      <c r="H30" s="24">
        <v>3000</v>
      </c>
      <c r="I30" s="24">
        <v>0</v>
      </c>
      <c r="J30" s="24">
        <v>0</v>
      </c>
      <c r="K30" s="24">
        <v>0</v>
      </c>
      <c r="L30" s="24">
        <v>0</v>
      </c>
      <c r="M30" s="24">
        <v>0</v>
      </c>
      <c r="N30" s="24">
        <v>0</v>
      </c>
      <c r="O30" s="24">
        <v>500</v>
      </c>
      <c r="P30" s="24">
        <v>0</v>
      </c>
      <c r="Q30" s="24">
        <v>0</v>
      </c>
      <c r="R30" s="24">
        <v>650</v>
      </c>
      <c r="S30" s="24">
        <v>0</v>
      </c>
      <c r="T30" s="28">
        <f t="shared" si="1"/>
        <v>1</v>
      </c>
      <c r="U30" s="28">
        <f t="shared" si="2"/>
        <v>1</v>
      </c>
      <c r="V30" s="29">
        <f>IF(O30&gt;0,((VLOOKUP(E30,ACs!G$4:P$53,7)*P30)+(VLOOKUP(E30,ACs!G$4:P$53,6)*(1-P30)))*O30*F30,0)</f>
        <v>10926.546595293401</v>
      </c>
      <c r="W30" s="29">
        <f>IF(E30&gt;0,VLOOKUP(E30,ACs!G$4:P$53,10)*Q30*F30,0)</f>
        <v>0</v>
      </c>
      <c r="X30" s="29">
        <f t="shared" si="3"/>
        <v>0</v>
      </c>
      <c r="Y30" s="29">
        <f t="shared" si="4"/>
        <v>21000</v>
      </c>
      <c r="Z30" s="29">
        <f t="shared" si="5"/>
        <v>0</v>
      </c>
      <c r="AA30" s="29">
        <f t="shared" si="6"/>
        <v>4550</v>
      </c>
      <c r="AB30" s="30">
        <f t="shared" si="7"/>
        <v>0.52031174263301905</v>
      </c>
      <c r="AC30" s="30">
        <f t="shared" si="8"/>
        <v>0.52031174263301905</v>
      </c>
      <c r="AD30" s="31">
        <f t="shared" si="9"/>
        <v>2.4014388121523957</v>
      </c>
      <c r="AE30" s="29">
        <f t="shared" si="10"/>
        <v>10926.546595293401</v>
      </c>
      <c r="AF30" s="29">
        <f t="shared" si="11"/>
        <v>0</v>
      </c>
      <c r="AG30" s="29">
        <f t="shared" si="12"/>
        <v>21000</v>
      </c>
      <c r="AH30" s="29">
        <f t="shared" si="13"/>
        <v>0</v>
      </c>
      <c r="AI30" s="29">
        <f t="shared" si="14"/>
        <v>4550</v>
      </c>
      <c r="AJ30" s="30">
        <f t="shared" si="15"/>
        <v>0.52031174263301905</v>
      </c>
      <c r="AK30" s="30">
        <f t="shared" si="16"/>
        <v>0.52031174263301905</v>
      </c>
      <c r="AL30" s="30">
        <f t="shared" si="17"/>
        <v>2.4014388121523957</v>
      </c>
      <c r="AM30" s="32">
        <f t="shared" si="18"/>
        <v>1</v>
      </c>
      <c r="AN30" s="32">
        <f t="shared" si="19"/>
        <v>1</v>
      </c>
      <c r="AO30" s="32">
        <f t="shared" si="20"/>
        <v>0.41641702255311919</v>
      </c>
      <c r="AP30" s="32">
        <f t="shared" si="21"/>
        <v>0.41641702255311919</v>
      </c>
      <c r="AQ30" s="33">
        <f t="shared" si="22"/>
        <v>3500</v>
      </c>
      <c r="AR30" s="27">
        <v>0.87</v>
      </c>
      <c r="AS30" s="30">
        <f t="shared" si="39"/>
        <v>0.52031174263301916</v>
      </c>
      <c r="AT30" s="33">
        <f t="shared" si="40"/>
        <v>3045</v>
      </c>
      <c r="AU30" s="32">
        <v>1</v>
      </c>
      <c r="AV30" s="33">
        <f t="shared" si="23"/>
        <v>10926.546595293401</v>
      </c>
      <c r="AW30" s="33">
        <f t="shared" si="24"/>
        <v>21000</v>
      </c>
      <c r="AX30" s="30">
        <f t="shared" si="0"/>
        <v>0.52031174263301905</v>
      </c>
      <c r="AY30" s="29">
        <f t="shared" si="25"/>
        <v>9506.0955379052593</v>
      </c>
      <c r="AZ30" s="29">
        <f t="shared" si="26"/>
        <v>18270</v>
      </c>
      <c r="BA30" s="30">
        <f t="shared" si="41"/>
        <v>0.52031174263301916</v>
      </c>
      <c r="BB30" s="34">
        <f t="shared" si="27"/>
        <v>1</v>
      </c>
      <c r="BC30" s="35">
        <f t="shared" si="28"/>
        <v>1</v>
      </c>
      <c r="BD30" s="27">
        <f>11/12</f>
        <v>0.91666666666666663</v>
      </c>
      <c r="BE30" s="36">
        <f t="shared" si="29"/>
        <v>0</v>
      </c>
      <c r="BF30" s="36">
        <f t="shared" si="30"/>
        <v>19250</v>
      </c>
      <c r="BG30" s="30">
        <f t="shared" si="31"/>
        <v>0</v>
      </c>
      <c r="BH30" s="33">
        <f t="shared" si="32"/>
        <v>3208.333333333333</v>
      </c>
      <c r="BI30" s="27">
        <v>0</v>
      </c>
      <c r="BJ30" s="36">
        <f t="shared" si="33"/>
        <v>0</v>
      </c>
      <c r="BK30" s="37">
        <f t="shared" si="34"/>
        <v>0</v>
      </c>
      <c r="BL30" s="30" t="str">
        <f t="shared" si="35"/>
        <v xml:space="preserve"> </v>
      </c>
      <c r="BM30" s="26">
        <f t="shared" si="36"/>
        <v>0</v>
      </c>
      <c r="BO30" s="50">
        <f t="shared" si="37"/>
        <v>0</v>
      </c>
      <c r="BP30" s="50">
        <f t="shared" si="38"/>
        <v>0</v>
      </c>
    </row>
    <row r="31" spans="1:68">
      <c r="A31" s="16" t="s">
        <v>94</v>
      </c>
      <c r="B31" s="1" t="s">
        <v>66</v>
      </c>
      <c r="C31" s="24">
        <v>0</v>
      </c>
      <c r="D31" s="24" t="s">
        <v>433</v>
      </c>
      <c r="E31" s="24">
        <v>10</v>
      </c>
      <c r="F31" s="24">
        <v>0</v>
      </c>
      <c r="G31" s="24" t="s">
        <v>67</v>
      </c>
      <c r="H31" s="24">
        <v>0</v>
      </c>
      <c r="I31" s="24">
        <v>0</v>
      </c>
      <c r="J31" s="24">
        <v>0</v>
      </c>
      <c r="K31" s="24">
        <v>0</v>
      </c>
      <c r="L31" s="24">
        <v>0</v>
      </c>
      <c r="M31" s="24">
        <v>0</v>
      </c>
      <c r="N31" s="24">
        <v>0</v>
      </c>
      <c r="O31" s="24">
        <v>0</v>
      </c>
      <c r="P31" s="24">
        <v>0</v>
      </c>
      <c r="Q31" s="24">
        <v>0</v>
      </c>
      <c r="R31" s="24">
        <v>0</v>
      </c>
      <c r="S31" s="24">
        <v>0</v>
      </c>
      <c r="T31" s="28">
        <f t="shared" si="1"/>
        <v>0</v>
      </c>
      <c r="U31" s="28">
        <f t="shared" si="2"/>
        <v>0</v>
      </c>
      <c r="V31" s="29">
        <f>IF(O31&gt;0,((VLOOKUP(E31,ACs!G$4:P$53,7)*P31)+(VLOOKUP(E31,ACs!G$4:P$53,6)*(1-P31)))*O31*F31,0)</f>
        <v>0</v>
      </c>
      <c r="W31" s="29">
        <f>IF(E31&gt;0,VLOOKUP(E31,ACs!G$4:P$53,10)*Q31*F31,0)</f>
        <v>0</v>
      </c>
      <c r="X31" s="29">
        <f t="shared" si="3"/>
        <v>0</v>
      </c>
      <c r="Y31" s="29">
        <f t="shared" si="4"/>
        <v>0</v>
      </c>
      <c r="Z31" s="29">
        <f t="shared" si="5"/>
        <v>0</v>
      </c>
      <c r="AA31" s="29">
        <f t="shared" si="6"/>
        <v>0</v>
      </c>
      <c r="AB31" s="30" t="str">
        <f t="shared" si="7"/>
        <v xml:space="preserve"> </v>
      </c>
      <c r="AC31" s="30" t="str">
        <f t="shared" si="8"/>
        <v xml:space="preserve"> </v>
      </c>
      <c r="AD31" s="31" t="str">
        <f t="shared" si="9"/>
        <v xml:space="preserve"> </v>
      </c>
      <c r="AE31" s="29">
        <f t="shared" si="10"/>
        <v>0</v>
      </c>
      <c r="AF31" s="29">
        <f t="shared" si="11"/>
        <v>0</v>
      </c>
      <c r="AG31" s="29">
        <f t="shared" si="12"/>
        <v>0</v>
      </c>
      <c r="AH31" s="29">
        <f t="shared" si="13"/>
        <v>0</v>
      </c>
      <c r="AI31" s="29">
        <f t="shared" si="14"/>
        <v>0</v>
      </c>
      <c r="AJ31" s="30" t="str">
        <f t="shared" si="15"/>
        <v xml:space="preserve"> </v>
      </c>
      <c r="AK31" s="30" t="str">
        <f t="shared" si="16"/>
        <v xml:space="preserve"> </v>
      </c>
      <c r="AL31" s="30" t="str">
        <f t="shared" si="17"/>
        <v xml:space="preserve"> </v>
      </c>
      <c r="AM31" s="32" t="str">
        <f t="shared" si="18"/>
        <v xml:space="preserve"> </v>
      </c>
      <c r="AN31" s="32" t="str">
        <f t="shared" si="19"/>
        <v xml:space="preserve"> </v>
      </c>
      <c r="AO31" s="32" t="str">
        <f t="shared" si="20"/>
        <v xml:space="preserve"> </v>
      </c>
      <c r="AP31" s="32" t="str">
        <f t="shared" si="21"/>
        <v xml:space="preserve"> </v>
      </c>
      <c r="AQ31" s="33">
        <f t="shared" si="22"/>
        <v>0</v>
      </c>
      <c r="AR31" s="27">
        <v>0.87</v>
      </c>
      <c r="AS31" s="30" t="str">
        <f t="shared" si="39"/>
        <v xml:space="preserve"> </v>
      </c>
      <c r="AT31" s="33">
        <f t="shared" si="40"/>
        <v>0</v>
      </c>
      <c r="AU31" s="32">
        <v>1</v>
      </c>
      <c r="AV31" s="33">
        <f t="shared" si="23"/>
        <v>0</v>
      </c>
      <c r="AW31" s="33">
        <f t="shared" si="24"/>
        <v>0</v>
      </c>
      <c r="AX31" s="30" t="str">
        <f t="shared" si="0"/>
        <v xml:space="preserve"> </v>
      </c>
      <c r="AY31" s="29">
        <f t="shared" si="25"/>
        <v>0</v>
      </c>
      <c r="AZ31" s="29">
        <f t="shared" si="26"/>
        <v>0</v>
      </c>
      <c r="BA31" s="30" t="str">
        <f t="shared" si="41"/>
        <v xml:space="preserve"> </v>
      </c>
      <c r="BB31" s="34">
        <f t="shared" si="27"/>
        <v>0</v>
      </c>
      <c r="BC31" s="35">
        <f t="shared" si="28"/>
        <v>0</v>
      </c>
      <c r="BD31" s="27">
        <v>1</v>
      </c>
      <c r="BE31" s="36">
        <f t="shared" si="29"/>
        <v>0</v>
      </c>
      <c r="BF31" s="36">
        <f t="shared" si="30"/>
        <v>0</v>
      </c>
      <c r="BG31" s="30" t="str">
        <f t="shared" si="31"/>
        <v xml:space="preserve"> </v>
      </c>
      <c r="BH31" s="33">
        <f t="shared" si="32"/>
        <v>0</v>
      </c>
      <c r="BI31" s="27">
        <v>1</v>
      </c>
      <c r="BJ31" s="36">
        <f t="shared" si="33"/>
        <v>0</v>
      </c>
      <c r="BK31" s="37">
        <f t="shared" si="34"/>
        <v>0</v>
      </c>
      <c r="BL31" s="30" t="str">
        <f t="shared" si="35"/>
        <v xml:space="preserve"> </v>
      </c>
      <c r="BM31" s="26">
        <f t="shared" si="36"/>
        <v>0</v>
      </c>
      <c r="BO31" s="50">
        <f t="shared" si="37"/>
        <v>0</v>
      </c>
      <c r="BP31" s="50">
        <f t="shared" si="38"/>
        <v>0</v>
      </c>
    </row>
    <row r="32" spans="1:68">
      <c r="A32" s="38" t="s">
        <v>95</v>
      </c>
      <c r="B32" s="1" t="s">
        <v>66</v>
      </c>
      <c r="C32" s="24">
        <v>13</v>
      </c>
      <c r="D32" s="24" t="s">
        <v>199</v>
      </c>
      <c r="E32" s="24">
        <v>10</v>
      </c>
      <c r="F32" s="24">
        <v>13</v>
      </c>
      <c r="G32" s="24" t="s">
        <v>67</v>
      </c>
      <c r="H32" s="24">
        <v>1886</v>
      </c>
      <c r="I32" s="24">
        <v>0</v>
      </c>
      <c r="J32" s="24">
        <v>0</v>
      </c>
      <c r="K32" s="24">
        <v>0</v>
      </c>
      <c r="L32" s="24">
        <v>0</v>
      </c>
      <c r="M32" s="24">
        <v>0</v>
      </c>
      <c r="N32" s="24">
        <v>0</v>
      </c>
      <c r="O32" s="24">
        <v>323</v>
      </c>
      <c r="P32" s="24">
        <v>0</v>
      </c>
      <c r="Q32" s="24">
        <v>0</v>
      </c>
      <c r="R32" s="24">
        <v>500</v>
      </c>
      <c r="S32" s="24">
        <v>0</v>
      </c>
      <c r="T32" s="28">
        <f t="shared" si="1"/>
        <v>1</v>
      </c>
      <c r="U32" s="28">
        <f t="shared" si="2"/>
        <v>1</v>
      </c>
      <c r="V32" s="29">
        <f>IF(O32&gt;0,((VLOOKUP(E32,ACs!G$4:P$53,7)*P32)+(VLOOKUP(E32,ACs!G$4:P$53,6)*(1-P32)))*O32*F32,0)</f>
        <v>13108.734043896284</v>
      </c>
      <c r="W32" s="29">
        <f>IF(E32&gt;0,VLOOKUP(E32,ACs!G$4:P$53,10)*Q32*F32,0)</f>
        <v>0</v>
      </c>
      <c r="X32" s="29">
        <f t="shared" si="3"/>
        <v>0</v>
      </c>
      <c r="Y32" s="29">
        <f t="shared" si="4"/>
        <v>24518</v>
      </c>
      <c r="Z32" s="29">
        <f t="shared" si="5"/>
        <v>0</v>
      </c>
      <c r="AA32" s="29">
        <f t="shared" si="6"/>
        <v>6500</v>
      </c>
      <c r="AB32" s="30">
        <f t="shared" si="7"/>
        <v>0.53465755950307059</v>
      </c>
      <c r="AC32" s="30">
        <f t="shared" si="8"/>
        <v>0.53465755950307059</v>
      </c>
      <c r="AD32" s="31">
        <f t="shared" si="9"/>
        <v>2.0167283144455821</v>
      </c>
      <c r="AE32" s="29">
        <f t="shared" si="10"/>
        <v>13108.734043896284</v>
      </c>
      <c r="AF32" s="29">
        <f t="shared" si="11"/>
        <v>0</v>
      </c>
      <c r="AG32" s="29">
        <f t="shared" si="12"/>
        <v>24518</v>
      </c>
      <c r="AH32" s="29">
        <f t="shared" si="13"/>
        <v>0</v>
      </c>
      <c r="AI32" s="29">
        <f t="shared" si="14"/>
        <v>6500</v>
      </c>
      <c r="AJ32" s="30">
        <f t="shared" si="15"/>
        <v>0.53465755950307059</v>
      </c>
      <c r="AK32" s="30">
        <f t="shared" si="16"/>
        <v>0.53465755950307059</v>
      </c>
      <c r="AL32" s="30">
        <f t="shared" si="17"/>
        <v>2.0167283144455821</v>
      </c>
      <c r="AM32" s="32">
        <f t="shared" si="18"/>
        <v>1</v>
      </c>
      <c r="AN32" s="32">
        <f t="shared" si="19"/>
        <v>1</v>
      </c>
      <c r="AO32" s="32">
        <f t="shared" si="20"/>
        <v>0.49585261080390469</v>
      </c>
      <c r="AP32" s="32">
        <f t="shared" si="21"/>
        <v>0.49585261080390469</v>
      </c>
      <c r="AQ32" s="33">
        <f t="shared" si="22"/>
        <v>4199</v>
      </c>
      <c r="AR32" s="27">
        <v>0.87</v>
      </c>
      <c r="AS32" s="30">
        <f t="shared" si="39"/>
        <v>0.53465755950307048</v>
      </c>
      <c r="AT32" s="33">
        <f t="shared" si="40"/>
        <v>3653.13</v>
      </c>
      <c r="AU32" s="32">
        <v>1</v>
      </c>
      <c r="AV32" s="33">
        <f t="shared" si="23"/>
        <v>13108.734043896284</v>
      </c>
      <c r="AW32" s="33">
        <f t="shared" si="24"/>
        <v>24518</v>
      </c>
      <c r="AX32" s="30">
        <f t="shared" si="0"/>
        <v>0.53465755950307059</v>
      </c>
      <c r="AY32" s="29">
        <f t="shared" si="25"/>
        <v>11404.598618189766</v>
      </c>
      <c r="AZ32" s="29">
        <f t="shared" si="26"/>
        <v>21330.66</v>
      </c>
      <c r="BA32" s="30">
        <f t="shared" si="41"/>
        <v>0.53465755950307048</v>
      </c>
      <c r="BB32" s="34">
        <f t="shared" si="27"/>
        <v>1</v>
      </c>
      <c r="BC32" s="35">
        <f t="shared" si="28"/>
        <v>1</v>
      </c>
      <c r="BD32" s="27">
        <f>11/12</f>
        <v>0.91666666666666663</v>
      </c>
      <c r="BE32" s="36">
        <f t="shared" si="29"/>
        <v>0</v>
      </c>
      <c r="BF32" s="36">
        <f t="shared" si="30"/>
        <v>22474.833333333332</v>
      </c>
      <c r="BG32" s="30">
        <f t="shared" si="31"/>
        <v>0</v>
      </c>
      <c r="BH32" s="33">
        <f t="shared" si="32"/>
        <v>3849.083333333333</v>
      </c>
      <c r="BI32" s="27">
        <v>0</v>
      </c>
      <c r="BJ32" s="36">
        <f t="shared" si="33"/>
        <v>0</v>
      </c>
      <c r="BK32" s="37">
        <f t="shared" si="34"/>
        <v>0</v>
      </c>
      <c r="BL32" s="30" t="str">
        <f t="shared" si="35"/>
        <v xml:space="preserve"> </v>
      </c>
      <c r="BM32" s="26">
        <f t="shared" si="36"/>
        <v>0</v>
      </c>
      <c r="BO32" s="50">
        <f t="shared" si="37"/>
        <v>0</v>
      </c>
      <c r="BP32" s="50">
        <f t="shared" si="38"/>
        <v>0</v>
      </c>
    </row>
    <row r="33" spans="1:68">
      <c r="A33" s="16" t="s">
        <v>96</v>
      </c>
      <c r="B33" s="1" t="s">
        <v>66</v>
      </c>
      <c r="C33" s="24">
        <v>0</v>
      </c>
      <c r="D33" s="24" t="s">
        <v>433</v>
      </c>
      <c r="E33" s="24">
        <v>10</v>
      </c>
      <c r="F33" s="24">
        <v>0</v>
      </c>
      <c r="G33" s="24" t="s">
        <v>67</v>
      </c>
      <c r="H33" s="24">
        <v>0</v>
      </c>
      <c r="I33" s="24">
        <v>0</v>
      </c>
      <c r="J33" s="24">
        <v>0</v>
      </c>
      <c r="K33" s="24">
        <v>0</v>
      </c>
      <c r="L33" s="24">
        <v>0</v>
      </c>
      <c r="M33" s="24">
        <v>0</v>
      </c>
      <c r="N33" s="24">
        <v>0</v>
      </c>
      <c r="O33" s="24">
        <v>0</v>
      </c>
      <c r="P33" s="24">
        <v>0</v>
      </c>
      <c r="Q33" s="24">
        <v>0</v>
      </c>
      <c r="R33" s="24">
        <v>0</v>
      </c>
      <c r="S33" s="24">
        <v>0</v>
      </c>
      <c r="T33" s="28">
        <f t="shared" si="1"/>
        <v>0</v>
      </c>
      <c r="U33" s="28">
        <f t="shared" si="2"/>
        <v>0</v>
      </c>
      <c r="V33" s="29">
        <f>IF(O33&gt;0,((VLOOKUP(E33,ACs!G$4:P$53,7)*P33)+(VLOOKUP(E33,ACs!G$4:P$53,6)*(1-P33)))*O33*F33,0)</f>
        <v>0</v>
      </c>
      <c r="W33" s="29">
        <f>IF(E33&gt;0,VLOOKUP(E33,ACs!G$4:P$53,10)*Q33*F33,0)</f>
        <v>0</v>
      </c>
      <c r="X33" s="29">
        <f t="shared" si="3"/>
        <v>0</v>
      </c>
      <c r="Y33" s="29">
        <f t="shared" si="4"/>
        <v>0</v>
      </c>
      <c r="Z33" s="29">
        <f t="shared" si="5"/>
        <v>0</v>
      </c>
      <c r="AA33" s="29">
        <f t="shared" si="6"/>
        <v>0</v>
      </c>
      <c r="AB33" s="30" t="str">
        <f t="shared" si="7"/>
        <v xml:space="preserve"> </v>
      </c>
      <c r="AC33" s="30" t="str">
        <f t="shared" si="8"/>
        <v xml:space="preserve"> </v>
      </c>
      <c r="AD33" s="31" t="str">
        <f t="shared" si="9"/>
        <v xml:space="preserve"> </v>
      </c>
      <c r="AE33" s="29">
        <f t="shared" si="10"/>
        <v>0</v>
      </c>
      <c r="AF33" s="29">
        <f t="shared" si="11"/>
        <v>0</v>
      </c>
      <c r="AG33" s="29">
        <f t="shared" si="12"/>
        <v>0</v>
      </c>
      <c r="AH33" s="29">
        <f t="shared" si="13"/>
        <v>0</v>
      </c>
      <c r="AI33" s="29">
        <f t="shared" si="14"/>
        <v>0</v>
      </c>
      <c r="AJ33" s="30" t="str">
        <f t="shared" si="15"/>
        <v xml:space="preserve"> </v>
      </c>
      <c r="AK33" s="30" t="str">
        <f t="shared" si="16"/>
        <v xml:space="preserve"> </v>
      </c>
      <c r="AL33" s="30" t="str">
        <f t="shared" si="17"/>
        <v xml:space="preserve"> </v>
      </c>
      <c r="AM33" s="32" t="str">
        <f t="shared" si="18"/>
        <v xml:space="preserve"> </v>
      </c>
      <c r="AN33" s="32" t="str">
        <f t="shared" si="19"/>
        <v xml:space="preserve"> </v>
      </c>
      <c r="AO33" s="32" t="str">
        <f t="shared" si="20"/>
        <v xml:space="preserve"> </v>
      </c>
      <c r="AP33" s="32" t="str">
        <f t="shared" si="21"/>
        <v xml:space="preserve"> </v>
      </c>
      <c r="AQ33" s="33">
        <f t="shared" si="22"/>
        <v>0</v>
      </c>
      <c r="AR33" s="27">
        <v>0.87</v>
      </c>
      <c r="AS33" s="30" t="str">
        <f t="shared" si="39"/>
        <v xml:space="preserve"> </v>
      </c>
      <c r="AT33" s="33">
        <f t="shared" si="40"/>
        <v>0</v>
      </c>
      <c r="AU33" s="32">
        <v>1</v>
      </c>
      <c r="AV33" s="33">
        <f t="shared" si="23"/>
        <v>0</v>
      </c>
      <c r="AW33" s="33">
        <f t="shared" si="24"/>
        <v>0</v>
      </c>
      <c r="AX33" s="30" t="str">
        <f t="shared" si="0"/>
        <v xml:space="preserve"> </v>
      </c>
      <c r="AY33" s="29">
        <f t="shared" si="25"/>
        <v>0</v>
      </c>
      <c r="AZ33" s="29">
        <f t="shared" si="26"/>
        <v>0</v>
      </c>
      <c r="BA33" s="30" t="str">
        <f t="shared" si="41"/>
        <v xml:space="preserve"> </v>
      </c>
      <c r="BB33" s="34">
        <f t="shared" si="27"/>
        <v>0</v>
      </c>
      <c r="BC33" s="35">
        <f t="shared" si="28"/>
        <v>0</v>
      </c>
      <c r="BD33" s="27">
        <v>1</v>
      </c>
      <c r="BE33" s="36">
        <f t="shared" si="29"/>
        <v>0</v>
      </c>
      <c r="BF33" s="36">
        <f t="shared" si="30"/>
        <v>0</v>
      </c>
      <c r="BG33" s="30" t="str">
        <f t="shared" si="31"/>
        <v xml:space="preserve"> </v>
      </c>
      <c r="BH33" s="33">
        <f t="shared" si="32"/>
        <v>0</v>
      </c>
      <c r="BI33" s="27">
        <v>1</v>
      </c>
      <c r="BJ33" s="36">
        <f t="shared" si="33"/>
        <v>0</v>
      </c>
      <c r="BK33" s="37">
        <f t="shared" si="34"/>
        <v>0</v>
      </c>
      <c r="BL33" s="30" t="str">
        <f t="shared" si="35"/>
        <v xml:space="preserve"> </v>
      </c>
      <c r="BM33" s="26">
        <f t="shared" si="36"/>
        <v>0</v>
      </c>
      <c r="BO33" s="50">
        <f t="shared" si="37"/>
        <v>0</v>
      </c>
      <c r="BP33" s="50">
        <f t="shared" si="38"/>
        <v>0</v>
      </c>
    </row>
    <row r="34" spans="1:68">
      <c r="A34" s="38" t="s">
        <v>97</v>
      </c>
      <c r="B34" s="1" t="s">
        <v>66</v>
      </c>
      <c r="C34" s="24">
        <v>2</v>
      </c>
      <c r="D34" s="24" t="s">
        <v>199</v>
      </c>
      <c r="E34" s="24">
        <v>10</v>
      </c>
      <c r="F34" s="24">
        <v>2</v>
      </c>
      <c r="G34" s="24" t="s">
        <v>67</v>
      </c>
      <c r="H34" s="24">
        <v>5717</v>
      </c>
      <c r="I34" s="24">
        <v>293</v>
      </c>
      <c r="J34" s="24">
        <v>0</v>
      </c>
      <c r="K34" s="24">
        <v>0</v>
      </c>
      <c r="L34" s="24">
        <v>108.32887700534759</v>
      </c>
      <c r="M34" s="24">
        <v>0</v>
      </c>
      <c r="N34" s="24">
        <v>293</v>
      </c>
      <c r="O34" s="24">
        <v>403</v>
      </c>
      <c r="P34" s="24">
        <v>0</v>
      </c>
      <c r="Q34" s="24">
        <v>0</v>
      </c>
      <c r="R34" s="24">
        <v>1000</v>
      </c>
      <c r="S34" s="24">
        <v>0</v>
      </c>
      <c r="T34" s="28">
        <f t="shared" si="1"/>
        <v>1</v>
      </c>
      <c r="U34" s="28">
        <f t="shared" si="2"/>
        <v>1</v>
      </c>
      <c r="V34" s="29">
        <f>IF(O34&gt;0,((VLOOKUP(E34,ACs!G$4:P$53,7)*P34)+(VLOOKUP(E34,ACs!G$4:P$53,6)*(1-P34)))*O34*F34,0)</f>
        <v>2516.2275873732806</v>
      </c>
      <c r="W34" s="29">
        <f>IF(E34&gt;0,VLOOKUP(E34,ACs!G$4:P$53,10)*Q34*F34,0)</f>
        <v>0</v>
      </c>
      <c r="X34" s="29">
        <f t="shared" si="3"/>
        <v>1535.8818303032913</v>
      </c>
      <c r="Y34" s="29">
        <f>F34*H34</f>
        <v>11434</v>
      </c>
      <c r="Z34" s="29">
        <f t="shared" si="5"/>
        <v>0</v>
      </c>
      <c r="AA34" s="29">
        <f t="shared" si="6"/>
        <v>2000</v>
      </c>
      <c r="AB34" s="30">
        <f t="shared" si="7"/>
        <v>0.35439123820855095</v>
      </c>
      <c r="AC34" s="30">
        <f t="shared" si="8"/>
        <v>0.22006538283831384</v>
      </c>
      <c r="AD34" s="31">
        <f t="shared" si="9"/>
        <v>1.2581137936866402</v>
      </c>
      <c r="AE34" s="29">
        <f t="shared" si="10"/>
        <v>2516.2275873732806</v>
      </c>
      <c r="AF34" s="29">
        <f t="shared" si="11"/>
        <v>1535.8818303032913</v>
      </c>
      <c r="AG34" s="29">
        <f t="shared" si="12"/>
        <v>11434</v>
      </c>
      <c r="AH34" s="29">
        <f t="shared" si="13"/>
        <v>0</v>
      </c>
      <c r="AI34" s="29">
        <f t="shared" si="14"/>
        <v>2000</v>
      </c>
      <c r="AJ34" s="30">
        <f t="shared" si="15"/>
        <v>0.35439123820855095</v>
      </c>
      <c r="AK34" s="30">
        <f t="shared" si="16"/>
        <v>0.22006538283831384</v>
      </c>
      <c r="AL34" s="30">
        <f t="shared" si="17"/>
        <v>1.2581137936866402</v>
      </c>
      <c r="AM34" s="32">
        <f t="shared" si="18"/>
        <v>0.62096733528386638</v>
      </c>
      <c r="AN34" s="32">
        <f t="shared" si="19"/>
        <v>0.62096733528386638</v>
      </c>
      <c r="AO34" s="32">
        <f t="shared" si="20"/>
        <v>0.79484066148715249</v>
      </c>
      <c r="AP34" s="32">
        <f t="shared" si="21"/>
        <v>0.79484066148715249</v>
      </c>
      <c r="AQ34" s="33">
        <f t="shared" si="22"/>
        <v>806</v>
      </c>
      <c r="AR34" s="27">
        <v>0.87</v>
      </c>
      <c r="AS34" s="30">
        <f t="shared" si="39"/>
        <v>0.35439123820855101</v>
      </c>
      <c r="AT34" s="33">
        <f t="shared" si="40"/>
        <v>701.22</v>
      </c>
      <c r="AU34" s="32">
        <v>1</v>
      </c>
      <c r="AV34" s="33">
        <f t="shared" si="23"/>
        <v>4052.1094176765719</v>
      </c>
      <c r="AW34" s="33">
        <f t="shared" si="24"/>
        <v>11434</v>
      </c>
      <c r="AX34" s="30">
        <f t="shared" si="0"/>
        <v>0.35439123820855095</v>
      </c>
      <c r="AY34" s="29">
        <f t="shared" si="25"/>
        <v>3525.3351933786175</v>
      </c>
      <c r="AZ34" s="29">
        <f t="shared" si="26"/>
        <v>9947.58</v>
      </c>
      <c r="BA34" s="30">
        <f t="shared" si="41"/>
        <v>0.35439123820855101</v>
      </c>
      <c r="BB34" s="34">
        <f t="shared" si="27"/>
        <v>1</v>
      </c>
      <c r="BC34" s="35">
        <f t="shared" si="28"/>
        <v>1</v>
      </c>
      <c r="BD34" s="27">
        <f>11/12</f>
        <v>0.91666666666666663</v>
      </c>
      <c r="BE34" s="36">
        <f t="shared" si="29"/>
        <v>1407.8916777780169</v>
      </c>
      <c r="BF34" s="36">
        <f t="shared" si="30"/>
        <v>10481.166666666666</v>
      </c>
      <c r="BG34" s="30">
        <f t="shared" si="31"/>
        <v>0.13432585537023711</v>
      </c>
      <c r="BH34" s="33">
        <f t="shared" si="32"/>
        <v>738.83333333333326</v>
      </c>
      <c r="BI34" s="27">
        <v>0</v>
      </c>
      <c r="BJ34" s="36">
        <f t="shared" si="33"/>
        <v>0</v>
      </c>
      <c r="BK34" s="37">
        <f t="shared" si="34"/>
        <v>0</v>
      </c>
      <c r="BL34" s="30" t="str">
        <f t="shared" si="35"/>
        <v xml:space="preserve"> </v>
      </c>
      <c r="BM34" s="26">
        <f t="shared" si="36"/>
        <v>0</v>
      </c>
      <c r="BO34" s="50">
        <f t="shared" si="37"/>
        <v>0</v>
      </c>
      <c r="BP34" s="50">
        <f t="shared" si="38"/>
        <v>0</v>
      </c>
    </row>
    <row r="35" spans="1:68">
      <c r="A35" s="16" t="s">
        <v>98</v>
      </c>
      <c r="B35" s="1" t="s">
        <v>66</v>
      </c>
      <c r="C35" s="24">
        <v>0</v>
      </c>
      <c r="D35" s="24" t="s">
        <v>433</v>
      </c>
      <c r="E35" s="24">
        <v>10</v>
      </c>
      <c r="F35" s="24">
        <v>0</v>
      </c>
      <c r="G35" s="24" t="s">
        <v>67</v>
      </c>
      <c r="H35" s="24">
        <v>0</v>
      </c>
      <c r="I35" s="24">
        <v>0</v>
      </c>
      <c r="J35" s="24">
        <v>0</v>
      </c>
      <c r="K35" s="24">
        <v>0</v>
      </c>
      <c r="L35" s="24">
        <v>0</v>
      </c>
      <c r="M35" s="24">
        <v>0</v>
      </c>
      <c r="N35" s="24">
        <v>0</v>
      </c>
      <c r="O35" s="24">
        <v>0</v>
      </c>
      <c r="P35" s="24">
        <v>0</v>
      </c>
      <c r="Q35" s="24">
        <v>0</v>
      </c>
      <c r="R35" s="24">
        <v>0</v>
      </c>
      <c r="S35" s="24">
        <v>0</v>
      </c>
      <c r="T35" s="28">
        <f t="shared" si="1"/>
        <v>0</v>
      </c>
      <c r="U35" s="28">
        <f t="shared" si="2"/>
        <v>0</v>
      </c>
      <c r="V35" s="29">
        <f>IF(O35&gt;0,((VLOOKUP(E35,ACs!G$4:P$53,7)*P35)+(VLOOKUP(E35,ACs!G$4:P$53,6)*(1-P35)))*O35*F35,0)</f>
        <v>0</v>
      </c>
      <c r="W35" s="29">
        <f>IF(E35&gt;0,VLOOKUP(E35,ACs!G$4:P$53,10)*Q35*F35,0)</f>
        <v>0</v>
      </c>
      <c r="X35" s="29">
        <f t="shared" si="3"/>
        <v>0</v>
      </c>
      <c r="Y35" s="29">
        <f t="shared" si="4"/>
        <v>0</v>
      </c>
      <c r="Z35" s="29">
        <f t="shared" si="5"/>
        <v>0</v>
      </c>
      <c r="AA35" s="29">
        <f t="shared" si="6"/>
        <v>0</v>
      </c>
      <c r="AB35" s="30" t="str">
        <f t="shared" si="7"/>
        <v xml:space="preserve"> </v>
      </c>
      <c r="AC35" s="30" t="str">
        <f t="shared" si="8"/>
        <v xml:space="preserve"> </v>
      </c>
      <c r="AD35" s="31" t="str">
        <f t="shared" si="9"/>
        <v xml:space="preserve"> </v>
      </c>
      <c r="AE35" s="29">
        <f t="shared" si="10"/>
        <v>0</v>
      </c>
      <c r="AF35" s="29">
        <f t="shared" si="11"/>
        <v>0</v>
      </c>
      <c r="AG35" s="29">
        <f t="shared" si="12"/>
        <v>0</v>
      </c>
      <c r="AH35" s="29">
        <f t="shared" si="13"/>
        <v>0</v>
      </c>
      <c r="AI35" s="29">
        <f t="shared" si="14"/>
        <v>0</v>
      </c>
      <c r="AJ35" s="30" t="str">
        <f t="shared" si="15"/>
        <v xml:space="preserve"> </v>
      </c>
      <c r="AK35" s="30" t="str">
        <f t="shared" si="16"/>
        <v xml:space="preserve"> </v>
      </c>
      <c r="AL35" s="30" t="str">
        <f t="shared" si="17"/>
        <v xml:space="preserve"> </v>
      </c>
      <c r="AM35" s="32" t="str">
        <f t="shared" si="18"/>
        <v xml:space="preserve"> </v>
      </c>
      <c r="AN35" s="32" t="str">
        <f t="shared" si="19"/>
        <v xml:space="preserve"> </v>
      </c>
      <c r="AO35" s="32" t="str">
        <f t="shared" si="20"/>
        <v xml:space="preserve"> </v>
      </c>
      <c r="AP35" s="32" t="str">
        <f t="shared" si="21"/>
        <v xml:space="preserve"> </v>
      </c>
      <c r="AQ35" s="33">
        <f t="shared" si="22"/>
        <v>0</v>
      </c>
      <c r="AR35" s="27">
        <v>0.87</v>
      </c>
      <c r="AS35" s="30" t="str">
        <f t="shared" si="39"/>
        <v xml:space="preserve"> </v>
      </c>
      <c r="AT35" s="33">
        <f t="shared" si="40"/>
        <v>0</v>
      </c>
      <c r="AU35" s="32">
        <v>1</v>
      </c>
      <c r="AV35" s="33">
        <f t="shared" si="23"/>
        <v>0</v>
      </c>
      <c r="AW35" s="33">
        <f t="shared" si="24"/>
        <v>0</v>
      </c>
      <c r="AX35" s="30" t="str">
        <f t="shared" si="0"/>
        <v xml:space="preserve"> </v>
      </c>
      <c r="AY35" s="29">
        <f t="shared" si="25"/>
        <v>0</v>
      </c>
      <c r="AZ35" s="29">
        <f t="shared" si="26"/>
        <v>0</v>
      </c>
      <c r="BA35" s="30" t="str">
        <f t="shared" si="41"/>
        <v xml:space="preserve"> </v>
      </c>
      <c r="BB35" s="34">
        <f t="shared" si="27"/>
        <v>0</v>
      </c>
      <c r="BC35" s="35">
        <f t="shared" si="28"/>
        <v>0</v>
      </c>
      <c r="BD35" s="27">
        <v>1</v>
      </c>
      <c r="BE35" s="36">
        <f t="shared" si="29"/>
        <v>0</v>
      </c>
      <c r="BF35" s="36">
        <f t="shared" si="30"/>
        <v>0</v>
      </c>
      <c r="BG35" s="30" t="str">
        <f t="shared" si="31"/>
        <v xml:space="preserve"> </v>
      </c>
      <c r="BH35" s="33">
        <f t="shared" si="32"/>
        <v>0</v>
      </c>
      <c r="BI35" s="27">
        <v>1</v>
      </c>
      <c r="BJ35" s="36">
        <f t="shared" si="33"/>
        <v>0</v>
      </c>
      <c r="BK35" s="37">
        <f t="shared" si="34"/>
        <v>0</v>
      </c>
      <c r="BL35" s="30" t="str">
        <f t="shared" si="35"/>
        <v xml:space="preserve"> </v>
      </c>
      <c r="BM35" s="26">
        <f t="shared" si="36"/>
        <v>0</v>
      </c>
      <c r="BO35" s="50">
        <f t="shared" si="37"/>
        <v>0</v>
      </c>
      <c r="BP35" s="50">
        <f t="shared" si="38"/>
        <v>0</v>
      </c>
    </row>
    <row r="36" spans="1:68">
      <c r="A36" s="23" t="s">
        <v>99</v>
      </c>
      <c r="B36" s="1" t="s">
        <v>66</v>
      </c>
      <c r="C36" s="24">
        <v>2</v>
      </c>
      <c r="D36" s="24" t="s">
        <v>432</v>
      </c>
      <c r="E36" s="24">
        <v>10</v>
      </c>
      <c r="F36" s="24">
        <v>2</v>
      </c>
      <c r="G36" s="24" t="s">
        <v>67</v>
      </c>
      <c r="H36" s="24">
        <v>4933</v>
      </c>
      <c r="I36" s="24">
        <v>0</v>
      </c>
      <c r="J36" s="24">
        <v>0</v>
      </c>
      <c r="K36" s="24">
        <v>0</v>
      </c>
      <c r="L36" s="24">
        <v>0</v>
      </c>
      <c r="M36" s="24">
        <v>0</v>
      </c>
      <c r="N36" s="24">
        <v>0</v>
      </c>
      <c r="O36" s="24">
        <v>1034</v>
      </c>
      <c r="P36" s="24">
        <v>0</v>
      </c>
      <c r="Q36" s="24">
        <v>0</v>
      </c>
      <c r="R36" s="24">
        <v>1000</v>
      </c>
      <c r="S36" s="24">
        <v>0</v>
      </c>
      <c r="T36" s="28">
        <f t="shared" si="1"/>
        <v>1</v>
      </c>
      <c r="U36" s="28">
        <f t="shared" si="2"/>
        <v>1</v>
      </c>
      <c r="V36" s="29">
        <f>IF(O36&gt;0,((VLOOKUP(E36,ACs!G$4:P$53,7)*P36)+(VLOOKUP(E36,ACs!G$4:P$53,6)*(1-P36)))*O36*F36,0)</f>
        <v>6456.0281025905015</v>
      </c>
      <c r="W36" s="29">
        <f>IF(E36&gt;0,VLOOKUP(E36,ACs!G$4:P$53,10)*Q36*F36,0)</f>
        <v>0</v>
      </c>
      <c r="X36" s="29">
        <f t="shared" si="3"/>
        <v>0</v>
      </c>
      <c r="Y36" s="29">
        <f t="shared" si="4"/>
        <v>9866</v>
      </c>
      <c r="Z36" s="29">
        <f t="shared" si="5"/>
        <v>0</v>
      </c>
      <c r="AA36" s="29">
        <f t="shared" si="6"/>
        <v>2000</v>
      </c>
      <c r="AB36" s="30">
        <f t="shared" si="7"/>
        <v>0.65437138684274287</v>
      </c>
      <c r="AC36" s="30">
        <f t="shared" si="8"/>
        <v>0.65437138684274287</v>
      </c>
      <c r="AD36" s="31">
        <f t="shared" si="9"/>
        <v>3.2280140512952507</v>
      </c>
      <c r="AE36" s="29">
        <f t="shared" si="10"/>
        <v>6456.0281025905015</v>
      </c>
      <c r="AF36" s="29">
        <f t="shared" si="11"/>
        <v>0</v>
      </c>
      <c r="AG36" s="29">
        <f t="shared" si="12"/>
        <v>9866</v>
      </c>
      <c r="AH36" s="29">
        <f t="shared" si="13"/>
        <v>0</v>
      </c>
      <c r="AI36" s="29">
        <f t="shared" si="14"/>
        <v>2000</v>
      </c>
      <c r="AJ36" s="30">
        <f t="shared" si="15"/>
        <v>0.65437138684274287</v>
      </c>
      <c r="AK36" s="30">
        <f t="shared" si="16"/>
        <v>0.65437138684274287</v>
      </c>
      <c r="AL36" s="30">
        <f t="shared" si="17"/>
        <v>3.2280140512952507</v>
      </c>
      <c r="AM36" s="32">
        <f t="shared" si="18"/>
        <v>1</v>
      </c>
      <c r="AN36" s="32">
        <f t="shared" si="19"/>
        <v>1</v>
      </c>
      <c r="AO36" s="32">
        <f t="shared" si="20"/>
        <v>0.30978799475756524</v>
      </c>
      <c r="AP36" s="32">
        <f t="shared" si="21"/>
        <v>0.30978799475756524</v>
      </c>
      <c r="AQ36" s="33">
        <f t="shared" si="22"/>
        <v>2068</v>
      </c>
      <c r="AR36" s="27">
        <v>0.87</v>
      </c>
      <c r="AS36" s="30">
        <f t="shared" si="39"/>
        <v>0.65437138684274287</v>
      </c>
      <c r="AT36" s="33">
        <f t="shared" si="40"/>
        <v>1799.16</v>
      </c>
      <c r="AU36" s="32">
        <v>1</v>
      </c>
      <c r="AV36" s="33">
        <f t="shared" si="23"/>
        <v>6456.0281025905015</v>
      </c>
      <c r="AW36" s="33">
        <f t="shared" si="24"/>
        <v>9866</v>
      </c>
      <c r="AX36" s="30">
        <f t="shared" si="0"/>
        <v>0.65437138684274287</v>
      </c>
      <c r="AY36" s="29">
        <f t="shared" si="25"/>
        <v>5616.7444492537361</v>
      </c>
      <c r="AZ36" s="29">
        <f t="shared" si="26"/>
        <v>8583.42</v>
      </c>
      <c r="BA36" s="30">
        <f t="shared" si="41"/>
        <v>0.65437138684274287</v>
      </c>
      <c r="BB36" s="34">
        <f t="shared" si="27"/>
        <v>1</v>
      </c>
      <c r="BC36" s="35">
        <f t="shared" si="28"/>
        <v>1</v>
      </c>
      <c r="BD36" s="27">
        <f>11/12</f>
        <v>0.91666666666666663</v>
      </c>
      <c r="BE36" s="36">
        <f t="shared" si="29"/>
        <v>0</v>
      </c>
      <c r="BF36" s="36">
        <f t="shared" si="30"/>
        <v>9043.8333333333321</v>
      </c>
      <c r="BG36" s="30">
        <f t="shared" si="31"/>
        <v>0</v>
      </c>
      <c r="BH36" s="33">
        <f t="shared" si="32"/>
        <v>1895.6666666666665</v>
      </c>
      <c r="BI36" s="27">
        <v>0</v>
      </c>
      <c r="BJ36" s="36">
        <f t="shared" si="33"/>
        <v>0</v>
      </c>
      <c r="BK36" s="37">
        <f t="shared" si="34"/>
        <v>0</v>
      </c>
      <c r="BL36" s="30" t="str">
        <f t="shared" si="35"/>
        <v xml:space="preserve"> </v>
      </c>
      <c r="BM36" s="26">
        <f t="shared" si="36"/>
        <v>0</v>
      </c>
      <c r="BO36" s="50">
        <f t="shared" si="37"/>
        <v>0</v>
      </c>
      <c r="BP36" s="50">
        <f t="shared" si="38"/>
        <v>0</v>
      </c>
    </row>
    <row r="37" spans="1:68">
      <c r="A37" s="16" t="s">
        <v>100</v>
      </c>
      <c r="B37" s="1" t="s">
        <v>66</v>
      </c>
      <c r="C37" s="24">
        <v>0</v>
      </c>
      <c r="D37" s="24" t="s">
        <v>433</v>
      </c>
      <c r="E37" s="24">
        <v>10</v>
      </c>
      <c r="F37" s="24">
        <v>0</v>
      </c>
      <c r="G37" s="24" t="s">
        <v>67</v>
      </c>
      <c r="H37" s="24">
        <v>0</v>
      </c>
      <c r="I37" s="24">
        <v>0</v>
      </c>
      <c r="J37" s="24">
        <v>0</v>
      </c>
      <c r="K37" s="24">
        <v>0</v>
      </c>
      <c r="L37" s="24">
        <v>0</v>
      </c>
      <c r="M37" s="24">
        <v>0</v>
      </c>
      <c r="N37" s="24">
        <v>0</v>
      </c>
      <c r="O37" s="24">
        <v>0</v>
      </c>
      <c r="P37" s="24">
        <v>0</v>
      </c>
      <c r="Q37" s="24">
        <v>0</v>
      </c>
      <c r="R37" s="24">
        <v>0</v>
      </c>
      <c r="S37" s="24">
        <v>0</v>
      </c>
      <c r="T37" s="28">
        <f t="shared" si="1"/>
        <v>0</v>
      </c>
      <c r="U37" s="28">
        <f t="shared" si="2"/>
        <v>0</v>
      </c>
      <c r="V37" s="29">
        <f>IF(O37&gt;0,((VLOOKUP(E37,ACs!G$4:P$53,7)*P37)+(VLOOKUP(E37,ACs!G$4:P$53,6)*(1-P37)))*O37*F37,0)</f>
        <v>0</v>
      </c>
      <c r="W37" s="29">
        <f>IF(E37&gt;0,VLOOKUP(E37,ACs!G$4:P$53,10)*Q37*F37,0)</f>
        <v>0</v>
      </c>
      <c r="X37" s="29">
        <f t="shared" si="3"/>
        <v>0</v>
      </c>
      <c r="Y37" s="29">
        <f t="shared" si="4"/>
        <v>0</v>
      </c>
      <c r="Z37" s="29">
        <f t="shared" si="5"/>
        <v>0</v>
      </c>
      <c r="AA37" s="29">
        <f t="shared" si="6"/>
        <v>0</v>
      </c>
      <c r="AB37" s="30" t="str">
        <f t="shared" si="7"/>
        <v xml:space="preserve"> </v>
      </c>
      <c r="AC37" s="30" t="str">
        <f t="shared" si="8"/>
        <v xml:space="preserve"> </v>
      </c>
      <c r="AD37" s="31" t="str">
        <f t="shared" si="9"/>
        <v xml:space="preserve"> </v>
      </c>
      <c r="AE37" s="29">
        <f t="shared" si="10"/>
        <v>0</v>
      </c>
      <c r="AF37" s="29">
        <f t="shared" si="11"/>
        <v>0</v>
      </c>
      <c r="AG37" s="29">
        <f t="shared" si="12"/>
        <v>0</v>
      </c>
      <c r="AH37" s="29">
        <f t="shared" si="13"/>
        <v>0</v>
      </c>
      <c r="AI37" s="29">
        <f t="shared" si="14"/>
        <v>0</v>
      </c>
      <c r="AJ37" s="30" t="str">
        <f t="shared" si="15"/>
        <v xml:space="preserve"> </v>
      </c>
      <c r="AK37" s="30" t="str">
        <f t="shared" si="16"/>
        <v xml:space="preserve"> </v>
      </c>
      <c r="AL37" s="30" t="str">
        <f t="shared" si="17"/>
        <v xml:space="preserve"> </v>
      </c>
      <c r="AM37" s="32" t="str">
        <f t="shared" si="18"/>
        <v xml:space="preserve"> </v>
      </c>
      <c r="AN37" s="32" t="str">
        <f t="shared" si="19"/>
        <v xml:space="preserve"> </v>
      </c>
      <c r="AO37" s="32" t="str">
        <f t="shared" si="20"/>
        <v xml:space="preserve"> </v>
      </c>
      <c r="AP37" s="32" t="str">
        <f t="shared" si="21"/>
        <v xml:space="preserve"> </v>
      </c>
      <c r="AQ37" s="33">
        <f t="shared" si="22"/>
        <v>0</v>
      </c>
      <c r="AR37" s="27">
        <v>0.87</v>
      </c>
      <c r="AS37" s="30" t="str">
        <f t="shared" si="39"/>
        <v xml:space="preserve"> </v>
      </c>
      <c r="AT37" s="33">
        <f t="shared" si="40"/>
        <v>0</v>
      </c>
      <c r="AU37" s="32">
        <v>1</v>
      </c>
      <c r="AV37" s="33">
        <f t="shared" si="23"/>
        <v>0</v>
      </c>
      <c r="AW37" s="33">
        <f t="shared" si="24"/>
        <v>0</v>
      </c>
      <c r="AX37" s="30" t="str">
        <f t="shared" si="0"/>
        <v xml:space="preserve"> </v>
      </c>
      <c r="AY37" s="29">
        <f t="shared" si="25"/>
        <v>0</v>
      </c>
      <c r="AZ37" s="29">
        <f t="shared" si="26"/>
        <v>0</v>
      </c>
      <c r="BA37" s="30" t="str">
        <f t="shared" si="41"/>
        <v xml:space="preserve"> </v>
      </c>
      <c r="BB37" s="34">
        <f t="shared" si="27"/>
        <v>0</v>
      </c>
      <c r="BC37" s="35">
        <f t="shared" si="28"/>
        <v>0</v>
      </c>
      <c r="BD37" s="27">
        <v>1</v>
      </c>
      <c r="BE37" s="36">
        <f t="shared" si="29"/>
        <v>0</v>
      </c>
      <c r="BF37" s="36">
        <f t="shared" si="30"/>
        <v>0</v>
      </c>
      <c r="BG37" s="30" t="str">
        <f t="shared" si="31"/>
        <v xml:space="preserve"> </v>
      </c>
      <c r="BH37" s="33">
        <f t="shared" si="32"/>
        <v>0</v>
      </c>
      <c r="BI37" s="27">
        <v>1</v>
      </c>
      <c r="BJ37" s="36">
        <f t="shared" si="33"/>
        <v>0</v>
      </c>
      <c r="BK37" s="37">
        <f t="shared" si="34"/>
        <v>0</v>
      </c>
      <c r="BL37" s="30" t="str">
        <f t="shared" si="35"/>
        <v xml:space="preserve"> </v>
      </c>
      <c r="BM37" s="26">
        <f t="shared" si="36"/>
        <v>0</v>
      </c>
      <c r="BO37" s="50">
        <f t="shared" si="37"/>
        <v>0</v>
      </c>
      <c r="BP37" s="50">
        <f t="shared" si="38"/>
        <v>0</v>
      </c>
    </row>
    <row r="38" spans="1:68">
      <c r="A38" s="16" t="s">
        <v>101</v>
      </c>
      <c r="B38" s="1" t="s">
        <v>66</v>
      </c>
      <c r="C38" s="24">
        <v>0</v>
      </c>
      <c r="D38" s="24" t="s">
        <v>433</v>
      </c>
      <c r="E38" s="24">
        <v>10</v>
      </c>
      <c r="F38" s="24">
        <v>0</v>
      </c>
      <c r="G38" s="24" t="s">
        <v>67</v>
      </c>
      <c r="H38" s="24">
        <v>0</v>
      </c>
      <c r="I38" s="24">
        <v>0</v>
      </c>
      <c r="J38" s="24">
        <v>0</v>
      </c>
      <c r="K38" s="24">
        <v>0</v>
      </c>
      <c r="L38" s="24">
        <v>0</v>
      </c>
      <c r="M38" s="24">
        <v>0</v>
      </c>
      <c r="N38" s="24">
        <v>0</v>
      </c>
      <c r="O38" s="24">
        <v>0</v>
      </c>
      <c r="P38" s="24">
        <v>0</v>
      </c>
      <c r="Q38" s="24">
        <v>0</v>
      </c>
      <c r="R38" s="24">
        <v>0</v>
      </c>
      <c r="S38" s="24">
        <v>0</v>
      </c>
      <c r="T38" s="28">
        <f t="shared" si="1"/>
        <v>0</v>
      </c>
      <c r="U38" s="28">
        <f t="shared" si="2"/>
        <v>0</v>
      </c>
      <c r="V38" s="29">
        <f>IF(O38&gt;0,((VLOOKUP(E38,ACs!G$4:P$53,7)*P38)+(VLOOKUP(E38,ACs!G$4:P$53,6)*(1-P38)))*O38*F38,0)</f>
        <v>0</v>
      </c>
      <c r="W38" s="29">
        <f>IF(E38&gt;0,VLOOKUP(E38,ACs!G$4:P$53,10)*Q38*F38,0)</f>
        <v>0</v>
      </c>
      <c r="X38" s="29">
        <f t="shared" si="3"/>
        <v>0</v>
      </c>
      <c r="Y38" s="29">
        <f t="shared" si="4"/>
        <v>0</v>
      </c>
      <c r="Z38" s="29">
        <f t="shared" si="5"/>
        <v>0</v>
      </c>
      <c r="AA38" s="29">
        <f t="shared" si="6"/>
        <v>0</v>
      </c>
      <c r="AB38" s="30" t="str">
        <f t="shared" si="7"/>
        <v xml:space="preserve"> </v>
      </c>
      <c r="AC38" s="30" t="str">
        <f t="shared" si="8"/>
        <v xml:space="preserve"> </v>
      </c>
      <c r="AD38" s="31" t="str">
        <f t="shared" si="9"/>
        <v xml:space="preserve"> </v>
      </c>
      <c r="AE38" s="29">
        <f t="shared" si="10"/>
        <v>0</v>
      </c>
      <c r="AF38" s="29">
        <f t="shared" si="11"/>
        <v>0</v>
      </c>
      <c r="AG38" s="29">
        <f t="shared" si="12"/>
        <v>0</v>
      </c>
      <c r="AH38" s="29">
        <f t="shared" si="13"/>
        <v>0</v>
      </c>
      <c r="AI38" s="29">
        <f t="shared" si="14"/>
        <v>0</v>
      </c>
      <c r="AJ38" s="30" t="str">
        <f t="shared" si="15"/>
        <v xml:space="preserve"> </v>
      </c>
      <c r="AK38" s="30" t="str">
        <f t="shared" si="16"/>
        <v xml:space="preserve"> </v>
      </c>
      <c r="AL38" s="30" t="str">
        <f t="shared" si="17"/>
        <v xml:space="preserve"> </v>
      </c>
      <c r="AM38" s="32" t="str">
        <f t="shared" si="18"/>
        <v xml:space="preserve"> </v>
      </c>
      <c r="AN38" s="32" t="str">
        <f t="shared" si="19"/>
        <v xml:space="preserve"> </v>
      </c>
      <c r="AO38" s="32" t="str">
        <f t="shared" si="20"/>
        <v xml:space="preserve"> </v>
      </c>
      <c r="AP38" s="32" t="str">
        <f t="shared" si="21"/>
        <v xml:space="preserve"> </v>
      </c>
      <c r="AQ38" s="33">
        <f t="shared" si="22"/>
        <v>0</v>
      </c>
      <c r="AR38" s="27">
        <v>0.87</v>
      </c>
      <c r="AS38" s="30" t="str">
        <f t="shared" si="39"/>
        <v xml:space="preserve"> </v>
      </c>
      <c r="AT38" s="33">
        <f t="shared" si="40"/>
        <v>0</v>
      </c>
      <c r="AU38" s="32">
        <v>1</v>
      </c>
      <c r="AV38" s="33">
        <f t="shared" si="23"/>
        <v>0</v>
      </c>
      <c r="AW38" s="33">
        <f t="shared" si="24"/>
        <v>0</v>
      </c>
      <c r="AX38" s="30" t="str">
        <f t="shared" si="0"/>
        <v xml:space="preserve"> </v>
      </c>
      <c r="AY38" s="29">
        <f t="shared" si="25"/>
        <v>0</v>
      </c>
      <c r="AZ38" s="29">
        <f t="shared" si="26"/>
        <v>0</v>
      </c>
      <c r="BA38" s="30" t="str">
        <f t="shared" si="41"/>
        <v xml:space="preserve"> </v>
      </c>
      <c r="BB38" s="34">
        <f t="shared" si="27"/>
        <v>0</v>
      </c>
      <c r="BC38" s="35">
        <f t="shared" si="28"/>
        <v>0</v>
      </c>
      <c r="BD38" s="27">
        <v>1</v>
      </c>
      <c r="BE38" s="36">
        <f t="shared" si="29"/>
        <v>0</v>
      </c>
      <c r="BF38" s="36">
        <f t="shared" si="30"/>
        <v>0</v>
      </c>
      <c r="BG38" s="30" t="str">
        <f t="shared" si="31"/>
        <v xml:space="preserve"> </v>
      </c>
      <c r="BH38" s="33">
        <f t="shared" si="32"/>
        <v>0</v>
      </c>
      <c r="BI38" s="27">
        <v>1</v>
      </c>
      <c r="BJ38" s="36">
        <f t="shared" si="33"/>
        <v>0</v>
      </c>
      <c r="BK38" s="37">
        <f t="shared" si="34"/>
        <v>0</v>
      </c>
      <c r="BL38" s="30" t="str">
        <f t="shared" si="35"/>
        <v xml:space="preserve"> </v>
      </c>
      <c r="BM38" s="26">
        <f t="shared" si="36"/>
        <v>0</v>
      </c>
      <c r="BO38" s="50">
        <f t="shared" si="37"/>
        <v>0</v>
      </c>
      <c r="BP38" s="50">
        <f t="shared" si="38"/>
        <v>0</v>
      </c>
    </row>
    <row r="39" spans="1:68">
      <c r="A39" s="16" t="s">
        <v>102</v>
      </c>
      <c r="B39" s="1" t="s">
        <v>66</v>
      </c>
      <c r="C39" s="24">
        <v>0</v>
      </c>
      <c r="D39" s="24" t="s">
        <v>433</v>
      </c>
      <c r="E39" s="24">
        <v>10</v>
      </c>
      <c r="F39" s="24">
        <v>0</v>
      </c>
      <c r="G39" s="24" t="s">
        <v>67</v>
      </c>
      <c r="H39" s="24">
        <v>0</v>
      </c>
      <c r="I39" s="24">
        <v>0</v>
      </c>
      <c r="J39" s="24">
        <v>0</v>
      </c>
      <c r="K39" s="24">
        <v>0</v>
      </c>
      <c r="L39" s="24">
        <v>0</v>
      </c>
      <c r="M39" s="24">
        <v>0</v>
      </c>
      <c r="N39" s="24">
        <v>0</v>
      </c>
      <c r="O39" s="24">
        <v>0</v>
      </c>
      <c r="P39" s="24">
        <v>0</v>
      </c>
      <c r="Q39" s="24">
        <v>0</v>
      </c>
      <c r="R39" s="24">
        <v>0</v>
      </c>
      <c r="S39" s="24">
        <v>0</v>
      </c>
      <c r="T39" s="28">
        <f t="shared" si="1"/>
        <v>0</v>
      </c>
      <c r="U39" s="28">
        <f t="shared" si="2"/>
        <v>0</v>
      </c>
      <c r="V39" s="29">
        <f>IF(O39&gt;0,((VLOOKUP(E39,ACs!G$4:P$53,7)*P39)+(VLOOKUP(E39,ACs!G$4:P$53,6)*(1-P39)))*O39*F39,0)</f>
        <v>0</v>
      </c>
      <c r="W39" s="29">
        <f>IF(E39&gt;0,VLOOKUP(E39,ACs!G$4:P$53,10)*Q39*F39,0)</f>
        <v>0</v>
      </c>
      <c r="X39" s="29">
        <f t="shared" si="3"/>
        <v>0</v>
      </c>
      <c r="Y39" s="29">
        <f t="shared" si="4"/>
        <v>0</v>
      </c>
      <c r="Z39" s="29">
        <f t="shared" si="5"/>
        <v>0</v>
      </c>
      <c r="AA39" s="29">
        <f t="shared" si="6"/>
        <v>0</v>
      </c>
      <c r="AB39" s="30" t="str">
        <f t="shared" si="7"/>
        <v xml:space="preserve"> </v>
      </c>
      <c r="AC39" s="30" t="str">
        <f t="shared" si="8"/>
        <v xml:space="preserve"> </v>
      </c>
      <c r="AD39" s="31" t="str">
        <f t="shared" si="9"/>
        <v xml:space="preserve"> </v>
      </c>
      <c r="AE39" s="29">
        <f t="shared" si="10"/>
        <v>0</v>
      </c>
      <c r="AF39" s="29">
        <f t="shared" si="11"/>
        <v>0</v>
      </c>
      <c r="AG39" s="29">
        <f t="shared" si="12"/>
        <v>0</v>
      </c>
      <c r="AH39" s="29">
        <f t="shared" si="13"/>
        <v>0</v>
      </c>
      <c r="AI39" s="29">
        <f t="shared" si="14"/>
        <v>0</v>
      </c>
      <c r="AJ39" s="30" t="str">
        <f t="shared" si="15"/>
        <v xml:space="preserve"> </v>
      </c>
      <c r="AK39" s="30" t="str">
        <f t="shared" si="16"/>
        <v xml:space="preserve"> </v>
      </c>
      <c r="AL39" s="30" t="str">
        <f t="shared" si="17"/>
        <v xml:space="preserve"> </v>
      </c>
      <c r="AM39" s="32" t="str">
        <f t="shared" si="18"/>
        <v xml:space="preserve"> </v>
      </c>
      <c r="AN39" s="32" t="str">
        <f t="shared" si="19"/>
        <v xml:space="preserve"> </v>
      </c>
      <c r="AO39" s="32" t="str">
        <f t="shared" si="20"/>
        <v xml:space="preserve"> </v>
      </c>
      <c r="AP39" s="32" t="str">
        <f t="shared" si="21"/>
        <v xml:space="preserve"> </v>
      </c>
      <c r="AQ39" s="33">
        <f t="shared" si="22"/>
        <v>0</v>
      </c>
      <c r="AR39" s="27">
        <v>0.87</v>
      </c>
      <c r="AS39" s="30" t="str">
        <f t="shared" si="39"/>
        <v xml:space="preserve"> </v>
      </c>
      <c r="AT39" s="33">
        <f t="shared" si="40"/>
        <v>0</v>
      </c>
      <c r="AU39" s="32">
        <v>1</v>
      </c>
      <c r="AV39" s="33">
        <f t="shared" si="23"/>
        <v>0</v>
      </c>
      <c r="AW39" s="33">
        <f t="shared" si="24"/>
        <v>0</v>
      </c>
      <c r="AX39" s="30" t="str">
        <f t="shared" si="0"/>
        <v xml:space="preserve"> </v>
      </c>
      <c r="AY39" s="29">
        <f t="shared" si="25"/>
        <v>0</v>
      </c>
      <c r="AZ39" s="29">
        <f t="shared" si="26"/>
        <v>0</v>
      </c>
      <c r="BA39" s="30" t="str">
        <f t="shared" si="41"/>
        <v xml:space="preserve"> </v>
      </c>
      <c r="BB39" s="34">
        <f t="shared" si="27"/>
        <v>0</v>
      </c>
      <c r="BC39" s="35">
        <f t="shared" si="28"/>
        <v>0</v>
      </c>
      <c r="BD39" s="27">
        <v>1</v>
      </c>
      <c r="BE39" s="36">
        <f t="shared" si="29"/>
        <v>0</v>
      </c>
      <c r="BF39" s="36">
        <f t="shared" si="30"/>
        <v>0</v>
      </c>
      <c r="BG39" s="30" t="str">
        <f t="shared" si="31"/>
        <v xml:space="preserve"> </v>
      </c>
      <c r="BH39" s="33">
        <f t="shared" si="32"/>
        <v>0</v>
      </c>
      <c r="BI39" s="27">
        <v>1</v>
      </c>
      <c r="BJ39" s="36">
        <f t="shared" si="33"/>
        <v>0</v>
      </c>
      <c r="BK39" s="37">
        <f t="shared" si="34"/>
        <v>0</v>
      </c>
      <c r="BL39" s="30" t="str">
        <f t="shared" si="35"/>
        <v xml:space="preserve"> </v>
      </c>
      <c r="BM39" s="26">
        <f t="shared" si="36"/>
        <v>0</v>
      </c>
      <c r="BO39" s="50">
        <f t="shared" si="37"/>
        <v>0</v>
      </c>
      <c r="BP39" s="50">
        <f t="shared" si="38"/>
        <v>0</v>
      </c>
    </row>
    <row r="40" spans="1:68">
      <c r="A40" s="16" t="s">
        <v>103</v>
      </c>
      <c r="B40" s="1" t="s">
        <v>66</v>
      </c>
      <c r="C40" s="24">
        <v>0</v>
      </c>
      <c r="D40" s="24" t="s">
        <v>433</v>
      </c>
      <c r="E40" s="24">
        <v>10</v>
      </c>
      <c r="F40" s="24">
        <v>0</v>
      </c>
      <c r="G40" s="24" t="s">
        <v>67</v>
      </c>
      <c r="H40" s="24">
        <v>0</v>
      </c>
      <c r="I40" s="24">
        <v>0</v>
      </c>
      <c r="J40" s="24">
        <v>0</v>
      </c>
      <c r="K40" s="24">
        <v>0</v>
      </c>
      <c r="L40" s="24">
        <v>0</v>
      </c>
      <c r="M40" s="24">
        <v>0</v>
      </c>
      <c r="N40" s="24">
        <v>0</v>
      </c>
      <c r="O40" s="24">
        <v>0</v>
      </c>
      <c r="P40" s="24">
        <v>0</v>
      </c>
      <c r="Q40" s="24">
        <v>0</v>
      </c>
      <c r="R40" s="24">
        <v>0</v>
      </c>
      <c r="S40" s="24">
        <v>0</v>
      </c>
      <c r="T40" s="28">
        <f t="shared" si="1"/>
        <v>0</v>
      </c>
      <c r="U40" s="28">
        <f t="shared" si="2"/>
        <v>0</v>
      </c>
      <c r="V40" s="29">
        <f>IF(O40&gt;0,((VLOOKUP(E40,ACs!G$4:P$53,7)*P40)+(VLOOKUP(E40,ACs!G$4:P$53,6)*(1-P40)))*O40*F40,0)</f>
        <v>0</v>
      </c>
      <c r="W40" s="29">
        <f>IF(E40&gt;0,VLOOKUP(E40,ACs!G$4:P$53,10)*Q40*F40,0)</f>
        <v>0</v>
      </c>
      <c r="X40" s="29">
        <f t="shared" si="3"/>
        <v>0</v>
      </c>
      <c r="Y40" s="29">
        <f t="shared" si="4"/>
        <v>0</v>
      </c>
      <c r="Z40" s="29">
        <f t="shared" si="5"/>
        <v>0</v>
      </c>
      <c r="AA40" s="29">
        <f t="shared" si="6"/>
        <v>0</v>
      </c>
      <c r="AB40" s="30" t="str">
        <f t="shared" si="7"/>
        <v xml:space="preserve"> </v>
      </c>
      <c r="AC40" s="30" t="str">
        <f t="shared" si="8"/>
        <v xml:space="preserve"> </v>
      </c>
      <c r="AD40" s="31" t="str">
        <f t="shared" si="9"/>
        <v xml:space="preserve"> </v>
      </c>
      <c r="AE40" s="29">
        <f t="shared" si="10"/>
        <v>0</v>
      </c>
      <c r="AF40" s="29">
        <f t="shared" si="11"/>
        <v>0</v>
      </c>
      <c r="AG40" s="29">
        <f t="shared" si="12"/>
        <v>0</v>
      </c>
      <c r="AH40" s="29">
        <f t="shared" si="13"/>
        <v>0</v>
      </c>
      <c r="AI40" s="29">
        <f t="shared" si="14"/>
        <v>0</v>
      </c>
      <c r="AJ40" s="30" t="str">
        <f t="shared" si="15"/>
        <v xml:space="preserve"> </v>
      </c>
      <c r="AK40" s="30" t="str">
        <f t="shared" si="16"/>
        <v xml:space="preserve"> </v>
      </c>
      <c r="AL40" s="30" t="str">
        <f t="shared" si="17"/>
        <v xml:space="preserve"> </v>
      </c>
      <c r="AM40" s="32" t="str">
        <f t="shared" si="18"/>
        <v xml:space="preserve"> </v>
      </c>
      <c r="AN40" s="32" t="str">
        <f t="shared" si="19"/>
        <v xml:space="preserve"> </v>
      </c>
      <c r="AO40" s="32" t="str">
        <f t="shared" si="20"/>
        <v xml:space="preserve"> </v>
      </c>
      <c r="AP40" s="32" t="str">
        <f t="shared" si="21"/>
        <v xml:space="preserve"> </v>
      </c>
      <c r="AQ40" s="33">
        <f t="shared" si="22"/>
        <v>0</v>
      </c>
      <c r="AR40" s="27">
        <v>0.87</v>
      </c>
      <c r="AS40" s="30" t="str">
        <f t="shared" si="39"/>
        <v xml:space="preserve"> </v>
      </c>
      <c r="AT40" s="33">
        <f t="shared" si="40"/>
        <v>0</v>
      </c>
      <c r="AU40" s="32">
        <v>1</v>
      </c>
      <c r="AV40" s="33">
        <f t="shared" si="23"/>
        <v>0</v>
      </c>
      <c r="AW40" s="33">
        <f t="shared" si="24"/>
        <v>0</v>
      </c>
      <c r="AX40" s="30" t="str">
        <f t="shared" si="0"/>
        <v xml:space="preserve"> </v>
      </c>
      <c r="AY40" s="29">
        <f t="shared" si="25"/>
        <v>0</v>
      </c>
      <c r="AZ40" s="29">
        <f t="shared" si="26"/>
        <v>0</v>
      </c>
      <c r="BA40" s="30" t="str">
        <f t="shared" si="41"/>
        <v xml:space="preserve"> </v>
      </c>
      <c r="BB40" s="34">
        <f t="shared" si="27"/>
        <v>0</v>
      </c>
      <c r="BC40" s="35">
        <f t="shared" si="28"/>
        <v>0</v>
      </c>
      <c r="BD40" s="27">
        <v>1</v>
      </c>
      <c r="BE40" s="36">
        <f t="shared" si="29"/>
        <v>0</v>
      </c>
      <c r="BF40" s="36">
        <f t="shared" si="30"/>
        <v>0</v>
      </c>
      <c r="BG40" s="30" t="str">
        <f t="shared" si="31"/>
        <v xml:space="preserve"> </v>
      </c>
      <c r="BH40" s="33">
        <f t="shared" si="32"/>
        <v>0</v>
      </c>
      <c r="BI40" s="27">
        <v>1</v>
      </c>
      <c r="BJ40" s="36">
        <f t="shared" si="33"/>
        <v>0</v>
      </c>
      <c r="BK40" s="37">
        <f t="shared" si="34"/>
        <v>0</v>
      </c>
      <c r="BL40" s="30" t="str">
        <f t="shared" si="35"/>
        <v xml:space="preserve"> </v>
      </c>
      <c r="BM40" s="26">
        <f t="shared" si="36"/>
        <v>0</v>
      </c>
      <c r="BO40" s="50">
        <f t="shared" si="37"/>
        <v>0</v>
      </c>
      <c r="BP40" s="50">
        <f t="shared" si="38"/>
        <v>0</v>
      </c>
    </row>
    <row r="41" spans="1:68">
      <c r="A41" s="16" t="s">
        <v>104</v>
      </c>
      <c r="B41" s="1" t="s">
        <v>66</v>
      </c>
      <c r="C41" s="24">
        <v>0</v>
      </c>
      <c r="D41" s="24" t="s">
        <v>433</v>
      </c>
      <c r="E41" s="24">
        <v>10</v>
      </c>
      <c r="F41" s="24">
        <v>0</v>
      </c>
      <c r="G41" s="24" t="s">
        <v>67</v>
      </c>
      <c r="H41" s="24">
        <v>0</v>
      </c>
      <c r="I41" s="24">
        <v>0</v>
      </c>
      <c r="J41" s="24">
        <v>0</v>
      </c>
      <c r="K41" s="24">
        <v>0</v>
      </c>
      <c r="L41" s="24">
        <v>0</v>
      </c>
      <c r="M41" s="24">
        <v>0</v>
      </c>
      <c r="N41" s="24">
        <v>0</v>
      </c>
      <c r="O41" s="24">
        <v>0</v>
      </c>
      <c r="P41" s="24">
        <v>0</v>
      </c>
      <c r="Q41" s="24">
        <v>0</v>
      </c>
      <c r="R41" s="24">
        <v>0</v>
      </c>
      <c r="S41" s="24">
        <v>0</v>
      </c>
      <c r="T41" s="28">
        <f t="shared" si="1"/>
        <v>0</v>
      </c>
      <c r="U41" s="28">
        <f t="shared" si="2"/>
        <v>0</v>
      </c>
      <c r="V41" s="29">
        <f>IF(O41&gt;0,((VLOOKUP(E41,ACs!G$4:P$53,7)*P41)+(VLOOKUP(E41,ACs!G$4:P$53,6)*(1-P41)))*O41*F41,0)</f>
        <v>0</v>
      </c>
      <c r="W41" s="29">
        <f>IF(E41&gt;0,VLOOKUP(E41,ACs!G$4:P$53,10)*Q41*F41,0)</f>
        <v>0</v>
      </c>
      <c r="X41" s="29">
        <f t="shared" si="3"/>
        <v>0</v>
      </c>
      <c r="Y41" s="29">
        <f t="shared" si="4"/>
        <v>0</v>
      </c>
      <c r="Z41" s="29">
        <f t="shared" si="5"/>
        <v>0</v>
      </c>
      <c r="AA41" s="29">
        <f t="shared" si="6"/>
        <v>0</v>
      </c>
      <c r="AB41" s="30" t="str">
        <f t="shared" si="7"/>
        <v xml:space="preserve"> </v>
      </c>
      <c r="AC41" s="30" t="str">
        <f t="shared" si="8"/>
        <v xml:space="preserve"> </v>
      </c>
      <c r="AD41" s="31" t="str">
        <f t="shared" si="9"/>
        <v xml:space="preserve"> </v>
      </c>
      <c r="AE41" s="29">
        <f t="shared" si="10"/>
        <v>0</v>
      </c>
      <c r="AF41" s="29">
        <f t="shared" si="11"/>
        <v>0</v>
      </c>
      <c r="AG41" s="29">
        <f t="shared" si="12"/>
        <v>0</v>
      </c>
      <c r="AH41" s="29">
        <f t="shared" si="13"/>
        <v>0</v>
      </c>
      <c r="AI41" s="29">
        <f t="shared" si="14"/>
        <v>0</v>
      </c>
      <c r="AJ41" s="30" t="str">
        <f t="shared" si="15"/>
        <v xml:space="preserve"> </v>
      </c>
      <c r="AK41" s="30" t="str">
        <f t="shared" si="16"/>
        <v xml:space="preserve"> </v>
      </c>
      <c r="AL41" s="30" t="str">
        <f t="shared" si="17"/>
        <v xml:space="preserve"> </v>
      </c>
      <c r="AM41" s="32" t="str">
        <f t="shared" si="18"/>
        <v xml:space="preserve"> </v>
      </c>
      <c r="AN41" s="32" t="str">
        <f t="shared" si="19"/>
        <v xml:space="preserve"> </v>
      </c>
      <c r="AO41" s="32" t="str">
        <f t="shared" si="20"/>
        <v xml:space="preserve"> </v>
      </c>
      <c r="AP41" s="32" t="str">
        <f t="shared" si="21"/>
        <v xml:space="preserve"> </v>
      </c>
      <c r="AQ41" s="33">
        <f t="shared" si="22"/>
        <v>0</v>
      </c>
      <c r="AR41" s="27">
        <v>0.87</v>
      </c>
      <c r="AS41" s="30" t="str">
        <f t="shared" si="39"/>
        <v xml:space="preserve"> </v>
      </c>
      <c r="AT41" s="33">
        <f t="shared" si="40"/>
        <v>0</v>
      </c>
      <c r="AU41" s="32">
        <v>1</v>
      </c>
      <c r="AV41" s="33">
        <f t="shared" si="23"/>
        <v>0</v>
      </c>
      <c r="AW41" s="33">
        <f t="shared" si="24"/>
        <v>0</v>
      </c>
      <c r="AX41" s="30" t="str">
        <f t="shared" si="0"/>
        <v xml:space="preserve"> </v>
      </c>
      <c r="AY41" s="29">
        <f t="shared" si="25"/>
        <v>0</v>
      </c>
      <c r="AZ41" s="29">
        <f t="shared" si="26"/>
        <v>0</v>
      </c>
      <c r="BA41" s="30" t="str">
        <f t="shared" si="41"/>
        <v xml:space="preserve"> </v>
      </c>
      <c r="BB41" s="34">
        <f t="shared" si="27"/>
        <v>0</v>
      </c>
      <c r="BC41" s="35">
        <f t="shared" si="28"/>
        <v>0</v>
      </c>
      <c r="BD41" s="27">
        <v>1</v>
      </c>
      <c r="BE41" s="36">
        <f t="shared" si="29"/>
        <v>0</v>
      </c>
      <c r="BF41" s="36">
        <f t="shared" si="30"/>
        <v>0</v>
      </c>
      <c r="BG41" s="30" t="str">
        <f t="shared" si="31"/>
        <v xml:space="preserve"> </v>
      </c>
      <c r="BH41" s="33">
        <f t="shared" si="32"/>
        <v>0</v>
      </c>
      <c r="BI41" s="27">
        <v>1</v>
      </c>
      <c r="BJ41" s="36">
        <f t="shared" si="33"/>
        <v>0</v>
      </c>
      <c r="BK41" s="37">
        <f t="shared" si="34"/>
        <v>0</v>
      </c>
      <c r="BL41" s="30" t="str">
        <f t="shared" si="35"/>
        <v xml:space="preserve"> </v>
      </c>
      <c r="BM41" s="26">
        <f t="shared" si="36"/>
        <v>0</v>
      </c>
      <c r="BO41" s="50">
        <f t="shared" si="37"/>
        <v>0</v>
      </c>
      <c r="BP41" s="50">
        <f t="shared" si="38"/>
        <v>0</v>
      </c>
    </row>
    <row r="42" spans="1:68">
      <c r="A42" s="16" t="s">
        <v>105</v>
      </c>
      <c r="B42" s="1" t="s">
        <v>66</v>
      </c>
      <c r="C42" s="24">
        <v>0</v>
      </c>
      <c r="D42" s="24" t="s">
        <v>433</v>
      </c>
      <c r="E42" s="24">
        <v>10</v>
      </c>
      <c r="F42" s="24">
        <v>0</v>
      </c>
      <c r="G42" s="24" t="s">
        <v>67</v>
      </c>
      <c r="H42" s="24">
        <v>0</v>
      </c>
      <c r="I42" s="24">
        <v>0</v>
      </c>
      <c r="J42" s="24">
        <v>0</v>
      </c>
      <c r="K42" s="24">
        <v>0</v>
      </c>
      <c r="L42" s="24">
        <v>0</v>
      </c>
      <c r="M42" s="24">
        <v>0</v>
      </c>
      <c r="N42" s="24">
        <v>0</v>
      </c>
      <c r="O42" s="24">
        <v>0</v>
      </c>
      <c r="P42" s="24">
        <v>0</v>
      </c>
      <c r="Q42" s="24">
        <v>0</v>
      </c>
      <c r="R42" s="24">
        <v>0</v>
      </c>
      <c r="S42" s="24">
        <v>0</v>
      </c>
      <c r="T42" s="28">
        <f t="shared" si="1"/>
        <v>0</v>
      </c>
      <c r="U42" s="28">
        <f t="shared" si="2"/>
        <v>0</v>
      </c>
      <c r="V42" s="29">
        <f>IF(O42&gt;0,((VLOOKUP(E42,ACs!G$4:P$53,7)*P42)+(VLOOKUP(E42,ACs!G$4:P$53,6)*(1-P42)))*O42*F42,0)</f>
        <v>0</v>
      </c>
      <c r="W42" s="29">
        <f>IF(E42&gt;0,VLOOKUP(E42,ACs!G$4:P$53,10)*Q42*F42,0)</f>
        <v>0</v>
      </c>
      <c r="X42" s="29">
        <f t="shared" si="3"/>
        <v>0</v>
      </c>
      <c r="Y42" s="29">
        <f t="shared" si="4"/>
        <v>0</v>
      </c>
      <c r="Z42" s="29">
        <f t="shared" si="5"/>
        <v>0</v>
      </c>
      <c r="AA42" s="29">
        <f t="shared" si="6"/>
        <v>0</v>
      </c>
      <c r="AB42" s="30" t="str">
        <f t="shared" si="7"/>
        <v xml:space="preserve"> </v>
      </c>
      <c r="AC42" s="30" t="str">
        <f t="shared" si="8"/>
        <v xml:space="preserve"> </v>
      </c>
      <c r="AD42" s="31" t="str">
        <f t="shared" si="9"/>
        <v xml:space="preserve"> </v>
      </c>
      <c r="AE42" s="29">
        <f t="shared" si="10"/>
        <v>0</v>
      </c>
      <c r="AF42" s="29">
        <f t="shared" si="11"/>
        <v>0</v>
      </c>
      <c r="AG42" s="29">
        <f t="shared" si="12"/>
        <v>0</v>
      </c>
      <c r="AH42" s="29">
        <f t="shared" si="13"/>
        <v>0</v>
      </c>
      <c r="AI42" s="29">
        <f t="shared" si="14"/>
        <v>0</v>
      </c>
      <c r="AJ42" s="30" t="str">
        <f t="shared" si="15"/>
        <v xml:space="preserve"> </v>
      </c>
      <c r="AK42" s="30" t="str">
        <f t="shared" si="16"/>
        <v xml:space="preserve"> </v>
      </c>
      <c r="AL42" s="30" t="str">
        <f t="shared" si="17"/>
        <v xml:space="preserve"> </v>
      </c>
      <c r="AM42" s="32" t="str">
        <f t="shared" si="18"/>
        <v xml:space="preserve"> </v>
      </c>
      <c r="AN42" s="32" t="str">
        <f t="shared" si="19"/>
        <v xml:space="preserve"> </v>
      </c>
      <c r="AO42" s="32" t="str">
        <f t="shared" si="20"/>
        <v xml:space="preserve"> </v>
      </c>
      <c r="AP42" s="32" t="str">
        <f t="shared" si="21"/>
        <v xml:space="preserve"> </v>
      </c>
      <c r="AQ42" s="33">
        <f t="shared" si="22"/>
        <v>0</v>
      </c>
      <c r="AR42" s="27">
        <v>0.87</v>
      </c>
      <c r="AS42" s="30" t="str">
        <f t="shared" si="39"/>
        <v xml:space="preserve"> </v>
      </c>
      <c r="AT42" s="33">
        <f t="shared" si="40"/>
        <v>0</v>
      </c>
      <c r="AU42" s="32">
        <v>1</v>
      </c>
      <c r="AV42" s="33">
        <f t="shared" si="23"/>
        <v>0</v>
      </c>
      <c r="AW42" s="33">
        <f t="shared" si="24"/>
        <v>0</v>
      </c>
      <c r="AX42" s="30" t="str">
        <f t="shared" si="0"/>
        <v xml:space="preserve"> </v>
      </c>
      <c r="AY42" s="29">
        <f t="shared" si="25"/>
        <v>0</v>
      </c>
      <c r="AZ42" s="29">
        <f t="shared" si="26"/>
        <v>0</v>
      </c>
      <c r="BA42" s="30" t="str">
        <f t="shared" si="41"/>
        <v xml:space="preserve"> </v>
      </c>
      <c r="BB42" s="34">
        <f t="shared" si="27"/>
        <v>0</v>
      </c>
      <c r="BC42" s="35">
        <f t="shared" si="28"/>
        <v>0</v>
      </c>
      <c r="BD42" s="27">
        <v>1</v>
      </c>
      <c r="BE42" s="36">
        <f t="shared" si="29"/>
        <v>0</v>
      </c>
      <c r="BF42" s="36">
        <f t="shared" si="30"/>
        <v>0</v>
      </c>
      <c r="BG42" s="30" t="str">
        <f t="shared" si="31"/>
        <v xml:space="preserve"> </v>
      </c>
      <c r="BH42" s="33">
        <f t="shared" si="32"/>
        <v>0</v>
      </c>
      <c r="BI42" s="27">
        <v>1</v>
      </c>
      <c r="BJ42" s="36">
        <f t="shared" si="33"/>
        <v>0</v>
      </c>
      <c r="BK42" s="37">
        <f t="shared" si="34"/>
        <v>0</v>
      </c>
      <c r="BL42" s="30" t="str">
        <f t="shared" si="35"/>
        <v xml:space="preserve"> </v>
      </c>
      <c r="BM42" s="26">
        <f t="shared" si="36"/>
        <v>0</v>
      </c>
      <c r="BO42" s="50">
        <f t="shared" si="37"/>
        <v>0</v>
      </c>
      <c r="BP42" s="50">
        <f t="shared" si="38"/>
        <v>0</v>
      </c>
    </row>
    <row r="43" spans="1:68">
      <c r="A43" s="16" t="s">
        <v>106</v>
      </c>
      <c r="B43" s="1" t="s">
        <v>66</v>
      </c>
      <c r="C43" s="24">
        <v>0</v>
      </c>
      <c r="D43" s="24" t="s">
        <v>433</v>
      </c>
      <c r="E43" s="24">
        <v>10</v>
      </c>
      <c r="F43" s="24">
        <v>0</v>
      </c>
      <c r="G43" s="24" t="s">
        <v>67</v>
      </c>
      <c r="H43" s="24">
        <v>0</v>
      </c>
      <c r="I43" s="24">
        <v>0</v>
      </c>
      <c r="J43" s="24">
        <v>0</v>
      </c>
      <c r="K43" s="24">
        <v>0</v>
      </c>
      <c r="L43" s="24">
        <v>0</v>
      </c>
      <c r="M43" s="24">
        <v>0</v>
      </c>
      <c r="N43" s="24">
        <v>0</v>
      </c>
      <c r="O43" s="24">
        <v>0</v>
      </c>
      <c r="P43" s="24">
        <v>0</v>
      </c>
      <c r="Q43" s="24">
        <v>0</v>
      </c>
      <c r="R43" s="24">
        <v>0</v>
      </c>
      <c r="S43" s="24">
        <v>0</v>
      </c>
      <c r="T43" s="28">
        <f t="shared" si="1"/>
        <v>0</v>
      </c>
      <c r="U43" s="28">
        <f t="shared" si="2"/>
        <v>0</v>
      </c>
      <c r="V43" s="29">
        <f>IF(O43&gt;0,((VLOOKUP(E43,ACs!G$4:P$53,7)*P43)+(VLOOKUP(E43,ACs!G$4:P$53,6)*(1-P43)))*O43*F43,0)</f>
        <v>0</v>
      </c>
      <c r="W43" s="29">
        <f>IF(E43&gt;0,VLOOKUP(E43,ACs!G$4:P$53,10)*Q43*F43,0)</f>
        <v>0</v>
      </c>
      <c r="X43" s="29">
        <f t="shared" si="3"/>
        <v>0</v>
      </c>
      <c r="Y43" s="29">
        <f t="shared" si="4"/>
        <v>0</v>
      </c>
      <c r="Z43" s="29">
        <f t="shared" si="5"/>
        <v>0</v>
      </c>
      <c r="AA43" s="29">
        <f t="shared" si="6"/>
        <v>0</v>
      </c>
      <c r="AB43" s="30" t="str">
        <f t="shared" si="7"/>
        <v xml:space="preserve"> </v>
      </c>
      <c r="AC43" s="30" t="str">
        <f t="shared" si="8"/>
        <v xml:space="preserve"> </v>
      </c>
      <c r="AD43" s="31" t="str">
        <f t="shared" si="9"/>
        <v xml:space="preserve"> </v>
      </c>
      <c r="AE43" s="29">
        <f t="shared" si="10"/>
        <v>0</v>
      </c>
      <c r="AF43" s="29">
        <f t="shared" si="11"/>
        <v>0</v>
      </c>
      <c r="AG43" s="29">
        <f t="shared" si="12"/>
        <v>0</v>
      </c>
      <c r="AH43" s="29">
        <f t="shared" si="13"/>
        <v>0</v>
      </c>
      <c r="AI43" s="29">
        <f t="shared" si="14"/>
        <v>0</v>
      </c>
      <c r="AJ43" s="30" t="str">
        <f t="shared" si="15"/>
        <v xml:space="preserve"> </v>
      </c>
      <c r="AK43" s="30" t="str">
        <f t="shared" si="16"/>
        <v xml:space="preserve"> </v>
      </c>
      <c r="AL43" s="30" t="str">
        <f t="shared" si="17"/>
        <v xml:space="preserve"> </v>
      </c>
      <c r="AM43" s="32" t="str">
        <f t="shared" si="18"/>
        <v xml:space="preserve"> </v>
      </c>
      <c r="AN43" s="32" t="str">
        <f t="shared" si="19"/>
        <v xml:space="preserve"> </v>
      </c>
      <c r="AO43" s="32" t="str">
        <f t="shared" si="20"/>
        <v xml:space="preserve"> </v>
      </c>
      <c r="AP43" s="32" t="str">
        <f t="shared" si="21"/>
        <v xml:space="preserve"> </v>
      </c>
      <c r="AQ43" s="33">
        <f t="shared" si="22"/>
        <v>0</v>
      </c>
      <c r="AR43" s="27">
        <v>0.87</v>
      </c>
      <c r="AS43" s="30" t="str">
        <f t="shared" si="39"/>
        <v xml:space="preserve"> </v>
      </c>
      <c r="AT43" s="33">
        <f t="shared" si="40"/>
        <v>0</v>
      </c>
      <c r="AU43" s="32">
        <v>1</v>
      </c>
      <c r="AV43" s="33">
        <f t="shared" si="23"/>
        <v>0</v>
      </c>
      <c r="AW43" s="33">
        <f t="shared" si="24"/>
        <v>0</v>
      </c>
      <c r="AX43" s="30" t="str">
        <f t="shared" si="0"/>
        <v xml:space="preserve"> </v>
      </c>
      <c r="AY43" s="29">
        <f t="shared" si="25"/>
        <v>0</v>
      </c>
      <c r="AZ43" s="29">
        <f t="shared" si="26"/>
        <v>0</v>
      </c>
      <c r="BA43" s="30" t="str">
        <f t="shared" si="41"/>
        <v xml:space="preserve"> </v>
      </c>
      <c r="BB43" s="34">
        <f t="shared" si="27"/>
        <v>0</v>
      </c>
      <c r="BC43" s="35">
        <f t="shared" si="28"/>
        <v>0</v>
      </c>
      <c r="BD43" s="27">
        <v>1</v>
      </c>
      <c r="BE43" s="36">
        <f t="shared" si="29"/>
        <v>0</v>
      </c>
      <c r="BF43" s="36">
        <f t="shared" si="30"/>
        <v>0</v>
      </c>
      <c r="BG43" s="30" t="str">
        <f t="shared" si="31"/>
        <v xml:space="preserve"> </v>
      </c>
      <c r="BH43" s="33">
        <f t="shared" si="32"/>
        <v>0</v>
      </c>
      <c r="BI43" s="27">
        <v>1</v>
      </c>
      <c r="BJ43" s="36">
        <f t="shared" si="33"/>
        <v>0</v>
      </c>
      <c r="BK43" s="37">
        <f t="shared" si="34"/>
        <v>0</v>
      </c>
      <c r="BL43" s="30" t="str">
        <f t="shared" si="35"/>
        <v xml:space="preserve"> </v>
      </c>
      <c r="BM43" s="26">
        <f t="shared" si="36"/>
        <v>0</v>
      </c>
      <c r="BO43" s="50">
        <f t="shared" si="37"/>
        <v>0</v>
      </c>
      <c r="BP43" s="50">
        <f t="shared" si="38"/>
        <v>0</v>
      </c>
    </row>
    <row r="44" spans="1:68">
      <c r="A44" s="16" t="s">
        <v>107</v>
      </c>
      <c r="B44" s="1" t="s">
        <v>66</v>
      </c>
      <c r="C44" s="24">
        <v>0</v>
      </c>
      <c r="D44" s="24" t="s">
        <v>433</v>
      </c>
      <c r="E44" s="24">
        <v>10</v>
      </c>
      <c r="F44" s="24">
        <v>0</v>
      </c>
      <c r="G44" s="24" t="s">
        <v>67</v>
      </c>
      <c r="H44" s="24">
        <v>0</v>
      </c>
      <c r="I44" s="24">
        <v>0</v>
      </c>
      <c r="J44" s="24">
        <v>0</v>
      </c>
      <c r="K44" s="24">
        <v>0</v>
      </c>
      <c r="L44" s="24">
        <v>0</v>
      </c>
      <c r="M44" s="24">
        <v>0</v>
      </c>
      <c r="N44" s="24">
        <v>0</v>
      </c>
      <c r="O44" s="24">
        <v>0</v>
      </c>
      <c r="P44" s="24">
        <v>0</v>
      </c>
      <c r="Q44" s="24">
        <v>0</v>
      </c>
      <c r="R44" s="24">
        <v>0</v>
      </c>
      <c r="S44" s="24">
        <v>0</v>
      </c>
      <c r="T44" s="28">
        <f t="shared" si="1"/>
        <v>0</v>
      </c>
      <c r="U44" s="28">
        <f t="shared" si="2"/>
        <v>0</v>
      </c>
      <c r="V44" s="29">
        <f>IF(O44&gt;0,((VLOOKUP(E44,ACs!G$4:P$53,7)*P44)+(VLOOKUP(E44,ACs!G$4:P$53,6)*(1-P44)))*O44*F44,0)</f>
        <v>0</v>
      </c>
      <c r="W44" s="29">
        <f>IF(E44&gt;0,VLOOKUP(E44,ACs!G$4:P$53,10)*Q44*F44,0)</f>
        <v>0</v>
      </c>
      <c r="X44" s="29">
        <f t="shared" si="3"/>
        <v>0</v>
      </c>
      <c r="Y44" s="29">
        <f t="shared" si="4"/>
        <v>0</v>
      </c>
      <c r="Z44" s="29">
        <f t="shared" si="5"/>
        <v>0</v>
      </c>
      <c r="AA44" s="29">
        <f t="shared" si="6"/>
        <v>0</v>
      </c>
      <c r="AB44" s="30" t="str">
        <f t="shared" si="7"/>
        <v xml:space="preserve"> </v>
      </c>
      <c r="AC44" s="30" t="str">
        <f t="shared" si="8"/>
        <v xml:space="preserve"> </v>
      </c>
      <c r="AD44" s="31" t="str">
        <f t="shared" si="9"/>
        <v xml:space="preserve"> </v>
      </c>
      <c r="AE44" s="29">
        <f t="shared" si="10"/>
        <v>0</v>
      </c>
      <c r="AF44" s="29">
        <f t="shared" si="11"/>
        <v>0</v>
      </c>
      <c r="AG44" s="29">
        <f t="shared" si="12"/>
        <v>0</v>
      </c>
      <c r="AH44" s="29">
        <f t="shared" si="13"/>
        <v>0</v>
      </c>
      <c r="AI44" s="29">
        <f t="shared" si="14"/>
        <v>0</v>
      </c>
      <c r="AJ44" s="30" t="str">
        <f t="shared" si="15"/>
        <v xml:space="preserve"> </v>
      </c>
      <c r="AK44" s="30" t="str">
        <f t="shared" si="16"/>
        <v xml:space="preserve"> </v>
      </c>
      <c r="AL44" s="30" t="str">
        <f t="shared" si="17"/>
        <v xml:space="preserve"> </v>
      </c>
      <c r="AM44" s="32" t="str">
        <f t="shared" si="18"/>
        <v xml:space="preserve"> </v>
      </c>
      <c r="AN44" s="32" t="str">
        <f t="shared" si="19"/>
        <v xml:space="preserve"> </v>
      </c>
      <c r="AO44" s="32" t="str">
        <f t="shared" si="20"/>
        <v xml:space="preserve"> </v>
      </c>
      <c r="AP44" s="32" t="str">
        <f t="shared" si="21"/>
        <v xml:space="preserve"> </v>
      </c>
      <c r="AQ44" s="33">
        <f t="shared" si="22"/>
        <v>0</v>
      </c>
      <c r="AR44" s="27">
        <v>0.87</v>
      </c>
      <c r="AS44" s="30" t="str">
        <f t="shared" si="39"/>
        <v xml:space="preserve"> </v>
      </c>
      <c r="AT44" s="33">
        <f t="shared" si="40"/>
        <v>0</v>
      </c>
      <c r="AU44" s="32">
        <v>1</v>
      </c>
      <c r="AV44" s="33">
        <f t="shared" si="23"/>
        <v>0</v>
      </c>
      <c r="AW44" s="33">
        <f t="shared" si="24"/>
        <v>0</v>
      </c>
      <c r="AX44" s="30" t="str">
        <f t="shared" si="0"/>
        <v xml:space="preserve"> </v>
      </c>
      <c r="AY44" s="29">
        <f t="shared" si="25"/>
        <v>0</v>
      </c>
      <c r="AZ44" s="29">
        <f t="shared" si="26"/>
        <v>0</v>
      </c>
      <c r="BA44" s="30" t="str">
        <f t="shared" si="41"/>
        <v xml:space="preserve"> </v>
      </c>
      <c r="BB44" s="34">
        <f t="shared" si="27"/>
        <v>0</v>
      </c>
      <c r="BC44" s="35">
        <f t="shared" si="28"/>
        <v>0</v>
      </c>
      <c r="BD44" s="27">
        <v>1</v>
      </c>
      <c r="BE44" s="36">
        <f t="shared" si="29"/>
        <v>0</v>
      </c>
      <c r="BF44" s="36">
        <f t="shared" si="30"/>
        <v>0</v>
      </c>
      <c r="BG44" s="30" t="str">
        <f t="shared" si="31"/>
        <v xml:space="preserve"> </v>
      </c>
      <c r="BH44" s="33">
        <f t="shared" si="32"/>
        <v>0</v>
      </c>
      <c r="BI44" s="27">
        <v>1</v>
      </c>
      <c r="BJ44" s="36">
        <f t="shared" si="33"/>
        <v>0</v>
      </c>
      <c r="BK44" s="37">
        <f t="shared" si="34"/>
        <v>0</v>
      </c>
      <c r="BL44" s="30" t="str">
        <f t="shared" si="35"/>
        <v xml:space="preserve"> </v>
      </c>
      <c r="BM44" s="26">
        <f t="shared" si="36"/>
        <v>0</v>
      </c>
      <c r="BO44" s="50">
        <f t="shared" si="37"/>
        <v>0</v>
      </c>
      <c r="BP44" s="50">
        <f t="shared" si="38"/>
        <v>0</v>
      </c>
    </row>
    <row r="45" spans="1:68">
      <c r="A45" s="16" t="s">
        <v>108</v>
      </c>
      <c r="B45" s="1" t="s">
        <v>66</v>
      </c>
      <c r="C45" s="24">
        <v>0</v>
      </c>
      <c r="D45" s="24" t="s">
        <v>433</v>
      </c>
      <c r="E45" s="24">
        <v>10</v>
      </c>
      <c r="F45" s="24">
        <v>0</v>
      </c>
      <c r="G45" s="24" t="s">
        <v>67</v>
      </c>
      <c r="H45" s="24">
        <v>0</v>
      </c>
      <c r="I45" s="24">
        <v>0</v>
      </c>
      <c r="J45" s="24">
        <v>0</v>
      </c>
      <c r="K45" s="24">
        <v>0</v>
      </c>
      <c r="L45" s="24">
        <v>0</v>
      </c>
      <c r="M45" s="24">
        <v>0</v>
      </c>
      <c r="N45" s="24">
        <v>0</v>
      </c>
      <c r="O45" s="24">
        <v>0</v>
      </c>
      <c r="P45" s="24">
        <v>0</v>
      </c>
      <c r="Q45" s="24">
        <v>0</v>
      </c>
      <c r="R45" s="24">
        <v>0</v>
      </c>
      <c r="S45" s="24">
        <v>0</v>
      </c>
      <c r="T45" s="28">
        <f t="shared" si="1"/>
        <v>0</v>
      </c>
      <c r="U45" s="28">
        <f t="shared" si="2"/>
        <v>0</v>
      </c>
      <c r="V45" s="29">
        <f>IF(O45&gt;0,((VLOOKUP(E45,ACs!G$4:P$53,7)*P45)+(VLOOKUP(E45,ACs!G$4:P$53,6)*(1-P45)))*O45*F45,0)</f>
        <v>0</v>
      </c>
      <c r="W45" s="29">
        <f>IF(E45&gt;0,VLOOKUP(E45,ACs!G$4:P$53,10)*Q45*F45,0)</f>
        <v>0</v>
      </c>
      <c r="X45" s="29">
        <f t="shared" si="3"/>
        <v>0</v>
      </c>
      <c r="Y45" s="29">
        <f t="shared" si="4"/>
        <v>0</v>
      </c>
      <c r="Z45" s="29">
        <f t="shared" si="5"/>
        <v>0</v>
      </c>
      <c r="AA45" s="29">
        <f t="shared" si="6"/>
        <v>0</v>
      </c>
      <c r="AB45" s="30" t="str">
        <f t="shared" si="7"/>
        <v xml:space="preserve"> </v>
      </c>
      <c r="AC45" s="30" t="str">
        <f t="shared" si="8"/>
        <v xml:space="preserve"> </v>
      </c>
      <c r="AD45" s="31" t="str">
        <f t="shared" si="9"/>
        <v xml:space="preserve"> </v>
      </c>
      <c r="AE45" s="29">
        <f t="shared" si="10"/>
        <v>0</v>
      </c>
      <c r="AF45" s="29">
        <f t="shared" si="11"/>
        <v>0</v>
      </c>
      <c r="AG45" s="29">
        <f t="shared" si="12"/>
        <v>0</v>
      </c>
      <c r="AH45" s="29">
        <f t="shared" si="13"/>
        <v>0</v>
      </c>
      <c r="AI45" s="29">
        <f t="shared" si="14"/>
        <v>0</v>
      </c>
      <c r="AJ45" s="30" t="str">
        <f t="shared" si="15"/>
        <v xml:space="preserve"> </v>
      </c>
      <c r="AK45" s="30" t="str">
        <f t="shared" si="16"/>
        <v xml:space="preserve"> </v>
      </c>
      <c r="AL45" s="30" t="str">
        <f t="shared" si="17"/>
        <v xml:space="preserve"> </v>
      </c>
      <c r="AM45" s="32" t="str">
        <f t="shared" si="18"/>
        <v xml:space="preserve"> </v>
      </c>
      <c r="AN45" s="32" t="str">
        <f t="shared" si="19"/>
        <v xml:space="preserve"> </v>
      </c>
      <c r="AO45" s="32" t="str">
        <f t="shared" si="20"/>
        <v xml:space="preserve"> </v>
      </c>
      <c r="AP45" s="32" t="str">
        <f t="shared" si="21"/>
        <v xml:space="preserve"> </v>
      </c>
      <c r="AQ45" s="33">
        <f t="shared" si="22"/>
        <v>0</v>
      </c>
      <c r="AR45" s="27">
        <v>0.87</v>
      </c>
      <c r="AS45" s="30" t="str">
        <f t="shared" si="39"/>
        <v xml:space="preserve"> </v>
      </c>
      <c r="AT45" s="33">
        <f t="shared" si="40"/>
        <v>0</v>
      </c>
      <c r="AU45" s="32">
        <v>1</v>
      </c>
      <c r="AV45" s="33">
        <f t="shared" si="23"/>
        <v>0</v>
      </c>
      <c r="AW45" s="33">
        <f t="shared" si="24"/>
        <v>0</v>
      </c>
      <c r="AX45" s="30" t="str">
        <f t="shared" si="0"/>
        <v xml:space="preserve"> </v>
      </c>
      <c r="AY45" s="29">
        <f t="shared" si="25"/>
        <v>0</v>
      </c>
      <c r="AZ45" s="29">
        <f t="shared" si="26"/>
        <v>0</v>
      </c>
      <c r="BA45" s="30" t="str">
        <f t="shared" si="41"/>
        <v xml:space="preserve"> </v>
      </c>
      <c r="BB45" s="34">
        <f t="shared" si="27"/>
        <v>0</v>
      </c>
      <c r="BC45" s="35">
        <f t="shared" si="28"/>
        <v>0</v>
      </c>
      <c r="BD45" s="27">
        <v>1</v>
      </c>
      <c r="BE45" s="36">
        <f t="shared" si="29"/>
        <v>0</v>
      </c>
      <c r="BF45" s="36">
        <f t="shared" si="30"/>
        <v>0</v>
      </c>
      <c r="BG45" s="30" t="str">
        <f t="shared" si="31"/>
        <v xml:space="preserve"> </v>
      </c>
      <c r="BH45" s="33">
        <f t="shared" si="32"/>
        <v>0</v>
      </c>
      <c r="BI45" s="27">
        <v>1</v>
      </c>
      <c r="BJ45" s="36">
        <f t="shared" si="33"/>
        <v>0</v>
      </c>
      <c r="BK45" s="37">
        <f t="shared" si="34"/>
        <v>0</v>
      </c>
      <c r="BL45" s="30" t="str">
        <f t="shared" si="35"/>
        <v xml:space="preserve"> </v>
      </c>
      <c r="BM45" s="26">
        <f t="shared" si="36"/>
        <v>0</v>
      </c>
      <c r="BO45" s="50">
        <f t="shared" si="37"/>
        <v>0</v>
      </c>
      <c r="BP45" s="50">
        <f t="shared" si="38"/>
        <v>0</v>
      </c>
    </row>
    <row r="46" spans="1:68">
      <c r="A46" s="16" t="s">
        <v>109</v>
      </c>
      <c r="B46" s="1" t="s">
        <v>66</v>
      </c>
      <c r="C46" s="24">
        <v>0</v>
      </c>
      <c r="D46" s="24" t="s">
        <v>433</v>
      </c>
      <c r="E46" s="24">
        <v>10</v>
      </c>
      <c r="F46" s="24">
        <v>0</v>
      </c>
      <c r="G46" s="24" t="s">
        <v>67</v>
      </c>
      <c r="H46" s="24">
        <v>0</v>
      </c>
      <c r="I46" s="24">
        <v>0</v>
      </c>
      <c r="J46" s="24">
        <v>0</v>
      </c>
      <c r="K46" s="24">
        <v>0</v>
      </c>
      <c r="L46" s="24">
        <v>0</v>
      </c>
      <c r="M46" s="24">
        <v>0</v>
      </c>
      <c r="N46" s="24">
        <v>0</v>
      </c>
      <c r="O46" s="24">
        <v>0</v>
      </c>
      <c r="P46" s="24">
        <v>0</v>
      </c>
      <c r="Q46" s="24">
        <v>0</v>
      </c>
      <c r="R46" s="24">
        <v>0</v>
      </c>
      <c r="S46" s="24">
        <v>0</v>
      </c>
      <c r="T46" s="28">
        <f t="shared" si="1"/>
        <v>0</v>
      </c>
      <c r="U46" s="28">
        <f t="shared" si="2"/>
        <v>0</v>
      </c>
      <c r="V46" s="29">
        <f>IF(O46&gt;0,((VLOOKUP(E46,ACs!G$4:P$53,7)*P46)+(VLOOKUP(E46,ACs!G$4:P$53,6)*(1-P46)))*O46*F46,0)</f>
        <v>0</v>
      </c>
      <c r="W46" s="29">
        <f>IF(E46&gt;0,VLOOKUP(E46,ACs!G$4:P$53,10)*Q46*F46,0)</f>
        <v>0</v>
      </c>
      <c r="X46" s="29">
        <f t="shared" si="3"/>
        <v>0</v>
      </c>
      <c r="Y46" s="29">
        <f t="shared" si="4"/>
        <v>0</v>
      </c>
      <c r="Z46" s="29">
        <f t="shared" si="5"/>
        <v>0</v>
      </c>
      <c r="AA46" s="29">
        <f t="shared" si="6"/>
        <v>0</v>
      </c>
      <c r="AB46" s="30" t="str">
        <f t="shared" si="7"/>
        <v xml:space="preserve"> </v>
      </c>
      <c r="AC46" s="30" t="str">
        <f t="shared" si="8"/>
        <v xml:space="preserve"> </v>
      </c>
      <c r="AD46" s="31" t="str">
        <f t="shared" si="9"/>
        <v xml:space="preserve"> </v>
      </c>
      <c r="AE46" s="29">
        <f t="shared" si="10"/>
        <v>0</v>
      </c>
      <c r="AF46" s="29">
        <f t="shared" si="11"/>
        <v>0</v>
      </c>
      <c r="AG46" s="29">
        <f t="shared" si="12"/>
        <v>0</v>
      </c>
      <c r="AH46" s="29">
        <f t="shared" si="13"/>
        <v>0</v>
      </c>
      <c r="AI46" s="29">
        <f t="shared" si="14"/>
        <v>0</v>
      </c>
      <c r="AJ46" s="30" t="str">
        <f t="shared" si="15"/>
        <v xml:space="preserve"> </v>
      </c>
      <c r="AK46" s="30" t="str">
        <f t="shared" si="16"/>
        <v xml:space="preserve"> </v>
      </c>
      <c r="AL46" s="30" t="str">
        <f t="shared" si="17"/>
        <v xml:space="preserve"> </v>
      </c>
      <c r="AM46" s="32" t="str">
        <f t="shared" si="18"/>
        <v xml:space="preserve"> </v>
      </c>
      <c r="AN46" s="32" t="str">
        <f t="shared" si="19"/>
        <v xml:space="preserve"> </v>
      </c>
      <c r="AO46" s="32" t="str">
        <f t="shared" si="20"/>
        <v xml:space="preserve"> </v>
      </c>
      <c r="AP46" s="32" t="str">
        <f t="shared" si="21"/>
        <v xml:space="preserve"> </v>
      </c>
      <c r="AQ46" s="33">
        <f t="shared" si="22"/>
        <v>0</v>
      </c>
      <c r="AR46" s="27">
        <v>0.87</v>
      </c>
      <c r="AS46" s="30" t="str">
        <f t="shared" si="39"/>
        <v xml:space="preserve"> </v>
      </c>
      <c r="AT46" s="33">
        <f t="shared" si="40"/>
        <v>0</v>
      </c>
      <c r="AU46" s="32">
        <v>1</v>
      </c>
      <c r="AV46" s="33">
        <f t="shared" si="23"/>
        <v>0</v>
      </c>
      <c r="AW46" s="33">
        <f t="shared" si="24"/>
        <v>0</v>
      </c>
      <c r="AX46" s="30" t="str">
        <f t="shared" si="0"/>
        <v xml:space="preserve"> </v>
      </c>
      <c r="AY46" s="29">
        <f t="shared" si="25"/>
        <v>0</v>
      </c>
      <c r="AZ46" s="29">
        <f t="shared" si="26"/>
        <v>0</v>
      </c>
      <c r="BA46" s="30" t="str">
        <f t="shared" si="41"/>
        <v xml:space="preserve"> </v>
      </c>
      <c r="BB46" s="34">
        <f t="shared" si="27"/>
        <v>0</v>
      </c>
      <c r="BC46" s="35">
        <f t="shared" si="28"/>
        <v>0</v>
      </c>
      <c r="BD46" s="27">
        <v>1</v>
      </c>
      <c r="BE46" s="36">
        <f t="shared" si="29"/>
        <v>0</v>
      </c>
      <c r="BF46" s="36">
        <f t="shared" si="30"/>
        <v>0</v>
      </c>
      <c r="BG46" s="30" t="str">
        <f t="shared" si="31"/>
        <v xml:space="preserve"> </v>
      </c>
      <c r="BH46" s="33">
        <f t="shared" si="32"/>
        <v>0</v>
      </c>
      <c r="BI46" s="27">
        <v>1</v>
      </c>
      <c r="BJ46" s="36">
        <f t="shared" si="33"/>
        <v>0</v>
      </c>
      <c r="BK46" s="37">
        <f t="shared" si="34"/>
        <v>0</v>
      </c>
      <c r="BL46" s="30" t="str">
        <f t="shared" si="35"/>
        <v xml:space="preserve"> </v>
      </c>
      <c r="BM46" s="26">
        <f t="shared" si="36"/>
        <v>0</v>
      </c>
      <c r="BO46" s="50">
        <f t="shared" si="37"/>
        <v>0</v>
      </c>
      <c r="BP46" s="50">
        <f t="shared" si="38"/>
        <v>0</v>
      </c>
    </row>
    <row r="47" spans="1:68">
      <c r="A47" s="16" t="s">
        <v>110</v>
      </c>
      <c r="B47" s="1" t="s">
        <v>66</v>
      </c>
      <c r="C47" s="24">
        <v>0</v>
      </c>
      <c r="D47" s="24" t="s">
        <v>433</v>
      </c>
      <c r="E47" s="24">
        <v>10</v>
      </c>
      <c r="F47" s="24">
        <v>0</v>
      </c>
      <c r="G47" s="24" t="s">
        <v>67</v>
      </c>
      <c r="H47" s="24">
        <v>0</v>
      </c>
      <c r="I47" s="24">
        <v>0</v>
      </c>
      <c r="J47" s="24">
        <v>0</v>
      </c>
      <c r="K47" s="24">
        <v>0</v>
      </c>
      <c r="L47" s="24">
        <v>0</v>
      </c>
      <c r="M47" s="24">
        <v>0</v>
      </c>
      <c r="N47" s="24">
        <v>0</v>
      </c>
      <c r="O47" s="24">
        <v>0</v>
      </c>
      <c r="P47" s="24">
        <v>0</v>
      </c>
      <c r="Q47" s="24">
        <v>0</v>
      </c>
      <c r="R47" s="24">
        <v>0</v>
      </c>
      <c r="S47" s="24">
        <v>0</v>
      </c>
      <c r="T47" s="28">
        <f t="shared" si="1"/>
        <v>0</v>
      </c>
      <c r="U47" s="28">
        <f t="shared" si="2"/>
        <v>0</v>
      </c>
      <c r="V47" s="29">
        <f>IF(O47&gt;0,((VLOOKUP(E47,ACs!G$4:P$53,7)*P47)+(VLOOKUP(E47,ACs!G$4:P$53,6)*(1-P47)))*O47*F47,0)</f>
        <v>0</v>
      </c>
      <c r="W47" s="29">
        <f>IF(E47&gt;0,VLOOKUP(E47,ACs!G$4:P$53,10)*Q47*F47,0)</f>
        <v>0</v>
      </c>
      <c r="X47" s="29">
        <f t="shared" si="3"/>
        <v>0</v>
      </c>
      <c r="Y47" s="29">
        <f t="shared" si="4"/>
        <v>0</v>
      </c>
      <c r="Z47" s="29">
        <f t="shared" si="5"/>
        <v>0</v>
      </c>
      <c r="AA47" s="29">
        <f t="shared" si="6"/>
        <v>0</v>
      </c>
      <c r="AB47" s="30" t="str">
        <f t="shared" si="7"/>
        <v xml:space="preserve"> </v>
      </c>
      <c r="AC47" s="30" t="str">
        <f t="shared" si="8"/>
        <v xml:space="preserve"> </v>
      </c>
      <c r="AD47" s="31" t="str">
        <f t="shared" si="9"/>
        <v xml:space="preserve"> </v>
      </c>
      <c r="AE47" s="29">
        <f t="shared" si="10"/>
        <v>0</v>
      </c>
      <c r="AF47" s="29">
        <f t="shared" si="11"/>
        <v>0</v>
      </c>
      <c r="AG47" s="29">
        <f t="shared" si="12"/>
        <v>0</v>
      </c>
      <c r="AH47" s="29">
        <f t="shared" si="13"/>
        <v>0</v>
      </c>
      <c r="AI47" s="29">
        <f t="shared" si="14"/>
        <v>0</v>
      </c>
      <c r="AJ47" s="30" t="str">
        <f t="shared" si="15"/>
        <v xml:space="preserve"> </v>
      </c>
      <c r="AK47" s="30" t="str">
        <f t="shared" si="16"/>
        <v xml:space="preserve"> </v>
      </c>
      <c r="AL47" s="30" t="str">
        <f t="shared" si="17"/>
        <v xml:space="preserve"> </v>
      </c>
      <c r="AM47" s="32" t="str">
        <f t="shared" si="18"/>
        <v xml:space="preserve"> </v>
      </c>
      <c r="AN47" s="32" t="str">
        <f t="shared" si="19"/>
        <v xml:space="preserve"> </v>
      </c>
      <c r="AO47" s="32" t="str">
        <f t="shared" si="20"/>
        <v xml:space="preserve"> </v>
      </c>
      <c r="AP47" s="32" t="str">
        <f t="shared" si="21"/>
        <v xml:space="preserve"> </v>
      </c>
      <c r="AQ47" s="33">
        <f t="shared" si="22"/>
        <v>0</v>
      </c>
      <c r="AR47" s="27">
        <v>0.87</v>
      </c>
      <c r="AS47" s="30" t="str">
        <f t="shared" si="39"/>
        <v xml:space="preserve"> </v>
      </c>
      <c r="AT47" s="33">
        <f t="shared" si="40"/>
        <v>0</v>
      </c>
      <c r="AU47" s="32">
        <v>1</v>
      </c>
      <c r="AV47" s="33">
        <f t="shared" si="23"/>
        <v>0</v>
      </c>
      <c r="AW47" s="33">
        <f t="shared" si="24"/>
        <v>0</v>
      </c>
      <c r="AX47" s="30" t="str">
        <f t="shared" si="0"/>
        <v xml:space="preserve"> </v>
      </c>
      <c r="AY47" s="29">
        <f t="shared" si="25"/>
        <v>0</v>
      </c>
      <c r="AZ47" s="29">
        <f t="shared" si="26"/>
        <v>0</v>
      </c>
      <c r="BA47" s="30" t="str">
        <f t="shared" si="41"/>
        <v xml:space="preserve"> </v>
      </c>
      <c r="BB47" s="34">
        <f t="shared" si="27"/>
        <v>0</v>
      </c>
      <c r="BC47" s="35">
        <f t="shared" si="28"/>
        <v>0</v>
      </c>
      <c r="BD47" s="27">
        <v>1</v>
      </c>
      <c r="BE47" s="36">
        <f t="shared" si="29"/>
        <v>0</v>
      </c>
      <c r="BF47" s="36">
        <f t="shared" si="30"/>
        <v>0</v>
      </c>
      <c r="BG47" s="30" t="str">
        <f t="shared" si="31"/>
        <v xml:space="preserve"> </v>
      </c>
      <c r="BH47" s="33">
        <f t="shared" si="32"/>
        <v>0</v>
      </c>
      <c r="BI47" s="27">
        <v>1</v>
      </c>
      <c r="BJ47" s="36">
        <f t="shared" si="33"/>
        <v>0</v>
      </c>
      <c r="BK47" s="37">
        <f t="shared" si="34"/>
        <v>0</v>
      </c>
      <c r="BL47" s="30" t="str">
        <f t="shared" si="35"/>
        <v xml:space="preserve"> </v>
      </c>
      <c r="BM47" s="26">
        <f t="shared" si="36"/>
        <v>0</v>
      </c>
      <c r="BO47" s="50">
        <f t="shared" si="37"/>
        <v>0</v>
      </c>
      <c r="BP47" s="50">
        <f t="shared" si="38"/>
        <v>0</v>
      </c>
    </row>
    <row r="48" spans="1:68">
      <c r="A48" s="16" t="s">
        <v>111</v>
      </c>
      <c r="B48" s="1" t="s">
        <v>66</v>
      </c>
      <c r="C48" s="24">
        <v>0</v>
      </c>
      <c r="D48" s="24" t="s">
        <v>433</v>
      </c>
      <c r="E48" s="24">
        <v>10</v>
      </c>
      <c r="F48" s="24">
        <v>0</v>
      </c>
      <c r="G48" s="24" t="s">
        <v>67</v>
      </c>
      <c r="H48" s="24">
        <v>0</v>
      </c>
      <c r="I48" s="24">
        <v>0</v>
      </c>
      <c r="J48" s="24">
        <v>0</v>
      </c>
      <c r="K48" s="24">
        <v>0</v>
      </c>
      <c r="L48" s="24">
        <v>0</v>
      </c>
      <c r="M48" s="24">
        <v>0</v>
      </c>
      <c r="N48" s="24">
        <v>0</v>
      </c>
      <c r="O48" s="24">
        <v>0</v>
      </c>
      <c r="P48" s="24">
        <v>0</v>
      </c>
      <c r="Q48" s="24">
        <v>0</v>
      </c>
      <c r="R48" s="24">
        <v>0</v>
      </c>
      <c r="S48" s="24">
        <v>0</v>
      </c>
      <c r="T48" s="28">
        <f t="shared" si="1"/>
        <v>0</v>
      </c>
      <c r="U48" s="28">
        <f t="shared" si="2"/>
        <v>0</v>
      </c>
      <c r="V48" s="29">
        <f>IF(O48&gt;0,((VLOOKUP(E48,ACs!G$4:P$53,7)*P48)+(VLOOKUP(E48,ACs!G$4:P$53,6)*(1-P48)))*O48*F48,0)</f>
        <v>0</v>
      </c>
      <c r="W48" s="29">
        <f>IF(E48&gt;0,VLOOKUP(E48,ACs!G$4:P$53,10)*Q48*F48,0)</f>
        <v>0</v>
      </c>
      <c r="X48" s="29">
        <f t="shared" si="3"/>
        <v>0</v>
      </c>
      <c r="Y48" s="29">
        <f t="shared" si="4"/>
        <v>0</v>
      </c>
      <c r="Z48" s="29">
        <f t="shared" si="5"/>
        <v>0</v>
      </c>
      <c r="AA48" s="29">
        <f t="shared" si="6"/>
        <v>0</v>
      </c>
      <c r="AB48" s="30" t="str">
        <f t="shared" si="7"/>
        <v xml:space="preserve"> </v>
      </c>
      <c r="AC48" s="30" t="str">
        <f t="shared" si="8"/>
        <v xml:space="preserve"> </v>
      </c>
      <c r="AD48" s="31" t="str">
        <f t="shared" si="9"/>
        <v xml:space="preserve"> </v>
      </c>
      <c r="AE48" s="29">
        <f t="shared" si="10"/>
        <v>0</v>
      </c>
      <c r="AF48" s="29">
        <f t="shared" si="11"/>
        <v>0</v>
      </c>
      <c r="AG48" s="29">
        <f t="shared" si="12"/>
        <v>0</v>
      </c>
      <c r="AH48" s="29">
        <f t="shared" si="13"/>
        <v>0</v>
      </c>
      <c r="AI48" s="29">
        <f t="shared" si="14"/>
        <v>0</v>
      </c>
      <c r="AJ48" s="30" t="str">
        <f t="shared" si="15"/>
        <v xml:space="preserve"> </v>
      </c>
      <c r="AK48" s="30" t="str">
        <f t="shared" si="16"/>
        <v xml:space="preserve"> </v>
      </c>
      <c r="AL48" s="30" t="str">
        <f t="shared" si="17"/>
        <v xml:space="preserve"> </v>
      </c>
      <c r="AM48" s="32" t="str">
        <f t="shared" si="18"/>
        <v xml:space="preserve"> </v>
      </c>
      <c r="AN48" s="32" t="str">
        <f t="shared" si="19"/>
        <v xml:space="preserve"> </v>
      </c>
      <c r="AO48" s="32" t="str">
        <f t="shared" si="20"/>
        <v xml:space="preserve"> </v>
      </c>
      <c r="AP48" s="32" t="str">
        <f t="shared" si="21"/>
        <v xml:space="preserve"> </v>
      </c>
      <c r="AQ48" s="33">
        <f t="shared" si="22"/>
        <v>0</v>
      </c>
      <c r="AR48" s="27">
        <v>0.87</v>
      </c>
      <c r="AS48" s="30" t="str">
        <f t="shared" si="39"/>
        <v xml:space="preserve"> </v>
      </c>
      <c r="AT48" s="33">
        <f t="shared" si="40"/>
        <v>0</v>
      </c>
      <c r="AU48" s="32">
        <v>1</v>
      </c>
      <c r="AV48" s="33">
        <f t="shared" si="23"/>
        <v>0</v>
      </c>
      <c r="AW48" s="33">
        <f t="shared" si="24"/>
        <v>0</v>
      </c>
      <c r="AX48" s="30" t="str">
        <f t="shared" si="0"/>
        <v xml:space="preserve"> </v>
      </c>
      <c r="AY48" s="29">
        <f t="shared" si="25"/>
        <v>0</v>
      </c>
      <c r="AZ48" s="29">
        <f t="shared" si="26"/>
        <v>0</v>
      </c>
      <c r="BA48" s="30" t="str">
        <f t="shared" si="41"/>
        <v xml:space="preserve"> </v>
      </c>
      <c r="BB48" s="34">
        <f t="shared" si="27"/>
        <v>0</v>
      </c>
      <c r="BC48" s="35">
        <f t="shared" si="28"/>
        <v>0</v>
      </c>
      <c r="BD48" s="27">
        <v>1</v>
      </c>
      <c r="BE48" s="36">
        <f t="shared" si="29"/>
        <v>0</v>
      </c>
      <c r="BF48" s="36">
        <f t="shared" si="30"/>
        <v>0</v>
      </c>
      <c r="BG48" s="30" t="str">
        <f t="shared" si="31"/>
        <v xml:space="preserve"> </v>
      </c>
      <c r="BH48" s="33">
        <f t="shared" si="32"/>
        <v>0</v>
      </c>
      <c r="BI48" s="27">
        <v>1</v>
      </c>
      <c r="BJ48" s="36">
        <f t="shared" si="33"/>
        <v>0</v>
      </c>
      <c r="BK48" s="37">
        <f t="shared" si="34"/>
        <v>0</v>
      </c>
      <c r="BL48" s="30" t="str">
        <f t="shared" si="35"/>
        <v xml:space="preserve"> </v>
      </c>
      <c r="BM48" s="26">
        <f t="shared" si="36"/>
        <v>0</v>
      </c>
      <c r="BO48" s="50">
        <f t="shared" si="37"/>
        <v>0</v>
      </c>
      <c r="BP48" s="50">
        <f t="shared" si="38"/>
        <v>0</v>
      </c>
    </row>
    <row r="49" spans="1:68">
      <c r="A49" s="16" t="s">
        <v>112</v>
      </c>
      <c r="B49" s="1" t="s">
        <v>66</v>
      </c>
      <c r="C49" s="24">
        <v>0</v>
      </c>
      <c r="D49" s="24" t="s">
        <v>433</v>
      </c>
      <c r="E49" s="24">
        <v>10</v>
      </c>
      <c r="F49" s="24">
        <v>0</v>
      </c>
      <c r="G49" s="24" t="s">
        <v>67</v>
      </c>
      <c r="H49" s="24">
        <v>0</v>
      </c>
      <c r="I49" s="24">
        <v>0</v>
      </c>
      <c r="J49" s="24">
        <v>0</v>
      </c>
      <c r="K49" s="24">
        <v>0</v>
      </c>
      <c r="L49" s="24">
        <v>0</v>
      </c>
      <c r="M49" s="24">
        <v>0</v>
      </c>
      <c r="N49" s="24">
        <v>0</v>
      </c>
      <c r="O49" s="24">
        <v>0</v>
      </c>
      <c r="P49" s="24">
        <v>0</v>
      </c>
      <c r="Q49" s="24">
        <v>0</v>
      </c>
      <c r="R49" s="24">
        <v>0</v>
      </c>
      <c r="S49" s="24">
        <v>0</v>
      </c>
      <c r="T49" s="28">
        <f t="shared" si="1"/>
        <v>0</v>
      </c>
      <c r="U49" s="28">
        <f t="shared" si="2"/>
        <v>0</v>
      </c>
      <c r="V49" s="29">
        <f>IF(O49&gt;0,((VLOOKUP(E49,ACs!G$4:P$53,7)*P49)+(VLOOKUP(E49,ACs!G$4:P$53,6)*(1-P49)))*O49*F49,0)</f>
        <v>0</v>
      </c>
      <c r="W49" s="29">
        <f>IF(E49&gt;0,VLOOKUP(E49,ACs!G$4:P$53,10)*Q49*F49,0)</f>
        <v>0</v>
      </c>
      <c r="X49" s="29">
        <f t="shared" si="3"/>
        <v>0</v>
      </c>
      <c r="Y49" s="29">
        <f t="shared" si="4"/>
        <v>0</v>
      </c>
      <c r="Z49" s="29">
        <f t="shared" si="5"/>
        <v>0</v>
      </c>
      <c r="AA49" s="29">
        <f t="shared" si="6"/>
        <v>0</v>
      </c>
      <c r="AB49" s="30" t="str">
        <f t="shared" si="7"/>
        <v xml:space="preserve"> </v>
      </c>
      <c r="AC49" s="30" t="str">
        <f t="shared" si="8"/>
        <v xml:space="preserve"> </v>
      </c>
      <c r="AD49" s="31" t="str">
        <f t="shared" si="9"/>
        <v xml:space="preserve"> </v>
      </c>
      <c r="AE49" s="29">
        <f t="shared" si="10"/>
        <v>0</v>
      </c>
      <c r="AF49" s="29">
        <f t="shared" si="11"/>
        <v>0</v>
      </c>
      <c r="AG49" s="29">
        <f t="shared" si="12"/>
        <v>0</v>
      </c>
      <c r="AH49" s="29">
        <f t="shared" si="13"/>
        <v>0</v>
      </c>
      <c r="AI49" s="29">
        <f t="shared" si="14"/>
        <v>0</v>
      </c>
      <c r="AJ49" s="30" t="str">
        <f t="shared" si="15"/>
        <v xml:space="preserve"> </v>
      </c>
      <c r="AK49" s="30" t="str">
        <f t="shared" si="16"/>
        <v xml:space="preserve"> </v>
      </c>
      <c r="AL49" s="30" t="str">
        <f t="shared" si="17"/>
        <v xml:space="preserve"> </v>
      </c>
      <c r="AM49" s="32" t="str">
        <f t="shared" si="18"/>
        <v xml:space="preserve"> </v>
      </c>
      <c r="AN49" s="32" t="str">
        <f t="shared" si="19"/>
        <v xml:space="preserve"> </v>
      </c>
      <c r="AO49" s="32" t="str">
        <f t="shared" si="20"/>
        <v xml:space="preserve"> </v>
      </c>
      <c r="AP49" s="32" t="str">
        <f t="shared" si="21"/>
        <v xml:space="preserve"> </v>
      </c>
      <c r="AQ49" s="33">
        <f t="shared" si="22"/>
        <v>0</v>
      </c>
      <c r="AR49" s="27">
        <v>0.87</v>
      </c>
      <c r="AS49" s="30" t="str">
        <f t="shared" si="39"/>
        <v xml:space="preserve"> </v>
      </c>
      <c r="AT49" s="33">
        <f t="shared" si="40"/>
        <v>0</v>
      </c>
      <c r="AU49" s="32">
        <v>1</v>
      </c>
      <c r="AV49" s="33">
        <f t="shared" si="23"/>
        <v>0</v>
      </c>
      <c r="AW49" s="33">
        <f t="shared" si="24"/>
        <v>0</v>
      </c>
      <c r="AX49" s="30" t="str">
        <f t="shared" si="0"/>
        <v xml:space="preserve"> </v>
      </c>
      <c r="AY49" s="29">
        <f t="shared" si="25"/>
        <v>0</v>
      </c>
      <c r="AZ49" s="29">
        <f t="shared" si="26"/>
        <v>0</v>
      </c>
      <c r="BA49" s="30" t="str">
        <f t="shared" si="41"/>
        <v xml:space="preserve"> </v>
      </c>
      <c r="BB49" s="34">
        <f t="shared" si="27"/>
        <v>0</v>
      </c>
      <c r="BC49" s="35">
        <f t="shared" si="28"/>
        <v>0</v>
      </c>
      <c r="BD49" s="27">
        <v>1</v>
      </c>
      <c r="BE49" s="36">
        <f t="shared" si="29"/>
        <v>0</v>
      </c>
      <c r="BF49" s="36">
        <f t="shared" si="30"/>
        <v>0</v>
      </c>
      <c r="BG49" s="30" t="str">
        <f t="shared" si="31"/>
        <v xml:space="preserve"> </v>
      </c>
      <c r="BH49" s="33">
        <f t="shared" si="32"/>
        <v>0</v>
      </c>
      <c r="BI49" s="27">
        <v>1</v>
      </c>
      <c r="BJ49" s="36">
        <f t="shared" si="33"/>
        <v>0</v>
      </c>
      <c r="BK49" s="37">
        <f t="shared" si="34"/>
        <v>0</v>
      </c>
      <c r="BL49" s="30" t="str">
        <f t="shared" si="35"/>
        <v xml:space="preserve"> </v>
      </c>
      <c r="BM49" s="26">
        <f t="shared" si="36"/>
        <v>0</v>
      </c>
      <c r="BO49" s="50">
        <f t="shared" si="37"/>
        <v>0</v>
      </c>
      <c r="BP49" s="50">
        <f t="shared" si="38"/>
        <v>0</v>
      </c>
    </row>
    <row r="50" spans="1:68">
      <c r="A50" s="16" t="s">
        <v>113</v>
      </c>
      <c r="B50" s="1" t="s">
        <v>66</v>
      </c>
      <c r="C50" s="24">
        <v>0</v>
      </c>
      <c r="D50" s="24" t="s">
        <v>433</v>
      </c>
      <c r="E50" s="24">
        <v>10</v>
      </c>
      <c r="F50" s="24">
        <v>0</v>
      </c>
      <c r="G50" s="24" t="s">
        <v>67</v>
      </c>
      <c r="H50" s="24">
        <v>0</v>
      </c>
      <c r="I50" s="24">
        <v>0</v>
      </c>
      <c r="J50" s="24">
        <v>0</v>
      </c>
      <c r="K50" s="24">
        <v>0</v>
      </c>
      <c r="L50" s="24">
        <v>0</v>
      </c>
      <c r="M50" s="24">
        <v>0</v>
      </c>
      <c r="N50" s="24">
        <v>0</v>
      </c>
      <c r="O50" s="24">
        <v>0</v>
      </c>
      <c r="P50" s="24">
        <v>0</v>
      </c>
      <c r="Q50" s="24">
        <v>0</v>
      </c>
      <c r="R50" s="24">
        <v>0</v>
      </c>
      <c r="S50" s="24">
        <v>0</v>
      </c>
      <c r="T50" s="28">
        <f t="shared" si="1"/>
        <v>0</v>
      </c>
      <c r="U50" s="28">
        <f t="shared" si="2"/>
        <v>0</v>
      </c>
      <c r="V50" s="29">
        <f>IF(O50&gt;0,((VLOOKUP(E50,ACs!G$4:P$53,7)*P50)+(VLOOKUP(E50,ACs!G$4:P$53,6)*(1-P50)))*O50*F50,0)</f>
        <v>0</v>
      </c>
      <c r="W50" s="29">
        <f>IF(E50&gt;0,VLOOKUP(E50,ACs!G$4:P$53,10)*Q50*F50,0)</f>
        <v>0</v>
      </c>
      <c r="X50" s="29">
        <f t="shared" si="3"/>
        <v>0</v>
      </c>
      <c r="Y50" s="29">
        <f t="shared" si="4"/>
        <v>0</v>
      </c>
      <c r="Z50" s="29">
        <f t="shared" si="5"/>
        <v>0</v>
      </c>
      <c r="AA50" s="29">
        <f t="shared" si="6"/>
        <v>0</v>
      </c>
      <c r="AB50" s="30" t="str">
        <f t="shared" si="7"/>
        <v xml:space="preserve"> </v>
      </c>
      <c r="AC50" s="30" t="str">
        <f t="shared" si="8"/>
        <v xml:space="preserve"> </v>
      </c>
      <c r="AD50" s="31" t="str">
        <f t="shared" si="9"/>
        <v xml:space="preserve"> </v>
      </c>
      <c r="AE50" s="29">
        <f t="shared" si="10"/>
        <v>0</v>
      </c>
      <c r="AF50" s="29">
        <f t="shared" si="11"/>
        <v>0</v>
      </c>
      <c r="AG50" s="29">
        <f t="shared" si="12"/>
        <v>0</v>
      </c>
      <c r="AH50" s="29">
        <f t="shared" si="13"/>
        <v>0</v>
      </c>
      <c r="AI50" s="29">
        <f t="shared" si="14"/>
        <v>0</v>
      </c>
      <c r="AJ50" s="30" t="str">
        <f t="shared" si="15"/>
        <v xml:space="preserve"> </v>
      </c>
      <c r="AK50" s="30" t="str">
        <f t="shared" si="16"/>
        <v xml:space="preserve"> </v>
      </c>
      <c r="AL50" s="30" t="str">
        <f t="shared" si="17"/>
        <v xml:space="preserve"> </v>
      </c>
      <c r="AM50" s="32" t="str">
        <f t="shared" si="18"/>
        <v xml:space="preserve"> </v>
      </c>
      <c r="AN50" s="32" t="str">
        <f t="shared" si="19"/>
        <v xml:space="preserve"> </v>
      </c>
      <c r="AO50" s="32" t="str">
        <f t="shared" si="20"/>
        <v xml:space="preserve"> </v>
      </c>
      <c r="AP50" s="32" t="str">
        <f t="shared" si="21"/>
        <v xml:space="preserve"> </v>
      </c>
      <c r="AQ50" s="33">
        <f t="shared" si="22"/>
        <v>0</v>
      </c>
      <c r="AR50" s="27">
        <v>0.87</v>
      </c>
      <c r="AS50" s="30" t="str">
        <f t="shared" si="39"/>
        <v xml:space="preserve"> </v>
      </c>
      <c r="AT50" s="33">
        <f t="shared" si="40"/>
        <v>0</v>
      </c>
      <c r="AU50" s="32">
        <v>1</v>
      </c>
      <c r="AV50" s="33">
        <f t="shared" si="23"/>
        <v>0</v>
      </c>
      <c r="AW50" s="33">
        <f t="shared" si="24"/>
        <v>0</v>
      </c>
      <c r="AX50" s="30" t="str">
        <f t="shared" si="0"/>
        <v xml:space="preserve"> </v>
      </c>
      <c r="AY50" s="29">
        <f t="shared" si="25"/>
        <v>0</v>
      </c>
      <c r="AZ50" s="29">
        <f t="shared" si="26"/>
        <v>0</v>
      </c>
      <c r="BA50" s="30" t="str">
        <f t="shared" si="41"/>
        <v xml:space="preserve"> </v>
      </c>
      <c r="BB50" s="34">
        <f t="shared" si="27"/>
        <v>0</v>
      </c>
      <c r="BC50" s="35">
        <f t="shared" si="28"/>
        <v>0</v>
      </c>
      <c r="BD50" s="27">
        <v>1</v>
      </c>
      <c r="BE50" s="36">
        <f t="shared" si="29"/>
        <v>0</v>
      </c>
      <c r="BF50" s="36">
        <f t="shared" si="30"/>
        <v>0</v>
      </c>
      <c r="BG50" s="30" t="str">
        <f t="shared" si="31"/>
        <v xml:space="preserve"> </v>
      </c>
      <c r="BH50" s="33">
        <f t="shared" si="32"/>
        <v>0</v>
      </c>
      <c r="BI50" s="27">
        <v>1</v>
      </c>
      <c r="BJ50" s="36">
        <f t="shared" si="33"/>
        <v>0</v>
      </c>
      <c r="BK50" s="37">
        <f t="shared" si="34"/>
        <v>0</v>
      </c>
      <c r="BL50" s="30" t="str">
        <f t="shared" si="35"/>
        <v xml:space="preserve"> </v>
      </c>
      <c r="BM50" s="26">
        <f t="shared" si="36"/>
        <v>0</v>
      </c>
      <c r="BO50" s="50">
        <f t="shared" si="37"/>
        <v>0</v>
      </c>
      <c r="BP50" s="50">
        <f t="shared" si="38"/>
        <v>0</v>
      </c>
    </row>
    <row r="51" spans="1:68">
      <c r="A51" s="16" t="s">
        <v>114</v>
      </c>
      <c r="B51" s="1" t="s">
        <v>66</v>
      </c>
      <c r="C51" s="24">
        <v>0</v>
      </c>
      <c r="D51" s="24" t="s">
        <v>433</v>
      </c>
      <c r="E51" s="24">
        <v>10</v>
      </c>
      <c r="F51" s="24">
        <v>0</v>
      </c>
      <c r="G51" s="24" t="s">
        <v>67</v>
      </c>
      <c r="H51" s="24">
        <v>0</v>
      </c>
      <c r="I51" s="24">
        <v>0</v>
      </c>
      <c r="J51" s="24">
        <v>0</v>
      </c>
      <c r="K51" s="24">
        <v>0</v>
      </c>
      <c r="L51" s="24">
        <v>0</v>
      </c>
      <c r="M51" s="24">
        <v>0</v>
      </c>
      <c r="N51" s="24">
        <v>0</v>
      </c>
      <c r="O51" s="24">
        <v>0</v>
      </c>
      <c r="P51" s="24">
        <v>0</v>
      </c>
      <c r="Q51" s="24">
        <v>0</v>
      </c>
      <c r="R51" s="24">
        <v>0</v>
      </c>
      <c r="S51" s="24">
        <v>0</v>
      </c>
      <c r="T51" s="28">
        <f t="shared" si="1"/>
        <v>0</v>
      </c>
      <c r="U51" s="28">
        <f t="shared" si="2"/>
        <v>0</v>
      </c>
      <c r="V51" s="29">
        <f>IF(O51&gt;0,((VLOOKUP(E51,ACs!G$4:P$53,7)*P51)+(VLOOKUP(E51,ACs!G$4:P$53,6)*(1-P51)))*O51*F51,0)</f>
        <v>0</v>
      </c>
      <c r="W51" s="29">
        <f>IF(E51&gt;0,VLOOKUP(E51,ACs!G$4:P$53,10)*Q51*F51,0)</f>
        <v>0</v>
      </c>
      <c r="X51" s="29">
        <f t="shared" si="3"/>
        <v>0</v>
      </c>
      <c r="Y51" s="29">
        <f t="shared" si="4"/>
        <v>0</v>
      </c>
      <c r="Z51" s="29">
        <f t="shared" si="5"/>
        <v>0</v>
      </c>
      <c r="AA51" s="29">
        <f t="shared" si="6"/>
        <v>0</v>
      </c>
      <c r="AB51" s="30" t="str">
        <f t="shared" si="7"/>
        <v xml:space="preserve"> </v>
      </c>
      <c r="AC51" s="30" t="str">
        <f t="shared" si="8"/>
        <v xml:space="preserve"> </v>
      </c>
      <c r="AD51" s="31" t="str">
        <f t="shared" si="9"/>
        <v xml:space="preserve"> </v>
      </c>
      <c r="AE51" s="29">
        <f t="shared" si="10"/>
        <v>0</v>
      </c>
      <c r="AF51" s="29">
        <f t="shared" si="11"/>
        <v>0</v>
      </c>
      <c r="AG51" s="29">
        <f t="shared" si="12"/>
        <v>0</v>
      </c>
      <c r="AH51" s="29">
        <f t="shared" si="13"/>
        <v>0</v>
      </c>
      <c r="AI51" s="29">
        <f t="shared" si="14"/>
        <v>0</v>
      </c>
      <c r="AJ51" s="30" t="str">
        <f t="shared" si="15"/>
        <v xml:space="preserve"> </v>
      </c>
      <c r="AK51" s="30" t="str">
        <f t="shared" si="16"/>
        <v xml:space="preserve"> </v>
      </c>
      <c r="AL51" s="30" t="str">
        <f t="shared" si="17"/>
        <v xml:space="preserve"> </v>
      </c>
      <c r="AM51" s="32" t="str">
        <f t="shared" si="18"/>
        <v xml:space="preserve"> </v>
      </c>
      <c r="AN51" s="32" t="str">
        <f t="shared" si="19"/>
        <v xml:space="preserve"> </v>
      </c>
      <c r="AO51" s="32" t="str">
        <f t="shared" si="20"/>
        <v xml:space="preserve"> </v>
      </c>
      <c r="AP51" s="32" t="str">
        <f t="shared" si="21"/>
        <v xml:space="preserve"> </v>
      </c>
      <c r="AQ51" s="33">
        <f t="shared" si="22"/>
        <v>0</v>
      </c>
      <c r="AR51" s="27">
        <v>0.87</v>
      </c>
      <c r="AS51" s="30" t="str">
        <f t="shared" si="39"/>
        <v xml:space="preserve"> </v>
      </c>
      <c r="AT51" s="33">
        <f t="shared" si="40"/>
        <v>0</v>
      </c>
      <c r="AU51" s="32">
        <v>1</v>
      </c>
      <c r="AV51" s="33">
        <f t="shared" si="23"/>
        <v>0</v>
      </c>
      <c r="AW51" s="33">
        <f t="shared" si="24"/>
        <v>0</v>
      </c>
      <c r="AX51" s="30" t="str">
        <f t="shared" si="0"/>
        <v xml:space="preserve"> </v>
      </c>
      <c r="AY51" s="29">
        <f t="shared" si="25"/>
        <v>0</v>
      </c>
      <c r="AZ51" s="29">
        <f t="shared" si="26"/>
        <v>0</v>
      </c>
      <c r="BA51" s="30" t="str">
        <f t="shared" si="41"/>
        <v xml:space="preserve"> </v>
      </c>
      <c r="BB51" s="34">
        <f t="shared" si="27"/>
        <v>0</v>
      </c>
      <c r="BC51" s="35">
        <f t="shared" si="28"/>
        <v>0</v>
      </c>
      <c r="BD51" s="27">
        <v>1</v>
      </c>
      <c r="BE51" s="36">
        <f t="shared" si="29"/>
        <v>0</v>
      </c>
      <c r="BF51" s="36">
        <f t="shared" si="30"/>
        <v>0</v>
      </c>
      <c r="BG51" s="30" t="str">
        <f t="shared" si="31"/>
        <v xml:space="preserve"> </v>
      </c>
      <c r="BH51" s="33">
        <f t="shared" si="32"/>
        <v>0</v>
      </c>
      <c r="BI51" s="27">
        <v>1</v>
      </c>
      <c r="BJ51" s="36">
        <f t="shared" si="33"/>
        <v>0</v>
      </c>
      <c r="BK51" s="37">
        <f t="shared" si="34"/>
        <v>0</v>
      </c>
      <c r="BL51" s="30" t="str">
        <f t="shared" si="35"/>
        <v xml:space="preserve"> </v>
      </c>
      <c r="BM51" s="26">
        <f t="shared" si="36"/>
        <v>0</v>
      </c>
      <c r="BO51" s="50">
        <f t="shared" si="37"/>
        <v>0</v>
      </c>
      <c r="BP51" s="50">
        <f t="shared" si="38"/>
        <v>0</v>
      </c>
    </row>
    <row r="52" spans="1:68">
      <c r="A52" s="16" t="s">
        <v>115</v>
      </c>
      <c r="B52" s="1" t="s">
        <v>66</v>
      </c>
      <c r="C52" s="24">
        <v>0</v>
      </c>
      <c r="D52" s="24" t="s">
        <v>433</v>
      </c>
      <c r="E52" s="24">
        <v>10</v>
      </c>
      <c r="F52" s="24">
        <v>0</v>
      </c>
      <c r="G52" s="24" t="s">
        <v>67</v>
      </c>
      <c r="H52" s="24">
        <v>0</v>
      </c>
      <c r="I52" s="24">
        <v>0</v>
      </c>
      <c r="J52" s="24">
        <v>0</v>
      </c>
      <c r="K52" s="24">
        <v>0</v>
      </c>
      <c r="L52" s="24">
        <v>0</v>
      </c>
      <c r="M52" s="24">
        <v>0</v>
      </c>
      <c r="N52" s="24">
        <v>0</v>
      </c>
      <c r="O52" s="24">
        <v>0</v>
      </c>
      <c r="P52" s="24">
        <v>0</v>
      </c>
      <c r="Q52" s="24">
        <v>0</v>
      </c>
      <c r="R52" s="24">
        <v>0</v>
      </c>
      <c r="S52" s="24">
        <v>0</v>
      </c>
      <c r="T52" s="28">
        <f t="shared" si="1"/>
        <v>0</v>
      </c>
      <c r="U52" s="28">
        <f t="shared" si="2"/>
        <v>0</v>
      </c>
      <c r="V52" s="29">
        <f>IF(O52&gt;0,((VLOOKUP(E52,ACs!G$4:P$53,7)*P52)+(VLOOKUP(E52,ACs!G$4:P$53,6)*(1-P52)))*O52*F52,0)</f>
        <v>0</v>
      </c>
      <c r="W52" s="29">
        <f>IF(E52&gt;0,VLOOKUP(E52,ACs!G$4:P$53,10)*Q52*F52,0)</f>
        <v>0</v>
      </c>
      <c r="X52" s="29">
        <f t="shared" si="3"/>
        <v>0</v>
      </c>
      <c r="Y52" s="29">
        <f t="shared" si="4"/>
        <v>0</v>
      </c>
      <c r="Z52" s="29">
        <f t="shared" si="5"/>
        <v>0</v>
      </c>
      <c r="AA52" s="29">
        <f t="shared" si="6"/>
        <v>0</v>
      </c>
      <c r="AB52" s="30" t="str">
        <f t="shared" si="7"/>
        <v xml:space="preserve"> </v>
      </c>
      <c r="AC52" s="30" t="str">
        <f t="shared" si="8"/>
        <v xml:space="preserve"> </v>
      </c>
      <c r="AD52" s="31" t="str">
        <f t="shared" si="9"/>
        <v xml:space="preserve"> </v>
      </c>
      <c r="AE52" s="29">
        <f t="shared" si="10"/>
        <v>0</v>
      </c>
      <c r="AF52" s="29">
        <f t="shared" si="11"/>
        <v>0</v>
      </c>
      <c r="AG52" s="29">
        <f t="shared" si="12"/>
        <v>0</v>
      </c>
      <c r="AH52" s="29">
        <f t="shared" si="13"/>
        <v>0</v>
      </c>
      <c r="AI52" s="29">
        <f t="shared" si="14"/>
        <v>0</v>
      </c>
      <c r="AJ52" s="30" t="str">
        <f t="shared" si="15"/>
        <v xml:space="preserve"> </v>
      </c>
      <c r="AK52" s="30" t="str">
        <f t="shared" si="16"/>
        <v xml:space="preserve"> </v>
      </c>
      <c r="AL52" s="30" t="str">
        <f t="shared" si="17"/>
        <v xml:space="preserve"> </v>
      </c>
      <c r="AM52" s="32" t="str">
        <f t="shared" si="18"/>
        <v xml:space="preserve"> </v>
      </c>
      <c r="AN52" s="32" t="str">
        <f t="shared" si="19"/>
        <v xml:space="preserve"> </v>
      </c>
      <c r="AO52" s="32" t="str">
        <f t="shared" si="20"/>
        <v xml:space="preserve"> </v>
      </c>
      <c r="AP52" s="32" t="str">
        <f t="shared" si="21"/>
        <v xml:space="preserve"> </v>
      </c>
      <c r="AQ52" s="33">
        <f t="shared" si="22"/>
        <v>0</v>
      </c>
      <c r="AR52" s="27">
        <v>0.87</v>
      </c>
      <c r="AS52" s="30" t="str">
        <f t="shared" si="39"/>
        <v xml:space="preserve"> </v>
      </c>
      <c r="AT52" s="33">
        <f t="shared" si="40"/>
        <v>0</v>
      </c>
      <c r="AU52" s="32">
        <v>1</v>
      </c>
      <c r="AV52" s="33">
        <f t="shared" si="23"/>
        <v>0</v>
      </c>
      <c r="AW52" s="33">
        <f t="shared" si="24"/>
        <v>0</v>
      </c>
      <c r="AX52" s="30" t="str">
        <f t="shared" si="0"/>
        <v xml:space="preserve"> </v>
      </c>
      <c r="AY52" s="29">
        <f t="shared" si="25"/>
        <v>0</v>
      </c>
      <c r="AZ52" s="29">
        <f t="shared" si="26"/>
        <v>0</v>
      </c>
      <c r="BA52" s="30" t="str">
        <f t="shared" si="41"/>
        <v xml:space="preserve"> </v>
      </c>
      <c r="BB52" s="34">
        <f t="shared" si="27"/>
        <v>0</v>
      </c>
      <c r="BC52" s="35">
        <f t="shared" si="28"/>
        <v>0</v>
      </c>
      <c r="BD52" s="27">
        <v>1</v>
      </c>
      <c r="BE52" s="36">
        <f t="shared" si="29"/>
        <v>0</v>
      </c>
      <c r="BF52" s="36">
        <f t="shared" si="30"/>
        <v>0</v>
      </c>
      <c r="BG52" s="30" t="str">
        <f t="shared" si="31"/>
        <v xml:space="preserve"> </v>
      </c>
      <c r="BH52" s="33">
        <f t="shared" si="32"/>
        <v>0</v>
      </c>
      <c r="BI52" s="27">
        <v>1</v>
      </c>
      <c r="BJ52" s="36">
        <f t="shared" si="33"/>
        <v>0</v>
      </c>
      <c r="BK52" s="37">
        <f t="shared" si="34"/>
        <v>0</v>
      </c>
      <c r="BL52" s="30" t="str">
        <f t="shared" si="35"/>
        <v xml:space="preserve"> </v>
      </c>
      <c r="BM52" s="26">
        <f t="shared" si="36"/>
        <v>0</v>
      </c>
      <c r="BO52" s="50">
        <f t="shared" si="37"/>
        <v>0</v>
      </c>
      <c r="BP52" s="50">
        <f t="shared" si="38"/>
        <v>0</v>
      </c>
    </row>
    <row r="53" spans="1:68">
      <c r="A53" s="16" t="s">
        <v>116</v>
      </c>
      <c r="B53" s="1" t="s">
        <v>66</v>
      </c>
      <c r="C53" s="24">
        <v>0</v>
      </c>
      <c r="D53" s="24" t="s">
        <v>433</v>
      </c>
      <c r="E53" s="24">
        <v>10</v>
      </c>
      <c r="F53" s="24">
        <v>0</v>
      </c>
      <c r="G53" s="24" t="s">
        <v>67</v>
      </c>
      <c r="H53" s="24">
        <v>0</v>
      </c>
      <c r="I53" s="24">
        <v>0</v>
      </c>
      <c r="J53" s="24">
        <v>0</v>
      </c>
      <c r="K53" s="24">
        <v>0</v>
      </c>
      <c r="L53" s="24">
        <v>0</v>
      </c>
      <c r="M53" s="24">
        <v>0</v>
      </c>
      <c r="N53" s="24">
        <v>0</v>
      </c>
      <c r="O53" s="24">
        <v>0</v>
      </c>
      <c r="P53" s="24">
        <v>0</v>
      </c>
      <c r="Q53" s="24">
        <v>0</v>
      </c>
      <c r="R53" s="24">
        <v>0</v>
      </c>
      <c r="S53" s="24">
        <v>0</v>
      </c>
      <c r="T53" s="28">
        <f t="shared" si="1"/>
        <v>0</v>
      </c>
      <c r="U53" s="28">
        <f t="shared" si="2"/>
        <v>0</v>
      </c>
      <c r="V53" s="29">
        <f>IF(O53&gt;0,((VLOOKUP(E53,ACs!G$4:P$53,7)*P53)+(VLOOKUP(E53,ACs!G$4:P$53,6)*(1-P53)))*O53*F53,0)</f>
        <v>0</v>
      </c>
      <c r="W53" s="29">
        <f>IF(E53&gt;0,VLOOKUP(E53,ACs!G$4:P$53,10)*Q53*F53,0)</f>
        <v>0</v>
      </c>
      <c r="X53" s="29">
        <f t="shared" si="3"/>
        <v>0</v>
      </c>
      <c r="Y53" s="29">
        <f t="shared" si="4"/>
        <v>0</v>
      </c>
      <c r="Z53" s="29">
        <f t="shared" si="5"/>
        <v>0</v>
      </c>
      <c r="AA53" s="29">
        <f t="shared" si="6"/>
        <v>0</v>
      </c>
      <c r="AB53" s="30" t="str">
        <f t="shared" si="7"/>
        <v xml:space="preserve"> </v>
      </c>
      <c r="AC53" s="30" t="str">
        <f t="shared" si="8"/>
        <v xml:space="preserve"> </v>
      </c>
      <c r="AD53" s="31" t="str">
        <f t="shared" si="9"/>
        <v xml:space="preserve"> </v>
      </c>
      <c r="AE53" s="29">
        <f t="shared" si="10"/>
        <v>0</v>
      </c>
      <c r="AF53" s="29">
        <f t="shared" si="11"/>
        <v>0</v>
      </c>
      <c r="AG53" s="29">
        <f t="shared" si="12"/>
        <v>0</v>
      </c>
      <c r="AH53" s="29">
        <f t="shared" si="13"/>
        <v>0</v>
      </c>
      <c r="AI53" s="29">
        <f t="shared" si="14"/>
        <v>0</v>
      </c>
      <c r="AJ53" s="30" t="str">
        <f t="shared" si="15"/>
        <v xml:space="preserve"> </v>
      </c>
      <c r="AK53" s="30" t="str">
        <f t="shared" si="16"/>
        <v xml:space="preserve"> </v>
      </c>
      <c r="AL53" s="30" t="str">
        <f t="shared" si="17"/>
        <v xml:space="preserve"> </v>
      </c>
      <c r="AM53" s="32" t="str">
        <f t="shared" si="18"/>
        <v xml:space="preserve"> </v>
      </c>
      <c r="AN53" s="32" t="str">
        <f t="shared" si="19"/>
        <v xml:space="preserve"> </v>
      </c>
      <c r="AO53" s="32" t="str">
        <f t="shared" si="20"/>
        <v xml:space="preserve"> </v>
      </c>
      <c r="AP53" s="32" t="str">
        <f t="shared" si="21"/>
        <v xml:space="preserve"> </v>
      </c>
      <c r="AQ53" s="33">
        <f t="shared" si="22"/>
        <v>0</v>
      </c>
      <c r="AR53" s="27">
        <v>0.87</v>
      </c>
      <c r="AS53" s="30" t="str">
        <f t="shared" si="39"/>
        <v xml:space="preserve"> </v>
      </c>
      <c r="AT53" s="33">
        <f t="shared" si="40"/>
        <v>0</v>
      </c>
      <c r="AU53" s="32">
        <v>1</v>
      </c>
      <c r="AV53" s="33">
        <f t="shared" si="23"/>
        <v>0</v>
      </c>
      <c r="AW53" s="33">
        <f t="shared" si="24"/>
        <v>0</v>
      </c>
      <c r="AX53" s="30" t="str">
        <f t="shared" si="0"/>
        <v xml:space="preserve"> </v>
      </c>
      <c r="AY53" s="29">
        <f t="shared" si="25"/>
        <v>0</v>
      </c>
      <c r="AZ53" s="29">
        <f t="shared" si="26"/>
        <v>0</v>
      </c>
      <c r="BA53" s="30" t="str">
        <f t="shared" si="41"/>
        <v xml:space="preserve"> </v>
      </c>
      <c r="BB53" s="34">
        <f t="shared" si="27"/>
        <v>0</v>
      </c>
      <c r="BC53" s="35">
        <f t="shared" si="28"/>
        <v>0</v>
      </c>
      <c r="BD53" s="27">
        <v>1</v>
      </c>
      <c r="BE53" s="36">
        <f t="shared" si="29"/>
        <v>0</v>
      </c>
      <c r="BF53" s="36">
        <f t="shared" si="30"/>
        <v>0</v>
      </c>
      <c r="BG53" s="30" t="str">
        <f t="shared" si="31"/>
        <v xml:space="preserve"> </v>
      </c>
      <c r="BH53" s="33">
        <f t="shared" si="32"/>
        <v>0</v>
      </c>
      <c r="BI53" s="27">
        <v>1</v>
      </c>
      <c r="BJ53" s="36">
        <f t="shared" si="33"/>
        <v>0</v>
      </c>
      <c r="BK53" s="37">
        <f t="shared" si="34"/>
        <v>0</v>
      </c>
      <c r="BL53" s="30" t="str">
        <f t="shared" si="35"/>
        <v xml:space="preserve"> </v>
      </c>
      <c r="BM53" s="26">
        <f t="shared" si="36"/>
        <v>0</v>
      </c>
      <c r="BO53" s="50">
        <f t="shared" si="37"/>
        <v>0</v>
      </c>
      <c r="BP53" s="50">
        <f t="shared" si="38"/>
        <v>0</v>
      </c>
    </row>
    <row r="54" spans="1:68">
      <c r="A54" s="16" t="s">
        <v>117</v>
      </c>
      <c r="B54" s="1" t="s">
        <v>66</v>
      </c>
      <c r="C54" s="24">
        <v>0</v>
      </c>
      <c r="D54" s="24" t="s">
        <v>433</v>
      </c>
      <c r="E54" s="24">
        <v>10</v>
      </c>
      <c r="F54" s="24">
        <v>0</v>
      </c>
      <c r="G54" s="24" t="s">
        <v>67</v>
      </c>
      <c r="H54" s="24">
        <v>0</v>
      </c>
      <c r="I54" s="24">
        <v>0</v>
      </c>
      <c r="J54" s="24">
        <v>0</v>
      </c>
      <c r="K54" s="24">
        <v>0</v>
      </c>
      <c r="L54" s="24">
        <v>0</v>
      </c>
      <c r="M54" s="24">
        <v>0</v>
      </c>
      <c r="N54" s="24">
        <v>0</v>
      </c>
      <c r="O54" s="24">
        <v>0</v>
      </c>
      <c r="P54" s="24">
        <v>0</v>
      </c>
      <c r="Q54" s="24">
        <v>0</v>
      </c>
      <c r="R54" s="24">
        <v>0</v>
      </c>
      <c r="S54" s="24">
        <v>0</v>
      </c>
      <c r="T54" s="28">
        <f t="shared" si="1"/>
        <v>0</v>
      </c>
      <c r="U54" s="28">
        <f t="shared" si="2"/>
        <v>0</v>
      </c>
      <c r="V54" s="29">
        <f>IF(O54&gt;0,((VLOOKUP(E54,ACs!G$4:P$53,7)*P54)+(VLOOKUP(E54,ACs!G$4:P$53,6)*(1-P54)))*O54*F54,0)</f>
        <v>0</v>
      </c>
      <c r="W54" s="29">
        <f>IF(E54&gt;0,VLOOKUP(E54,ACs!G$4:P$53,10)*Q54*F54,0)</f>
        <v>0</v>
      </c>
      <c r="X54" s="29">
        <f t="shared" si="3"/>
        <v>0</v>
      </c>
      <c r="Y54" s="29">
        <f t="shared" si="4"/>
        <v>0</v>
      </c>
      <c r="Z54" s="29">
        <f t="shared" si="5"/>
        <v>0</v>
      </c>
      <c r="AA54" s="29">
        <f t="shared" si="6"/>
        <v>0</v>
      </c>
      <c r="AB54" s="30" t="str">
        <f t="shared" si="7"/>
        <v xml:space="preserve"> </v>
      </c>
      <c r="AC54" s="30" t="str">
        <f t="shared" si="8"/>
        <v xml:space="preserve"> </v>
      </c>
      <c r="AD54" s="31" t="str">
        <f t="shared" si="9"/>
        <v xml:space="preserve"> </v>
      </c>
      <c r="AE54" s="29">
        <f t="shared" si="10"/>
        <v>0</v>
      </c>
      <c r="AF54" s="29">
        <f t="shared" si="11"/>
        <v>0</v>
      </c>
      <c r="AG54" s="29">
        <f t="shared" si="12"/>
        <v>0</v>
      </c>
      <c r="AH54" s="29">
        <f t="shared" si="13"/>
        <v>0</v>
      </c>
      <c r="AI54" s="29">
        <f t="shared" si="14"/>
        <v>0</v>
      </c>
      <c r="AJ54" s="30" t="str">
        <f t="shared" si="15"/>
        <v xml:space="preserve"> </v>
      </c>
      <c r="AK54" s="30" t="str">
        <f t="shared" si="16"/>
        <v xml:space="preserve"> </v>
      </c>
      <c r="AL54" s="30" t="str">
        <f t="shared" si="17"/>
        <v xml:space="preserve"> </v>
      </c>
      <c r="AM54" s="32" t="str">
        <f t="shared" si="18"/>
        <v xml:space="preserve"> </v>
      </c>
      <c r="AN54" s="32" t="str">
        <f t="shared" si="19"/>
        <v xml:space="preserve"> </v>
      </c>
      <c r="AO54" s="32" t="str">
        <f t="shared" si="20"/>
        <v xml:space="preserve"> </v>
      </c>
      <c r="AP54" s="32" t="str">
        <f t="shared" si="21"/>
        <v xml:space="preserve"> </v>
      </c>
      <c r="AQ54" s="33">
        <f t="shared" si="22"/>
        <v>0</v>
      </c>
      <c r="AR54" s="27">
        <v>0.87</v>
      </c>
      <c r="AS54" s="30" t="str">
        <f t="shared" si="39"/>
        <v xml:space="preserve"> </v>
      </c>
      <c r="AT54" s="33">
        <f t="shared" si="40"/>
        <v>0</v>
      </c>
      <c r="AU54" s="32">
        <v>1</v>
      </c>
      <c r="AV54" s="33">
        <f t="shared" si="23"/>
        <v>0</v>
      </c>
      <c r="AW54" s="33">
        <f t="shared" si="24"/>
        <v>0</v>
      </c>
      <c r="AX54" s="30" t="str">
        <f t="shared" si="0"/>
        <v xml:space="preserve"> </v>
      </c>
      <c r="AY54" s="29">
        <f t="shared" si="25"/>
        <v>0</v>
      </c>
      <c r="AZ54" s="29">
        <f t="shared" si="26"/>
        <v>0</v>
      </c>
      <c r="BA54" s="30" t="str">
        <f t="shared" si="41"/>
        <v xml:space="preserve"> </v>
      </c>
      <c r="BB54" s="34">
        <f t="shared" si="27"/>
        <v>0</v>
      </c>
      <c r="BC54" s="35">
        <f t="shared" si="28"/>
        <v>0</v>
      </c>
      <c r="BD54" s="27">
        <v>1</v>
      </c>
      <c r="BE54" s="36">
        <f t="shared" si="29"/>
        <v>0</v>
      </c>
      <c r="BF54" s="36">
        <f t="shared" si="30"/>
        <v>0</v>
      </c>
      <c r="BG54" s="30" t="str">
        <f t="shared" si="31"/>
        <v xml:space="preserve"> </v>
      </c>
      <c r="BH54" s="33">
        <f t="shared" si="32"/>
        <v>0</v>
      </c>
      <c r="BI54" s="27">
        <v>1</v>
      </c>
      <c r="BJ54" s="36">
        <f t="shared" si="33"/>
        <v>0</v>
      </c>
      <c r="BK54" s="37">
        <f t="shared" si="34"/>
        <v>0</v>
      </c>
      <c r="BL54" s="30" t="str">
        <f t="shared" si="35"/>
        <v xml:space="preserve"> </v>
      </c>
      <c r="BM54" s="26">
        <f t="shared" si="36"/>
        <v>0</v>
      </c>
      <c r="BO54" s="50">
        <f t="shared" si="37"/>
        <v>0</v>
      </c>
      <c r="BP54" s="50">
        <f t="shared" si="38"/>
        <v>0</v>
      </c>
    </row>
    <row r="55" spans="1:68">
      <c r="A55" s="16" t="s">
        <v>118</v>
      </c>
      <c r="B55" s="1" t="s">
        <v>66</v>
      </c>
      <c r="C55" s="24">
        <v>0</v>
      </c>
      <c r="D55" s="24" t="s">
        <v>433</v>
      </c>
      <c r="E55" s="24">
        <v>10</v>
      </c>
      <c r="F55" s="24">
        <v>0</v>
      </c>
      <c r="G55" s="24" t="s">
        <v>67</v>
      </c>
      <c r="H55" s="24">
        <v>0</v>
      </c>
      <c r="I55" s="24">
        <v>0</v>
      </c>
      <c r="J55" s="24">
        <v>0</v>
      </c>
      <c r="K55" s="24">
        <v>0</v>
      </c>
      <c r="L55" s="24">
        <v>0</v>
      </c>
      <c r="M55" s="24">
        <v>0</v>
      </c>
      <c r="N55" s="24">
        <v>0</v>
      </c>
      <c r="O55" s="24">
        <v>0</v>
      </c>
      <c r="P55" s="24">
        <v>0</v>
      </c>
      <c r="Q55" s="24">
        <v>0</v>
      </c>
      <c r="R55" s="24">
        <v>0</v>
      </c>
      <c r="S55" s="24">
        <v>0</v>
      </c>
      <c r="T55" s="28">
        <f t="shared" si="1"/>
        <v>0</v>
      </c>
      <c r="U55" s="28">
        <f t="shared" si="2"/>
        <v>0</v>
      </c>
      <c r="V55" s="29">
        <f>IF(O55&gt;0,((VLOOKUP(E55,ACs!G$4:P$53,7)*P55)+(VLOOKUP(E55,ACs!G$4:P$53,6)*(1-P55)))*O55*F55,0)</f>
        <v>0</v>
      </c>
      <c r="W55" s="29">
        <f>IF(E55&gt;0,VLOOKUP(E55,ACs!G$4:P$53,10)*Q55*F55,0)</f>
        <v>0</v>
      </c>
      <c r="X55" s="29">
        <f t="shared" si="3"/>
        <v>0</v>
      </c>
      <c r="Y55" s="29">
        <f t="shared" si="4"/>
        <v>0</v>
      </c>
      <c r="Z55" s="29">
        <f t="shared" si="5"/>
        <v>0</v>
      </c>
      <c r="AA55" s="29">
        <f t="shared" si="6"/>
        <v>0</v>
      </c>
      <c r="AB55" s="30" t="str">
        <f t="shared" si="7"/>
        <v xml:space="preserve"> </v>
      </c>
      <c r="AC55" s="30" t="str">
        <f t="shared" si="8"/>
        <v xml:space="preserve"> </v>
      </c>
      <c r="AD55" s="31" t="str">
        <f t="shared" si="9"/>
        <v xml:space="preserve"> </v>
      </c>
      <c r="AE55" s="29">
        <f t="shared" si="10"/>
        <v>0</v>
      </c>
      <c r="AF55" s="29">
        <f t="shared" si="11"/>
        <v>0</v>
      </c>
      <c r="AG55" s="29">
        <f t="shared" si="12"/>
        <v>0</v>
      </c>
      <c r="AH55" s="29">
        <f t="shared" si="13"/>
        <v>0</v>
      </c>
      <c r="AI55" s="29">
        <f t="shared" si="14"/>
        <v>0</v>
      </c>
      <c r="AJ55" s="30" t="str">
        <f t="shared" si="15"/>
        <v xml:space="preserve"> </v>
      </c>
      <c r="AK55" s="30" t="str">
        <f t="shared" si="16"/>
        <v xml:space="preserve"> </v>
      </c>
      <c r="AL55" s="30" t="str">
        <f t="shared" si="17"/>
        <v xml:space="preserve"> </v>
      </c>
      <c r="AM55" s="32" t="str">
        <f t="shared" si="18"/>
        <v xml:space="preserve"> </v>
      </c>
      <c r="AN55" s="32" t="str">
        <f t="shared" si="19"/>
        <v xml:space="preserve"> </v>
      </c>
      <c r="AO55" s="32" t="str">
        <f t="shared" si="20"/>
        <v xml:space="preserve"> </v>
      </c>
      <c r="AP55" s="32" t="str">
        <f t="shared" si="21"/>
        <v xml:space="preserve"> </v>
      </c>
      <c r="AQ55" s="33">
        <f t="shared" si="22"/>
        <v>0</v>
      </c>
      <c r="AR55" s="27">
        <v>0.87</v>
      </c>
      <c r="AS55" s="30" t="str">
        <f t="shared" si="39"/>
        <v xml:space="preserve"> </v>
      </c>
      <c r="AT55" s="33">
        <f t="shared" si="40"/>
        <v>0</v>
      </c>
      <c r="AU55" s="32">
        <v>1</v>
      </c>
      <c r="AV55" s="33">
        <f t="shared" si="23"/>
        <v>0</v>
      </c>
      <c r="AW55" s="33">
        <f t="shared" si="24"/>
        <v>0</v>
      </c>
      <c r="AX55" s="30" t="str">
        <f t="shared" si="0"/>
        <v xml:space="preserve"> </v>
      </c>
      <c r="AY55" s="29">
        <f t="shared" si="25"/>
        <v>0</v>
      </c>
      <c r="AZ55" s="29">
        <f t="shared" si="26"/>
        <v>0</v>
      </c>
      <c r="BA55" s="30" t="str">
        <f t="shared" si="41"/>
        <v xml:space="preserve"> </v>
      </c>
      <c r="BB55" s="34">
        <f t="shared" si="27"/>
        <v>0</v>
      </c>
      <c r="BC55" s="35">
        <f t="shared" si="28"/>
        <v>0</v>
      </c>
      <c r="BD55" s="27">
        <v>1</v>
      </c>
      <c r="BE55" s="36">
        <f t="shared" si="29"/>
        <v>0</v>
      </c>
      <c r="BF55" s="36">
        <f t="shared" si="30"/>
        <v>0</v>
      </c>
      <c r="BG55" s="30" t="str">
        <f t="shared" si="31"/>
        <v xml:space="preserve"> </v>
      </c>
      <c r="BH55" s="33">
        <f t="shared" si="32"/>
        <v>0</v>
      </c>
      <c r="BI55" s="27">
        <v>1</v>
      </c>
      <c r="BJ55" s="36">
        <f t="shared" si="33"/>
        <v>0</v>
      </c>
      <c r="BK55" s="37">
        <f t="shared" si="34"/>
        <v>0</v>
      </c>
      <c r="BL55" s="30" t="str">
        <f t="shared" si="35"/>
        <v xml:space="preserve"> </v>
      </c>
      <c r="BM55" s="26">
        <f t="shared" si="36"/>
        <v>0</v>
      </c>
      <c r="BO55" s="50">
        <f t="shared" si="37"/>
        <v>0</v>
      </c>
      <c r="BP55" s="50">
        <f t="shared" si="38"/>
        <v>0</v>
      </c>
    </row>
    <row r="56" spans="1:68">
      <c r="A56" s="16" t="s">
        <v>119</v>
      </c>
      <c r="B56" s="1" t="s">
        <v>66</v>
      </c>
      <c r="C56" s="24">
        <v>0</v>
      </c>
      <c r="D56" s="24" t="s">
        <v>433</v>
      </c>
      <c r="E56" s="24">
        <v>10</v>
      </c>
      <c r="F56" s="24">
        <v>0</v>
      </c>
      <c r="G56" s="24" t="s">
        <v>67</v>
      </c>
      <c r="H56" s="24">
        <v>0</v>
      </c>
      <c r="I56" s="24">
        <v>0</v>
      </c>
      <c r="J56" s="24">
        <v>0</v>
      </c>
      <c r="K56" s="24">
        <v>0</v>
      </c>
      <c r="L56" s="24">
        <v>0</v>
      </c>
      <c r="M56" s="24">
        <v>0</v>
      </c>
      <c r="N56" s="24">
        <v>0</v>
      </c>
      <c r="O56" s="24">
        <v>0</v>
      </c>
      <c r="P56" s="24">
        <v>0</v>
      </c>
      <c r="Q56" s="24">
        <v>0</v>
      </c>
      <c r="R56" s="24">
        <v>0</v>
      </c>
      <c r="S56" s="24">
        <v>0</v>
      </c>
      <c r="T56" s="28">
        <f t="shared" si="1"/>
        <v>0</v>
      </c>
      <c r="U56" s="28">
        <f t="shared" si="2"/>
        <v>0</v>
      </c>
      <c r="V56" s="29">
        <f>IF(O56&gt;0,((VLOOKUP(E56,ACs!G$4:P$53,7)*P56)+(VLOOKUP(E56,ACs!G$4:P$53,6)*(1-P56)))*O56*F56,0)</f>
        <v>0</v>
      </c>
      <c r="W56" s="29">
        <f>IF(E56&gt;0,VLOOKUP(E56,ACs!G$4:P$53,10)*Q56*F56,0)</f>
        <v>0</v>
      </c>
      <c r="X56" s="29">
        <f t="shared" si="3"/>
        <v>0</v>
      </c>
      <c r="Y56" s="29">
        <f t="shared" si="4"/>
        <v>0</v>
      </c>
      <c r="Z56" s="29">
        <f t="shared" si="5"/>
        <v>0</v>
      </c>
      <c r="AA56" s="29">
        <f t="shared" si="6"/>
        <v>0</v>
      </c>
      <c r="AB56" s="30" t="str">
        <f t="shared" si="7"/>
        <v xml:space="preserve"> </v>
      </c>
      <c r="AC56" s="30" t="str">
        <f t="shared" si="8"/>
        <v xml:space="preserve"> </v>
      </c>
      <c r="AD56" s="31" t="str">
        <f t="shared" si="9"/>
        <v xml:space="preserve"> </v>
      </c>
      <c r="AE56" s="29">
        <f t="shared" si="10"/>
        <v>0</v>
      </c>
      <c r="AF56" s="29">
        <f t="shared" si="11"/>
        <v>0</v>
      </c>
      <c r="AG56" s="29">
        <f t="shared" si="12"/>
        <v>0</v>
      </c>
      <c r="AH56" s="29">
        <f t="shared" si="13"/>
        <v>0</v>
      </c>
      <c r="AI56" s="29">
        <f t="shared" si="14"/>
        <v>0</v>
      </c>
      <c r="AJ56" s="30" t="str">
        <f t="shared" si="15"/>
        <v xml:space="preserve"> </v>
      </c>
      <c r="AK56" s="30" t="str">
        <f t="shared" si="16"/>
        <v xml:space="preserve"> </v>
      </c>
      <c r="AL56" s="30" t="str">
        <f t="shared" si="17"/>
        <v xml:space="preserve"> </v>
      </c>
      <c r="AM56" s="32" t="str">
        <f t="shared" si="18"/>
        <v xml:space="preserve"> </v>
      </c>
      <c r="AN56" s="32" t="str">
        <f t="shared" si="19"/>
        <v xml:space="preserve"> </v>
      </c>
      <c r="AO56" s="32" t="str">
        <f t="shared" si="20"/>
        <v xml:space="preserve"> </v>
      </c>
      <c r="AP56" s="32" t="str">
        <f t="shared" si="21"/>
        <v xml:space="preserve"> </v>
      </c>
      <c r="AQ56" s="33">
        <f t="shared" si="22"/>
        <v>0</v>
      </c>
      <c r="AR56" s="27">
        <v>0.87</v>
      </c>
      <c r="AS56" s="30" t="str">
        <f t="shared" si="39"/>
        <v xml:space="preserve"> </v>
      </c>
      <c r="AT56" s="33">
        <f t="shared" si="40"/>
        <v>0</v>
      </c>
      <c r="AU56" s="32">
        <v>1</v>
      </c>
      <c r="AV56" s="33">
        <f t="shared" si="23"/>
        <v>0</v>
      </c>
      <c r="AW56" s="33">
        <f t="shared" si="24"/>
        <v>0</v>
      </c>
      <c r="AX56" s="30" t="str">
        <f t="shared" si="0"/>
        <v xml:space="preserve"> </v>
      </c>
      <c r="AY56" s="29">
        <f t="shared" si="25"/>
        <v>0</v>
      </c>
      <c r="AZ56" s="29">
        <f t="shared" si="26"/>
        <v>0</v>
      </c>
      <c r="BA56" s="30" t="str">
        <f t="shared" si="41"/>
        <v xml:space="preserve"> </v>
      </c>
      <c r="BB56" s="34">
        <f t="shared" si="27"/>
        <v>0</v>
      </c>
      <c r="BC56" s="35">
        <f t="shared" si="28"/>
        <v>0</v>
      </c>
      <c r="BD56" s="27">
        <v>1</v>
      </c>
      <c r="BE56" s="36">
        <f t="shared" si="29"/>
        <v>0</v>
      </c>
      <c r="BF56" s="36">
        <f t="shared" si="30"/>
        <v>0</v>
      </c>
      <c r="BG56" s="30" t="str">
        <f t="shared" si="31"/>
        <v xml:space="preserve"> </v>
      </c>
      <c r="BH56" s="33">
        <f t="shared" si="32"/>
        <v>0</v>
      </c>
      <c r="BI56" s="27">
        <v>1</v>
      </c>
      <c r="BJ56" s="36">
        <f t="shared" si="33"/>
        <v>0</v>
      </c>
      <c r="BK56" s="37">
        <f t="shared" si="34"/>
        <v>0</v>
      </c>
      <c r="BL56" s="30" t="str">
        <f t="shared" si="35"/>
        <v xml:space="preserve"> </v>
      </c>
      <c r="BM56" s="26">
        <f t="shared" si="36"/>
        <v>0</v>
      </c>
      <c r="BO56" s="50">
        <f t="shared" si="37"/>
        <v>0</v>
      </c>
      <c r="BP56" s="50">
        <f t="shared" si="38"/>
        <v>0</v>
      </c>
    </row>
    <row r="57" spans="1:68">
      <c r="A57" s="16" t="s">
        <v>120</v>
      </c>
      <c r="B57" s="1" t="s">
        <v>66</v>
      </c>
      <c r="C57" s="24">
        <v>0</v>
      </c>
      <c r="D57" s="24" t="s">
        <v>433</v>
      </c>
      <c r="E57" s="24">
        <v>10</v>
      </c>
      <c r="F57" s="24">
        <v>0</v>
      </c>
      <c r="G57" s="24" t="s">
        <v>67</v>
      </c>
      <c r="H57" s="24">
        <v>0</v>
      </c>
      <c r="I57" s="24">
        <v>0</v>
      </c>
      <c r="J57" s="24">
        <v>0</v>
      </c>
      <c r="K57" s="24">
        <v>0</v>
      </c>
      <c r="L57" s="24">
        <v>0</v>
      </c>
      <c r="M57" s="24">
        <v>0</v>
      </c>
      <c r="N57" s="24">
        <v>0</v>
      </c>
      <c r="O57" s="24">
        <v>0</v>
      </c>
      <c r="P57" s="24">
        <v>0</v>
      </c>
      <c r="Q57" s="24">
        <v>0</v>
      </c>
      <c r="R57" s="24">
        <v>0</v>
      </c>
      <c r="S57" s="24">
        <v>0</v>
      </c>
      <c r="T57" s="28">
        <f t="shared" si="1"/>
        <v>0</v>
      </c>
      <c r="U57" s="28">
        <f t="shared" si="2"/>
        <v>0</v>
      </c>
      <c r="V57" s="29">
        <f>IF(O57&gt;0,((VLOOKUP(E57,ACs!G$4:P$53,7)*P57)+(VLOOKUP(E57,ACs!G$4:P$53,6)*(1-P57)))*O57*F57,0)</f>
        <v>0</v>
      </c>
      <c r="W57" s="29">
        <f>IF(E57&gt;0,VLOOKUP(E57,ACs!G$4:P$53,10)*Q57*F57,0)</f>
        <v>0</v>
      </c>
      <c r="X57" s="29">
        <f t="shared" si="3"/>
        <v>0</v>
      </c>
      <c r="Y57" s="29">
        <f t="shared" si="4"/>
        <v>0</v>
      </c>
      <c r="Z57" s="29">
        <f t="shared" si="5"/>
        <v>0</v>
      </c>
      <c r="AA57" s="29">
        <f t="shared" si="6"/>
        <v>0</v>
      </c>
      <c r="AB57" s="30" t="str">
        <f t="shared" si="7"/>
        <v xml:space="preserve"> </v>
      </c>
      <c r="AC57" s="30" t="str">
        <f t="shared" si="8"/>
        <v xml:space="preserve"> </v>
      </c>
      <c r="AD57" s="31" t="str">
        <f t="shared" si="9"/>
        <v xml:space="preserve"> </v>
      </c>
      <c r="AE57" s="29">
        <f t="shared" si="10"/>
        <v>0</v>
      </c>
      <c r="AF57" s="29">
        <f t="shared" si="11"/>
        <v>0</v>
      </c>
      <c r="AG57" s="29">
        <f t="shared" si="12"/>
        <v>0</v>
      </c>
      <c r="AH57" s="29">
        <f t="shared" si="13"/>
        <v>0</v>
      </c>
      <c r="AI57" s="29">
        <f t="shared" si="14"/>
        <v>0</v>
      </c>
      <c r="AJ57" s="30" t="str">
        <f t="shared" si="15"/>
        <v xml:space="preserve"> </v>
      </c>
      <c r="AK57" s="30" t="str">
        <f t="shared" si="16"/>
        <v xml:space="preserve"> </v>
      </c>
      <c r="AL57" s="30" t="str">
        <f t="shared" si="17"/>
        <v xml:space="preserve"> </v>
      </c>
      <c r="AM57" s="32" t="str">
        <f t="shared" si="18"/>
        <v xml:space="preserve"> </v>
      </c>
      <c r="AN57" s="32" t="str">
        <f t="shared" si="19"/>
        <v xml:space="preserve"> </v>
      </c>
      <c r="AO57" s="32" t="str">
        <f t="shared" si="20"/>
        <v xml:space="preserve"> </v>
      </c>
      <c r="AP57" s="32" t="str">
        <f t="shared" si="21"/>
        <v xml:space="preserve"> </v>
      </c>
      <c r="AQ57" s="33">
        <f t="shared" si="22"/>
        <v>0</v>
      </c>
      <c r="AR57" s="27">
        <v>0.87</v>
      </c>
      <c r="AS57" s="30" t="str">
        <f t="shared" si="39"/>
        <v xml:space="preserve"> </v>
      </c>
      <c r="AT57" s="33">
        <f t="shared" si="40"/>
        <v>0</v>
      </c>
      <c r="AU57" s="32">
        <v>1</v>
      </c>
      <c r="AV57" s="33">
        <f t="shared" si="23"/>
        <v>0</v>
      </c>
      <c r="AW57" s="33">
        <f t="shared" si="24"/>
        <v>0</v>
      </c>
      <c r="AX57" s="30" t="str">
        <f t="shared" si="0"/>
        <v xml:space="preserve"> </v>
      </c>
      <c r="AY57" s="29">
        <f t="shared" si="25"/>
        <v>0</v>
      </c>
      <c r="AZ57" s="29">
        <f t="shared" si="26"/>
        <v>0</v>
      </c>
      <c r="BA57" s="30" t="str">
        <f t="shared" si="41"/>
        <v xml:space="preserve"> </v>
      </c>
      <c r="BB57" s="34">
        <f t="shared" si="27"/>
        <v>0</v>
      </c>
      <c r="BC57" s="35">
        <f t="shared" si="28"/>
        <v>0</v>
      </c>
      <c r="BD57" s="27">
        <v>1</v>
      </c>
      <c r="BE57" s="36">
        <f t="shared" si="29"/>
        <v>0</v>
      </c>
      <c r="BF57" s="36">
        <f t="shared" si="30"/>
        <v>0</v>
      </c>
      <c r="BG57" s="30" t="str">
        <f t="shared" si="31"/>
        <v xml:space="preserve"> </v>
      </c>
      <c r="BH57" s="33">
        <f t="shared" si="32"/>
        <v>0</v>
      </c>
      <c r="BI57" s="27">
        <v>1</v>
      </c>
      <c r="BJ57" s="36">
        <f t="shared" si="33"/>
        <v>0</v>
      </c>
      <c r="BK57" s="37">
        <f t="shared" si="34"/>
        <v>0</v>
      </c>
      <c r="BL57" s="30" t="str">
        <f t="shared" si="35"/>
        <v xml:space="preserve"> </v>
      </c>
      <c r="BM57" s="26">
        <f t="shared" si="36"/>
        <v>0</v>
      </c>
      <c r="BO57" s="50">
        <f t="shared" si="37"/>
        <v>0</v>
      </c>
      <c r="BP57" s="50">
        <f t="shared" si="38"/>
        <v>0</v>
      </c>
    </row>
    <row r="58" spans="1:68">
      <c r="A58" s="16">
        <v>0</v>
      </c>
      <c r="B58" s="1" t="s">
        <v>66</v>
      </c>
      <c r="C58" s="24">
        <v>0</v>
      </c>
      <c r="D58" s="24" t="s">
        <v>433</v>
      </c>
      <c r="E58" s="24">
        <v>10</v>
      </c>
      <c r="F58" s="24">
        <v>0</v>
      </c>
      <c r="G58" s="24" t="s">
        <v>67</v>
      </c>
      <c r="H58" s="24">
        <v>0</v>
      </c>
      <c r="I58" s="24">
        <v>0</v>
      </c>
      <c r="J58" s="24">
        <v>0</v>
      </c>
      <c r="K58" s="24">
        <v>0</v>
      </c>
      <c r="L58" s="24">
        <v>0</v>
      </c>
      <c r="M58" s="24">
        <v>0</v>
      </c>
      <c r="N58" s="24">
        <v>0</v>
      </c>
      <c r="O58" s="24">
        <v>0</v>
      </c>
      <c r="P58" s="24">
        <v>0</v>
      </c>
      <c r="Q58" s="24">
        <v>0</v>
      </c>
      <c r="R58" s="24">
        <v>0</v>
      </c>
      <c r="S58" s="24">
        <v>0</v>
      </c>
      <c r="T58" s="28">
        <f t="shared" si="1"/>
        <v>0</v>
      </c>
      <c r="U58" s="28">
        <f t="shared" si="2"/>
        <v>0</v>
      </c>
      <c r="V58" s="29">
        <f>IF(O58&gt;0,((VLOOKUP(E58,ACs!G$4:P$53,7)*P58)+(VLOOKUP(E58,ACs!G$4:P$53,6)*(1-P58)))*O58*F58,0)</f>
        <v>0</v>
      </c>
      <c r="W58" s="29">
        <f>IF(E58&gt;0,VLOOKUP(E58,ACs!G$4:P$53,10)*Q58*F58,0)</f>
        <v>0</v>
      </c>
      <c r="X58" s="29">
        <f t="shared" si="3"/>
        <v>0</v>
      </c>
      <c r="Y58" s="29">
        <f t="shared" si="4"/>
        <v>0</v>
      </c>
      <c r="Z58" s="29">
        <f t="shared" si="5"/>
        <v>0</v>
      </c>
      <c r="AA58" s="29">
        <f t="shared" si="6"/>
        <v>0</v>
      </c>
      <c r="AB58" s="30" t="str">
        <f t="shared" si="7"/>
        <v xml:space="preserve"> </v>
      </c>
      <c r="AC58" s="30" t="str">
        <f t="shared" si="8"/>
        <v xml:space="preserve"> </v>
      </c>
      <c r="AD58" s="31" t="str">
        <f t="shared" si="9"/>
        <v xml:space="preserve"> </v>
      </c>
      <c r="AE58" s="29">
        <f t="shared" si="10"/>
        <v>0</v>
      </c>
      <c r="AF58" s="29">
        <f t="shared" si="11"/>
        <v>0</v>
      </c>
      <c r="AG58" s="29">
        <f t="shared" si="12"/>
        <v>0</v>
      </c>
      <c r="AH58" s="29">
        <f t="shared" si="13"/>
        <v>0</v>
      </c>
      <c r="AI58" s="29">
        <f t="shared" si="14"/>
        <v>0</v>
      </c>
      <c r="AJ58" s="30" t="str">
        <f t="shared" si="15"/>
        <v xml:space="preserve"> </v>
      </c>
      <c r="AK58" s="30" t="str">
        <f t="shared" si="16"/>
        <v xml:space="preserve"> </v>
      </c>
      <c r="AL58" s="30" t="str">
        <f t="shared" si="17"/>
        <v xml:space="preserve"> </v>
      </c>
      <c r="AM58" s="32" t="str">
        <f t="shared" si="18"/>
        <v xml:space="preserve"> </v>
      </c>
      <c r="AN58" s="32" t="str">
        <f t="shared" si="19"/>
        <v xml:space="preserve"> </v>
      </c>
      <c r="AO58" s="32" t="str">
        <f t="shared" si="20"/>
        <v xml:space="preserve"> </v>
      </c>
      <c r="AP58" s="32" t="str">
        <f t="shared" si="21"/>
        <v xml:space="preserve"> </v>
      </c>
      <c r="AQ58" s="33">
        <f t="shared" si="22"/>
        <v>0</v>
      </c>
      <c r="AR58" s="27">
        <v>0.87</v>
      </c>
      <c r="AS58" s="30" t="str">
        <f t="shared" si="39"/>
        <v xml:space="preserve"> </v>
      </c>
      <c r="AT58" s="33">
        <f t="shared" si="40"/>
        <v>0</v>
      </c>
      <c r="AU58" s="32">
        <v>1</v>
      </c>
      <c r="AV58" s="33">
        <f t="shared" si="23"/>
        <v>0</v>
      </c>
      <c r="AW58" s="33">
        <f t="shared" si="24"/>
        <v>0</v>
      </c>
      <c r="AX58" s="30" t="str">
        <f t="shared" si="0"/>
        <v xml:space="preserve"> </v>
      </c>
      <c r="AY58" s="29">
        <f t="shared" si="25"/>
        <v>0</v>
      </c>
      <c r="AZ58" s="29">
        <f t="shared" si="26"/>
        <v>0</v>
      </c>
      <c r="BA58" s="30" t="str">
        <f t="shared" si="41"/>
        <v xml:space="preserve"> </v>
      </c>
      <c r="BB58" s="34">
        <f t="shared" si="27"/>
        <v>0</v>
      </c>
      <c r="BC58" s="35">
        <f t="shared" si="28"/>
        <v>0</v>
      </c>
      <c r="BD58" s="27">
        <v>1</v>
      </c>
      <c r="BE58" s="36">
        <f t="shared" si="29"/>
        <v>0</v>
      </c>
      <c r="BF58" s="36">
        <f t="shared" si="30"/>
        <v>0</v>
      </c>
      <c r="BG58" s="30" t="str">
        <f t="shared" si="31"/>
        <v xml:space="preserve"> </v>
      </c>
      <c r="BH58" s="33">
        <f t="shared" si="32"/>
        <v>0</v>
      </c>
      <c r="BI58" s="27">
        <v>1</v>
      </c>
      <c r="BJ58" s="36">
        <f t="shared" si="33"/>
        <v>0</v>
      </c>
      <c r="BK58" s="37">
        <f t="shared" si="34"/>
        <v>0</v>
      </c>
      <c r="BL58" s="30" t="str">
        <f t="shared" si="35"/>
        <v xml:space="preserve"> </v>
      </c>
      <c r="BM58" s="26">
        <f t="shared" si="36"/>
        <v>0</v>
      </c>
      <c r="BO58" s="50">
        <f t="shared" si="37"/>
        <v>0</v>
      </c>
      <c r="BP58" s="50">
        <f t="shared" si="38"/>
        <v>0</v>
      </c>
    </row>
    <row r="59" spans="1:68">
      <c r="A59" s="16" t="s">
        <v>121</v>
      </c>
      <c r="B59" s="1" t="s">
        <v>66</v>
      </c>
      <c r="C59" s="24">
        <v>0</v>
      </c>
      <c r="D59" s="24" t="s">
        <v>433</v>
      </c>
      <c r="E59" s="24">
        <v>10</v>
      </c>
      <c r="F59" s="24">
        <v>0</v>
      </c>
      <c r="G59" s="24" t="s">
        <v>67</v>
      </c>
      <c r="H59" s="24">
        <v>0</v>
      </c>
      <c r="I59" s="24">
        <v>0</v>
      </c>
      <c r="J59" s="24">
        <v>0</v>
      </c>
      <c r="K59" s="24">
        <v>0</v>
      </c>
      <c r="L59" s="24">
        <v>0</v>
      </c>
      <c r="M59" s="24">
        <v>0</v>
      </c>
      <c r="N59" s="24">
        <v>0</v>
      </c>
      <c r="O59" s="24">
        <v>0</v>
      </c>
      <c r="P59" s="24">
        <v>0</v>
      </c>
      <c r="Q59" s="24">
        <v>0</v>
      </c>
      <c r="R59" s="24">
        <v>0</v>
      </c>
      <c r="S59" s="24">
        <v>0</v>
      </c>
      <c r="T59" s="28">
        <f t="shared" si="1"/>
        <v>0</v>
      </c>
      <c r="U59" s="28">
        <f t="shared" si="2"/>
        <v>0</v>
      </c>
      <c r="V59" s="29">
        <f>IF(O59&gt;0,((VLOOKUP(E59,ACs!G$4:P$53,7)*P59)+(VLOOKUP(E59,ACs!G$4:P$53,6)*(1-P59)))*O59*F59,0)</f>
        <v>0</v>
      </c>
      <c r="W59" s="29">
        <f>IF(E59&gt;0,VLOOKUP(E59,ACs!G$4:P$53,10)*Q59*F59,0)</f>
        <v>0</v>
      </c>
      <c r="X59" s="29">
        <f t="shared" si="3"/>
        <v>0</v>
      </c>
      <c r="Y59" s="29">
        <f t="shared" si="4"/>
        <v>0</v>
      </c>
      <c r="Z59" s="29">
        <f t="shared" si="5"/>
        <v>0</v>
      </c>
      <c r="AA59" s="29">
        <f t="shared" si="6"/>
        <v>0</v>
      </c>
      <c r="AB59" s="30" t="str">
        <f t="shared" si="7"/>
        <v xml:space="preserve"> </v>
      </c>
      <c r="AC59" s="30" t="str">
        <f t="shared" si="8"/>
        <v xml:space="preserve"> </v>
      </c>
      <c r="AD59" s="31" t="str">
        <f t="shared" si="9"/>
        <v xml:space="preserve"> </v>
      </c>
      <c r="AE59" s="29">
        <f t="shared" si="10"/>
        <v>0</v>
      </c>
      <c r="AF59" s="29">
        <f t="shared" si="11"/>
        <v>0</v>
      </c>
      <c r="AG59" s="29">
        <f t="shared" si="12"/>
        <v>0</v>
      </c>
      <c r="AH59" s="29">
        <f t="shared" si="13"/>
        <v>0</v>
      </c>
      <c r="AI59" s="29">
        <f t="shared" si="14"/>
        <v>0</v>
      </c>
      <c r="AJ59" s="30" t="str">
        <f t="shared" si="15"/>
        <v xml:space="preserve"> </v>
      </c>
      <c r="AK59" s="30" t="str">
        <f t="shared" si="16"/>
        <v xml:space="preserve"> </v>
      </c>
      <c r="AL59" s="30" t="str">
        <f t="shared" si="17"/>
        <v xml:space="preserve"> </v>
      </c>
      <c r="AM59" s="32" t="str">
        <f t="shared" si="18"/>
        <v xml:space="preserve"> </v>
      </c>
      <c r="AN59" s="32" t="str">
        <f t="shared" si="19"/>
        <v xml:space="preserve"> </v>
      </c>
      <c r="AO59" s="32" t="str">
        <f t="shared" si="20"/>
        <v xml:space="preserve"> </v>
      </c>
      <c r="AP59" s="32" t="str">
        <f t="shared" si="21"/>
        <v xml:space="preserve"> </v>
      </c>
      <c r="AQ59" s="33">
        <f t="shared" si="22"/>
        <v>0</v>
      </c>
      <c r="AR59" s="27">
        <v>0.87</v>
      </c>
      <c r="AS59" s="30" t="str">
        <f t="shared" si="39"/>
        <v xml:space="preserve"> </v>
      </c>
      <c r="AT59" s="33">
        <f t="shared" si="40"/>
        <v>0</v>
      </c>
      <c r="AU59" s="32">
        <v>1</v>
      </c>
      <c r="AV59" s="33">
        <f t="shared" si="23"/>
        <v>0</v>
      </c>
      <c r="AW59" s="33">
        <f t="shared" si="24"/>
        <v>0</v>
      </c>
      <c r="AX59" s="30" t="str">
        <f t="shared" si="0"/>
        <v xml:space="preserve"> </v>
      </c>
      <c r="AY59" s="29">
        <f t="shared" si="25"/>
        <v>0</v>
      </c>
      <c r="AZ59" s="29">
        <f t="shared" si="26"/>
        <v>0</v>
      </c>
      <c r="BA59" s="30" t="str">
        <f t="shared" si="41"/>
        <v xml:space="preserve"> </v>
      </c>
      <c r="BB59" s="34">
        <f t="shared" si="27"/>
        <v>0</v>
      </c>
      <c r="BC59" s="35">
        <f t="shared" si="28"/>
        <v>0</v>
      </c>
      <c r="BD59" s="27">
        <v>1</v>
      </c>
      <c r="BE59" s="36">
        <f t="shared" si="29"/>
        <v>0</v>
      </c>
      <c r="BF59" s="36">
        <f t="shared" si="30"/>
        <v>0</v>
      </c>
      <c r="BG59" s="30" t="str">
        <f t="shared" si="31"/>
        <v xml:space="preserve"> </v>
      </c>
      <c r="BH59" s="33">
        <f t="shared" si="32"/>
        <v>0</v>
      </c>
      <c r="BI59" s="27">
        <v>1</v>
      </c>
      <c r="BJ59" s="36">
        <f t="shared" si="33"/>
        <v>0</v>
      </c>
      <c r="BK59" s="37">
        <f t="shared" si="34"/>
        <v>0</v>
      </c>
      <c r="BL59" s="30" t="str">
        <f t="shared" si="35"/>
        <v xml:space="preserve"> </v>
      </c>
      <c r="BM59" s="26">
        <f t="shared" si="36"/>
        <v>0</v>
      </c>
      <c r="BO59" s="50">
        <f t="shared" si="37"/>
        <v>0</v>
      </c>
      <c r="BP59" s="50">
        <f t="shared" si="38"/>
        <v>0</v>
      </c>
    </row>
    <row r="60" spans="1:68">
      <c r="A60" s="16" t="s">
        <v>122</v>
      </c>
      <c r="B60" s="1" t="s">
        <v>66</v>
      </c>
      <c r="C60" s="24">
        <v>0</v>
      </c>
      <c r="D60" s="24" t="s">
        <v>433</v>
      </c>
      <c r="E60" s="24">
        <v>10</v>
      </c>
      <c r="F60" s="24">
        <v>0</v>
      </c>
      <c r="G60" s="24" t="s">
        <v>67</v>
      </c>
      <c r="H60" s="24">
        <v>0</v>
      </c>
      <c r="I60" s="24">
        <v>0</v>
      </c>
      <c r="J60" s="24">
        <v>0</v>
      </c>
      <c r="K60" s="24">
        <v>0</v>
      </c>
      <c r="L60" s="24">
        <v>0</v>
      </c>
      <c r="M60" s="24">
        <v>0</v>
      </c>
      <c r="N60" s="24">
        <v>0</v>
      </c>
      <c r="O60" s="24">
        <v>0</v>
      </c>
      <c r="P60" s="24">
        <v>0</v>
      </c>
      <c r="Q60" s="24">
        <v>0</v>
      </c>
      <c r="R60" s="24">
        <v>0</v>
      </c>
      <c r="S60" s="24">
        <v>0</v>
      </c>
      <c r="T60" s="28">
        <f t="shared" si="1"/>
        <v>0</v>
      </c>
      <c r="U60" s="28">
        <f t="shared" si="2"/>
        <v>0</v>
      </c>
      <c r="V60" s="29">
        <f>IF(O60&gt;0,((VLOOKUP(E60,ACs!G$4:P$53,7)*P60)+(VLOOKUP(E60,ACs!G$4:P$53,6)*(1-P60)))*O60*F60,0)</f>
        <v>0</v>
      </c>
      <c r="W60" s="29">
        <f>IF(E60&gt;0,VLOOKUP(E60,ACs!G$4:P$53,10)*Q60*F60,0)</f>
        <v>0</v>
      </c>
      <c r="X60" s="29">
        <f t="shared" si="3"/>
        <v>0</v>
      </c>
      <c r="Y60" s="29">
        <f t="shared" si="4"/>
        <v>0</v>
      </c>
      <c r="Z60" s="29">
        <f t="shared" si="5"/>
        <v>0</v>
      </c>
      <c r="AA60" s="29">
        <f t="shared" si="6"/>
        <v>0</v>
      </c>
      <c r="AB60" s="30" t="str">
        <f t="shared" si="7"/>
        <v xml:space="preserve"> </v>
      </c>
      <c r="AC60" s="30" t="str">
        <f t="shared" si="8"/>
        <v xml:space="preserve"> </v>
      </c>
      <c r="AD60" s="31" t="str">
        <f t="shared" si="9"/>
        <v xml:space="preserve"> </v>
      </c>
      <c r="AE60" s="29">
        <f t="shared" si="10"/>
        <v>0</v>
      </c>
      <c r="AF60" s="29">
        <f t="shared" si="11"/>
        <v>0</v>
      </c>
      <c r="AG60" s="29">
        <f t="shared" si="12"/>
        <v>0</v>
      </c>
      <c r="AH60" s="29">
        <f t="shared" si="13"/>
        <v>0</v>
      </c>
      <c r="AI60" s="29">
        <f t="shared" si="14"/>
        <v>0</v>
      </c>
      <c r="AJ60" s="30" t="str">
        <f t="shared" si="15"/>
        <v xml:space="preserve"> </v>
      </c>
      <c r="AK60" s="30" t="str">
        <f t="shared" si="16"/>
        <v xml:space="preserve"> </v>
      </c>
      <c r="AL60" s="30" t="str">
        <f t="shared" si="17"/>
        <v xml:space="preserve"> </v>
      </c>
      <c r="AM60" s="32" t="str">
        <f t="shared" si="18"/>
        <v xml:space="preserve"> </v>
      </c>
      <c r="AN60" s="32" t="str">
        <f t="shared" si="19"/>
        <v xml:space="preserve"> </v>
      </c>
      <c r="AO60" s="32" t="str">
        <f t="shared" si="20"/>
        <v xml:space="preserve"> </v>
      </c>
      <c r="AP60" s="32" t="str">
        <f t="shared" si="21"/>
        <v xml:space="preserve"> </v>
      </c>
      <c r="AQ60" s="33">
        <f t="shared" si="22"/>
        <v>0</v>
      </c>
      <c r="AR60" s="27">
        <v>0.87</v>
      </c>
      <c r="AS60" s="30" t="str">
        <f t="shared" si="39"/>
        <v xml:space="preserve"> </v>
      </c>
      <c r="AT60" s="33">
        <f t="shared" si="40"/>
        <v>0</v>
      </c>
      <c r="AU60" s="32">
        <v>1</v>
      </c>
      <c r="AV60" s="33">
        <f t="shared" si="23"/>
        <v>0</v>
      </c>
      <c r="AW60" s="33">
        <f t="shared" si="24"/>
        <v>0</v>
      </c>
      <c r="AX60" s="30" t="str">
        <f t="shared" si="0"/>
        <v xml:space="preserve"> </v>
      </c>
      <c r="AY60" s="29">
        <f t="shared" si="25"/>
        <v>0</v>
      </c>
      <c r="AZ60" s="29">
        <f t="shared" si="26"/>
        <v>0</v>
      </c>
      <c r="BA60" s="30" t="str">
        <f t="shared" si="41"/>
        <v xml:space="preserve"> </v>
      </c>
      <c r="BB60" s="34">
        <f t="shared" si="27"/>
        <v>0</v>
      </c>
      <c r="BC60" s="35">
        <f t="shared" si="28"/>
        <v>0</v>
      </c>
      <c r="BD60" s="27">
        <v>1</v>
      </c>
      <c r="BE60" s="36">
        <f t="shared" si="29"/>
        <v>0</v>
      </c>
      <c r="BF60" s="36">
        <f t="shared" si="30"/>
        <v>0</v>
      </c>
      <c r="BG60" s="30" t="str">
        <f t="shared" si="31"/>
        <v xml:space="preserve"> </v>
      </c>
      <c r="BH60" s="33">
        <f t="shared" si="32"/>
        <v>0</v>
      </c>
      <c r="BI60" s="27">
        <v>1</v>
      </c>
      <c r="BJ60" s="36">
        <f t="shared" si="33"/>
        <v>0</v>
      </c>
      <c r="BK60" s="37">
        <f t="shared" si="34"/>
        <v>0</v>
      </c>
      <c r="BL60" s="30" t="str">
        <f t="shared" si="35"/>
        <v xml:space="preserve"> </v>
      </c>
      <c r="BM60" s="26">
        <f t="shared" si="36"/>
        <v>0</v>
      </c>
      <c r="BO60" s="50">
        <f t="shared" si="37"/>
        <v>0</v>
      </c>
      <c r="BP60" s="50">
        <f t="shared" si="38"/>
        <v>0</v>
      </c>
    </row>
    <row r="61" spans="1:68">
      <c r="A61" s="16" t="s">
        <v>123</v>
      </c>
      <c r="B61" s="1" t="s">
        <v>66</v>
      </c>
      <c r="C61" s="24">
        <v>0</v>
      </c>
      <c r="D61" s="24" t="s">
        <v>433</v>
      </c>
      <c r="E61" s="24">
        <v>10</v>
      </c>
      <c r="F61" s="24">
        <v>0</v>
      </c>
      <c r="G61" s="24" t="s">
        <v>67</v>
      </c>
      <c r="H61" s="24">
        <v>0</v>
      </c>
      <c r="I61" s="24">
        <v>0</v>
      </c>
      <c r="J61" s="24">
        <v>0</v>
      </c>
      <c r="K61" s="24">
        <v>0</v>
      </c>
      <c r="L61" s="24">
        <v>0</v>
      </c>
      <c r="M61" s="24">
        <v>0</v>
      </c>
      <c r="N61" s="24">
        <v>0</v>
      </c>
      <c r="O61" s="24">
        <v>0</v>
      </c>
      <c r="P61" s="24">
        <v>0</v>
      </c>
      <c r="Q61" s="24">
        <v>0</v>
      </c>
      <c r="R61" s="24">
        <v>0</v>
      </c>
      <c r="S61" s="24">
        <v>0</v>
      </c>
      <c r="T61" s="28">
        <f t="shared" si="1"/>
        <v>0</v>
      </c>
      <c r="U61" s="28">
        <f t="shared" si="2"/>
        <v>0</v>
      </c>
      <c r="V61" s="29">
        <f>IF(O61&gt;0,((VLOOKUP(E61,ACs!G$4:P$53,7)*P61)+(VLOOKUP(E61,ACs!G$4:P$53,6)*(1-P61)))*O61*F61,0)</f>
        <v>0</v>
      </c>
      <c r="W61" s="29">
        <f>IF(E61&gt;0,VLOOKUP(E61,ACs!G$4:P$53,10)*Q61*F61,0)</f>
        <v>0</v>
      </c>
      <c r="X61" s="29">
        <f t="shared" si="3"/>
        <v>0</v>
      </c>
      <c r="Y61" s="29">
        <f t="shared" si="4"/>
        <v>0</v>
      </c>
      <c r="Z61" s="29">
        <f t="shared" si="5"/>
        <v>0</v>
      </c>
      <c r="AA61" s="29">
        <f t="shared" si="6"/>
        <v>0</v>
      </c>
      <c r="AB61" s="30" t="str">
        <f t="shared" si="7"/>
        <v xml:space="preserve"> </v>
      </c>
      <c r="AC61" s="30" t="str">
        <f t="shared" si="8"/>
        <v xml:space="preserve"> </v>
      </c>
      <c r="AD61" s="31" t="str">
        <f t="shared" si="9"/>
        <v xml:space="preserve"> </v>
      </c>
      <c r="AE61" s="29">
        <f t="shared" si="10"/>
        <v>0</v>
      </c>
      <c r="AF61" s="29">
        <f t="shared" si="11"/>
        <v>0</v>
      </c>
      <c r="AG61" s="29">
        <f t="shared" si="12"/>
        <v>0</v>
      </c>
      <c r="AH61" s="29">
        <f t="shared" si="13"/>
        <v>0</v>
      </c>
      <c r="AI61" s="29">
        <f t="shared" si="14"/>
        <v>0</v>
      </c>
      <c r="AJ61" s="30" t="str">
        <f t="shared" si="15"/>
        <v xml:space="preserve"> </v>
      </c>
      <c r="AK61" s="30" t="str">
        <f t="shared" si="16"/>
        <v xml:space="preserve"> </v>
      </c>
      <c r="AL61" s="30" t="str">
        <f t="shared" si="17"/>
        <v xml:space="preserve"> </v>
      </c>
      <c r="AM61" s="32" t="str">
        <f t="shared" si="18"/>
        <v xml:space="preserve"> </v>
      </c>
      <c r="AN61" s="32" t="str">
        <f t="shared" si="19"/>
        <v xml:space="preserve"> </v>
      </c>
      <c r="AO61" s="32" t="str">
        <f t="shared" si="20"/>
        <v xml:space="preserve"> </v>
      </c>
      <c r="AP61" s="32" t="str">
        <f t="shared" si="21"/>
        <v xml:space="preserve"> </v>
      </c>
      <c r="AQ61" s="33">
        <f t="shared" si="22"/>
        <v>0</v>
      </c>
      <c r="AR61" s="27">
        <v>0.87</v>
      </c>
      <c r="AS61" s="30" t="str">
        <f t="shared" si="39"/>
        <v xml:space="preserve"> </v>
      </c>
      <c r="AT61" s="33">
        <f t="shared" si="40"/>
        <v>0</v>
      </c>
      <c r="AU61" s="32">
        <v>1</v>
      </c>
      <c r="AV61" s="33">
        <f t="shared" si="23"/>
        <v>0</v>
      </c>
      <c r="AW61" s="33">
        <f t="shared" si="24"/>
        <v>0</v>
      </c>
      <c r="AX61" s="30" t="str">
        <f t="shared" si="0"/>
        <v xml:space="preserve"> </v>
      </c>
      <c r="AY61" s="29">
        <f t="shared" si="25"/>
        <v>0</v>
      </c>
      <c r="AZ61" s="29">
        <f t="shared" si="26"/>
        <v>0</v>
      </c>
      <c r="BA61" s="30" t="str">
        <f t="shared" si="41"/>
        <v xml:space="preserve"> </v>
      </c>
      <c r="BB61" s="34">
        <f t="shared" si="27"/>
        <v>0</v>
      </c>
      <c r="BC61" s="35">
        <f t="shared" si="28"/>
        <v>0</v>
      </c>
      <c r="BD61" s="27">
        <v>1</v>
      </c>
      <c r="BE61" s="36">
        <f t="shared" si="29"/>
        <v>0</v>
      </c>
      <c r="BF61" s="36">
        <f t="shared" si="30"/>
        <v>0</v>
      </c>
      <c r="BG61" s="30" t="str">
        <f t="shared" si="31"/>
        <v xml:space="preserve"> </v>
      </c>
      <c r="BH61" s="33">
        <f t="shared" si="32"/>
        <v>0</v>
      </c>
      <c r="BI61" s="27">
        <v>1</v>
      </c>
      <c r="BJ61" s="36">
        <f t="shared" si="33"/>
        <v>0</v>
      </c>
      <c r="BK61" s="37">
        <f t="shared" si="34"/>
        <v>0</v>
      </c>
      <c r="BL61" s="30" t="str">
        <f t="shared" si="35"/>
        <v xml:space="preserve"> </v>
      </c>
      <c r="BM61" s="26">
        <f t="shared" si="36"/>
        <v>0</v>
      </c>
      <c r="BO61" s="50">
        <f t="shared" si="37"/>
        <v>0</v>
      </c>
      <c r="BP61" s="50">
        <f t="shared" si="38"/>
        <v>0</v>
      </c>
    </row>
    <row r="62" spans="1:68">
      <c r="A62" s="16" t="s">
        <v>124</v>
      </c>
      <c r="B62" s="1" t="s">
        <v>66</v>
      </c>
      <c r="C62" s="24">
        <v>0</v>
      </c>
      <c r="D62" s="24" t="s">
        <v>433</v>
      </c>
      <c r="E62" s="24">
        <v>10</v>
      </c>
      <c r="F62" s="24">
        <v>0</v>
      </c>
      <c r="G62" s="24" t="s">
        <v>67</v>
      </c>
      <c r="H62" s="24">
        <v>0</v>
      </c>
      <c r="I62" s="24">
        <v>0</v>
      </c>
      <c r="J62" s="24">
        <v>0</v>
      </c>
      <c r="K62" s="24">
        <v>0</v>
      </c>
      <c r="L62" s="24">
        <v>0</v>
      </c>
      <c r="M62" s="24">
        <v>0</v>
      </c>
      <c r="N62" s="24">
        <v>0</v>
      </c>
      <c r="O62" s="24">
        <v>0</v>
      </c>
      <c r="P62" s="24">
        <v>0</v>
      </c>
      <c r="Q62" s="24">
        <v>0</v>
      </c>
      <c r="R62" s="24">
        <v>0</v>
      </c>
      <c r="S62" s="24">
        <v>0</v>
      </c>
      <c r="T62" s="28">
        <f t="shared" si="1"/>
        <v>0</v>
      </c>
      <c r="U62" s="28">
        <f t="shared" si="2"/>
        <v>0</v>
      </c>
      <c r="V62" s="29">
        <f>IF(O62&gt;0,((VLOOKUP(E62,ACs!G$4:P$53,7)*P62)+(VLOOKUP(E62,ACs!G$4:P$53,6)*(1-P62)))*O62*F62,0)</f>
        <v>0</v>
      </c>
      <c r="W62" s="29">
        <f>IF(E62&gt;0,VLOOKUP(E62,ACs!G$4:P$53,10)*Q62*F62,0)</f>
        <v>0</v>
      </c>
      <c r="X62" s="29">
        <f t="shared" si="3"/>
        <v>0</v>
      </c>
      <c r="Y62" s="29">
        <f t="shared" si="4"/>
        <v>0</v>
      </c>
      <c r="Z62" s="29">
        <f t="shared" si="5"/>
        <v>0</v>
      </c>
      <c r="AA62" s="29">
        <f t="shared" si="6"/>
        <v>0</v>
      </c>
      <c r="AB62" s="30" t="str">
        <f t="shared" si="7"/>
        <v xml:space="preserve"> </v>
      </c>
      <c r="AC62" s="30" t="str">
        <f t="shared" si="8"/>
        <v xml:space="preserve"> </v>
      </c>
      <c r="AD62" s="31" t="str">
        <f t="shared" si="9"/>
        <v xml:space="preserve"> </v>
      </c>
      <c r="AE62" s="29">
        <f t="shared" si="10"/>
        <v>0</v>
      </c>
      <c r="AF62" s="29">
        <f t="shared" si="11"/>
        <v>0</v>
      </c>
      <c r="AG62" s="29">
        <f t="shared" si="12"/>
        <v>0</v>
      </c>
      <c r="AH62" s="29">
        <f t="shared" si="13"/>
        <v>0</v>
      </c>
      <c r="AI62" s="29">
        <f t="shared" si="14"/>
        <v>0</v>
      </c>
      <c r="AJ62" s="30" t="str">
        <f t="shared" si="15"/>
        <v xml:space="preserve"> </v>
      </c>
      <c r="AK62" s="30" t="str">
        <f t="shared" si="16"/>
        <v xml:space="preserve"> </v>
      </c>
      <c r="AL62" s="30" t="str">
        <f t="shared" si="17"/>
        <v xml:space="preserve"> </v>
      </c>
      <c r="AM62" s="32" t="str">
        <f t="shared" si="18"/>
        <v xml:space="preserve"> </v>
      </c>
      <c r="AN62" s="32" t="str">
        <f t="shared" si="19"/>
        <v xml:space="preserve"> </v>
      </c>
      <c r="AO62" s="32" t="str">
        <f t="shared" si="20"/>
        <v xml:space="preserve"> </v>
      </c>
      <c r="AP62" s="32" t="str">
        <f t="shared" si="21"/>
        <v xml:space="preserve"> </v>
      </c>
      <c r="AQ62" s="33">
        <f t="shared" si="22"/>
        <v>0</v>
      </c>
      <c r="AR62" s="27">
        <v>0.87</v>
      </c>
      <c r="AS62" s="30" t="str">
        <f t="shared" si="39"/>
        <v xml:space="preserve"> </v>
      </c>
      <c r="AT62" s="33">
        <f t="shared" si="40"/>
        <v>0</v>
      </c>
      <c r="AU62" s="32">
        <v>1</v>
      </c>
      <c r="AV62" s="33">
        <f t="shared" si="23"/>
        <v>0</v>
      </c>
      <c r="AW62" s="33">
        <f t="shared" si="24"/>
        <v>0</v>
      </c>
      <c r="AX62" s="30" t="str">
        <f t="shared" si="0"/>
        <v xml:space="preserve"> </v>
      </c>
      <c r="AY62" s="29">
        <f t="shared" si="25"/>
        <v>0</v>
      </c>
      <c r="AZ62" s="29">
        <f t="shared" si="26"/>
        <v>0</v>
      </c>
      <c r="BA62" s="30" t="str">
        <f t="shared" si="41"/>
        <v xml:space="preserve"> </v>
      </c>
      <c r="BB62" s="34">
        <f t="shared" si="27"/>
        <v>0</v>
      </c>
      <c r="BC62" s="35">
        <f t="shared" si="28"/>
        <v>0</v>
      </c>
      <c r="BD62" s="27">
        <v>1</v>
      </c>
      <c r="BE62" s="36">
        <f t="shared" si="29"/>
        <v>0</v>
      </c>
      <c r="BF62" s="36">
        <f t="shared" si="30"/>
        <v>0</v>
      </c>
      <c r="BG62" s="30" t="str">
        <f t="shared" si="31"/>
        <v xml:space="preserve"> </v>
      </c>
      <c r="BH62" s="33">
        <f t="shared" si="32"/>
        <v>0</v>
      </c>
      <c r="BI62" s="27">
        <v>1</v>
      </c>
      <c r="BJ62" s="36">
        <f t="shared" si="33"/>
        <v>0</v>
      </c>
      <c r="BK62" s="37">
        <f t="shared" si="34"/>
        <v>0</v>
      </c>
      <c r="BL62" s="30" t="str">
        <f t="shared" si="35"/>
        <v xml:space="preserve"> </v>
      </c>
      <c r="BM62" s="26">
        <f t="shared" si="36"/>
        <v>0</v>
      </c>
      <c r="BO62" s="50">
        <f t="shared" si="37"/>
        <v>0</v>
      </c>
      <c r="BP62" s="50">
        <f t="shared" si="38"/>
        <v>0</v>
      </c>
    </row>
    <row r="63" spans="1:68">
      <c r="A63" s="16" t="s">
        <v>125</v>
      </c>
      <c r="B63" s="1" t="s">
        <v>66</v>
      </c>
      <c r="C63" s="24">
        <v>0</v>
      </c>
      <c r="D63" s="24" t="s">
        <v>433</v>
      </c>
      <c r="E63" s="24">
        <v>10</v>
      </c>
      <c r="F63" s="24">
        <v>0</v>
      </c>
      <c r="G63" s="24" t="s">
        <v>67</v>
      </c>
      <c r="H63" s="24">
        <v>0</v>
      </c>
      <c r="I63" s="24">
        <v>0</v>
      </c>
      <c r="J63" s="24">
        <v>0</v>
      </c>
      <c r="K63" s="24">
        <v>0</v>
      </c>
      <c r="L63" s="24">
        <v>0</v>
      </c>
      <c r="M63" s="24">
        <v>0</v>
      </c>
      <c r="N63" s="24">
        <v>0</v>
      </c>
      <c r="O63" s="24">
        <v>0</v>
      </c>
      <c r="P63" s="24">
        <v>0</v>
      </c>
      <c r="Q63" s="24">
        <v>0</v>
      </c>
      <c r="R63" s="24">
        <v>0</v>
      </c>
      <c r="S63" s="24">
        <v>0</v>
      </c>
      <c r="T63" s="28">
        <f t="shared" si="1"/>
        <v>0</v>
      </c>
      <c r="U63" s="28">
        <f t="shared" si="2"/>
        <v>0</v>
      </c>
      <c r="V63" s="29">
        <f>IF(O63&gt;0,((VLOOKUP(E63,ACs!G$4:P$53,7)*P63)+(VLOOKUP(E63,ACs!G$4:P$53,6)*(1-P63)))*O63*F63,0)</f>
        <v>0</v>
      </c>
      <c r="W63" s="29">
        <f>IF(E63&gt;0,VLOOKUP(E63,ACs!G$4:P$53,10)*Q63*F63,0)</f>
        <v>0</v>
      </c>
      <c r="X63" s="29">
        <f t="shared" si="3"/>
        <v>0</v>
      </c>
      <c r="Y63" s="29">
        <f t="shared" si="4"/>
        <v>0</v>
      </c>
      <c r="Z63" s="29">
        <f t="shared" si="5"/>
        <v>0</v>
      </c>
      <c r="AA63" s="29">
        <f t="shared" si="6"/>
        <v>0</v>
      </c>
      <c r="AB63" s="30" t="str">
        <f t="shared" si="7"/>
        <v xml:space="preserve"> </v>
      </c>
      <c r="AC63" s="30" t="str">
        <f t="shared" si="8"/>
        <v xml:space="preserve"> </v>
      </c>
      <c r="AD63" s="31" t="str">
        <f t="shared" si="9"/>
        <v xml:space="preserve"> </v>
      </c>
      <c r="AE63" s="29">
        <f t="shared" si="10"/>
        <v>0</v>
      </c>
      <c r="AF63" s="29">
        <f t="shared" si="11"/>
        <v>0</v>
      </c>
      <c r="AG63" s="29">
        <f t="shared" si="12"/>
        <v>0</v>
      </c>
      <c r="AH63" s="29">
        <f t="shared" si="13"/>
        <v>0</v>
      </c>
      <c r="AI63" s="29">
        <f t="shared" si="14"/>
        <v>0</v>
      </c>
      <c r="AJ63" s="30" t="str">
        <f t="shared" si="15"/>
        <v xml:space="preserve"> </v>
      </c>
      <c r="AK63" s="30" t="str">
        <f t="shared" si="16"/>
        <v xml:space="preserve"> </v>
      </c>
      <c r="AL63" s="30" t="str">
        <f t="shared" si="17"/>
        <v xml:space="preserve"> </v>
      </c>
      <c r="AM63" s="32" t="str">
        <f t="shared" si="18"/>
        <v xml:space="preserve"> </v>
      </c>
      <c r="AN63" s="32" t="str">
        <f t="shared" si="19"/>
        <v xml:space="preserve"> </v>
      </c>
      <c r="AO63" s="32" t="str">
        <f t="shared" si="20"/>
        <v xml:space="preserve"> </v>
      </c>
      <c r="AP63" s="32" t="str">
        <f t="shared" si="21"/>
        <v xml:space="preserve"> </v>
      </c>
      <c r="AQ63" s="33">
        <f t="shared" si="22"/>
        <v>0</v>
      </c>
      <c r="AR63" s="27">
        <v>0.87</v>
      </c>
      <c r="AS63" s="30" t="str">
        <f t="shared" si="39"/>
        <v xml:space="preserve"> </v>
      </c>
      <c r="AT63" s="33">
        <f t="shared" si="40"/>
        <v>0</v>
      </c>
      <c r="AU63" s="32">
        <v>1</v>
      </c>
      <c r="AV63" s="33">
        <f t="shared" si="23"/>
        <v>0</v>
      </c>
      <c r="AW63" s="33">
        <f t="shared" si="24"/>
        <v>0</v>
      </c>
      <c r="AX63" s="30" t="str">
        <f t="shared" si="0"/>
        <v xml:space="preserve"> </v>
      </c>
      <c r="AY63" s="29">
        <f t="shared" si="25"/>
        <v>0</v>
      </c>
      <c r="AZ63" s="29">
        <f t="shared" si="26"/>
        <v>0</v>
      </c>
      <c r="BA63" s="30" t="str">
        <f t="shared" si="41"/>
        <v xml:space="preserve"> </v>
      </c>
      <c r="BB63" s="34">
        <f t="shared" si="27"/>
        <v>0</v>
      </c>
      <c r="BC63" s="35">
        <f t="shared" si="28"/>
        <v>0</v>
      </c>
      <c r="BD63" s="27">
        <v>1</v>
      </c>
      <c r="BE63" s="36">
        <f t="shared" si="29"/>
        <v>0</v>
      </c>
      <c r="BF63" s="36">
        <f t="shared" si="30"/>
        <v>0</v>
      </c>
      <c r="BG63" s="30" t="str">
        <f t="shared" si="31"/>
        <v xml:space="preserve"> </v>
      </c>
      <c r="BH63" s="33">
        <f t="shared" si="32"/>
        <v>0</v>
      </c>
      <c r="BI63" s="27">
        <v>1</v>
      </c>
      <c r="BJ63" s="36">
        <f t="shared" si="33"/>
        <v>0</v>
      </c>
      <c r="BK63" s="37">
        <f t="shared" si="34"/>
        <v>0</v>
      </c>
      <c r="BL63" s="30" t="str">
        <f t="shared" si="35"/>
        <v xml:space="preserve"> </v>
      </c>
      <c r="BM63" s="26">
        <f t="shared" si="36"/>
        <v>0</v>
      </c>
      <c r="BO63" s="50">
        <f t="shared" si="37"/>
        <v>0</v>
      </c>
      <c r="BP63" s="50">
        <f t="shared" si="38"/>
        <v>0</v>
      </c>
    </row>
    <row r="64" spans="1:68">
      <c r="A64" s="16" t="s">
        <v>126</v>
      </c>
      <c r="B64" s="1" t="s">
        <v>66</v>
      </c>
      <c r="C64" s="24">
        <v>0</v>
      </c>
      <c r="D64" s="24" t="s">
        <v>433</v>
      </c>
      <c r="E64" s="24">
        <v>10</v>
      </c>
      <c r="F64" s="24">
        <v>0</v>
      </c>
      <c r="G64" s="24" t="s">
        <v>67</v>
      </c>
      <c r="H64" s="24">
        <v>0</v>
      </c>
      <c r="I64" s="24">
        <v>0</v>
      </c>
      <c r="J64" s="24">
        <v>0</v>
      </c>
      <c r="K64" s="24">
        <v>0</v>
      </c>
      <c r="L64" s="24">
        <v>0</v>
      </c>
      <c r="M64" s="24">
        <v>0</v>
      </c>
      <c r="N64" s="24">
        <v>0</v>
      </c>
      <c r="O64" s="24">
        <v>0</v>
      </c>
      <c r="P64" s="24">
        <v>0</v>
      </c>
      <c r="Q64" s="24">
        <v>0</v>
      </c>
      <c r="R64" s="24">
        <v>0</v>
      </c>
      <c r="S64" s="24">
        <v>0</v>
      </c>
      <c r="T64" s="28">
        <f t="shared" si="1"/>
        <v>0</v>
      </c>
      <c r="U64" s="28">
        <f t="shared" si="2"/>
        <v>0</v>
      </c>
      <c r="V64" s="29">
        <f>IF(O64&gt;0,((VLOOKUP(E64,ACs!G$4:P$53,7)*P64)+(VLOOKUP(E64,ACs!G$4:P$53,6)*(1-P64)))*O64*F64,0)</f>
        <v>0</v>
      </c>
      <c r="W64" s="29">
        <f>IF(E64&gt;0,VLOOKUP(E64,ACs!G$4:P$53,10)*Q64*F64,0)</f>
        <v>0</v>
      </c>
      <c r="X64" s="29">
        <f t="shared" si="3"/>
        <v>0</v>
      </c>
      <c r="Y64" s="29">
        <f t="shared" si="4"/>
        <v>0</v>
      </c>
      <c r="Z64" s="29">
        <f t="shared" si="5"/>
        <v>0</v>
      </c>
      <c r="AA64" s="29">
        <f t="shared" si="6"/>
        <v>0</v>
      </c>
      <c r="AB64" s="30" t="str">
        <f t="shared" si="7"/>
        <v xml:space="preserve"> </v>
      </c>
      <c r="AC64" s="30" t="str">
        <f t="shared" si="8"/>
        <v xml:space="preserve"> </v>
      </c>
      <c r="AD64" s="31" t="str">
        <f t="shared" si="9"/>
        <v xml:space="preserve"> </v>
      </c>
      <c r="AE64" s="29">
        <f t="shared" si="10"/>
        <v>0</v>
      </c>
      <c r="AF64" s="29">
        <f t="shared" si="11"/>
        <v>0</v>
      </c>
      <c r="AG64" s="29">
        <f t="shared" si="12"/>
        <v>0</v>
      </c>
      <c r="AH64" s="29">
        <f t="shared" si="13"/>
        <v>0</v>
      </c>
      <c r="AI64" s="29">
        <f t="shared" si="14"/>
        <v>0</v>
      </c>
      <c r="AJ64" s="30" t="str">
        <f t="shared" si="15"/>
        <v xml:space="preserve"> </v>
      </c>
      <c r="AK64" s="30" t="str">
        <f t="shared" si="16"/>
        <v xml:space="preserve"> </v>
      </c>
      <c r="AL64" s="30" t="str">
        <f t="shared" si="17"/>
        <v xml:space="preserve"> </v>
      </c>
      <c r="AM64" s="32" t="str">
        <f t="shared" si="18"/>
        <v xml:space="preserve"> </v>
      </c>
      <c r="AN64" s="32" t="str">
        <f t="shared" si="19"/>
        <v xml:space="preserve"> </v>
      </c>
      <c r="AO64" s="32" t="str">
        <f t="shared" si="20"/>
        <v xml:space="preserve"> </v>
      </c>
      <c r="AP64" s="32" t="str">
        <f t="shared" si="21"/>
        <v xml:space="preserve"> </v>
      </c>
      <c r="AQ64" s="33">
        <f t="shared" si="22"/>
        <v>0</v>
      </c>
      <c r="AR64" s="27">
        <v>0.87</v>
      </c>
      <c r="AS64" s="30" t="str">
        <f t="shared" si="39"/>
        <v xml:space="preserve"> </v>
      </c>
      <c r="AT64" s="33">
        <f t="shared" si="40"/>
        <v>0</v>
      </c>
      <c r="AU64" s="32">
        <v>1</v>
      </c>
      <c r="AV64" s="33">
        <f t="shared" si="23"/>
        <v>0</v>
      </c>
      <c r="AW64" s="33">
        <f t="shared" si="24"/>
        <v>0</v>
      </c>
      <c r="AX64" s="30" t="str">
        <f t="shared" si="0"/>
        <v xml:space="preserve"> </v>
      </c>
      <c r="AY64" s="29">
        <f t="shared" si="25"/>
        <v>0</v>
      </c>
      <c r="AZ64" s="29">
        <f t="shared" si="26"/>
        <v>0</v>
      </c>
      <c r="BA64" s="30" t="str">
        <f t="shared" si="41"/>
        <v xml:space="preserve"> </v>
      </c>
      <c r="BB64" s="34">
        <f t="shared" si="27"/>
        <v>0</v>
      </c>
      <c r="BC64" s="35">
        <f t="shared" si="28"/>
        <v>0</v>
      </c>
      <c r="BD64" s="27">
        <v>1</v>
      </c>
      <c r="BE64" s="36">
        <f t="shared" si="29"/>
        <v>0</v>
      </c>
      <c r="BF64" s="36">
        <f t="shared" si="30"/>
        <v>0</v>
      </c>
      <c r="BG64" s="30" t="str">
        <f t="shared" si="31"/>
        <v xml:space="preserve"> </v>
      </c>
      <c r="BH64" s="33">
        <f t="shared" si="32"/>
        <v>0</v>
      </c>
      <c r="BI64" s="27">
        <v>1</v>
      </c>
      <c r="BJ64" s="36">
        <f t="shared" si="33"/>
        <v>0</v>
      </c>
      <c r="BK64" s="37">
        <f t="shared" si="34"/>
        <v>0</v>
      </c>
      <c r="BL64" s="30" t="str">
        <f t="shared" si="35"/>
        <v xml:space="preserve"> </v>
      </c>
      <c r="BM64" s="26">
        <f t="shared" si="36"/>
        <v>0</v>
      </c>
      <c r="BO64" s="50">
        <f t="shared" si="37"/>
        <v>0</v>
      </c>
      <c r="BP64" s="50">
        <f t="shared" si="38"/>
        <v>0</v>
      </c>
    </row>
    <row r="65" spans="1:68">
      <c r="A65" s="16" t="s">
        <v>127</v>
      </c>
      <c r="B65" s="1" t="s">
        <v>66</v>
      </c>
      <c r="C65" s="24">
        <v>0</v>
      </c>
      <c r="D65" s="24" t="s">
        <v>433</v>
      </c>
      <c r="E65" s="24">
        <v>10</v>
      </c>
      <c r="F65" s="24">
        <v>0</v>
      </c>
      <c r="G65" s="24" t="s">
        <v>67</v>
      </c>
      <c r="H65" s="24">
        <v>0</v>
      </c>
      <c r="I65" s="24">
        <v>0</v>
      </c>
      <c r="J65" s="24">
        <v>0</v>
      </c>
      <c r="K65" s="24">
        <v>0</v>
      </c>
      <c r="L65" s="24">
        <v>0</v>
      </c>
      <c r="M65" s="24">
        <v>0</v>
      </c>
      <c r="N65" s="24">
        <v>0</v>
      </c>
      <c r="O65" s="24">
        <v>0</v>
      </c>
      <c r="P65" s="24">
        <v>0</v>
      </c>
      <c r="Q65" s="24">
        <v>0</v>
      </c>
      <c r="R65" s="24">
        <v>0</v>
      </c>
      <c r="S65" s="24">
        <v>0</v>
      </c>
      <c r="T65" s="28">
        <f t="shared" si="1"/>
        <v>0</v>
      </c>
      <c r="U65" s="28">
        <f t="shared" si="2"/>
        <v>0</v>
      </c>
      <c r="V65" s="29">
        <f>IF(O65&gt;0,((VLOOKUP(E65,ACs!G$4:P$53,7)*P65)+(VLOOKUP(E65,ACs!G$4:P$53,6)*(1-P65)))*O65*F65,0)</f>
        <v>0</v>
      </c>
      <c r="W65" s="29">
        <f>IF(E65&gt;0,VLOOKUP(E65,ACs!G$4:P$53,10)*Q65*F65,0)</f>
        <v>0</v>
      </c>
      <c r="X65" s="29">
        <f t="shared" si="3"/>
        <v>0</v>
      </c>
      <c r="Y65" s="29">
        <f t="shared" si="4"/>
        <v>0</v>
      </c>
      <c r="Z65" s="29">
        <f t="shared" si="5"/>
        <v>0</v>
      </c>
      <c r="AA65" s="29">
        <f t="shared" si="6"/>
        <v>0</v>
      </c>
      <c r="AB65" s="30" t="str">
        <f t="shared" si="7"/>
        <v xml:space="preserve"> </v>
      </c>
      <c r="AC65" s="30" t="str">
        <f t="shared" si="8"/>
        <v xml:space="preserve"> </v>
      </c>
      <c r="AD65" s="31" t="str">
        <f t="shared" si="9"/>
        <v xml:space="preserve"> </v>
      </c>
      <c r="AE65" s="29">
        <f t="shared" si="10"/>
        <v>0</v>
      </c>
      <c r="AF65" s="29">
        <f t="shared" si="11"/>
        <v>0</v>
      </c>
      <c r="AG65" s="29">
        <f t="shared" si="12"/>
        <v>0</v>
      </c>
      <c r="AH65" s="29">
        <f t="shared" si="13"/>
        <v>0</v>
      </c>
      <c r="AI65" s="29">
        <f t="shared" si="14"/>
        <v>0</v>
      </c>
      <c r="AJ65" s="30" t="str">
        <f t="shared" si="15"/>
        <v xml:space="preserve"> </v>
      </c>
      <c r="AK65" s="30" t="str">
        <f t="shared" si="16"/>
        <v xml:space="preserve"> </v>
      </c>
      <c r="AL65" s="30" t="str">
        <f t="shared" si="17"/>
        <v xml:space="preserve"> </v>
      </c>
      <c r="AM65" s="32" t="str">
        <f t="shared" si="18"/>
        <v xml:space="preserve"> </v>
      </c>
      <c r="AN65" s="32" t="str">
        <f t="shared" si="19"/>
        <v xml:space="preserve"> </v>
      </c>
      <c r="AO65" s="32" t="str">
        <f t="shared" si="20"/>
        <v xml:space="preserve"> </v>
      </c>
      <c r="AP65" s="32" t="str">
        <f t="shared" si="21"/>
        <v xml:space="preserve"> </v>
      </c>
      <c r="AQ65" s="33">
        <f t="shared" si="22"/>
        <v>0</v>
      </c>
      <c r="AR65" s="27">
        <v>0.87</v>
      </c>
      <c r="AS65" s="30" t="str">
        <f t="shared" si="39"/>
        <v xml:space="preserve"> </v>
      </c>
      <c r="AT65" s="33">
        <f t="shared" si="40"/>
        <v>0</v>
      </c>
      <c r="AU65" s="32">
        <v>1</v>
      </c>
      <c r="AV65" s="33">
        <f t="shared" si="23"/>
        <v>0</v>
      </c>
      <c r="AW65" s="33">
        <f t="shared" si="24"/>
        <v>0</v>
      </c>
      <c r="AX65" s="30" t="str">
        <f t="shared" si="0"/>
        <v xml:space="preserve"> </v>
      </c>
      <c r="AY65" s="29">
        <f t="shared" si="25"/>
        <v>0</v>
      </c>
      <c r="AZ65" s="29">
        <f t="shared" si="26"/>
        <v>0</v>
      </c>
      <c r="BA65" s="30" t="str">
        <f t="shared" si="41"/>
        <v xml:space="preserve"> </v>
      </c>
      <c r="BB65" s="34">
        <f t="shared" si="27"/>
        <v>0</v>
      </c>
      <c r="BC65" s="35">
        <f t="shared" si="28"/>
        <v>0</v>
      </c>
      <c r="BD65" s="27">
        <v>1</v>
      </c>
      <c r="BE65" s="36">
        <f t="shared" si="29"/>
        <v>0</v>
      </c>
      <c r="BF65" s="36">
        <f t="shared" si="30"/>
        <v>0</v>
      </c>
      <c r="BG65" s="30" t="str">
        <f t="shared" si="31"/>
        <v xml:space="preserve"> </v>
      </c>
      <c r="BH65" s="33">
        <f t="shared" si="32"/>
        <v>0</v>
      </c>
      <c r="BI65" s="27">
        <v>1</v>
      </c>
      <c r="BJ65" s="36">
        <f t="shared" si="33"/>
        <v>0</v>
      </c>
      <c r="BK65" s="37">
        <f t="shared" si="34"/>
        <v>0</v>
      </c>
      <c r="BL65" s="30" t="str">
        <f t="shared" si="35"/>
        <v xml:space="preserve"> </v>
      </c>
      <c r="BM65" s="26">
        <f t="shared" si="36"/>
        <v>0</v>
      </c>
      <c r="BO65" s="50">
        <f t="shared" si="37"/>
        <v>0</v>
      </c>
      <c r="BP65" s="50">
        <f t="shared" si="38"/>
        <v>0</v>
      </c>
    </row>
    <row r="66" spans="1:68">
      <c r="A66" s="16" t="s">
        <v>128</v>
      </c>
      <c r="B66" s="1" t="s">
        <v>66</v>
      </c>
      <c r="C66" s="24">
        <v>0</v>
      </c>
      <c r="D66" s="24" t="s">
        <v>433</v>
      </c>
      <c r="E66" s="24">
        <v>10</v>
      </c>
      <c r="F66" s="24">
        <v>0</v>
      </c>
      <c r="G66" s="24" t="s">
        <v>67</v>
      </c>
      <c r="H66" s="24">
        <v>0</v>
      </c>
      <c r="I66" s="24">
        <v>0</v>
      </c>
      <c r="J66" s="24">
        <v>0</v>
      </c>
      <c r="K66" s="24">
        <v>0</v>
      </c>
      <c r="L66" s="24">
        <v>0</v>
      </c>
      <c r="M66" s="24">
        <v>0</v>
      </c>
      <c r="N66" s="24">
        <v>0</v>
      </c>
      <c r="O66" s="24">
        <v>0</v>
      </c>
      <c r="P66" s="24">
        <v>0</v>
      </c>
      <c r="Q66" s="24">
        <v>0</v>
      </c>
      <c r="R66" s="24">
        <v>0</v>
      </c>
      <c r="S66" s="24">
        <v>0</v>
      </c>
      <c r="T66" s="28">
        <f t="shared" si="1"/>
        <v>0</v>
      </c>
      <c r="U66" s="28">
        <f t="shared" si="2"/>
        <v>0</v>
      </c>
      <c r="V66" s="29">
        <f>IF(O66&gt;0,((VLOOKUP(E66,ACs!G$4:P$53,7)*P66)+(VLOOKUP(E66,ACs!G$4:P$53,6)*(1-P66)))*O66*F66,0)</f>
        <v>0</v>
      </c>
      <c r="W66" s="29">
        <f>IF(E66&gt;0,VLOOKUP(E66,ACs!G$4:P$53,10)*Q66*F66,0)</f>
        <v>0</v>
      </c>
      <c r="X66" s="29">
        <f t="shared" si="3"/>
        <v>0</v>
      </c>
      <c r="Y66" s="29">
        <f t="shared" si="4"/>
        <v>0</v>
      </c>
      <c r="Z66" s="29">
        <f t="shared" si="5"/>
        <v>0</v>
      </c>
      <c r="AA66" s="29">
        <f t="shared" si="6"/>
        <v>0</v>
      </c>
      <c r="AB66" s="30" t="str">
        <f t="shared" si="7"/>
        <v xml:space="preserve"> </v>
      </c>
      <c r="AC66" s="30" t="str">
        <f t="shared" si="8"/>
        <v xml:space="preserve"> </v>
      </c>
      <c r="AD66" s="31" t="str">
        <f t="shared" si="9"/>
        <v xml:space="preserve"> </v>
      </c>
      <c r="AE66" s="29">
        <f t="shared" si="10"/>
        <v>0</v>
      </c>
      <c r="AF66" s="29">
        <f t="shared" si="11"/>
        <v>0</v>
      </c>
      <c r="AG66" s="29">
        <f t="shared" si="12"/>
        <v>0</v>
      </c>
      <c r="AH66" s="29">
        <f t="shared" si="13"/>
        <v>0</v>
      </c>
      <c r="AI66" s="29">
        <f t="shared" si="14"/>
        <v>0</v>
      </c>
      <c r="AJ66" s="30" t="str">
        <f t="shared" si="15"/>
        <v xml:space="preserve"> </v>
      </c>
      <c r="AK66" s="30" t="str">
        <f t="shared" si="16"/>
        <v xml:space="preserve"> </v>
      </c>
      <c r="AL66" s="30" t="str">
        <f t="shared" si="17"/>
        <v xml:space="preserve"> </v>
      </c>
      <c r="AM66" s="32" t="str">
        <f t="shared" si="18"/>
        <v xml:space="preserve"> </v>
      </c>
      <c r="AN66" s="32" t="str">
        <f t="shared" si="19"/>
        <v xml:space="preserve"> </v>
      </c>
      <c r="AO66" s="32" t="str">
        <f t="shared" si="20"/>
        <v xml:space="preserve"> </v>
      </c>
      <c r="AP66" s="32" t="str">
        <f t="shared" si="21"/>
        <v xml:space="preserve"> </v>
      </c>
      <c r="AQ66" s="33">
        <f t="shared" si="22"/>
        <v>0</v>
      </c>
      <c r="AR66" s="27">
        <v>0.87</v>
      </c>
      <c r="AS66" s="30" t="str">
        <f t="shared" si="39"/>
        <v xml:space="preserve"> </v>
      </c>
      <c r="AT66" s="33">
        <f t="shared" si="40"/>
        <v>0</v>
      </c>
      <c r="AU66" s="32">
        <v>1</v>
      </c>
      <c r="AV66" s="33">
        <f t="shared" si="23"/>
        <v>0</v>
      </c>
      <c r="AW66" s="33">
        <f t="shared" si="24"/>
        <v>0</v>
      </c>
      <c r="AX66" s="30" t="str">
        <f t="shared" si="0"/>
        <v xml:space="preserve"> </v>
      </c>
      <c r="AY66" s="29">
        <f t="shared" si="25"/>
        <v>0</v>
      </c>
      <c r="AZ66" s="29">
        <f t="shared" si="26"/>
        <v>0</v>
      </c>
      <c r="BA66" s="30" t="str">
        <f t="shared" si="41"/>
        <v xml:space="preserve"> </v>
      </c>
      <c r="BB66" s="34">
        <f t="shared" si="27"/>
        <v>0</v>
      </c>
      <c r="BC66" s="35">
        <f t="shared" si="28"/>
        <v>0</v>
      </c>
      <c r="BD66" s="27">
        <v>1</v>
      </c>
      <c r="BE66" s="36">
        <f t="shared" si="29"/>
        <v>0</v>
      </c>
      <c r="BF66" s="36">
        <f t="shared" si="30"/>
        <v>0</v>
      </c>
      <c r="BG66" s="30" t="str">
        <f t="shared" si="31"/>
        <v xml:space="preserve"> </v>
      </c>
      <c r="BH66" s="33">
        <f t="shared" si="32"/>
        <v>0</v>
      </c>
      <c r="BI66" s="27">
        <v>1</v>
      </c>
      <c r="BJ66" s="36">
        <f t="shared" si="33"/>
        <v>0</v>
      </c>
      <c r="BK66" s="37">
        <f t="shared" si="34"/>
        <v>0</v>
      </c>
      <c r="BL66" s="30" t="str">
        <f t="shared" si="35"/>
        <v xml:space="preserve"> </v>
      </c>
      <c r="BM66" s="26">
        <f t="shared" si="36"/>
        <v>0</v>
      </c>
      <c r="BO66" s="50">
        <f t="shared" si="37"/>
        <v>0</v>
      </c>
      <c r="BP66" s="50">
        <f t="shared" si="38"/>
        <v>0</v>
      </c>
    </row>
    <row r="67" spans="1:68">
      <c r="A67" s="16" t="s">
        <v>129</v>
      </c>
      <c r="B67" s="1" t="s">
        <v>66</v>
      </c>
      <c r="C67" s="24">
        <v>0</v>
      </c>
      <c r="D67" s="24" t="s">
        <v>433</v>
      </c>
      <c r="E67" s="24">
        <v>10</v>
      </c>
      <c r="F67" s="24">
        <v>0</v>
      </c>
      <c r="G67" s="24" t="s">
        <v>67</v>
      </c>
      <c r="H67" s="24">
        <v>0</v>
      </c>
      <c r="I67" s="24">
        <v>0</v>
      </c>
      <c r="J67" s="24">
        <v>0</v>
      </c>
      <c r="K67" s="24">
        <v>0</v>
      </c>
      <c r="L67" s="24">
        <v>0</v>
      </c>
      <c r="M67" s="24">
        <v>0</v>
      </c>
      <c r="N67" s="24">
        <v>0</v>
      </c>
      <c r="O67" s="24">
        <v>0</v>
      </c>
      <c r="P67" s="24">
        <v>0</v>
      </c>
      <c r="Q67" s="24">
        <v>0</v>
      </c>
      <c r="R67" s="24">
        <v>0</v>
      </c>
      <c r="S67" s="24">
        <v>0</v>
      </c>
      <c r="T67" s="28">
        <f t="shared" si="1"/>
        <v>0</v>
      </c>
      <c r="U67" s="28">
        <f t="shared" si="2"/>
        <v>0</v>
      </c>
      <c r="V67" s="29">
        <f>IF(O67&gt;0,((VLOOKUP(E67,ACs!G$4:P$53,7)*P67)+(VLOOKUP(E67,ACs!G$4:P$53,6)*(1-P67)))*O67*F67,0)</f>
        <v>0</v>
      </c>
      <c r="W67" s="29">
        <f>IF(E67&gt;0,VLOOKUP(E67,ACs!G$4:P$53,10)*Q67*F67,0)</f>
        <v>0</v>
      </c>
      <c r="X67" s="29">
        <f t="shared" si="3"/>
        <v>0</v>
      </c>
      <c r="Y67" s="29">
        <f t="shared" si="4"/>
        <v>0</v>
      </c>
      <c r="Z67" s="29">
        <f t="shared" si="5"/>
        <v>0</v>
      </c>
      <c r="AA67" s="29">
        <f t="shared" si="6"/>
        <v>0</v>
      </c>
      <c r="AB67" s="30" t="str">
        <f t="shared" si="7"/>
        <v xml:space="preserve"> </v>
      </c>
      <c r="AC67" s="30" t="str">
        <f t="shared" si="8"/>
        <v xml:space="preserve"> </v>
      </c>
      <c r="AD67" s="31" t="str">
        <f t="shared" si="9"/>
        <v xml:space="preserve"> </v>
      </c>
      <c r="AE67" s="29">
        <f t="shared" si="10"/>
        <v>0</v>
      </c>
      <c r="AF67" s="29">
        <f t="shared" si="11"/>
        <v>0</v>
      </c>
      <c r="AG67" s="29">
        <f t="shared" si="12"/>
        <v>0</v>
      </c>
      <c r="AH67" s="29">
        <f t="shared" si="13"/>
        <v>0</v>
      </c>
      <c r="AI67" s="29">
        <f t="shared" si="14"/>
        <v>0</v>
      </c>
      <c r="AJ67" s="30" t="str">
        <f t="shared" si="15"/>
        <v xml:space="preserve"> </v>
      </c>
      <c r="AK67" s="30" t="str">
        <f t="shared" si="16"/>
        <v xml:space="preserve"> </v>
      </c>
      <c r="AL67" s="30" t="str">
        <f t="shared" si="17"/>
        <v xml:space="preserve"> </v>
      </c>
      <c r="AM67" s="32" t="str">
        <f t="shared" si="18"/>
        <v xml:space="preserve"> </v>
      </c>
      <c r="AN67" s="32" t="str">
        <f t="shared" si="19"/>
        <v xml:space="preserve"> </v>
      </c>
      <c r="AO67" s="32" t="str">
        <f t="shared" si="20"/>
        <v xml:space="preserve"> </v>
      </c>
      <c r="AP67" s="32" t="str">
        <f t="shared" si="21"/>
        <v xml:space="preserve"> </v>
      </c>
      <c r="AQ67" s="33">
        <f t="shared" si="22"/>
        <v>0</v>
      </c>
      <c r="AR67" s="27">
        <v>0.87</v>
      </c>
      <c r="AS67" s="30" t="str">
        <f t="shared" si="39"/>
        <v xml:space="preserve"> </v>
      </c>
      <c r="AT67" s="33">
        <f t="shared" si="40"/>
        <v>0</v>
      </c>
      <c r="AU67" s="32">
        <v>1</v>
      </c>
      <c r="AV67" s="33">
        <f t="shared" si="23"/>
        <v>0</v>
      </c>
      <c r="AW67" s="33">
        <f t="shared" si="24"/>
        <v>0</v>
      </c>
      <c r="AX67" s="30" t="str">
        <f t="shared" si="0"/>
        <v xml:space="preserve"> </v>
      </c>
      <c r="AY67" s="29">
        <f t="shared" si="25"/>
        <v>0</v>
      </c>
      <c r="AZ67" s="29">
        <f t="shared" si="26"/>
        <v>0</v>
      </c>
      <c r="BA67" s="30" t="str">
        <f t="shared" si="41"/>
        <v xml:space="preserve"> </v>
      </c>
      <c r="BB67" s="34">
        <f t="shared" si="27"/>
        <v>0</v>
      </c>
      <c r="BC67" s="35">
        <f t="shared" si="28"/>
        <v>0</v>
      </c>
      <c r="BD67" s="27">
        <v>1</v>
      </c>
      <c r="BE67" s="36">
        <f t="shared" si="29"/>
        <v>0</v>
      </c>
      <c r="BF67" s="36">
        <f t="shared" si="30"/>
        <v>0</v>
      </c>
      <c r="BG67" s="30" t="str">
        <f t="shared" si="31"/>
        <v xml:space="preserve"> </v>
      </c>
      <c r="BH67" s="33">
        <f t="shared" si="32"/>
        <v>0</v>
      </c>
      <c r="BI67" s="27">
        <v>1</v>
      </c>
      <c r="BJ67" s="36">
        <f t="shared" si="33"/>
        <v>0</v>
      </c>
      <c r="BK67" s="37">
        <f t="shared" si="34"/>
        <v>0</v>
      </c>
      <c r="BL67" s="30" t="str">
        <f t="shared" si="35"/>
        <v xml:space="preserve"> </v>
      </c>
      <c r="BM67" s="26">
        <f t="shared" si="36"/>
        <v>0</v>
      </c>
      <c r="BO67" s="50">
        <f t="shared" si="37"/>
        <v>0</v>
      </c>
      <c r="BP67" s="50">
        <f t="shared" si="38"/>
        <v>0</v>
      </c>
    </row>
    <row r="68" spans="1:68">
      <c r="A68" s="16" t="s">
        <v>130</v>
      </c>
      <c r="B68" s="1" t="s">
        <v>66</v>
      </c>
      <c r="C68" s="24">
        <v>0</v>
      </c>
      <c r="D68" s="24" t="s">
        <v>433</v>
      </c>
      <c r="E68" s="24">
        <v>10</v>
      </c>
      <c r="F68" s="24">
        <v>0</v>
      </c>
      <c r="G68" s="24" t="s">
        <v>67</v>
      </c>
      <c r="H68" s="24">
        <v>0</v>
      </c>
      <c r="I68" s="24">
        <v>0</v>
      </c>
      <c r="J68" s="24">
        <v>0</v>
      </c>
      <c r="K68" s="24">
        <v>0</v>
      </c>
      <c r="L68" s="24">
        <v>0</v>
      </c>
      <c r="M68" s="24">
        <v>0</v>
      </c>
      <c r="N68" s="24">
        <v>0</v>
      </c>
      <c r="O68" s="24">
        <v>0</v>
      </c>
      <c r="P68" s="24">
        <v>0</v>
      </c>
      <c r="Q68" s="24">
        <v>0</v>
      </c>
      <c r="R68" s="24">
        <v>0</v>
      </c>
      <c r="S68" s="24">
        <v>0</v>
      </c>
      <c r="T68" s="28">
        <f t="shared" si="1"/>
        <v>0</v>
      </c>
      <c r="U68" s="28">
        <f t="shared" si="2"/>
        <v>0</v>
      </c>
      <c r="V68" s="29">
        <f>IF(O68&gt;0,((VLOOKUP(E68,ACs!G$4:P$53,7)*P68)+(VLOOKUP(E68,ACs!G$4:P$53,6)*(1-P68)))*O68*F68,0)</f>
        <v>0</v>
      </c>
      <c r="W68" s="29">
        <f>IF(E68&gt;0,VLOOKUP(E68,ACs!G$4:P$53,10)*Q68*F68,0)</f>
        <v>0</v>
      </c>
      <c r="X68" s="29">
        <f t="shared" si="3"/>
        <v>0</v>
      </c>
      <c r="Y68" s="29">
        <f t="shared" si="4"/>
        <v>0</v>
      </c>
      <c r="Z68" s="29">
        <f t="shared" si="5"/>
        <v>0</v>
      </c>
      <c r="AA68" s="29">
        <f t="shared" si="6"/>
        <v>0</v>
      </c>
      <c r="AB68" s="30" t="str">
        <f t="shared" si="7"/>
        <v xml:space="preserve"> </v>
      </c>
      <c r="AC68" s="30" t="str">
        <f t="shared" si="8"/>
        <v xml:space="preserve"> </v>
      </c>
      <c r="AD68" s="31" t="str">
        <f t="shared" si="9"/>
        <v xml:space="preserve"> </v>
      </c>
      <c r="AE68" s="29">
        <f t="shared" si="10"/>
        <v>0</v>
      </c>
      <c r="AF68" s="29">
        <f t="shared" si="11"/>
        <v>0</v>
      </c>
      <c r="AG68" s="29">
        <f t="shared" si="12"/>
        <v>0</v>
      </c>
      <c r="AH68" s="29">
        <f t="shared" si="13"/>
        <v>0</v>
      </c>
      <c r="AI68" s="29">
        <f t="shared" si="14"/>
        <v>0</v>
      </c>
      <c r="AJ68" s="30" t="str">
        <f t="shared" si="15"/>
        <v xml:space="preserve"> </v>
      </c>
      <c r="AK68" s="30" t="str">
        <f t="shared" si="16"/>
        <v xml:space="preserve"> </v>
      </c>
      <c r="AL68" s="30" t="str">
        <f t="shared" si="17"/>
        <v xml:space="preserve"> </v>
      </c>
      <c r="AM68" s="32" t="str">
        <f t="shared" si="18"/>
        <v xml:space="preserve"> </v>
      </c>
      <c r="AN68" s="32" t="str">
        <f t="shared" si="19"/>
        <v xml:space="preserve"> </v>
      </c>
      <c r="AO68" s="32" t="str">
        <f t="shared" si="20"/>
        <v xml:space="preserve"> </v>
      </c>
      <c r="AP68" s="32" t="str">
        <f t="shared" si="21"/>
        <v xml:space="preserve"> </v>
      </c>
      <c r="AQ68" s="33">
        <f t="shared" si="22"/>
        <v>0</v>
      </c>
      <c r="AR68" s="27">
        <v>0.87</v>
      </c>
      <c r="AS68" s="30" t="str">
        <f t="shared" si="39"/>
        <v xml:space="preserve"> </v>
      </c>
      <c r="AT68" s="33">
        <f t="shared" si="40"/>
        <v>0</v>
      </c>
      <c r="AU68" s="32">
        <v>1</v>
      </c>
      <c r="AV68" s="33">
        <f t="shared" si="23"/>
        <v>0</v>
      </c>
      <c r="AW68" s="33">
        <f t="shared" si="24"/>
        <v>0</v>
      </c>
      <c r="AX68" s="30" t="str">
        <f t="shared" ref="AX68:AX131" si="42">IF(AW68=0," ",AV68/AW68)</f>
        <v xml:space="preserve"> </v>
      </c>
      <c r="AY68" s="29">
        <f t="shared" si="25"/>
        <v>0</v>
      </c>
      <c r="AZ68" s="29">
        <f t="shared" si="26"/>
        <v>0</v>
      </c>
      <c r="BA68" s="30" t="str">
        <f t="shared" si="41"/>
        <v xml:space="preserve"> </v>
      </c>
      <c r="BB68" s="34">
        <f t="shared" si="27"/>
        <v>0</v>
      </c>
      <c r="BC68" s="35">
        <f t="shared" si="28"/>
        <v>0</v>
      </c>
      <c r="BD68" s="27">
        <v>1</v>
      </c>
      <c r="BE68" s="36">
        <f t="shared" si="29"/>
        <v>0</v>
      </c>
      <c r="BF68" s="36">
        <f t="shared" si="30"/>
        <v>0</v>
      </c>
      <c r="BG68" s="30" t="str">
        <f t="shared" si="31"/>
        <v xml:space="preserve"> </v>
      </c>
      <c r="BH68" s="33">
        <f t="shared" si="32"/>
        <v>0</v>
      </c>
      <c r="BI68" s="27">
        <v>1</v>
      </c>
      <c r="BJ68" s="36">
        <f t="shared" si="33"/>
        <v>0</v>
      </c>
      <c r="BK68" s="37">
        <f t="shared" si="34"/>
        <v>0</v>
      </c>
      <c r="BL68" s="30" t="str">
        <f t="shared" si="35"/>
        <v xml:space="preserve"> </v>
      </c>
      <c r="BM68" s="26">
        <f t="shared" si="36"/>
        <v>0</v>
      </c>
      <c r="BO68" s="50">
        <f t="shared" si="37"/>
        <v>0</v>
      </c>
      <c r="BP68" s="50">
        <f t="shared" si="38"/>
        <v>0</v>
      </c>
    </row>
    <row r="69" spans="1:68">
      <c r="A69" s="16" t="s">
        <v>131</v>
      </c>
      <c r="B69" s="1" t="s">
        <v>66</v>
      </c>
      <c r="C69" s="24">
        <v>0</v>
      </c>
      <c r="D69" s="24" t="s">
        <v>433</v>
      </c>
      <c r="E69" s="24">
        <v>10</v>
      </c>
      <c r="F69" s="24">
        <v>0</v>
      </c>
      <c r="G69" s="24" t="s">
        <v>67</v>
      </c>
      <c r="H69" s="24">
        <v>0</v>
      </c>
      <c r="I69" s="24">
        <v>0</v>
      </c>
      <c r="J69" s="24">
        <v>0</v>
      </c>
      <c r="K69" s="24">
        <v>0</v>
      </c>
      <c r="L69" s="24">
        <v>0</v>
      </c>
      <c r="M69" s="24">
        <v>0</v>
      </c>
      <c r="N69" s="24">
        <v>0</v>
      </c>
      <c r="O69" s="24">
        <v>0</v>
      </c>
      <c r="P69" s="24">
        <v>0</v>
      </c>
      <c r="Q69" s="24">
        <v>0</v>
      </c>
      <c r="R69" s="24">
        <v>0</v>
      </c>
      <c r="S69" s="24">
        <v>0</v>
      </c>
      <c r="T69" s="28">
        <f t="shared" ref="T69:T132" si="43">IF(O69=0,0,(O69*100000)/((O69*100000)+(Q69*3413)))</f>
        <v>0</v>
      </c>
      <c r="U69" s="28">
        <f t="shared" ref="U69:U132" si="44">IF(V69+W69=0,0,V69/(V69+W69))</f>
        <v>0</v>
      </c>
      <c r="V69" s="29">
        <f>IF(O69&gt;0,((VLOOKUP(E69,ACs!G$4:P$53,7)*P69)+(VLOOKUP(E69,ACs!G$4:P$53,6)*(1-P69)))*O69*F69,0)</f>
        <v>0</v>
      </c>
      <c r="W69" s="29">
        <f>IF(E69&gt;0,VLOOKUP(E69,ACs!G$4:P$53,10)*Q69*F69,0)</f>
        <v>0</v>
      </c>
      <c r="X69" s="29">
        <f t="shared" ref="X69:X132" si="45">(PV(X$1,E69,-L69)+K69)*F69</f>
        <v>0</v>
      </c>
      <c r="Y69" s="29">
        <f t="shared" ref="Y69:Y132" si="46">F69*H69</f>
        <v>0</v>
      </c>
      <c r="Z69" s="29">
        <f t="shared" ref="Z69:Z100" si="47">S69*F108</f>
        <v>0</v>
      </c>
      <c r="AA69" s="29">
        <f t="shared" ref="AA69:AA132" si="48">F69*R69</f>
        <v>0</v>
      </c>
      <c r="AB69" s="30" t="str">
        <f t="shared" ref="AB69:AB132" si="49">IF(Y69=0," ",(V69+W69+X69)/(Y69+Z69))</f>
        <v xml:space="preserve"> </v>
      </c>
      <c r="AC69" s="30" t="str">
        <f t="shared" ref="AC69:AC132" si="50">IF(Y69=0," ",(V69+W69)/(Y69+Z69))</f>
        <v xml:space="preserve"> </v>
      </c>
      <c r="AD69" s="31" t="str">
        <f t="shared" ref="AD69:AD132" si="51">IF(AA69=0," ",(V69+W69)/(Z69+AA69))</f>
        <v xml:space="preserve"> </v>
      </c>
      <c r="AE69" s="29">
        <f t="shared" ref="AE69:AE132" si="52">U69*(V69+W69)</f>
        <v>0</v>
      </c>
      <c r="AF69" s="29">
        <f t="shared" ref="AF69:AF132" si="53">U69*X69</f>
        <v>0</v>
      </c>
      <c r="AG69" s="29">
        <f t="shared" ref="AG69:AG132" si="54">U69*H69*F69</f>
        <v>0</v>
      </c>
      <c r="AH69" s="29">
        <f t="shared" ref="AH69:AH132" si="55">Z69*U69</f>
        <v>0</v>
      </c>
      <c r="AI69" s="29">
        <f t="shared" ref="AI69:AI132" si="56">F69*R69*U69</f>
        <v>0</v>
      </c>
      <c r="AJ69" s="30" t="str">
        <f t="shared" ref="AJ69:AJ132" si="57">IF(AG69=0," ",(AE69+AF69)/(AG69+AH69))</f>
        <v xml:space="preserve"> </v>
      </c>
      <c r="AK69" s="30" t="str">
        <f t="shared" ref="AK69:AK132" si="58">IF(AG69=0," ",(AE69)/(AG69+AH69))</f>
        <v xml:space="preserve"> </v>
      </c>
      <c r="AL69" s="30" t="str">
        <f t="shared" ref="AL69:AL132" si="59">IF(AI69=0," ",(AE69/(AH69+AI69)))</f>
        <v xml:space="preserve"> </v>
      </c>
      <c r="AM69" s="32" t="str">
        <f t="shared" ref="AM69:AM132" si="60">IF(AE69+AF69=0," ",(AE69/(AE69+AF69)))</f>
        <v xml:space="preserve"> </v>
      </c>
      <c r="AN69" s="32" t="str">
        <f t="shared" ref="AN69:AN132" si="61">IF(V69+W69+X69=0," ",(V69+W69)/(V69+W69+X69))</f>
        <v xml:space="preserve"> </v>
      </c>
      <c r="AO69" s="32" t="str">
        <f t="shared" ref="AO69:AO132" si="62">IF(AE69=0," ",AI69/AE69)</f>
        <v xml:space="preserve"> </v>
      </c>
      <c r="AP69" s="32" t="str">
        <f t="shared" ref="AP69:AP132" si="63">IF(V69+W69=0," ",AA69/(V69+W69))</f>
        <v xml:space="preserve"> </v>
      </c>
      <c r="AQ69" s="33">
        <f t="shared" ref="AQ69:AQ132" si="64">F69*O69</f>
        <v>0</v>
      </c>
      <c r="AR69" s="27">
        <v>0.87</v>
      </c>
      <c r="AS69" s="30" t="str">
        <f t="shared" si="39"/>
        <v xml:space="preserve"> </v>
      </c>
      <c r="AT69" s="33">
        <f t="shared" si="40"/>
        <v>0</v>
      </c>
      <c r="AU69" s="32">
        <v>1</v>
      </c>
      <c r="AV69" s="33">
        <f t="shared" ref="AV69:AV132" si="65">SUM(AE69:AF69)*AU69</f>
        <v>0</v>
      </c>
      <c r="AW69" s="33">
        <f t="shared" ref="AW69:AW132" si="66">SUM(AG69:AH69)*AU69</f>
        <v>0</v>
      </c>
      <c r="AX69" s="30" t="str">
        <f t="shared" si="42"/>
        <v xml:space="preserve"> </v>
      </c>
      <c r="AY69" s="29">
        <f t="shared" ref="AY69:AY132" si="67">(SUM(AE69:AF69)*AR69*AU69)</f>
        <v>0</v>
      </c>
      <c r="AZ69" s="29">
        <f t="shared" ref="AZ69:AZ132" si="68">((AG69*AR69)+AH69)*AU69</f>
        <v>0</v>
      </c>
      <c r="BA69" s="30" t="str">
        <f t="shared" si="41"/>
        <v xml:space="preserve"> </v>
      </c>
      <c r="BB69" s="34">
        <f t="shared" ref="BB69:BB132" si="69">IF(AQ69&gt;0,1,0)</f>
        <v>0</v>
      </c>
      <c r="BC69" s="35">
        <f t="shared" ref="BC69:BC132" si="70">IF(O69&gt;0,IF(D69="Y",1,0),0)</f>
        <v>0</v>
      </c>
      <c r="BD69" s="27">
        <v>1</v>
      </c>
      <c r="BE69" s="36">
        <f t="shared" ref="BE69:BE132" si="71">((AE69*BE$2)+AF69)*BD69</f>
        <v>0</v>
      </c>
      <c r="BF69" s="36">
        <f t="shared" ref="BF69:BF132" si="72">SUM(AG69+AH69)*BD69</f>
        <v>0</v>
      </c>
      <c r="BG69" s="30" t="str">
        <f t="shared" ref="BG69:BG132" si="73">IF(BF69=0," ",BE69/BF69)</f>
        <v xml:space="preserve"> </v>
      </c>
      <c r="BH69" s="33">
        <f t="shared" ref="BH69:BH132" si="74">BD69*AQ69</f>
        <v>0</v>
      </c>
      <c r="BI69" s="27">
        <v>1</v>
      </c>
      <c r="BJ69" s="36">
        <f t="shared" ref="BJ69:BJ132" si="75">((AE69)+AF69)*BI69</f>
        <v>0</v>
      </c>
      <c r="BK69" s="37">
        <f t="shared" ref="BK69:BK132" si="76">(AG69+AH69)*BI69</f>
        <v>0</v>
      </c>
      <c r="BL69" s="30" t="str">
        <f t="shared" ref="BL69:BL132" si="77">IF(BK69=0," ",BJ69/BK69)</f>
        <v xml:space="preserve"> </v>
      </c>
      <c r="BM69" s="26">
        <f t="shared" ref="BM69:BM132" si="78">BI69*AQ69</f>
        <v>0</v>
      </c>
      <c r="BO69" s="50">
        <f t="shared" ref="BO69:BO132" si="79">AE69*BI69</f>
        <v>0</v>
      </c>
      <c r="BP69" s="50">
        <f t="shared" ref="BP69:BP132" si="80">BI69*AF69</f>
        <v>0</v>
      </c>
    </row>
    <row r="70" spans="1:68">
      <c r="A70" s="16" t="s">
        <v>132</v>
      </c>
      <c r="B70" s="1" t="s">
        <v>66</v>
      </c>
      <c r="C70" s="24">
        <v>0</v>
      </c>
      <c r="D70" s="24" t="s">
        <v>433</v>
      </c>
      <c r="E70" s="24">
        <v>10</v>
      </c>
      <c r="F70" s="24">
        <v>0</v>
      </c>
      <c r="G70" s="24" t="s">
        <v>67</v>
      </c>
      <c r="H70" s="24">
        <v>0</v>
      </c>
      <c r="I70" s="24">
        <v>0</v>
      </c>
      <c r="J70" s="24">
        <v>0</v>
      </c>
      <c r="K70" s="24">
        <v>0</v>
      </c>
      <c r="L70" s="24">
        <v>0</v>
      </c>
      <c r="M70" s="24">
        <v>0</v>
      </c>
      <c r="N70" s="24">
        <v>0</v>
      </c>
      <c r="O70" s="24">
        <v>0</v>
      </c>
      <c r="P70" s="24">
        <v>0</v>
      </c>
      <c r="Q70" s="24">
        <v>0</v>
      </c>
      <c r="R70" s="24">
        <v>0</v>
      </c>
      <c r="S70" s="24">
        <v>0</v>
      </c>
      <c r="T70" s="28">
        <f t="shared" si="43"/>
        <v>0</v>
      </c>
      <c r="U70" s="28">
        <f t="shared" si="44"/>
        <v>0</v>
      </c>
      <c r="V70" s="29">
        <f>IF(O70&gt;0,((VLOOKUP(E70,ACs!G$4:P$53,7)*P70)+(VLOOKUP(E70,ACs!G$4:P$53,6)*(1-P70)))*O70*F70,0)</f>
        <v>0</v>
      </c>
      <c r="W70" s="29">
        <f>IF(E70&gt;0,VLOOKUP(E70,ACs!G$4:P$53,10)*Q70*F70,0)</f>
        <v>0</v>
      </c>
      <c r="X70" s="29">
        <f t="shared" si="45"/>
        <v>0</v>
      </c>
      <c r="Y70" s="29">
        <f t="shared" si="46"/>
        <v>0</v>
      </c>
      <c r="Z70" s="29">
        <f t="shared" si="47"/>
        <v>0</v>
      </c>
      <c r="AA70" s="29">
        <f t="shared" si="48"/>
        <v>0</v>
      </c>
      <c r="AB70" s="30" t="str">
        <f t="shared" si="49"/>
        <v xml:space="preserve"> </v>
      </c>
      <c r="AC70" s="30" t="str">
        <f t="shared" si="50"/>
        <v xml:space="preserve"> </v>
      </c>
      <c r="AD70" s="31" t="str">
        <f t="shared" si="51"/>
        <v xml:space="preserve"> </v>
      </c>
      <c r="AE70" s="29">
        <f t="shared" si="52"/>
        <v>0</v>
      </c>
      <c r="AF70" s="29">
        <f t="shared" si="53"/>
        <v>0</v>
      </c>
      <c r="AG70" s="29">
        <f t="shared" si="54"/>
        <v>0</v>
      </c>
      <c r="AH70" s="29">
        <f t="shared" si="55"/>
        <v>0</v>
      </c>
      <c r="AI70" s="29">
        <f t="shared" si="56"/>
        <v>0</v>
      </c>
      <c r="AJ70" s="30" t="str">
        <f t="shared" si="57"/>
        <v xml:space="preserve"> </v>
      </c>
      <c r="AK70" s="30" t="str">
        <f t="shared" si="58"/>
        <v xml:space="preserve"> </v>
      </c>
      <c r="AL70" s="30" t="str">
        <f t="shared" si="59"/>
        <v xml:space="preserve"> </v>
      </c>
      <c r="AM70" s="32" t="str">
        <f t="shared" si="60"/>
        <v xml:space="preserve"> </v>
      </c>
      <c r="AN70" s="32" t="str">
        <f t="shared" si="61"/>
        <v xml:space="preserve"> </v>
      </c>
      <c r="AO70" s="32" t="str">
        <f t="shared" si="62"/>
        <v xml:space="preserve"> </v>
      </c>
      <c r="AP70" s="32" t="str">
        <f t="shared" si="63"/>
        <v xml:space="preserve"> </v>
      </c>
      <c r="AQ70" s="33">
        <f t="shared" si="64"/>
        <v>0</v>
      </c>
      <c r="AR70" s="27">
        <v>0.87</v>
      </c>
      <c r="AS70" s="30" t="str">
        <f t="shared" ref="AS70:AS133" si="81">IF(SUM(AG70:AH70)=0," ",(AR70*SUM(AE70:AF70))/((AR70*AG70)+AH70))</f>
        <v xml:space="preserve"> </v>
      </c>
      <c r="AT70" s="33">
        <f t="shared" ref="AT70:AT133" si="82">AR70*AQ70</f>
        <v>0</v>
      </c>
      <c r="AU70" s="32">
        <v>1</v>
      </c>
      <c r="AV70" s="33">
        <f t="shared" si="65"/>
        <v>0</v>
      </c>
      <c r="AW70" s="33">
        <f t="shared" si="66"/>
        <v>0</v>
      </c>
      <c r="AX70" s="30" t="str">
        <f t="shared" si="42"/>
        <v xml:space="preserve"> </v>
      </c>
      <c r="AY70" s="29">
        <f t="shared" si="67"/>
        <v>0</v>
      </c>
      <c r="AZ70" s="29">
        <f t="shared" si="68"/>
        <v>0</v>
      </c>
      <c r="BA70" s="30" t="str">
        <f t="shared" ref="BA70:BA82" si="83">IF(AZ70=0," ",AY70/AZ70)</f>
        <v xml:space="preserve"> </v>
      </c>
      <c r="BB70" s="34">
        <f t="shared" si="69"/>
        <v>0</v>
      </c>
      <c r="BC70" s="35">
        <f t="shared" si="70"/>
        <v>0</v>
      </c>
      <c r="BD70" s="27">
        <v>1</v>
      </c>
      <c r="BE70" s="36">
        <f t="shared" si="71"/>
        <v>0</v>
      </c>
      <c r="BF70" s="36">
        <f t="shared" si="72"/>
        <v>0</v>
      </c>
      <c r="BG70" s="30" t="str">
        <f t="shared" si="73"/>
        <v xml:space="preserve"> </v>
      </c>
      <c r="BH70" s="33">
        <f t="shared" si="74"/>
        <v>0</v>
      </c>
      <c r="BI70" s="27">
        <v>1</v>
      </c>
      <c r="BJ70" s="36">
        <f t="shared" si="75"/>
        <v>0</v>
      </c>
      <c r="BK70" s="37">
        <f t="shared" si="76"/>
        <v>0</v>
      </c>
      <c r="BL70" s="30" t="str">
        <f t="shared" si="77"/>
        <v xml:space="preserve"> </v>
      </c>
      <c r="BM70" s="26">
        <f t="shared" si="78"/>
        <v>0</v>
      </c>
      <c r="BO70" s="50">
        <f t="shared" si="79"/>
        <v>0</v>
      </c>
      <c r="BP70" s="50">
        <f t="shared" si="80"/>
        <v>0</v>
      </c>
    </row>
    <row r="71" spans="1:68">
      <c r="A71" s="16" t="s">
        <v>133</v>
      </c>
      <c r="B71" s="1" t="s">
        <v>66</v>
      </c>
      <c r="C71" s="24">
        <v>0</v>
      </c>
      <c r="D71" s="24" t="s">
        <v>433</v>
      </c>
      <c r="E71" s="24">
        <v>10</v>
      </c>
      <c r="F71" s="24">
        <v>0</v>
      </c>
      <c r="G71" s="24" t="s">
        <v>67</v>
      </c>
      <c r="H71" s="24">
        <v>0</v>
      </c>
      <c r="I71" s="24">
        <v>0</v>
      </c>
      <c r="J71" s="24">
        <v>0</v>
      </c>
      <c r="K71" s="24">
        <v>0</v>
      </c>
      <c r="L71" s="24">
        <v>0</v>
      </c>
      <c r="M71" s="24">
        <v>0</v>
      </c>
      <c r="N71" s="24">
        <v>0</v>
      </c>
      <c r="O71" s="24">
        <v>0</v>
      </c>
      <c r="P71" s="24">
        <v>0</v>
      </c>
      <c r="Q71" s="24">
        <v>0</v>
      </c>
      <c r="R71" s="24">
        <v>0</v>
      </c>
      <c r="S71" s="24">
        <v>0</v>
      </c>
      <c r="T71" s="28">
        <f t="shared" si="43"/>
        <v>0</v>
      </c>
      <c r="U71" s="28">
        <f t="shared" si="44"/>
        <v>0</v>
      </c>
      <c r="V71" s="29">
        <f>IF(O71&gt;0,((VLOOKUP(E71,ACs!G$4:P$53,7)*P71)+(VLOOKUP(E71,ACs!G$4:P$53,6)*(1-P71)))*O71*F71,0)</f>
        <v>0</v>
      </c>
      <c r="W71" s="29">
        <f>IF(E71&gt;0,VLOOKUP(E71,ACs!G$4:P$53,10)*Q71*F71,0)</f>
        <v>0</v>
      </c>
      <c r="X71" s="29">
        <f t="shared" si="45"/>
        <v>0</v>
      </c>
      <c r="Y71" s="29">
        <f t="shared" si="46"/>
        <v>0</v>
      </c>
      <c r="Z71" s="29">
        <f t="shared" si="47"/>
        <v>0</v>
      </c>
      <c r="AA71" s="29">
        <f t="shared" si="48"/>
        <v>0</v>
      </c>
      <c r="AB71" s="30" t="str">
        <f t="shared" si="49"/>
        <v xml:space="preserve"> </v>
      </c>
      <c r="AC71" s="30" t="str">
        <f t="shared" si="50"/>
        <v xml:space="preserve"> </v>
      </c>
      <c r="AD71" s="31" t="str">
        <f t="shared" si="51"/>
        <v xml:space="preserve"> </v>
      </c>
      <c r="AE71" s="29">
        <f t="shared" si="52"/>
        <v>0</v>
      </c>
      <c r="AF71" s="29">
        <f t="shared" si="53"/>
        <v>0</v>
      </c>
      <c r="AG71" s="29">
        <f t="shared" si="54"/>
        <v>0</v>
      </c>
      <c r="AH71" s="29">
        <f t="shared" si="55"/>
        <v>0</v>
      </c>
      <c r="AI71" s="29">
        <f t="shared" si="56"/>
        <v>0</v>
      </c>
      <c r="AJ71" s="30" t="str">
        <f t="shared" si="57"/>
        <v xml:space="preserve"> </v>
      </c>
      <c r="AK71" s="30" t="str">
        <f t="shared" si="58"/>
        <v xml:space="preserve"> </v>
      </c>
      <c r="AL71" s="30" t="str">
        <f t="shared" si="59"/>
        <v xml:space="preserve"> </v>
      </c>
      <c r="AM71" s="32" t="str">
        <f t="shared" si="60"/>
        <v xml:space="preserve"> </v>
      </c>
      <c r="AN71" s="32" t="str">
        <f t="shared" si="61"/>
        <v xml:space="preserve"> </v>
      </c>
      <c r="AO71" s="32" t="str">
        <f t="shared" si="62"/>
        <v xml:space="preserve"> </v>
      </c>
      <c r="AP71" s="32" t="str">
        <f t="shared" si="63"/>
        <v xml:space="preserve"> </v>
      </c>
      <c r="AQ71" s="33">
        <f t="shared" si="64"/>
        <v>0</v>
      </c>
      <c r="AR71" s="27">
        <v>0.87</v>
      </c>
      <c r="AS71" s="30" t="str">
        <f t="shared" si="81"/>
        <v xml:space="preserve"> </v>
      </c>
      <c r="AT71" s="33">
        <f t="shared" si="82"/>
        <v>0</v>
      </c>
      <c r="AU71" s="32">
        <v>1</v>
      </c>
      <c r="AV71" s="33">
        <f t="shared" si="65"/>
        <v>0</v>
      </c>
      <c r="AW71" s="33">
        <f t="shared" si="66"/>
        <v>0</v>
      </c>
      <c r="AX71" s="30" t="str">
        <f t="shared" si="42"/>
        <v xml:space="preserve"> </v>
      </c>
      <c r="AY71" s="29">
        <f t="shared" si="67"/>
        <v>0</v>
      </c>
      <c r="AZ71" s="29">
        <f t="shared" si="68"/>
        <v>0</v>
      </c>
      <c r="BA71" s="30" t="str">
        <f t="shared" si="83"/>
        <v xml:space="preserve"> </v>
      </c>
      <c r="BB71" s="34">
        <f t="shared" si="69"/>
        <v>0</v>
      </c>
      <c r="BC71" s="35">
        <f t="shared" si="70"/>
        <v>0</v>
      </c>
      <c r="BD71" s="27">
        <v>1</v>
      </c>
      <c r="BE71" s="36">
        <f t="shared" si="71"/>
        <v>0</v>
      </c>
      <c r="BF71" s="36">
        <f t="shared" si="72"/>
        <v>0</v>
      </c>
      <c r="BG71" s="30" t="str">
        <f t="shared" si="73"/>
        <v xml:space="preserve"> </v>
      </c>
      <c r="BH71" s="33">
        <f t="shared" si="74"/>
        <v>0</v>
      </c>
      <c r="BI71" s="27">
        <v>1</v>
      </c>
      <c r="BJ71" s="36">
        <f t="shared" si="75"/>
        <v>0</v>
      </c>
      <c r="BK71" s="37">
        <f t="shared" si="76"/>
        <v>0</v>
      </c>
      <c r="BL71" s="30" t="str">
        <f t="shared" si="77"/>
        <v xml:space="preserve"> </v>
      </c>
      <c r="BM71" s="26">
        <f t="shared" si="78"/>
        <v>0</v>
      </c>
      <c r="BO71" s="50">
        <f t="shared" si="79"/>
        <v>0</v>
      </c>
      <c r="BP71" s="50">
        <f t="shared" si="80"/>
        <v>0</v>
      </c>
    </row>
    <row r="72" spans="1:68">
      <c r="A72" s="16" t="s">
        <v>134</v>
      </c>
      <c r="B72" s="1" t="s">
        <v>66</v>
      </c>
      <c r="C72" s="24">
        <v>0</v>
      </c>
      <c r="D72" s="24" t="s">
        <v>433</v>
      </c>
      <c r="E72" s="24">
        <v>10</v>
      </c>
      <c r="F72" s="24">
        <v>0</v>
      </c>
      <c r="G72" s="24" t="s">
        <v>67</v>
      </c>
      <c r="H72" s="24">
        <v>0</v>
      </c>
      <c r="I72" s="24">
        <v>0</v>
      </c>
      <c r="J72" s="24">
        <v>0</v>
      </c>
      <c r="K72" s="24">
        <v>0</v>
      </c>
      <c r="L72" s="24">
        <v>0</v>
      </c>
      <c r="M72" s="24">
        <v>0</v>
      </c>
      <c r="N72" s="24">
        <v>0</v>
      </c>
      <c r="O72" s="24">
        <v>0</v>
      </c>
      <c r="P72" s="24">
        <v>0</v>
      </c>
      <c r="Q72" s="24">
        <v>0</v>
      </c>
      <c r="R72" s="24">
        <v>0</v>
      </c>
      <c r="S72" s="24">
        <v>0</v>
      </c>
      <c r="T72" s="28">
        <f t="shared" si="43"/>
        <v>0</v>
      </c>
      <c r="U72" s="28">
        <f t="shared" si="44"/>
        <v>0</v>
      </c>
      <c r="V72" s="29">
        <f>IF(O72&gt;0,((VLOOKUP(E72,ACs!G$4:P$53,7)*P72)+(VLOOKUP(E72,ACs!G$4:P$53,6)*(1-P72)))*O72*F72,0)</f>
        <v>0</v>
      </c>
      <c r="W72" s="29">
        <f>IF(E72&gt;0,VLOOKUP(E72,ACs!G$4:P$53,10)*Q72*F72,0)</f>
        <v>0</v>
      </c>
      <c r="X72" s="29">
        <f t="shared" si="45"/>
        <v>0</v>
      </c>
      <c r="Y72" s="29">
        <f t="shared" si="46"/>
        <v>0</v>
      </c>
      <c r="Z72" s="29">
        <f t="shared" si="47"/>
        <v>0</v>
      </c>
      <c r="AA72" s="29">
        <f t="shared" si="48"/>
        <v>0</v>
      </c>
      <c r="AB72" s="30" t="str">
        <f t="shared" si="49"/>
        <v xml:space="preserve"> </v>
      </c>
      <c r="AC72" s="30" t="str">
        <f t="shared" si="50"/>
        <v xml:space="preserve"> </v>
      </c>
      <c r="AD72" s="31" t="str">
        <f t="shared" si="51"/>
        <v xml:space="preserve"> </v>
      </c>
      <c r="AE72" s="29">
        <f t="shared" si="52"/>
        <v>0</v>
      </c>
      <c r="AF72" s="29">
        <f t="shared" si="53"/>
        <v>0</v>
      </c>
      <c r="AG72" s="29">
        <f t="shared" si="54"/>
        <v>0</v>
      </c>
      <c r="AH72" s="29">
        <f t="shared" si="55"/>
        <v>0</v>
      </c>
      <c r="AI72" s="29">
        <f t="shared" si="56"/>
        <v>0</v>
      </c>
      <c r="AJ72" s="30" t="str">
        <f t="shared" si="57"/>
        <v xml:space="preserve"> </v>
      </c>
      <c r="AK72" s="30" t="str">
        <f t="shared" si="58"/>
        <v xml:space="preserve"> </v>
      </c>
      <c r="AL72" s="30" t="str">
        <f t="shared" si="59"/>
        <v xml:space="preserve"> </v>
      </c>
      <c r="AM72" s="32" t="str">
        <f t="shared" si="60"/>
        <v xml:space="preserve"> </v>
      </c>
      <c r="AN72" s="32" t="str">
        <f t="shared" si="61"/>
        <v xml:space="preserve"> </v>
      </c>
      <c r="AO72" s="32" t="str">
        <f t="shared" si="62"/>
        <v xml:space="preserve"> </v>
      </c>
      <c r="AP72" s="32" t="str">
        <f t="shared" si="63"/>
        <v xml:space="preserve"> </v>
      </c>
      <c r="AQ72" s="33">
        <f t="shared" si="64"/>
        <v>0</v>
      </c>
      <c r="AR72" s="27">
        <v>0.87</v>
      </c>
      <c r="AS72" s="30" t="str">
        <f t="shared" si="81"/>
        <v xml:space="preserve"> </v>
      </c>
      <c r="AT72" s="33">
        <f t="shared" si="82"/>
        <v>0</v>
      </c>
      <c r="AU72" s="32">
        <v>1</v>
      </c>
      <c r="AV72" s="33">
        <f t="shared" si="65"/>
        <v>0</v>
      </c>
      <c r="AW72" s="33">
        <f t="shared" si="66"/>
        <v>0</v>
      </c>
      <c r="AX72" s="30" t="str">
        <f t="shared" si="42"/>
        <v xml:space="preserve"> </v>
      </c>
      <c r="AY72" s="29">
        <f t="shared" si="67"/>
        <v>0</v>
      </c>
      <c r="AZ72" s="29">
        <f t="shared" si="68"/>
        <v>0</v>
      </c>
      <c r="BA72" s="30" t="str">
        <f t="shared" si="83"/>
        <v xml:space="preserve"> </v>
      </c>
      <c r="BB72" s="34">
        <f t="shared" si="69"/>
        <v>0</v>
      </c>
      <c r="BC72" s="35">
        <f t="shared" si="70"/>
        <v>0</v>
      </c>
      <c r="BD72" s="27">
        <v>1</v>
      </c>
      <c r="BE72" s="36">
        <f t="shared" si="71"/>
        <v>0</v>
      </c>
      <c r="BF72" s="36">
        <f t="shared" si="72"/>
        <v>0</v>
      </c>
      <c r="BG72" s="30" t="str">
        <f t="shared" si="73"/>
        <v xml:space="preserve"> </v>
      </c>
      <c r="BH72" s="33">
        <f t="shared" si="74"/>
        <v>0</v>
      </c>
      <c r="BI72" s="27">
        <v>1</v>
      </c>
      <c r="BJ72" s="36">
        <f t="shared" si="75"/>
        <v>0</v>
      </c>
      <c r="BK72" s="37">
        <f t="shared" si="76"/>
        <v>0</v>
      </c>
      <c r="BL72" s="30" t="str">
        <f t="shared" si="77"/>
        <v xml:space="preserve"> </v>
      </c>
      <c r="BM72" s="26">
        <f t="shared" si="78"/>
        <v>0</v>
      </c>
      <c r="BO72" s="50">
        <f t="shared" si="79"/>
        <v>0</v>
      </c>
      <c r="BP72" s="50">
        <f t="shared" si="80"/>
        <v>0</v>
      </c>
    </row>
    <row r="73" spans="1:68">
      <c r="A73" s="16" t="s">
        <v>135</v>
      </c>
      <c r="B73" s="1" t="s">
        <v>66</v>
      </c>
      <c r="C73" s="24">
        <v>0</v>
      </c>
      <c r="D73" s="24" t="s">
        <v>433</v>
      </c>
      <c r="E73" s="24">
        <v>10</v>
      </c>
      <c r="F73" s="24">
        <v>0</v>
      </c>
      <c r="G73" s="24" t="s">
        <v>67</v>
      </c>
      <c r="H73" s="24">
        <v>0</v>
      </c>
      <c r="I73" s="24">
        <v>0</v>
      </c>
      <c r="J73" s="24">
        <v>0</v>
      </c>
      <c r="K73" s="24">
        <v>0</v>
      </c>
      <c r="L73" s="24">
        <v>0</v>
      </c>
      <c r="M73" s="24">
        <v>0</v>
      </c>
      <c r="N73" s="24">
        <v>0</v>
      </c>
      <c r="O73" s="24">
        <v>0</v>
      </c>
      <c r="P73" s="24">
        <v>0</v>
      </c>
      <c r="Q73" s="24">
        <v>0</v>
      </c>
      <c r="R73" s="24">
        <v>0</v>
      </c>
      <c r="S73" s="24">
        <v>0</v>
      </c>
      <c r="T73" s="28">
        <f t="shared" si="43"/>
        <v>0</v>
      </c>
      <c r="U73" s="28">
        <f t="shared" si="44"/>
        <v>0</v>
      </c>
      <c r="V73" s="29">
        <f>IF(O73&gt;0,((VLOOKUP(E73,ACs!G$4:P$53,7)*P73)+(VLOOKUP(E73,ACs!G$4:P$53,6)*(1-P73)))*O73*F73,0)</f>
        <v>0</v>
      </c>
      <c r="W73" s="29">
        <f>IF(E73&gt;0,VLOOKUP(E73,ACs!G$4:P$53,10)*Q73*F73,0)</f>
        <v>0</v>
      </c>
      <c r="X73" s="29">
        <f t="shared" si="45"/>
        <v>0</v>
      </c>
      <c r="Y73" s="29">
        <f t="shared" si="46"/>
        <v>0</v>
      </c>
      <c r="Z73" s="29">
        <f t="shared" si="47"/>
        <v>0</v>
      </c>
      <c r="AA73" s="29">
        <f t="shared" si="48"/>
        <v>0</v>
      </c>
      <c r="AB73" s="30" t="str">
        <f t="shared" si="49"/>
        <v xml:space="preserve"> </v>
      </c>
      <c r="AC73" s="30" t="str">
        <f t="shared" si="50"/>
        <v xml:space="preserve"> </v>
      </c>
      <c r="AD73" s="31" t="str">
        <f t="shared" si="51"/>
        <v xml:space="preserve"> </v>
      </c>
      <c r="AE73" s="29">
        <f t="shared" si="52"/>
        <v>0</v>
      </c>
      <c r="AF73" s="29">
        <f t="shared" si="53"/>
        <v>0</v>
      </c>
      <c r="AG73" s="29">
        <f t="shared" si="54"/>
        <v>0</v>
      </c>
      <c r="AH73" s="29">
        <f t="shared" si="55"/>
        <v>0</v>
      </c>
      <c r="AI73" s="29">
        <f t="shared" si="56"/>
        <v>0</v>
      </c>
      <c r="AJ73" s="30" t="str">
        <f t="shared" si="57"/>
        <v xml:space="preserve"> </v>
      </c>
      <c r="AK73" s="30" t="str">
        <f t="shared" si="58"/>
        <v xml:space="preserve"> </v>
      </c>
      <c r="AL73" s="30" t="str">
        <f t="shared" si="59"/>
        <v xml:space="preserve"> </v>
      </c>
      <c r="AM73" s="32" t="str">
        <f t="shared" si="60"/>
        <v xml:space="preserve"> </v>
      </c>
      <c r="AN73" s="32" t="str">
        <f t="shared" si="61"/>
        <v xml:space="preserve"> </v>
      </c>
      <c r="AO73" s="32" t="str">
        <f t="shared" si="62"/>
        <v xml:space="preserve"> </v>
      </c>
      <c r="AP73" s="32" t="str">
        <f t="shared" si="63"/>
        <v xml:space="preserve"> </v>
      </c>
      <c r="AQ73" s="33">
        <f t="shared" si="64"/>
        <v>0</v>
      </c>
      <c r="AR73" s="27">
        <v>0.87</v>
      </c>
      <c r="AS73" s="30" t="str">
        <f t="shared" si="81"/>
        <v xml:space="preserve"> </v>
      </c>
      <c r="AT73" s="33">
        <f t="shared" si="82"/>
        <v>0</v>
      </c>
      <c r="AU73" s="32">
        <v>1</v>
      </c>
      <c r="AV73" s="33">
        <f t="shared" si="65"/>
        <v>0</v>
      </c>
      <c r="AW73" s="33">
        <f t="shared" si="66"/>
        <v>0</v>
      </c>
      <c r="AX73" s="30" t="str">
        <f t="shared" si="42"/>
        <v xml:space="preserve"> </v>
      </c>
      <c r="AY73" s="29">
        <f t="shared" si="67"/>
        <v>0</v>
      </c>
      <c r="AZ73" s="29">
        <f t="shared" si="68"/>
        <v>0</v>
      </c>
      <c r="BA73" s="30" t="str">
        <f t="shared" si="83"/>
        <v xml:space="preserve"> </v>
      </c>
      <c r="BB73" s="34">
        <f t="shared" si="69"/>
        <v>0</v>
      </c>
      <c r="BC73" s="35">
        <f t="shared" si="70"/>
        <v>0</v>
      </c>
      <c r="BD73" s="27">
        <v>1</v>
      </c>
      <c r="BE73" s="36">
        <f t="shared" si="71"/>
        <v>0</v>
      </c>
      <c r="BF73" s="36">
        <f t="shared" si="72"/>
        <v>0</v>
      </c>
      <c r="BG73" s="30" t="str">
        <f t="shared" si="73"/>
        <v xml:space="preserve"> </v>
      </c>
      <c r="BH73" s="33">
        <f t="shared" si="74"/>
        <v>0</v>
      </c>
      <c r="BI73" s="27">
        <v>1</v>
      </c>
      <c r="BJ73" s="36">
        <f t="shared" si="75"/>
        <v>0</v>
      </c>
      <c r="BK73" s="37">
        <f t="shared" si="76"/>
        <v>0</v>
      </c>
      <c r="BL73" s="30" t="str">
        <f t="shared" si="77"/>
        <v xml:space="preserve"> </v>
      </c>
      <c r="BM73" s="26">
        <f t="shared" si="78"/>
        <v>0</v>
      </c>
      <c r="BO73" s="50">
        <f t="shared" si="79"/>
        <v>0</v>
      </c>
      <c r="BP73" s="50">
        <f t="shared" si="80"/>
        <v>0</v>
      </c>
    </row>
    <row r="74" spans="1:68">
      <c r="A74" s="16" t="s">
        <v>136</v>
      </c>
      <c r="B74" s="1" t="s">
        <v>66</v>
      </c>
      <c r="C74" s="24">
        <v>0</v>
      </c>
      <c r="D74" s="24" t="s">
        <v>433</v>
      </c>
      <c r="E74" s="24">
        <v>10</v>
      </c>
      <c r="F74" s="24">
        <v>0</v>
      </c>
      <c r="G74" s="24" t="s">
        <v>67</v>
      </c>
      <c r="H74" s="24">
        <v>0</v>
      </c>
      <c r="I74" s="24">
        <v>0</v>
      </c>
      <c r="J74" s="24">
        <v>0</v>
      </c>
      <c r="K74" s="24">
        <v>0</v>
      </c>
      <c r="L74" s="24">
        <v>0</v>
      </c>
      <c r="M74" s="24">
        <v>0</v>
      </c>
      <c r="N74" s="24">
        <v>0</v>
      </c>
      <c r="O74" s="24">
        <v>0</v>
      </c>
      <c r="P74" s="24">
        <v>0</v>
      </c>
      <c r="Q74" s="24">
        <v>0</v>
      </c>
      <c r="R74" s="24">
        <v>0</v>
      </c>
      <c r="S74" s="24">
        <v>0</v>
      </c>
      <c r="T74" s="28">
        <f t="shared" si="43"/>
        <v>0</v>
      </c>
      <c r="U74" s="28">
        <f t="shared" si="44"/>
        <v>0</v>
      </c>
      <c r="V74" s="29">
        <f>IF(O74&gt;0,((VLOOKUP(E74,ACs!G$4:P$53,7)*P74)+(VLOOKUP(E74,ACs!G$4:P$53,6)*(1-P74)))*O74*F74,0)</f>
        <v>0</v>
      </c>
      <c r="W74" s="29">
        <f>IF(E74&gt;0,VLOOKUP(E74,ACs!G$4:P$53,10)*Q74*F74,0)</f>
        <v>0</v>
      </c>
      <c r="X74" s="29">
        <f t="shared" si="45"/>
        <v>0</v>
      </c>
      <c r="Y74" s="29">
        <f t="shared" si="46"/>
        <v>0</v>
      </c>
      <c r="Z74" s="29">
        <f t="shared" si="47"/>
        <v>0</v>
      </c>
      <c r="AA74" s="29">
        <f t="shared" si="48"/>
        <v>0</v>
      </c>
      <c r="AB74" s="30" t="str">
        <f t="shared" si="49"/>
        <v xml:space="preserve"> </v>
      </c>
      <c r="AC74" s="30" t="str">
        <f t="shared" si="50"/>
        <v xml:space="preserve"> </v>
      </c>
      <c r="AD74" s="31" t="str">
        <f t="shared" si="51"/>
        <v xml:space="preserve"> </v>
      </c>
      <c r="AE74" s="29">
        <f t="shared" si="52"/>
        <v>0</v>
      </c>
      <c r="AF74" s="29">
        <f t="shared" si="53"/>
        <v>0</v>
      </c>
      <c r="AG74" s="29">
        <f t="shared" si="54"/>
        <v>0</v>
      </c>
      <c r="AH74" s="29">
        <f t="shared" si="55"/>
        <v>0</v>
      </c>
      <c r="AI74" s="29">
        <f t="shared" si="56"/>
        <v>0</v>
      </c>
      <c r="AJ74" s="30" t="str">
        <f t="shared" si="57"/>
        <v xml:space="preserve"> </v>
      </c>
      <c r="AK74" s="30" t="str">
        <f t="shared" si="58"/>
        <v xml:space="preserve"> </v>
      </c>
      <c r="AL74" s="30" t="str">
        <f t="shared" si="59"/>
        <v xml:space="preserve"> </v>
      </c>
      <c r="AM74" s="32" t="str">
        <f t="shared" si="60"/>
        <v xml:space="preserve"> </v>
      </c>
      <c r="AN74" s="32" t="str">
        <f t="shared" si="61"/>
        <v xml:space="preserve"> </v>
      </c>
      <c r="AO74" s="32" t="str">
        <f t="shared" si="62"/>
        <v xml:space="preserve"> </v>
      </c>
      <c r="AP74" s="32" t="str">
        <f t="shared" si="63"/>
        <v xml:space="preserve"> </v>
      </c>
      <c r="AQ74" s="33">
        <f t="shared" si="64"/>
        <v>0</v>
      </c>
      <c r="AR74" s="27">
        <v>0.87</v>
      </c>
      <c r="AS74" s="30" t="str">
        <f t="shared" si="81"/>
        <v xml:space="preserve"> </v>
      </c>
      <c r="AT74" s="33">
        <f t="shared" si="82"/>
        <v>0</v>
      </c>
      <c r="AU74" s="32">
        <v>1</v>
      </c>
      <c r="AV74" s="33">
        <f t="shared" si="65"/>
        <v>0</v>
      </c>
      <c r="AW74" s="33">
        <f t="shared" si="66"/>
        <v>0</v>
      </c>
      <c r="AX74" s="30" t="str">
        <f t="shared" si="42"/>
        <v xml:space="preserve"> </v>
      </c>
      <c r="AY74" s="29">
        <f t="shared" si="67"/>
        <v>0</v>
      </c>
      <c r="AZ74" s="29">
        <f t="shared" si="68"/>
        <v>0</v>
      </c>
      <c r="BA74" s="30" t="str">
        <f t="shared" si="83"/>
        <v xml:space="preserve"> </v>
      </c>
      <c r="BB74" s="34">
        <f t="shared" si="69"/>
        <v>0</v>
      </c>
      <c r="BC74" s="35">
        <f t="shared" si="70"/>
        <v>0</v>
      </c>
      <c r="BD74" s="27">
        <v>1</v>
      </c>
      <c r="BE74" s="36">
        <f t="shared" si="71"/>
        <v>0</v>
      </c>
      <c r="BF74" s="36">
        <f t="shared" si="72"/>
        <v>0</v>
      </c>
      <c r="BG74" s="30" t="str">
        <f t="shared" si="73"/>
        <v xml:space="preserve"> </v>
      </c>
      <c r="BH74" s="33">
        <f t="shared" si="74"/>
        <v>0</v>
      </c>
      <c r="BI74" s="27">
        <v>1</v>
      </c>
      <c r="BJ74" s="36">
        <f t="shared" si="75"/>
        <v>0</v>
      </c>
      <c r="BK74" s="37">
        <f t="shared" si="76"/>
        <v>0</v>
      </c>
      <c r="BL74" s="30" t="str">
        <f t="shared" si="77"/>
        <v xml:space="preserve"> </v>
      </c>
      <c r="BM74" s="26">
        <f t="shared" si="78"/>
        <v>0</v>
      </c>
      <c r="BO74" s="50">
        <f t="shared" si="79"/>
        <v>0</v>
      </c>
      <c r="BP74" s="50">
        <f t="shared" si="80"/>
        <v>0</v>
      </c>
    </row>
    <row r="75" spans="1:68">
      <c r="A75" s="16" t="s">
        <v>137</v>
      </c>
      <c r="B75" s="1" t="s">
        <v>66</v>
      </c>
      <c r="C75" s="24">
        <v>0</v>
      </c>
      <c r="D75" s="24" t="s">
        <v>433</v>
      </c>
      <c r="E75" s="24">
        <v>10</v>
      </c>
      <c r="F75" s="24">
        <v>0</v>
      </c>
      <c r="G75" s="24" t="s">
        <v>67</v>
      </c>
      <c r="H75" s="24">
        <v>0</v>
      </c>
      <c r="I75" s="24">
        <v>0</v>
      </c>
      <c r="J75" s="24">
        <v>0</v>
      </c>
      <c r="K75" s="24">
        <v>0</v>
      </c>
      <c r="L75" s="24">
        <v>0</v>
      </c>
      <c r="M75" s="24">
        <v>0</v>
      </c>
      <c r="N75" s="24">
        <v>0</v>
      </c>
      <c r="O75" s="24">
        <v>0</v>
      </c>
      <c r="P75" s="24">
        <v>0</v>
      </c>
      <c r="Q75" s="24">
        <v>0</v>
      </c>
      <c r="R75" s="24">
        <v>0</v>
      </c>
      <c r="S75" s="24">
        <v>0</v>
      </c>
      <c r="T75" s="28">
        <f t="shared" si="43"/>
        <v>0</v>
      </c>
      <c r="U75" s="28">
        <f t="shared" si="44"/>
        <v>0</v>
      </c>
      <c r="V75" s="29">
        <f>IF(O75&gt;0,((VLOOKUP(E75,ACs!G$4:P$53,7)*P75)+(VLOOKUP(E75,ACs!G$4:P$53,6)*(1-P75)))*O75*F75,0)</f>
        <v>0</v>
      </c>
      <c r="W75" s="29">
        <f>IF(E75&gt;0,VLOOKUP(E75,ACs!G$4:P$53,10)*Q75*F75,0)</f>
        <v>0</v>
      </c>
      <c r="X75" s="29">
        <f t="shared" si="45"/>
        <v>0</v>
      </c>
      <c r="Y75" s="29">
        <f t="shared" si="46"/>
        <v>0</v>
      </c>
      <c r="Z75" s="29">
        <f t="shared" si="47"/>
        <v>0</v>
      </c>
      <c r="AA75" s="29">
        <f t="shared" si="48"/>
        <v>0</v>
      </c>
      <c r="AB75" s="30" t="str">
        <f t="shared" si="49"/>
        <v xml:space="preserve"> </v>
      </c>
      <c r="AC75" s="30" t="str">
        <f t="shared" si="50"/>
        <v xml:space="preserve"> </v>
      </c>
      <c r="AD75" s="31" t="str">
        <f t="shared" si="51"/>
        <v xml:space="preserve"> </v>
      </c>
      <c r="AE75" s="29">
        <f t="shared" si="52"/>
        <v>0</v>
      </c>
      <c r="AF75" s="29">
        <f t="shared" si="53"/>
        <v>0</v>
      </c>
      <c r="AG75" s="29">
        <f t="shared" si="54"/>
        <v>0</v>
      </c>
      <c r="AH75" s="29">
        <f t="shared" si="55"/>
        <v>0</v>
      </c>
      <c r="AI75" s="29">
        <f t="shared" si="56"/>
        <v>0</v>
      </c>
      <c r="AJ75" s="30" t="str">
        <f t="shared" si="57"/>
        <v xml:space="preserve"> </v>
      </c>
      <c r="AK75" s="30" t="str">
        <f t="shared" si="58"/>
        <v xml:space="preserve"> </v>
      </c>
      <c r="AL75" s="30" t="str">
        <f t="shared" si="59"/>
        <v xml:space="preserve"> </v>
      </c>
      <c r="AM75" s="32" t="str">
        <f t="shared" si="60"/>
        <v xml:space="preserve"> </v>
      </c>
      <c r="AN75" s="32" t="str">
        <f t="shared" si="61"/>
        <v xml:space="preserve"> </v>
      </c>
      <c r="AO75" s="32" t="str">
        <f t="shared" si="62"/>
        <v xml:space="preserve"> </v>
      </c>
      <c r="AP75" s="32" t="str">
        <f t="shared" si="63"/>
        <v xml:space="preserve"> </v>
      </c>
      <c r="AQ75" s="33">
        <f t="shared" si="64"/>
        <v>0</v>
      </c>
      <c r="AR75" s="27">
        <v>0.87</v>
      </c>
      <c r="AS75" s="30" t="str">
        <f t="shared" si="81"/>
        <v xml:space="preserve"> </v>
      </c>
      <c r="AT75" s="33">
        <f t="shared" si="82"/>
        <v>0</v>
      </c>
      <c r="AU75" s="32">
        <v>1</v>
      </c>
      <c r="AV75" s="33">
        <f t="shared" si="65"/>
        <v>0</v>
      </c>
      <c r="AW75" s="33">
        <f t="shared" si="66"/>
        <v>0</v>
      </c>
      <c r="AX75" s="30" t="str">
        <f t="shared" si="42"/>
        <v xml:space="preserve"> </v>
      </c>
      <c r="AY75" s="29">
        <f t="shared" si="67"/>
        <v>0</v>
      </c>
      <c r="AZ75" s="29">
        <f t="shared" si="68"/>
        <v>0</v>
      </c>
      <c r="BA75" s="30" t="str">
        <f t="shared" si="83"/>
        <v xml:space="preserve"> </v>
      </c>
      <c r="BB75" s="34">
        <f t="shared" si="69"/>
        <v>0</v>
      </c>
      <c r="BC75" s="35">
        <f t="shared" si="70"/>
        <v>0</v>
      </c>
      <c r="BD75" s="27">
        <v>1</v>
      </c>
      <c r="BE75" s="36">
        <f t="shared" si="71"/>
        <v>0</v>
      </c>
      <c r="BF75" s="36">
        <f t="shared" si="72"/>
        <v>0</v>
      </c>
      <c r="BG75" s="30" t="str">
        <f t="shared" si="73"/>
        <v xml:space="preserve"> </v>
      </c>
      <c r="BH75" s="33">
        <f t="shared" si="74"/>
        <v>0</v>
      </c>
      <c r="BI75" s="27">
        <v>1</v>
      </c>
      <c r="BJ75" s="36">
        <f t="shared" si="75"/>
        <v>0</v>
      </c>
      <c r="BK75" s="37">
        <f t="shared" si="76"/>
        <v>0</v>
      </c>
      <c r="BL75" s="30" t="str">
        <f t="shared" si="77"/>
        <v xml:space="preserve"> </v>
      </c>
      <c r="BM75" s="26">
        <f t="shared" si="78"/>
        <v>0</v>
      </c>
      <c r="BO75" s="50">
        <f t="shared" si="79"/>
        <v>0</v>
      </c>
      <c r="BP75" s="50">
        <f t="shared" si="80"/>
        <v>0</v>
      </c>
    </row>
    <row r="76" spans="1:68">
      <c r="A76" s="16" t="s">
        <v>138</v>
      </c>
      <c r="B76" s="1" t="s">
        <v>66</v>
      </c>
      <c r="C76" s="24">
        <v>0</v>
      </c>
      <c r="D76" s="24" t="s">
        <v>433</v>
      </c>
      <c r="E76" s="24">
        <v>10</v>
      </c>
      <c r="F76" s="24">
        <v>0</v>
      </c>
      <c r="G76" s="24" t="s">
        <v>67</v>
      </c>
      <c r="H76" s="24">
        <v>0</v>
      </c>
      <c r="I76" s="24">
        <v>0</v>
      </c>
      <c r="J76" s="24">
        <v>0</v>
      </c>
      <c r="K76" s="24">
        <v>0</v>
      </c>
      <c r="L76" s="24">
        <v>0</v>
      </c>
      <c r="M76" s="24">
        <v>0</v>
      </c>
      <c r="N76" s="24">
        <v>0</v>
      </c>
      <c r="O76" s="24">
        <v>0</v>
      </c>
      <c r="P76" s="24">
        <v>0</v>
      </c>
      <c r="Q76" s="24">
        <v>0</v>
      </c>
      <c r="R76" s="24">
        <v>0</v>
      </c>
      <c r="S76" s="24">
        <v>0</v>
      </c>
      <c r="T76" s="28">
        <f t="shared" si="43"/>
        <v>0</v>
      </c>
      <c r="U76" s="28">
        <f t="shared" si="44"/>
        <v>0</v>
      </c>
      <c r="V76" s="29">
        <f>IF(O76&gt;0,((VLOOKUP(E76,ACs!G$4:P$53,7)*P76)+(VLOOKUP(E76,ACs!G$4:P$53,6)*(1-P76)))*O76*F76,0)</f>
        <v>0</v>
      </c>
      <c r="W76" s="29">
        <f>IF(E76&gt;0,VLOOKUP(E76,ACs!G$4:P$53,10)*Q76*F76,0)</f>
        <v>0</v>
      </c>
      <c r="X76" s="29">
        <f t="shared" si="45"/>
        <v>0</v>
      </c>
      <c r="Y76" s="29">
        <f t="shared" si="46"/>
        <v>0</v>
      </c>
      <c r="Z76" s="29">
        <f t="shared" si="47"/>
        <v>0</v>
      </c>
      <c r="AA76" s="29">
        <f t="shared" si="48"/>
        <v>0</v>
      </c>
      <c r="AB76" s="30" t="str">
        <f t="shared" si="49"/>
        <v xml:space="preserve"> </v>
      </c>
      <c r="AC76" s="30" t="str">
        <f t="shared" si="50"/>
        <v xml:space="preserve"> </v>
      </c>
      <c r="AD76" s="31" t="str">
        <f t="shared" si="51"/>
        <v xml:space="preserve"> </v>
      </c>
      <c r="AE76" s="29">
        <f t="shared" si="52"/>
        <v>0</v>
      </c>
      <c r="AF76" s="29">
        <f t="shared" si="53"/>
        <v>0</v>
      </c>
      <c r="AG76" s="29">
        <f t="shared" si="54"/>
        <v>0</v>
      </c>
      <c r="AH76" s="29">
        <f t="shared" si="55"/>
        <v>0</v>
      </c>
      <c r="AI76" s="29">
        <f t="shared" si="56"/>
        <v>0</v>
      </c>
      <c r="AJ76" s="30" t="str">
        <f t="shared" si="57"/>
        <v xml:space="preserve"> </v>
      </c>
      <c r="AK76" s="30" t="str">
        <f t="shared" si="58"/>
        <v xml:space="preserve"> </v>
      </c>
      <c r="AL76" s="30" t="str">
        <f t="shared" si="59"/>
        <v xml:space="preserve"> </v>
      </c>
      <c r="AM76" s="32" t="str">
        <f t="shared" si="60"/>
        <v xml:space="preserve"> </v>
      </c>
      <c r="AN76" s="32" t="str">
        <f t="shared" si="61"/>
        <v xml:space="preserve"> </v>
      </c>
      <c r="AO76" s="32" t="str">
        <f t="shared" si="62"/>
        <v xml:space="preserve"> </v>
      </c>
      <c r="AP76" s="32" t="str">
        <f t="shared" si="63"/>
        <v xml:space="preserve"> </v>
      </c>
      <c r="AQ76" s="33">
        <f t="shared" si="64"/>
        <v>0</v>
      </c>
      <c r="AR76" s="27">
        <v>0.87</v>
      </c>
      <c r="AS76" s="30" t="str">
        <f t="shared" si="81"/>
        <v xml:space="preserve"> </v>
      </c>
      <c r="AT76" s="33">
        <f t="shared" si="82"/>
        <v>0</v>
      </c>
      <c r="AU76" s="32">
        <v>1</v>
      </c>
      <c r="AV76" s="33">
        <f t="shared" si="65"/>
        <v>0</v>
      </c>
      <c r="AW76" s="33">
        <f t="shared" si="66"/>
        <v>0</v>
      </c>
      <c r="AX76" s="30" t="str">
        <f t="shared" si="42"/>
        <v xml:space="preserve"> </v>
      </c>
      <c r="AY76" s="29">
        <f t="shared" si="67"/>
        <v>0</v>
      </c>
      <c r="AZ76" s="29">
        <f t="shared" si="68"/>
        <v>0</v>
      </c>
      <c r="BA76" s="30" t="str">
        <f t="shared" si="83"/>
        <v xml:space="preserve"> </v>
      </c>
      <c r="BB76" s="34">
        <f t="shared" si="69"/>
        <v>0</v>
      </c>
      <c r="BC76" s="35">
        <f t="shared" si="70"/>
        <v>0</v>
      </c>
      <c r="BD76" s="27">
        <v>1</v>
      </c>
      <c r="BE76" s="36">
        <f t="shared" si="71"/>
        <v>0</v>
      </c>
      <c r="BF76" s="36">
        <f t="shared" si="72"/>
        <v>0</v>
      </c>
      <c r="BG76" s="30" t="str">
        <f t="shared" si="73"/>
        <v xml:space="preserve"> </v>
      </c>
      <c r="BH76" s="33">
        <f t="shared" si="74"/>
        <v>0</v>
      </c>
      <c r="BI76" s="27">
        <v>1</v>
      </c>
      <c r="BJ76" s="36">
        <f t="shared" si="75"/>
        <v>0</v>
      </c>
      <c r="BK76" s="37">
        <f t="shared" si="76"/>
        <v>0</v>
      </c>
      <c r="BL76" s="30" t="str">
        <f t="shared" si="77"/>
        <v xml:space="preserve"> </v>
      </c>
      <c r="BM76" s="26">
        <f t="shared" si="78"/>
        <v>0</v>
      </c>
      <c r="BO76" s="50">
        <f t="shared" si="79"/>
        <v>0</v>
      </c>
      <c r="BP76" s="50">
        <f t="shared" si="80"/>
        <v>0</v>
      </c>
    </row>
    <row r="77" spans="1:68">
      <c r="A77" s="16" t="s">
        <v>139</v>
      </c>
      <c r="B77" s="1" t="s">
        <v>66</v>
      </c>
      <c r="C77" s="24">
        <v>0</v>
      </c>
      <c r="D77" s="24" t="s">
        <v>433</v>
      </c>
      <c r="E77" s="24">
        <v>10</v>
      </c>
      <c r="F77" s="24">
        <v>0</v>
      </c>
      <c r="G77" s="24" t="s">
        <v>67</v>
      </c>
      <c r="H77" s="24">
        <v>0</v>
      </c>
      <c r="I77" s="24">
        <v>0</v>
      </c>
      <c r="J77" s="24">
        <v>0</v>
      </c>
      <c r="K77" s="24">
        <v>0</v>
      </c>
      <c r="L77" s="24">
        <v>0</v>
      </c>
      <c r="M77" s="24">
        <v>0</v>
      </c>
      <c r="N77" s="24">
        <v>0</v>
      </c>
      <c r="O77" s="24">
        <v>0</v>
      </c>
      <c r="P77" s="24">
        <v>0</v>
      </c>
      <c r="Q77" s="24">
        <v>0</v>
      </c>
      <c r="R77" s="24">
        <v>0</v>
      </c>
      <c r="S77" s="24">
        <v>0</v>
      </c>
      <c r="T77" s="28">
        <f t="shared" si="43"/>
        <v>0</v>
      </c>
      <c r="U77" s="28">
        <f t="shared" si="44"/>
        <v>0</v>
      </c>
      <c r="V77" s="29">
        <f>IF(O77&gt;0,((VLOOKUP(E77,ACs!G$4:P$53,7)*P77)+(VLOOKUP(E77,ACs!G$4:P$53,6)*(1-P77)))*O77*F77,0)</f>
        <v>0</v>
      </c>
      <c r="W77" s="29">
        <f>IF(E77&gt;0,VLOOKUP(E77,ACs!G$4:P$53,10)*Q77*F77,0)</f>
        <v>0</v>
      </c>
      <c r="X77" s="29">
        <f t="shared" si="45"/>
        <v>0</v>
      </c>
      <c r="Y77" s="29">
        <f t="shared" si="46"/>
        <v>0</v>
      </c>
      <c r="Z77" s="29">
        <f t="shared" si="47"/>
        <v>0</v>
      </c>
      <c r="AA77" s="29">
        <f t="shared" si="48"/>
        <v>0</v>
      </c>
      <c r="AB77" s="30" t="str">
        <f t="shared" si="49"/>
        <v xml:space="preserve"> </v>
      </c>
      <c r="AC77" s="30" t="str">
        <f t="shared" si="50"/>
        <v xml:space="preserve"> </v>
      </c>
      <c r="AD77" s="31" t="str">
        <f t="shared" si="51"/>
        <v xml:space="preserve"> </v>
      </c>
      <c r="AE77" s="29">
        <f t="shared" si="52"/>
        <v>0</v>
      </c>
      <c r="AF77" s="29">
        <f t="shared" si="53"/>
        <v>0</v>
      </c>
      <c r="AG77" s="29">
        <f t="shared" si="54"/>
        <v>0</v>
      </c>
      <c r="AH77" s="29">
        <f t="shared" si="55"/>
        <v>0</v>
      </c>
      <c r="AI77" s="29">
        <f t="shared" si="56"/>
        <v>0</v>
      </c>
      <c r="AJ77" s="30" t="str">
        <f t="shared" si="57"/>
        <v xml:space="preserve"> </v>
      </c>
      <c r="AK77" s="30" t="str">
        <f t="shared" si="58"/>
        <v xml:space="preserve"> </v>
      </c>
      <c r="AL77" s="30" t="str">
        <f t="shared" si="59"/>
        <v xml:space="preserve"> </v>
      </c>
      <c r="AM77" s="32" t="str">
        <f t="shared" si="60"/>
        <v xml:space="preserve"> </v>
      </c>
      <c r="AN77" s="32" t="str">
        <f t="shared" si="61"/>
        <v xml:space="preserve"> </v>
      </c>
      <c r="AO77" s="32" t="str">
        <f t="shared" si="62"/>
        <v xml:space="preserve"> </v>
      </c>
      <c r="AP77" s="32" t="str">
        <f t="shared" si="63"/>
        <v xml:space="preserve"> </v>
      </c>
      <c r="AQ77" s="33">
        <f t="shared" si="64"/>
        <v>0</v>
      </c>
      <c r="AR77" s="27">
        <v>0.87</v>
      </c>
      <c r="AS77" s="30" t="str">
        <f t="shared" si="81"/>
        <v xml:space="preserve"> </v>
      </c>
      <c r="AT77" s="33">
        <f t="shared" si="82"/>
        <v>0</v>
      </c>
      <c r="AU77" s="32">
        <v>1</v>
      </c>
      <c r="AV77" s="33">
        <f t="shared" si="65"/>
        <v>0</v>
      </c>
      <c r="AW77" s="33">
        <f t="shared" si="66"/>
        <v>0</v>
      </c>
      <c r="AX77" s="30" t="str">
        <f t="shared" si="42"/>
        <v xml:space="preserve"> </v>
      </c>
      <c r="AY77" s="29">
        <f t="shared" si="67"/>
        <v>0</v>
      </c>
      <c r="AZ77" s="29">
        <f t="shared" si="68"/>
        <v>0</v>
      </c>
      <c r="BA77" s="30" t="str">
        <f t="shared" si="83"/>
        <v xml:space="preserve"> </v>
      </c>
      <c r="BB77" s="34">
        <f t="shared" si="69"/>
        <v>0</v>
      </c>
      <c r="BC77" s="35">
        <f t="shared" si="70"/>
        <v>0</v>
      </c>
      <c r="BD77" s="27">
        <v>1</v>
      </c>
      <c r="BE77" s="36">
        <f t="shared" si="71"/>
        <v>0</v>
      </c>
      <c r="BF77" s="36">
        <f t="shared" si="72"/>
        <v>0</v>
      </c>
      <c r="BG77" s="30" t="str">
        <f t="shared" si="73"/>
        <v xml:space="preserve"> </v>
      </c>
      <c r="BH77" s="33">
        <f t="shared" si="74"/>
        <v>0</v>
      </c>
      <c r="BI77" s="27">
        <v>1</v>
      </c>
      <c r="BJ77" s="36">
        <f t="shared" si="75"/>
        <v>0</v>
      </c>
      <c r="BK77" s="37">
        <f t="shared" si="76"/>
        <v>0</v>
      </c>
      <c r="BL77" s="30" t="str">
        <f t="shared" si="77"/>
        <v xml:space="preserve"> </v>
      </c>
      <c r="BM77" s="26">
        <f t="shared" si="78"/>
        <v>0</v>
      </c>
      <c r="BO77" s="50">
        <f t="shared" si="79"/>
        <v>0</v>
      </c>
      <c r="BP77" s="50">
        <f t="shared" si="80"/>
        <v>0</v>
      </c>
    </row>
    <row r="78" spans="1:68">
      <c r="A78" s="16" t="s">
        <v>140</v>
      </c>
      <c r="B78" s="1" t="s">
        <v>66</v>
      </c>
      <c r="C78" s="24">
        <v>0</v>
      </c>
      <c r="D78" s="24" t="s">
        <v>433</v>
      </c>
      <c r="E78" s="24">
        <v>10</v>
      </c>
      <c r="F78" s="24">
        <v>0</v>
      </c>
      <c r="G78" s="24" t="s">
        <v>67</v>
      </c>
      <c r="H78" s="24">
        <v>0</v>
      </c>
      <c r="I78" s="24">
        <v>0</v>
      </c>
      <c r="J78" s="24">
        <v>0</v>
      </c>
      <c r="K78" s="24">
        <v>0</v>
      </c>
      <c r="L78" s="24">
        <v>0</v>
      </c>
      <c r="M78" s="24">
        <v>0</v>
      </c>
      <c r="N78" s="24">
        <v>0</v>
      </c>
      <c r="O78" s="24">
        <v>0</v>
      </c>
      <c r="P78" s="24">
        <v>0</v>
      </c>
      <c r="Q78" s="24">
        <v>0</v>
      </c>
      <c r="R78" s="24">
        <v>0</v>
      </c>
      <c r="S78" s="24">
        <v>0</v>
      </c>
      <c r="T78" s="28">
        <f t="shared" si="43"/>
        <v>0</v>
      </c>
      <c r="U78" s="28">
        <f t="shared" si="44"/>
        <v>0</v>
      </c>
      <c r="V78" s="29">
        <f>IF(O78&gt;0,((VLOOKUP(E78,ACs!G$4:P$53,7)*P78)+(VLOOKUP(E78,ACs!G$4:P$53,6)*(1-P78)))*O78*F78,0)</f>
        <v>0</v>
      </c>
      <c r="W78" s="29">
        <f>IF(E78&gt;0,VLOOKUP(E78,ACs!G$4:P$53,10)*Q78*F78,0)</f>
        <v>0</v>
      </c>
      <c r="X78" s="29">
        <f t="shared" si="45"/>
        <v>0</v>
      </c>
      <c r="Y78" s="29">
        <f t="shared" si="46"/>
        <v>0</v>
      </c>
      <c r="Z78" s="29">
        <f t="shared" si="47"/>
        <v>0</v>
      </c>
      <c r="AA78" s="29">
        <f t="shared" si="48"/>
        <v>0</v>
      </c>
      <c r="AB78" s="30" t="str">
        <f t="shared" si="49"/>
        <v xml:space="preserve"> </v>
      </c>
      <c r="AC78" s="30" t="str">
        <f t="shared" si="50"/>
        <v xml:space="preserve"> </v>
      </c>
      <c r="AD78" s="31" t="str">
        <f t="shared" si="51"/>
        <v xml:space="preserve"> </v>
      </c>
      <c r="AE78" s="29">
        <f t="shared" si="52"/>
        <v>0</v>
      </c>
      <c r="AF78" s="29">
        <f t="shared" si="53"/>
        <v>0</v>
      </c>
      <c r="AG78" s="29">
        <f t="shared" si="54"/>
        <v>0</v>
      </c>
      <c r="AH78" s="29">
        <f t="shared" si="55"/>
        <v>0</v>
      </c>
      <c r="AI78" s="29">
        <f t="shared" si="56"/>
        <v>0</v>
      </c>
      <c r="AJ78" s="30" t="str">
        <f t="shared" si="57"/>
        <v xml:space="preserve"> </v>
      </c>
      <c r="AK78" s="30" t="str">
        <f t="shared" si="58"/>
        <v xml:space="preserve"> </v>
      </c>
      <c r="AL78" s="30" t="str">
        <f t="shared" si="59"/>
        <v xml:space="preserve"> </v>
      </c>
      <c r="AM78" s="32" t="str">
        <f t="shared" si="60"/>
        <v xml:space="preserve"> </v>
      </c>
      <c r="AN78" s="32" t="str">
        <f t="shared" si="61"/>
        <v xml:space="preserve"> </v>
      </c>
      <c r="AO78" s="32" t="str">
        <f t="shared" si="62"/>
        <v xml:space="preserve"> </v>
      </c>
      <c r="AP78" s="32" t="str">
        <f t="shared" si="63"/>
        <v xml:space="preserve"> </v>
      </c>
      <c r="AQ78" s="33">
        <f t="shared" si="64"/>
        <v>0</v>
      </c>
      <c r="AR78" s="27">
        <v>0.87</v>
      </c>
      <c r="AS78" s="30" t="str">
        <f t="shared" si="81"/>
        <v xml:space="preserve"> </v>
      </c>
      <c r="AT78" s="33">
        <f t="shared" si="82"/>
        <v>0</v>
      </c>
      <c r="AU78" s="32">
        <v>1</v>
      </c>
      <c r="AV78" s="33">
        <f t="shared" si="65"/>
        <v>0</v>
      </c>
      <c r="AW78" s="33">
        <f t="shared" si="66"/>
        <v>0</v>
      </c>
      <c r="AX78" s="30" t="str">
        <f t="shared" si="42"/>
        <v xml:space="preserve"> </v>
      </c>
      <c r="AY78" s="29">
        <f t="shared" si="67"/>
        <v>0</v>
      </c>
      <c r="AZ78" s="29">
        <f t="shared" si="68"/>
        <v>0</v>
      </c>
      <c r="BA78" s="30" t="str">
        <f t="shared" si="83"/>
        <v xml:space="preserve"> </v>
      </c>
      <c r="BB78" s="34">
        <f t="shared" si="69"/>
        <v>0</v>
      </c>
      <c r="BC78" s="35">
        <f t="shared" si="70"/>
        <v>0</v>
      </c>
      <c r="BD78" s="27">
        <v>1</v>
      </c>
      <c r="BE78" s="36">
        <f t="shared" si="71"/>
        <v>0</v>
      </c>
      <c r="BF78" s="36">
        <f t="shared" si="72"/>
        <v>0</v>
      </c>
      <c r="BG78" s="30" t="str">
        <f t="shared" si="73"/>
        <v xml:space="preserve"> </v>
      </c>
      <c r="BH78" s="33">
        <f t="shared" si="74"/>
        <v>0</v>
      </c>
      <c r="BI78" s="27">
        <v>1</v>
      </c>
      <c r="BJ78" s="36">
        <f t="shared" si="75"/>
        <v>0</v>
      </c>
      <c r="BK78" s="37">
        <f t="shared" si="76"/>
        <v>0</v>
      </c>
      <c r="BL78" s="30" t="str">
        <f t="shared" si="77"/>
        <v xml:space="preserve"> </v>
      </c>
      <c r="BM78" s="26">
        <f t="shared" si="78"/>
        <v>0</v>
      </c>
      <c r="BO78" s="50">
        <f t="shared" si="79"/>
        <v>0</v>
      </c>
      <c r="BP78" s="50">
        <f t="shared" si="80"/>
        <v>0</v>
      </c>
    </row>
    <row r="79" spans="1:68">
      <c r="A79" s="16" t="s">
        <v>141</v>
      </c>
      <c r="B79" s="1" t="s">
        <v>66</v>
      </c>
      <c r="C79" s="24">
        <v>0</v>
      </c>
      <c r="D79" s="24" t="s">
        <v>433</v>
      </c>
      <c r="E79" s="24">
        <v>10</v>
      </c>
      <c r="F79" s="24">
        <v>0</v>
      </c>
      <c r="G79" s="24" t="s">
        <v>67</v>
      </c>
      <c r="H79" s="24">
        <v>0</v>
      </c>
      <c r="I79" s="24">
        <v>0</v>
      </c>
      <c r="J79" s="24">
        <v>0</v>
      </c>
      <c r="K79" s="24">
        <v>0</v>
      </c>
      <c r="L79" s="24">
        <v>0</v>
      </c>
      <c r="M79" s="24">
        <v>0</v>
      </c>
      <c r="N79" s="24">
        <v>0</v>
      </c>
      <c r="O79" s="24">
        <v>0</v>
      </c>
      <c r="P79" s="24">
        <v>0</v>
      </c>
      <c r="Q79" s="24">
        <v>0</v>
      </c>
      <c r="R79" s="24">
        <v>0</v>
      </c>
      <c r="S79" s="24">
        <v>0</v>
      </c>
      <c r="T79" s="28">
        <f t="shared" si="43"/>
        <v>0</v>
      </c>
      <c r="U79" s="28">
        <f t="shared" si="44"/>
        <v>0</v>
      </c>
      <c r="V79" s="29">
        <f>IF(O79&gt;0,((VLOOKUP(E79,ACs!G$4:P$53,7)*P79)+(VLOOKUP(E79,ACs!G$4:P$53,6)*(1-P79)))*O79*F79,0)</f>
        <v>0</v>
      </c>
      <c r="W79" s="29">
        <f>IF(E79&gt;0,VLOOKUP(E79,ACs!G$4:P$53,10)*Q79*F79,0)</f>
        <v>0</v>
      </c>
      <c r="X79" s="29">
        <f t="shared" si="45"/>
        <v>0</v>
      </c>
      <c r="Y79" s="29">
        <f t="shared" si="46"/>
        <v>0</v>
      </c>
      <c r="Z79" s="29">
        <f t="shared" si="47"/>
        <v>0</v>
      </c>
      <c r="AA79" s="29">
        <f t="shared" si="48"/>
        <v>0</v>
      </c>
      <c r="AB79" s="30" t="str">
        <f t="shared" si="49"/>
        <v xml:space="preserve"> </v>
      </c>
      <c r="AC79" s="30" t="str">
        <f t="shared" si="50"/>
        <v xml:space="preserve"> </v>
      </c>
      <c r="AD79" s="31" t="str">
        <f t="shared" si="51"/>
        <v xml:space="preserve"> </v>
      </c>
      <c r="AE79" s="29">
        <f t="shared" si="52"/>
        <v>0</v>
      </c>
      <c r="AF79" s="29">
        <f t="shared" si="53"/>
        <v>0</v>
      </c>
      <c r="AG79" s="29">
        <f t="shared" si="54"/>
        <v>0</v>
      </c>
      <c r="AH79" s="29">
        <f t="shared" si="55"/>
        <v>0</v>
      </c>
      <c r="AI79" s="29">
        <f t="shared" si="56"/>
        <v>0</v>
      </c>
      <c r="AJ79" s="30" t="str">
        <f t="shared" si="57"/>
        <v xml:space="preserve"> </v>
      </c>
      <c r="AK79" s="30" t="str">
        <f t="shared" si="58"/>
        <v xml:space="preserve"> </v>
      </c>
      <c r="AL79" s="30" t="str">
        <f t="shared" si="59"/>
        <v xml:space="preserve"> </v>
      </c>
      <c r="AM79" s="32" t="str">
        <f t="shared" si="60"/>
        <v xml:space="preserve"> </v>
      </c>
      <c r="AN79" s="32" t="str">
        <f t="shared" si="61"/>
        <v xml:space="preserve"> </v>
      </c>
      <c r="AO79" s="32" t="str">
        <f t="shared" si="62"/>
        <v xml:space="preserve"> </v>
      </c>
      <c r="AP79" s="32" t="str">
        <f t="shared" si="63"/>
        <v xml:space="preserve"> </v>
      </c>
      <c r="AQ79" s="33">
        <f t="shared" si="64"/>
        <v>0</v>
      </c>
      <c r="AR79" s="27">
        <v>0.87</v>
      </c>
      <c r="AS79" s="30" t="str">
        <f t="shared" si="81"/>
        <v xml:space="preserve"> </v>
      </c>
      <c r="AT79" s="33">
        <f t="shared" si="82"/>
        <v>0</v>
      </c>
      <c r="AU79" s="32">
        <v>1</v>
      </c>
      <c r="AV79" s="33">
        <f t="shared" si="65"/>
        <v>0</v>
      </c>
      <c r="AW79" s="33">
        <f t="shared" si="66"/>
        <v>0</v>
      </c>
      <c r="AX79" s="30" t="str">
        <f t="shared" si="42"/>
        <v xml:space="preserve"> </v>
      </c>
      <c r="AY79" s="29">
        <f t="shared" si="67"/>
        <v>0</v>
      </c>
      <c r="AZ79" s="29">
        <f t="shared" si="68"/>
        <v>0</v>
      </c>
      <c r="BA79" s="30" t="str">
        <f t="shared" si="83"/>
        <v xml:space="preserve"> </v>
      </c>
      <c r="BB79" s="34">
        <f t="shared" si="69"/>
        <v>0</v>
      </c>
      <c r="BC79" s="35">
        <f t="shared" si="70"/>
        <v>0</v>
      </c>
      <c r="BD79" s="27">
        <v>1</v>
      </c>
      <c r="BE79" s="36">
        <f t="shared" si="71"/>
        <v>0</v>
      </c>
      <c r="BF79" s="36">
        <f t="shared" si="72"/>
        <v>0</v>
      </c>
      <c r="BG79" s="30" t="str">
        <f t="shared" si="73"/>
        <v xml:space="preserve"> </v>
      </c>
      <c r="BH79" s="33">
        <f t="shared" si="74"/>
        <v>0</v>
      </c>
      <c r="BI79" s="27">
        <v>1</v>
      </c>
      <c r="BJ79" s="36">
        <f t="shared" si="75"/>
        <v>0</v>
      </c>
      <c r="BK79" s="37">
        <f t="shared" si="76"/>
        <v>0</v>
      </c>
      <c r="BL79" s="30" t="str">
        <f t="shared" si="77"/>
        <v xml:space="preserve"> </v>
      </c>
      <c r="BM79" s="26">
        <f t="shared" si="78"/>
        <v>0</v>
      </c>
      <c r="BO79" s="50">
        <f t="shared" si="79"/>
        <v>0</v>
      </c>
      <c r="BP79" s="50">
        <f t="shared" si="80"/>
        <v>0</v>
      </c>
    </row>
    <row r="80" spans="1:68">
      <c r="A80" s="16">
        <v>0</v>
      </c>
      <c r="B80" s="1" t="s">
        <v>66</v>
      </c>
      <c r="C80" s="24">
        <v>0</v>
      </c>
      <c r="D80" s="24" t="s">
        <v>433</v>
      </c>
      <c r="E80" s="24">
        <v>10</v>
      </c>
      <c r="F80" s="24">
        <v>0</v>
      </c>
      <c r="G80" s="24" t="s">
        <v>67</v>
      </c>
      <c r="H80" s="24">
        <v>0</v>
      </c>
      <c r="I80" s="24">
        <v>0</v>
      </c>
      <c r="J80" s="24">
        <v>0</v>
      </c>
      <c r="K80" s="24">
        <v>0</v>
      </c>
      <c r="L80" s="24">
        <v>0</v>
      </c>
      <c r="M80" s="24">
        <v>0</v>
      </c>
      <c r="N80" s="24">
        <v>0</v>
      </c>
      <c r="O80" s="24">
        <v>0</v>
      </c>
      <c r="P80" s="24">
        <v>0</v>
      </c>
      <c r="Q80" s="24">
        <v>0</v>
      </c>
      <c r="R80" s="24">
        <v>0</v>
      </c>
      <c r="S80" s="24">
        <v>0</v>
      </c>
      <c r="T80" s="28">
        <f t="shared" si="43"/>
        <v>0</v>
      </c>
      <c r="U80" s="28">
        <f t="shared" si="44"/>
        <v>0</v>
      </c>
      <c r="V80" s="29">
        <f>IF(O80&gt;0,((VLOOKUP(E80,ACs!G$4:P$53,7)*P80)+(VLOOKUP(E80,ACs!G$4:P$53,6)*(1-P80)))*O80*F80,0)</f>
        <v>0</v>
      </c>
      <c r="W80" s="29">
        <f>IF(E80&gt;0,VLOOKUP(E80,ACs!G$4:P$53,10)*Q80*F80,0)</f>
        <v>0</v>
      </c>
      <c r="X80" s="29">
        <f t="shared" si="45"/>
        <v>0</v>
      </c>
      <c r="Y80" s="29">
        <f t="shared" si="46"/>
        <v>0</v>
      </c>
      <c r="Z80" s="29">
        <f t="shared" si="47"/>
        <v>0</v>
      </c>
      <c r="AA80" s="29">
        <f t="shared" si="48"/>
        <v>0</v>
      </c>
      <c r="AB80" s="30" t="str">
        <f t="shared" si="49"/>
        <v xml:space="preserve"> </v>
      </c>
      <c r="AC80" s="30" t="str">
        <f t="shared" si="50"/>
        <v xml:space="preserve"> </v>
      </c>
      <c r="AD80" s="31" t="str">
        <f t="shared" si="51"/>
        <v xml:space="preserve"> </v>
      </c>
      <c r="AE80" s="29">
        <f t="shared" si="52"/>
        <v>0</v>
      </c>
      <c r="AF80" s="29">
        <f t="shared" si="53"/>
        <v>0</v>
      </c>
      <c r="AG80" s="29">
        <f t="shared" si="54"/>
        <v>0</v>
      </c>
      <c r="AH80" s="29">
        <f t="shared" si="55"/>
        <v>0</v>
      </c>
      <c r="AI80" s="29">
        <f t="shared" si="56"/>
        <v>0</v>
      </c>
      <c r="AJ80" s="30" t="str">
        <f t="shared" si="57"/>
        <v xml:space="preserve"> </v>
      </c>
      <c r="AK80" s="30" t="str">
        <f t="shared" si="58"/>
        <v xml:space="preserve"> </v>
      </c>
      <c r="AL80" s="30" t="str">
        <f t="shared" si="59"/>
        <v xml:space="preserve"> </v>
      </c>
      <c r="AM80" s="32" t="str">
        <f t="shared" si="60"/>
        <v xml:space="preserve"> </v>
      </c>
      <c r="AN80" s="32" t="str">
        <f t="shared" si="61"/>
        <v xml:space="preserve"> </v>
      </c>
      <c r="AO80" s="32" t="str">
        <f t="shared" si="62"/>
        <v xml:space="preserve"> </v>
      </c>
      <c r="AP80" s="32" t="str">
        <f t="shared" si="63"/>
        <v xml:space="preserve"> </v>
      </c>
      <c r="AQ80" s="33">
        <f t="shared" si="64"/>
        <v>0</v>
      </c>
      <c r="AR80" s="27">
        <v>0.87</v>
      </c>
      <c r="AS80" s="30" t="str">
        <f t="shared" si="81"/>
        <v xml:space="preserve"> </v>
      </c>
      <c r="AT80" s="33">
        <f t="shared" si="82"/>
        <v>0</v>
      </c>
      <c r="AU80" s="32">
        <v>1</v>
      </c>
      <c r="AV80" s="33">
        <f t="shared" si="65"/>
        <v>0</v>
      </c>
      <c r="AW80" s="33">
        <f t="shared" si="66"/>
        <v>0</v>
      </c>
      <c r="AX80" s="30" t="str">
        <f t="shared" si="42"/>
        <v xml:space="preserve"> </v>
      </c>
      <c r="AY80" s="29">
        <f t="shared" si="67"/>
        <v>0</v>
      </c>
      <c r="AZ80" s="29">
        <f t="shared" si="68"/>
        <v>0</v>
      </c>
      <c r="BA80" s="30" t="str">
        <f t="shared" si="83"/>
        <v xml:space="preserve"> </v>
      </c>
      <c r="BB80" s="34">
        <f t="shared" si="69"/>
        <v>0</v>
      </c>
      <c r="BC80" s="35">
        <f t="shared" si="70"/>
        <v>0</v>
      </c>
      <c r="BD80" s="27">
        <v>1</v>
      </c>
      <c r="BE80" s="36">
        <f t="shared" si="71"/>
        <v>0</v>
      </c>
      <c r="BF80" s="36">
        <f t="shared" si="72"/>
        <v>0</v>
      </c>
      <c r="BG80" s="30" t="str">
        <f t="shared" si="73"/>
        <v xml:space="preserve"> </v>
      </c>
      <c r="BH80" s="33">
        <f t="shared" si="74"/>
        <v>0</v>
      </c>
      <c r="BI80" s="27">
        <v>1</v>
      </c>
      <c r="BJ80" s="36">
        <f t="shared" si="75"/>
        <v>0</v>
      </c>
      <c r="BK80" s="37">
        <f t="shared" si="76"/>
        <v>0</v>
      </c>
      <c r="BL80" s="30" t="str">
        <f t="shared" si="77"/>
        <v xml:space="preserve"> </v>
      </c>
      <c r="BM80" s="26">
        <f t="shared" si="78"/>
        <v>0</v>
      </c>
      <c r="BO80" s="50">
        <f t="shared" si="79"/>
        <v>0</v>
      </c>
      <c r="BP80" s="50">
        <f t="shared" si="80"/>
        <v>0</v>
      </c>
    </row>
    <row r="81" spans="1:68">
      <c r="A81" s="16" t="s">
        <v>142</v>
      </c>
      <c r="B81" s="1" t="s">
        <v>66</v>
      </c>
      <c r="C81" s="24">
        <v>0</v>
      </c>
      <c r="D81" s="24" t="s">
        <v>433</v>
      </c>
      <c r="E81" s="24">
        <v>10</v>
      </c>
      <c r="F81" s="24">
        <v>0</v>
      </c>
      <c r="G81" s="24" t="s">
        <v>67</v>
      </c>
      <c r="H81" s="24">
        <v>0</v>
      </c>
      <c r="I81" s="24">
        <v>0</v>
      </c>
      <c r="J81" s="24">
        <v>0</v>
      </c>
      <c r="K81" s="24">
        <v>0</v>
      </c>
      <c r="L81" s="24">
        <v>0</v>
      </c>
      <c r="M81" s="24">
        <v>0</v>
      </c>
      <c r="N81" s="24">
        <v>0</v>
      </c>
      <c r="O81" s="24">
        <v>0</v>
      </c>
      <c r="P81" s="24">
        <v>0</v>
      </c>
      <c r="Q81" s="24">
        <v>0</v>
      </c>
      <c r="R81" s="24">
        <v>0</v>
      </c>
      <c r="S81" s="24">
        <v>0</v>
      </c>
      <c r="T81" s="28">
        <f t="shared" si="43"/>
        <v>0</v>
      </c>
      <c r="U81" s="28">
        <f t="shared" si="44"/>
        <v>0</v>
      </c>
      <c r="V81" s="29">
        <f>IF(O81&gt;0,((VLOOKUP(E81,ACs!G$4:P$53,7)*P81)+(VLOOKUP(E81,ACs!G$4:P$53,6)*(1-P81)))*O81*F81,0)</f>
        <v>0</v>
      </c>
      <c r="W81" s="29">
        <f>IF(E81&gt;0,VLOOKUP(E81,ACs!G$4:P$53,10)*Q81*F81,0)</f>
        <v>0</v>
      </c>
      <c r="X81" s="29">
        <f t="shared" si="45"/>
        <v>0</v>
      </c>
      <c r="Y81" s="29">
        <f t="shared" si="46"/>
        <v>0</v>
      </c>
      <c r="Z81" s="29">
        <f t="shared" si="47"/>
        <v>0</v>
      </c>
      <c r="AA81" s="29">
        <f t="shared" si="48"/>
        <v>0</v>
      </c>
      <c r="AB81" s="30" t="str">
        <f t="shared" si="49"/>
        <v xml:space="preserve"> </v>
      </c>
      <c r="AC81" s="30" t="str">
        <f t="shared" si="50"/>
        <v xml:space="preserve"> </v>
      </c>
      <c r="AD81" s="31" t="str">
        <f t="shared" si="51"/>
        <v xml:space="preserve"> </v>
      </c>
      <c r="AE81" s="29">
        <f t="shared" si="52"/>
        <v>0</v>
      </c>
      <c r="AF81" s="29">
        <f t="shared" si="53"/>
        <v>0</v>
      </c>
      <c r="AG81" s="29">
        <f t="shared" si="54"/>
        <v>0</v>
      </c>
      <c r="AH81" s="29">
        <f t="shared" si="55"/>
        <v>0</v>
      </c>
      <c r="AI81" s="29">
        <f t="shared" si="56"/>
        <v>0</v>
      </c>
      <c r="AJ81" s="30" t="str">
        <f t="shared" si="57"/>
        <v xml:space="preserve"> </v>
      </c>
      <c r="AK81" s="30" t="str">
        <f t="shared" si="58"/>
        <v xml:space="preserve"> </v>
      </c>
      <c r="AL81" s="30" t="str">
        <f t="shared" si="59"/>
        <v xml:space="preserve"> </v>
      </c>
      <c r="AM81" s="32" t="str">
        <f t="shared" si="60"/>
        <v xml:space="preserve"> </v>
      </c>
      <c r="AN81" s="32" t="str">
        <f t="shared" si="61"/>
        <v xml:space="preserve"> </v>
      </c>
      <c r="AO81" s="32" t="str">
        <f t="shared" si="62"/>
        <v xml:space="preserve"> </v>
      </c>
      <c r="AP81" s="32" t="str">
        <f t="shared" si="63"/>
        <v xml:space="preserve"> </v>
      </c>
      <c r="AQ81" s="33">
        <f t="shared" si="64"/>
        <v>0</v>
      </c>
      <c r="AR81" s="27">
        <v>0.87</v>
      </c>
      <c r="AS81" s="30" t="str">
        <f t="shared" si="81"/>
        <v xml:space="preserve"> </v>
      </c>
      <c r="AT81" s="33">
        <f t="shared" si="82"/>
        <v>0</v>
      </c>
      <c r="AU81" s="32">
        <v>1</v>
      </c>
      <c r="AV81" s="33">
        <f t="shared" si="65"/>
        <v>0</v>
      </c>
      <c r="AW81" s="33">
        <f t="shared" si="66"/>
        <v>0</v>
      </c>
      <c r="AX81" s="30" t="str">
        <f t="shared" si="42"/>
        <v xml:space="preserve"> </v>
      </c>
      <c r="AY81" s="29">
        <f t="shared" si="67"/>
        <v>0</v>
      </c>
      <c r="AZ81" s="29">
        <f t="shared" si="68"/>
        <v>0</v>
      </c>
      <c r="BA81" s="30" t="str">
        <f t="shared" si="83"/>
        <v xml:space="preserve"> </v>
      </c>
      <c r="BB81" s="34">
        <f t="shared" si="69"/>
        <v>0</v>
      </c>
      <c r="BC81" s="35">
        <f t="shared" si="70"/>
        <v>0</v>
      </c>
      <c r="BD81" s="27">
        <v>1</v>
      </c>
      <c r="BE81" s="36">
        <f t="shared" si="71"/>
        <v>0</v>
      </c>
      <c r="BF81" s="36">
        <f t="shared" si="72"/>
        <v>0</v>
      </c>
      <c r="BG81" s="30" t="str">
        <f t="shared" si="73"/>
        <v xml:space="preserve"> </v>
      </c>
      <c r="BH81" s="33">
        <f t="shared" si="74"/>
        <v>0</v>
      </c>
      <c r="BI81" s="27">
        <v>1</v>
      </c>
      <c r="BJ81" s="36">
        <f t="shared" si="75"/>
        <v>0</v>
      </c>
      <c r="BK81" s="37">
        <f t="shared" si="76"/>
        <v>0</v>
      </c>
      <c r="BL81" s="30" t="str">
        <f t="shared" si="77"/>
        <v xml:space="preserve"> </v>
      </c>
      <c r="BM81" s="26">
        <f t="shared" si="78"/>
        <v>0</v>
      </c>
      <c r="BO81" s="50">
        <f t="shared" si="79"/>
        <v>0</v>
      </c>
      <c r="BP81" s="50">
        <f t="shared" si="80"/>
        <v>0</v>
      </c>
    </row>
    <row r="82" spans="1:68">
      <c r="A82" s="16" t="s">
        <v>143</v>
      </c>
      <c r="B82" s="1" t="s">
        <v>66</v>
      </c>
      <c r="C82" s="24">
        <v>0</v>
      </c>
      <c r="D82" s="24" t="s">
        <v>433</v>
      </c>
      <c r="E82" s="24">
        <v>10</v>
      </c>
      <c r="F82" s="24">
        <v>0</v>
      </c>
      <c r="G82" s="24" t="s">
        <v>67</v>
      </c>
      <c r="H82" s="24">
        <v>0</v>
      </c>
      <c r="I82" s="24">
        <v>0</v>
      </c>
      <c r="J82" s="24">
        <v>0</v>
      </c>
      <c r="K82" s="24">
        <v>0</v>
      </c>
      <c r="L82" s="24">
        <v>0</v>
      </c>
      <c r="M82" s="24">
        <v>0</v>
      </c>
      <c r="N82" s="24">
        <v>0</v>
      </c>
      <c r="O82" s="24">
        <v>0</v>
      </c>
      <c r="P82" s="24">
        <v>0</v>
      </c>
      <c r="Q82" s="24">
        <v>0</v>
      </c>
      <c r="R82" s="24">
        <v>0</v>
      </c>
      <c r="S82" s="24">
        <v>0</v>
      </c>
      <c r="T82" s="28">
        <f t="shared" si="43"/>
        <v>0</v>
      </c>
      <c r="U82" s="28">
        <f t="shared" si="44"/>
        <v>0</v>
      </c>
      <c r="V82" s="29">
        <f>IF(O82&gt;0,((VLOOKUP(E82,ACs!G$4:P$53,7)*P82)+(VLOOKUP(E82,ACs!G$4:P$53,6)*(1-P82)))*O82*F82,0)</f>
        <v>0</v>
      </c>
      <c r="W82" s="29">
        <f>IF(E82&gt;0,VLOOKUP(E82,ACs!G$4:P$53,10)*Q82*F82,0)</f>
        <v>0</v>
      </c>
      <c r="X82" s="29">
        <f t="shared" si="45"/>
        <v>0</v>
      </c>
      <c r="Y82" s="29">
        <f t="shared" si="46"/>
        <v>0</v>
      </c>
      <c r="Z82" s="29">
        <f t="shared" si="47"/>
        <v>0</v>
      </c>
      <c r="AA82" s="29">
        <f t="shared" si="48"/>
        <v>0</v>
      </c>
      <c r="AB82" s="30" t="str">
        <f t="shared" si="49"/>
        <v xml:space="preserve"> </v>
      </c>
      <c r="AC82" s="30" t="str">
        <f t="shared" si="50"/>
        <v xml:space="preserve"> </v>
      </c>
      <c r="AD82" s="31" t="str">
        <f t="shared" si="51"/>
        <v xml:space="preserve"> </v>
      </c>
      <c r="AE82" s="29">
        <f t="shared" si="52"/>
        <v>0</v>
      </c>
      <c r="AF82" s="29">
        <f t="shared" si="53"/>
        <v>0</v>
      </c>
      <c r="AG82" s="29">
        <f t="shared" si="54"/>
        <v>0</v>
      </c>
      <c r="AH82" s="29">
        <f t="shared" si="55"/>
        <v>0</v>
      </c>
      <c r="AI82" s="29">
        <f t="shared" si="56"/>
        <v>0</v>
      </c>
      <c r="AJ82" s="30" t="str">
        <f t="shared" si="57"/>
        <v xml:space="preserve"> </v>
      </c>
      <c r="AK82" s="30" t="str">
        <f t="shared" si="58"/>
        <v xml:space="preserve"> </v>
      </c>
      <c r="AL82" s="30" t="str">
        <f t="shared" si="59"/>
        <v xml:space="preserve"> </v>
      </c>
      <c r="AM82" s="32" t="str">
        <f t="shared" si="60"/>
        <v xml:space="preserve"> </v>
      </c>
      <c r="AN82" s="32" t="str">
        <f t="shared" si="61"/>
        <v xml:space="preserve"> </v>
      </c>
      <c r="AO82" s="32" t="str">
        <f t="shared" si="62"/>
        <v xml:space="preserve"> </v>
      </c>
      <c r="AP82" s="32" t="str">
        <f t="shared" si="63"/>
        <v xml:space="preserve"> </v>
      </c>
      <c r="AQ82" s="33">
        <f t="shared" si="64"/>
        <v>0</v>
      </c>
      <c r="AR82" s="27">
        <v>0.87</v>
      </c>
      <c r="AS82" s="30" t="str">
        <f t="shared" si="81"/>
        <v xml:space="preserve"> </v>
      </c>
      <c r="AT82" s="33">
        <f t="shared" si="82"/>
        <v>0</v>
      </c>
      <c r="AU82" s="32">
        <v>1</v>
      </c>
      <c r="AV82" s="33">
        <f t="shared" si="65"/>
        <v>0</v>
      </c>
      <c r="AW82" s="33">
        <f t="shared" si="66"/>
        <v>0</v>
      </c>
      <c r="AX82" s="30" t="str">
        <f t="shared" si="42"/>
        <v xml:space="preserve"> </v>
      </c>
      <c r="AY82" s="29">
        <f t="shared" si="67"/>
        <v>0</v>
      </c>
      <c r="AZ82" s="29">
        <f t="shared" si="68"/>
        <v>0</v>
      </c>
      <c r="BA82" s="30" t="str">
        <f t="shared" si="83"/>
        <v xml:space="preserve"> </v>
      </c>
      <c r="BB82" s="34">
        <f t="shared" si="69"/>
        <v>0</v>
      </c>
      <c r="BC82" s="35">
        <f t="shared" si="70"/>
        <v>0</v>
      </c>
      <c r="BD82" s="27">
        <v>1</v>
      </c>
      <c r="BE82" s="36">
        <f t="shared" si="71"/>
        <v>0</v>
      </c>
      <c r="BF82" s="36">
        <f t="shared" si="72"/>
        <v>0</v>
      </c>
      <c r="BG82" s="30" t="str">
        <f t="shared" si="73"/>
        <v xml:space="preserve"> </v>
      </c>
      <c r="BH82" s="33">
        <f t="shared" si="74"/>
        <v>0</v>
      </c>
      <c r="BI82" s="27">
        <v>1</v>
      </c>
      <c r="BJ82" s="36">
        <f t="shared" si="75"/>
        <v>0</v>
      </c>
      <c r="BK82" s="37">
        <f t="shared" si="76"/>
        <v>0</v>
      </c>
      <c r="BL82" s="30" t="str">
        <f t="shared" si="77"/>
        <v xml:space="preserve"> </v>
      </c>
      <c r="BM82" s="26">
        <f t="shared" si="78"/>
        <v>0</v>
      </c>
      <c r="BO82" s="50">
        <f t="shared" si="79"/>
        <v>0</v>
      </c>
      <c r="BP82" s="50">
        <f t="shared" si="80"/>
        <v>0</v>
      </c>
    </row>
    <row r="83" spans="1:68">
      <c r="A83" s="16" t="s">
        <v>144</v>
      </c>
      <c r="B83" s="1" t="s">
        <v>66</v>
      </c>
      <c r="C83" s="24">
        <v>0</v>
      </c>
      <c r="D83" s="24" t="s">
        <v>433</v>
      </c>
      <c r="E83" s="24">
        <v>10</v>
      </c>
      <c r="F83" s="24">
        <v>0</v>
      </c>
      <c r="G83" s="24" t="s">
        <v>67</v>
      </c>
      <c r="H83" s="24">
        <v>0</v>
      </c>
      <c r="I83" s="24">
        <v>0</v>
      </c>
      <c r="J83" s="24">
        <v>0</v>
      </c>
      <c r="K83" s="24">
        <v>0</v>
      </c>
      <c r="L83" s="24">
        <v>0</v>
      </c>
      <c r="M83" s="24">
        <v>0</v>
      </c>
      <c r="N83" s="24">
        <v>0</v>
      </c>
      <c r="O83" s="24">
        <v>0</v>
      </c>
      <c r="P83" s="24">
        <v>0</v>
      </c>
      <c r="Q83" s="24">
        <v>0</v>
      </c>
      <c r="R83" s="24">
        <v>0</v>
      </c>
      <c r="S83" s="24">
        <v>0</v>
      </c>
      <c r="T83" s="28">
        <f t="shared" si="43"/>
        <v>0</v>
      </c>
      <c r="U83" s="28">
        <f t="shared" si="44"/>
        <v>0</v>
      </c>
      <c r="V83" s="29">
        <f>IF(O83&gt;0,((VLOOKUP(E83,ACs!G$4:P$53,7)*P83)+(VLOOKUP(E83,ACs!G$4:P$53,6)*(1-P83)))*O83*F83,0)</f>
        <v>0</v>
      </c>
      <c r="W83" s="29">
        <f>IF(E83&gt;0,VLOOKUP(E83,ACs!G$4:P$53,10)*Q83*F83,0)</f>
        <v>0</v>
      </c>
      <c r="X83" s="29">
        <f t="shared" si="45"/>
        <v>0</v>
      </c>
      <c r="Y83" s="29">
        <f t="shared" si="46"/>
        <v>0</v>
      </c>
      <c r="Z83" s="29">
        <f t="shared" si="47"/>
        <v>0</v>
      </c>
      <c r="AA83" s="29">
        <f t="shared" si="48"/>
        <v>0</v>
      </c>
      <c r="AB83" s="30" t="str">
        <f t="shared" si="49"/>
        <v xml:space="preserve"> </v>
      </c>
      <c r="AC83" s="30" t="str">
        <f t="shared" si="50"/>
        <v xml:space="preserve"> </v>
      </c>
      <c r="AD83" s="31" t="str">
        <f t="shared" si="51"/>
        <v xml:space="preserve"> </v>
      </c>
      <c r="AE83" s="29">
        <f t="shared" si="52"/>
        <v>0</v>
      </c>
      <c r="AF83" s="29">
        <f t="shared" si="53"/>
        <v>0</v>
      </c>
      <c r="AG83" s="29">
        <f t="shared" si="54"/>
        <v>0</v>
      </c>
      <c r="AH83" s="29">
        <f t="shared" si="55"/>
        <v>0</v>
      </c>
      <c r="AI83" s="29">
        <f t="shared" si="56"/>
        <v>0</v>
      </c>
      <c r="AJ83" s="30" t="str">
        <f t="shared" si="57"/>
        <v xml:space="preserve"> </v>
      </c>
      <c r="AK83" s="30" t="str">
        <f t="shared" si="58"/>
        <v xml:space="preserve"> </v>
      </c>
      <c r="AL83" s="30" t="str">
        <f t="shared" si="59"/>
        <v xml:space="preserve"> </v>
      </c>
      <c r="AM83" s="32" t="str">
        <f t="shared" si="60"/>
        <v xml:space="preserve"> </v>
      </c>
      <c r="AN83" s="32" t="str">
        <f t="shared" si="61"/>
        <v xml:space="preserve"> </v>
      </c>
      <c r="AO83" s="32" t="str">
        <f t="shared" si="62"/>
        <v xml:space="preserve"> </v>
      </c>
      <c r="AP83" s="32" t="str">
        <f t="shared" si="63"/>
        <v xml:space="preserve"> </v>
      </c>
      <c r="AQ83" s="33">
        <f t="shared" si="64"/>
        <v>0</v>
      </c>
      <c r="AR83" s="27">
        <v>0.87</v>
      </c>
      <c r="AS83" s="30" t="str">
        <f t="shared" si="81"/>
        <v xml:space="preserve"> </v>
      </c>
      <c r="AT83" s="33">
        <f t="shared" si="82"/>
        <v>0</v>
      </c>
      <c r="AU83" s="32">
        <v>1</v>
      </c>
      <c r="AV83" s="33">
        <f t="shared" si="65"/>
        <v>0</v>
      </c>
      <c r="AW83" s="33">
        <f t="shared" si="66"/>
        <v>0</v>
      </c>
      <c r="AX83" s="30" t="str">
        <f t="shared" si="42"/>
        <v xml:space="preserve"> </v>
      </c>
      <c r="AY83" s="29">
        <f t="shared" si="67"/>
        <v>0</v>
      </c>
      <c r="AZ83" s="29">
        <f t="shared" si="68"/>
        <v>0</v>
      </c>
      <c r="BA83" s="30" t="str">
        <f>IF(AZ83=0," ",AY83/AZ83)</f>
        <v xml:space="preserve"> </v>
      </c>
      <c r="BB83" s="34">
        <f t="shared" si="69"/>
        <v>0</v>
      </c>
      <c r="BC83" s="35">
        <f t="shared" si="70"/>
        <v>0</v>
      </c>
      <c r="BD83" s="27">
        <v>1</v>
      </c>
      <c r="BE83" s="36">
        <f t="shared" si="71"/>
        <v>0</v>
      </c>
      <c r="BF83" s="36">
        <f t="shared" si="72"/>
        <v>0</v>
      </c>
      <c r="BG83" s="30" t="str">
        <f t="shared" si="73"/>
        <v xml:space="preserve"> </v>
      </c>
      <c r="BH83" s="33">
        <f t="shared" si="74"/>
        <v>0</v>
      </c>
      <c r="BI83" s="27">
        <v>1</v>
      </c>
      <c r="BJ83" s="36">
        <f t="shared" si="75"/>
        <v>0</v>
      </c>
      <c r="BK83" s="37">
        <f t="shared" si="76"/>
        <v>0</v>
      </c>
      <c r="BL83" s="30" t="str">
        <f t="shared" si="77"/>
        <v xml:space="preserve"> </v>
      </c>
      <c r="BM83" s="26">
        <f t="shared" si="78"/>
        <v>0</v>
      </c>
      <c r="BO83" s="50">
        <f t="shared" si="79"/>
        <v>0</v>
      </c>
      <c r="BP83" s="50">
        <f t="shared" si="80"/>
        <v>0</v>
      </c>
    </row>
    <row r="84" spans="1:68">
      <c r="A84" s="16" t="s">
        <v>145</v>
      </c>
      <c r="B84" s="1" t="s">
        <v>66</v>
      </c>
      <c r="C84" s="24">
        <v>0</v>
      </c>
      <c r="D84" s="24" t="s">
        <v>433</v>
      </c>
      <c r="E84" s="24">
        <v>10</v>
      </c>
      <c r="F84" s="24">
        <v>0</v>
      </c>
      <c r="G84" s="24" t="s">
        <v>67</v>
      </c>
      <c r="H84" s="24">
        <v>0</v>
      </c>
      <c r="I84" s="24">
        <v>0</v>
      </c>
      <c r="J84" s="24">
        <v>0</v>
      </c>
      <c r="K84" s="24">
        <v>0</v>
      </c>
      <c r="L84" s="24">
        <v>0</v>
      </c>
      <c r="M84" s="24">
        <v>0</v>
      </c>
      <c r="N84" s="24">
        <v>0</v>
      </c>
      <c r="O84" s="24">
        <v>0</v>
      </c>
      <c r="P84" s="24">
        <v>0</v>
      </c>
      <c r="Q84" s="24">
        <v>0</v>
      </c>
      <c r="R84" s="24">
        <v>0</v>
      </c>
      <c r="S84" s="24">
        <v>0</v>
      </c>
      <c r="T84" s="28">
        <f t="shared" si="43"/>
        <v>0</v>
      </c>
      <c r="U84" s="28">
        <f t="shared" si="44"/>
        <v>0</v>
      </c>
      <c r="V84" s="29">
        <f>IF(O84&gt;0,((VLOOKUP(E84,ACs!G$4:P$53,7)*P84)+(VLOOKUP(E84,ACs!G$4:P$53,6)*(1-P84)))*O84*F84,0)</f>
        <v>0</v>
      </c>
      <c r="W84" s="29">
        <f>IF(E84&gt;0,VLOOKUP(E84,ACs!G$4:P$53,10)*Q84*F84,0)</f>
        <v>0</v>
      </c>
      <c r="X84" s="29">
        <f t="shared" si="45"/>
        <v>0</v>
      </c>
      <c r="Y84" s="29">
        <f t="shared" si="46"/>
        <v>0</v>
      </c>
      <c r="Z84" s="29">
        <f t="shared" si="47"/>
        <v>0</v>
      </c>
      <c r="AA84" s="29">
        <f t="shared" si="48"/>
        <v>0</v>
      </c>
      <c r="AB84" s="30" t="str">
        <f t="shared" si="49"/>
        <v xml:space="preserve"> </v>
      </c>
      <c r="AC84" s="30" t="str">
        <f t="shared" si="50"/>
        <v xml:space="preserve"> </v>
      </c>
      <c r="AD84" s="31" t="str">
        <f t="shared" si="51"/>
        <v xml:space="preserve"> </v>
      </c>
      <c r="AE84" s="29">
        <f t="shared" si="52"/>
        <v>0</v>
      </c>
      <c r="AF84" s="29">
        <f t="shared" si="53"/>
        <v>0</v>
      </c>
      <c r="AG84" s="29">
        <f t="shared" si="54"/>
        <v>0</v>
      </c>
      <c r="AH84" s="29">
        <f t="shared" si="55"/>
        <v>0</v>
      </c>
      <c r="AI84" s="29">
        <f t="shared" si="56"/>
        <v>0</v>
      </c>
      <c r="AJ84" s="30" t="str">
        <f t="shared" si="57"/>
        <v xml:space="preserve"> </v>
      </c>
      <c r="AK84" s="30" t="str">
        <f t="shared" si="58"/>
        <v xml:space="preserve"> </v>
      </c>
      <c r="AL84" s="30" t="str">
        <f t="shared" si="59"/>
        <v xml:space="preserve"> </v>
      </c>
      <c r="AM84" s="32" t="str">
        <f t="shared" si="60"/>
        <v xml:space="preserve"> </v>
      </c>
      <c r="AN84" s="32" t="str">
        <f t="shared" si="61"/>
        <v xml:space="preserve"> </v>
      </c>
      <c r="AO84" s="32" t="str">
        <f t="shared" si="62"/>
        <v xml:space="preserve"> </v>
      </c>
      <c r="AP84" s="32" t="str">
        <f t="shared" si="63"/>
        <v xml:space="preserve"> </v>
      </c>
      <c r="AQ84" s="33">
        <f t="shared" si="64"/>
        <v>0</v>
      </c>
      <c r="AR84" s="27">
        <v>0.87</v>
      </c>
      <c r="AS84" s="30" t="str">
        <f t="shared" si="81"/>
        <v xml:space="preserve"> </v>
      </c>
      <c r="AT84" s="33">
        <f t="shared" si="82"/>
        <v>0</v>
      </c>
      <c r="AU84" s="32">
        <v>1</v>
      </c>
      <c r="AV84" s="33">
        <f t="shared" si="65"/>
        <v>0</v>
      </c>
      <c r="AW84" s="33">
        <f t="shared" si="66"/>
        <v>0</v>
      </c>
      <c r="AX84" s="30" t="str">
        <f t="shared" si="42"/>
        <v xml:space="preserve"> </v>
      </c>
      <c r="AY84" s="29">
        <f t="shared" si="67"/>
        <v>0</v>
      </c>
      <c r="AZ84" s="29">
        <f t="shared" si="68"/>
        <v>0</v>
      </c>
      <c r="BA84" s="30" t="str">
        <f>IF(AZ84=0," ",AY84/AZ84)</f>
        <v xml:space="preserve"> </v>
      </c>
      <c r="BB84" s="34">
        <f t="shared" si="69"/>
        <v>0</v>
      </c>
      <c r="BC84" s="35">
        <f t="shared" si="70"/>
        <v>0</v>
      </c>
      <c r="BD84" s="27">
        <v>1</v>
      </c>
      <c r="BE84" s="36">
        <f t="shared" si="71"/>
        <v>0</v>
      </c>
      <c r="BF84" s="36">
        <f t="shared" si="72"/>
        <v>0</v>
      </c>
      <c r="BG84" s="30" t="str">
        <f t="shared" si="73"/>
        <v xml:space="preserve"> </v>
      </c>
      <c r="BH84" s="33">
        <f t="shared" si="74"/>
        <v>0</v>
      </c>
      <c r="BI84" s="27">
        <v>1</v>
      </c>
      <c r="BJ84" s="36">
        <f t="shared" si="75"/>
        <v>0</v>
      </c>
      <c r="BK84" s="37">
        <f t="shared" si="76"/>
        <v>0</v>
      </c>
      <c r="BL84" s="30" t="str">
        <f t="shared" si="77"/>
        <v xml:space="preserve"> </v>
      </c>
      <c r="BM84" s="26">
        <f t="shared" si="78"/>
        <v>0</v>
      </c>
      <c r="BO84" s="50">
        <f t="shared" si="79"/>
        <v>0</v>
      </c>
      <c r="BP84" s="50">
        <f t="shared" si="80"/>
        <v>0</v>
      </c>
    </row>
    <row r="85" spans="1:68">
      <c r="A85" s="16" t="s">
        <v>146</v>
      </c>
      <c r="B85" s="1" t="s">
        <v>66</v>
      </c>
      <c r="C85" s="24">
        <v>0</v>
      </c>
      <c r="D85" s="24" t="s">
        <v>433</v>
      </c>
      <c r="E85" s="24">
        <v>10</v>
      </c>
      <c r="F85" s="24">
        <v>0</v>
      </c>
      <c r="G85" s="24" t="s">
        <v>67</v>
      </c>
      <c r="H85" s="24">
        <v>0</v>
      </c>
      <c r="I85" s="24">
        <v>0</v>
      </c>
      <c r="J85" s="24">
        <v>0</v>
      </c>
      <c r="K85" s="24">
        <v>0</v>
      </c>
      <c r="L85" s="24">
        <v>0</v>
      </c>
      <c r="M85" s="24">
        <v>0</v>
      </c>
      <c r="N85" s="24">
        <v>0</v>
      </c>
      <c r="O85" s="24">
        <v>0</v>
      </c>
      <c r="P85" s="24">
        <v>0</v>
      </c>
      <c r="Q85" s="24">
        <v>0</v>
      </c>
      <c r="R85" s="24">
        <v>0</v>
      </c>
      <c r="S85" s="24">
        <v>0</v>
      </c>
      <c r="T85" s="28">
        <f t="shared" si="43"/>
        <v>0</v>
      </c>
      <c r="U85" s="28">
        <f t="shared" si="44"/>
        <v>0</v>
      </c>
      <c r="V85" s="29">
        <f>IF(O85&gt;0,((VLOOKUP(E85,ACs!G$4:P$53,7)*P85)+(VLOOKUP(E85,ACs!G$4:P$53,6)*(1-P85)))*O85*F85,0)</f>
        <v>0</v>
      </c>
      <c r="W85" s="29">
        <f>IF(E85&gt;0,VLOOKUP(E85,ACs!G$4:P$53,10)*Q85*F85,0)</f>
        <v>0</v>
      </c>
      <c r="X85" s="29">
        <f t="shared" si="45"/>
        <v>0</v>
      </c>
      <c r="Y85" s="29">
        <f t="shared" si="46"/>
        <v>0</v>
      </c>
      <c r="Z85" s="29">
        <f t="shared" si="47"/>
        <v>0</v>
      </c>
      <c r="AA85" s="29">
        <f t="shared" si="48"/>
        <v>0</v>
      </c>
      <c r="AB85" s="30" t="str">
        <f t="shared" si="49"/>
        <v xml:space="preserve"> </v>
      </c>
      <c r="AC85" s="30" t="str">
        <f t="shared" si="50"/>
        <v xml:space="preserve"> </v>
      </c>
      <c r="AD85" s="31" t="str">
        <f t="shared" si="51"/>
        <v xml:space="preserve"> </v>
      </c>
      <c r="AE85" s="29">
        <f t="shared" si="52"/>
        <v>0</v>
      </c>
      <c r="AF85" s="29">
        <f t="shared" si="53"/>
        <v>0</v>
      </c>
      <c r="AG85" s="29">
        <f t="shared" si="54"/>
        <v>0</v>
      </c>
      <c r="AH85" s="29">
        <f t="shared" si="55"/>
        <v>0</v>
      </c>
      <c r="AI85" s="29">
        <f t="shared" si="56"/>
        <v>0</v>
      </c>
      <c r="AJ85" s="30" t="str">
        <f t="shared" si="57"/>
        <v xml:space="preserve"> </v>
      </c>
      <c r="AK85" s="30" t="str">
        <f t="shared" si="58"/>
        <v xml:space="preserve"> </v>
      </c>
      <c r="AL85" s="30" t="str">
        <f t="shared" si="59"/>
        <v xml:space="preserve"> </v>
      </c>
      <c r="AM85" s="32" t="str">
        <f t="shared" si="60"/>
        <v xml:space="preserve"> </v>
      </c>
      <c r="AN85" s="32" t="str">
        <f t="shared" si="61"/>
        <v xml:space="preserve"> </v>
      </c>
      <c r="AO85" s="32" t="str">
        <f t="shared" si="62"/>
        <v xml:space="preserve"> </v>
      </c>
      <c r="AP85" s="32" t="str">
        <f t="shared" si="63"/>
        <v xml:space="preserve"> </v>
      </c>
      <c r="AQ85" s="33">
        <f t="shared" si="64"/>
        <v>0</v>
      </c>
      <c r="AR85" s="27">
        <v>0.87</v>
      </c>
      <c r="AS85" s="30" t="str">
        <f t="shared" si="81"/>
        <v xml:space="preserve"> </v>
      </c>
      <c r="AT85" s="33">
        <f t="shared" si="82"/>
        <v>0</v>
      </c>
      <c r="AU85" s="32">
        <v>1</v>
      </c>
      <c r="AV85" s="33">
        <f t="shared" si="65"/>
        <v>0</v>
      </c>
      <c r="AW85" s="33">
        <f t="shared" si="66"/>
        <v>0</v>
      </c>
      <c r="AX85" s="30" t="str">
        <f t="shared" si="42"/>
        <v xml:space="preserve"> </v>
      </c>
      <c r="AY85" s="29">
        <f t="shared" si="67"/>
        <v>0</v>
      </c>
      <c r="AZ85" s="29">
        <f t="shared" si="68"/>
        <v>0</v>
      </c>
      <c r="BA85" s="30" t="str">
        <f t="shared" ref="BA85:BA120" si="84">IF(AZ85=0," ",AY85/AZ85)</f>
        <v xml:space="preserve"> </v>
      </c>
      <c r="BB85" s="34">
        <f t="shared" si="69"/>
        <v>0</v>
      </c>
      <c r="BC85" s="35">
        <f t="shared" si="70"/>
        <v>0</v>
      </c>
      <c r="BD85" s="27">
        <v>1</v>
      </c>
      <c r="BE85" s="36">
        <f t="shared" si="71"/>
        <v>0</v>
      </c>
      <c r="BF85" s="36">
        <f t="shared" si="72"/>
        <v>0</v>
      </c>
      <c r="BG85" s="30" t="str">
        <f t="shared" si="73"/>
        <v xml:space="preserve"> </v>
      </c>
      <c r="BH85" s="33">
        <f t="shared" si="74"/>
        <v>0</v>
      </c>
      <c r="BI85" s="27">
        <v>1</v>
      </c>
      <c r="BJ85" s="36">
        <f t="shared" si="75"/>
        <v>0</v>
      </c>
      <c r="BK85" s="37">
        <f t="shared" si="76"/>
        <v>0</v>
      </c>
      <c r="BL85" s="30" t="str">
        <f t="shared" si="77"/>
        <v xml:space="preserve"> </v>
      </c>
      <c r="BM85" s="26">
        <f t="shared" si="78"/>
        <v>0</v>
      </c>
      <c r="BO85" s="50">
        <f t="shared" si="79"/>
        <v>0</v>
      </c>
      <c r="BP85" s="50">
        <f t="shared" si="80"/>
        <v>0</v>
      </c>
    </row>
    <row r="86" spans="1:68">
      <c r="A86" s="16" t="s">
        <v>147</v>
      </c>
      <c r="B86" s="1" t="s">
        <v>66</v>
      </c>
      <c r="C86" s="24">
        <v>0</v>
      </c>
      <c r="D86" s="24" t="s">
        <v>433</v>
      </c>
      <c r="E86" s="24">
        <v>10</v>
      </c>
      <c r="F86" s="24">
        <v>0</v>
      </c>
      <c r="G86" s="24" t="s">
        <v>67</v>
      </c>
      <c r="H86" s="24">
        <v>0</v>
      </c>
      <c r="I86" s="24">
        <v>0</v>
      </c>
      <c r="J86" s="24">
        <v>0</v>
      </c>
      <c r="K86" s="24">
        <v>0</v>
      </c>
      <c r="L86" s="24">
        <v>0</v>
      </c>
      <c r="M86" s="24">
        <v>0</v>
      </c>
      <c r="N86" s="24">
        <v>0</v>
      </c>
      <c r="O86" s="24">
        <v>0</v>
      </c>
      <c r="P86" s="24">
        <v>0</v>
      </c>
      <c r="Q86" s="24">
        <v>0</v>
      </c>
      <c r="R86" s="24">
        <v>0</v>
      </c>
      <c r="S86" s="24">
        <v>0</v>
      </c>
      <c r="T86" s="28">
        <f t="shared" si="43"/>
        <v>0</v>
      </c>
      <c r="U86" s="28">
        <f t="shared" si="44"/>
        <v>0</v>
      </c>
      <c r="V86" s="29">
        <f>IF(O86&gt;0,((VLOOKUP(E86,ACs!G$4:P$53,7)*P86)+(VLOOKUP(E86,ACs!G$4:P$53,6)*(1-P86)))*O86*F86,0)</f>
        <v>0</v>
      </c>
      <c r="W86" s="29">
        <f>IF(E86&gt;0,VLOOKUP(E86,ACs!G$4:P$53,10)*Q86*F86,0)</f>
        <v>0</v>
      </c>
      <c r="X86" s="29">
        <f t="shared" si="45"/>
        <v>0</v>
      </c>
      <c r="Y86" s="29">
        <f t="shared" si="46"/>
        <v>0</v>
      </c>
      <c r="Z86" s="29">
        <f t="shared" si="47"/>
        <v>0</v>
      </c>
      <c r="AA86" s="29">
        <f t="shared" si="48"/>
        <v>0</v>
      </c>
      <c r="AB86" s="30" t="str">
        <f t="shared" si="49"/>
        <v xml:space="preserve"> </v>
      </c>
      <c r="AC86" s="30" t="str">
        <f t="shared" si="50"/>
        <v xml:space="preserve"> </v>
      </c>
      <c r="AD86" s="31" t="str">
        <f t="shared" si="51"/>
        <v xml:space="preserve"> </v>
      </c>
      <c r="AE86" s="29">
        <f t="shared" si="52"/>
        <v>0</v>
      </c>
      <c r="AF86" s="29">
        <f t="shared" si="53"/>
        <v>0</v>
      </c>
      <c r="AG86" s="29">
        <f t="shared" si="54"/>
        <v>0</v>
      </c>
      <c r="AH86" s="29">
        <f t="shared" si="55"/>
        <v>0</v>
      </c>
      <c r="AI86" s="29">
        <f t="shared" si="56"/>
        <v>0</v>
      </c>
      <c r="AJ86" s="30" t="str">
        <f t="shared" si="57"/>
        <v xml:space="preserve"> </v>
      </c>
      <c r="AK86" s="30" t="str">
        <f t="shared" si="58"/>
        <v xml:space="preserve"> </v>
      </c>
      <c r="AL86" s="30" t="str">
        <f t="shared" si="59"/>
        <v xml:space="preserve"> </v>
      </c>
      <c r="AM86" s="32" t="str">
        <f t="shared" si="60"/>
        <v xml:space="preserve"> </v>
      </c>
      <c r="AN86" s="32" t="str">
        <f t="shared" si="61"/>
        <v xml:space="preserve"> </v>
      </c>
      <c r="AO86" s="32" t="str">
        <f t="shared" si="62"/>
        <v xml:space="preserve"> </v>
      </c>
      <c r="AP86" s="32" t="str">
        <f t="shared" si="63"/>
        <v xml:space="preserve"> </v>
      </c>
      <c r="AQ86" s="33">
        <f t="shared" si="64"/>
        <v>0</v>
      </c>
      <c r="AR86" s="27">
        <v>0.87</v>
      </c>
      <c r="AS86" s="30" t="str">
        <f t="shared" si="81"/>
        <v xml:space="preserve"> </v>
      </c>
      <c r="AT86" s="33">
        <f t="shared" si="82"/>
        <v>0</v>
      </c>
      <c r="AU86" s="32">
        <v>1</v>
      </c>
      <c r="AV86" s="33">
        <f t="shared" si="65"/>
        <v>0</v>
      </c>
      <c r="AW86" s="33">
        <f t="shared" si="66"/>
        <v>0</v>
      </c>
      <c r="AX86" s="30" t="str">
        <f t="shared" si="42"/>
        <v xml:space="preserve"> </v>
      </c>
      <c r="AY86" s="29">
        <f t="shared" si="67"/>
        <v>0</v>
      </c>
      <c r="AZ86" s="29">
        <f t="shared" si="68"/>
        <v>0</v>
      </c>
      <c r="BA86" s="30" t="str">
        <f t="shared" si="84"/>
        <v xml:space="preserve"> </v>
      </c>
      <c r="BB86" s="34">
        <f t="shared" si="69"/>
        <v>0</v>
      </c>
      <c r="BC86" s="35">
        <f t="shared" si="70"/>
        <v>0</v>
      </c>
      <c r="BD86" s="27">
        <v>1</v>
      </c>
      <c r="BE86" s="36">
        <f t="shared" si="71"/>
        <v>0</v>
      </c>
      <c r="BF86" s="36">
        <f t="shared" si="72"/>
        <v>0</v>
      </c>
      <c r="BG86" s="30" t="str">
        <f t="shared" si="73"/>
        <v xml:space="preserve"> </v>
      </c>
      <c r="BH86" s="33">
        <f t="shared" si="74"/>
        <v>0</v>
      </c>
      <c r="BI86" s="27">
        <v>1</v>
      </c>
      <c r="BJ86" s="36">
        <f t="shared" si="75"/>
        <v>0</v>
      </c>
      <c r="BK86" s="37">
        <f t="shared" si="76"/>
        <v>0</v>
      </c>
      <c r="BL86" s="30" t="str">
        <f t="shared" si="77"/>
        <v xml:space="preserve"> </v>
      </c>
      <c r="BM86" s="26">
        <f t="shared" si="78"/>
        <v>0</v>
      </c>
      <c r="BO86" s="50">
        <f t="shared" si="79"/>
        <v>0</v>
      </c>
      <c r="BP86" s="50">
        <f t="shared" si="80"/>
        <v>0</v>
      </c>
    </row>
    <row r="87" spans="1:68">
      <c r="A87" s="16" t="s">
        <v>148</v>
      </c>
      <c r="B87" s="1" t="s">
        <v>66</v>
      </c>
      <c r="C87" s="24">
        <v>0</v>
      </c>
      <c r="D87" s="24" t="s">
        <v>433</v>
      </c>
      <c r="E87" s="24">
        <v>10</v>
      </c>
      <c r="F87" s="24">
        <v>0</v>
      </c>
      <c r="G87" s="24" t="s">
        <v>67</v>
      </c>
      <c r="H87" s="24">
        <v>0</v>
      </c>
      <c r="I87" s="24">
        <v>0</v>
      </c>
      <c r="J87" s="24">
        <v>0</v>
      </c>
      <c r="K87" s="24">
        <v>0</v>
      </c>
      <c r="L87" s="24">
        <v>0</v>
      </c>
      <c r="M87" s="24">
        <v>0</v>
      </c>
      <c r="N87" s="24">
        <v>0</v>
      </c>
      <c r="O87" s="24">
        <v>0</v>
      </c>
      <c r="P87" s="24">
        <v>0</v>
      </c>
      <c r="Q87" s="24">
        <v>0</v>
      </c>
      <c r="R87" s="24">
        <v>0</v>
      </c>
      <c r="S87" s="24">
        <v>0</v>
      </c>
      <c r="T87" s="28">
        <f t="shared" si="43"/>
        <v>0</v>
      </c>
      <c r="U87" s="28">
        <f t="shared" si="44"/>
        <v>0</v>
      </c>
      <c r="V87" s="29">
        <f>IF(O87&gt;0,((VLOOKUP(E87,ACs!G$4:P$53,7)*P87)+(VLOOKUP(E87,ACs!G$4:P$53,6)*(1-P87)))*O87*F87,0)</f>
        <v>0</v>
      </c>
      <c r="W87" s="29">
        <f>IF(E87&gt;0,VLOOKUP(E87,ACs!G$4:P$53,10)*Q87*F87,0)</f>
        <v>0</v>
      </c>
      <c r="X87" s="29">
        <f t="shared" si="45"/>
        <v>0</v>
      </c>
      <c r="Y87" s="29">
        <f t="shared" si="46"/>
        <v>0</v>
      </c>
      <c r="Z87" s="29">
        <f t="shared" si="47"/>
        <v>0</v>
      </c>
      <c r="AA87" s="29">
        <f t="shared" si="48"/>
        <v>0</v>
      </c>
      <c r="AB87" s="30" t="str">
        <f t="shared" si="49"/>
        <v xml:space="preserve"> </v>
      </c>
      <c r="AC87" s="30" t="str">
        <f t="shared" si="50"/>
        <v xml:space="preserve"> </v>
      </c>
      <c r="AD87" s="31" t="str">
        <f t="shared" si="51"/>
        <v xml:space="preserve"> </v>
      </c>
      <c r="AE87" s="29">
        <f t="shared" si="52"/>
        <v>0</v>
      </c>
      <c r="AF87" s="29">
        <f t="shared" si="53"/>
        <v>0</v>
      </c>
      <c r="AG87" s="29">
        <f t="shared" si="54"/>
        <v>0</v>
      </c>
      <c r="AH87" s="29">
        <f t="shared" si="55"/>
        <v>0</v>
      </c>
      <c r="AI87" s="29">
        <f t="shared" si="56"/>
        <v>0</v>
      </c>
      <c r="AJ87" s="30" t="str">
        <f t="shared" si="57"/>
        <v xml:space="preserve"> </v>
      </c>
      <c r="AK87" s="30" t="str">
        <f t="shared" si="58"/>
        <v xml:space="preserve"> </v>
      </c>
      <c r="AL87" s="30" t="str">
        <f t="shared" si="59"/>
        <v xml:space="preserve"> </v>
      </c>
      <c r="AM87" s="32" t="str">
        <f t="shared" si="60"/>
        <v xml:space="preserve"> </v>
      </c>
      <c r="AN87" s="32" t="str">
        <f t="shared" si="61"/>
        <v xml:space="preserve"> </v>
      </c>
      <c r="AO87" s="32" t="str">
        <f t="shared" si="62"/>
        <v xml:space="preserve"> </v>
      </c>
      <c r="AP87" s="32" t="str">
        <f t="shared" si="63"/>
        <v xml:space="preserve"> </v>
      </c>
      <c r="AQ87" s="33">
        <f t="shared" si="64"/>
        <v>0</v>
      </c>
      <c r="AR87" s="27">
        <v>0.87</v>
      </c>
      <c r="AS87" s="30" t="str">
        <f t="shared" si="81"/>
        <v xml:space="preserve"> </v>
      </c>
      <c r="AT87" s="33">
        <f t="shared" si="82"/>
        <v>0</v>
      </c>
      <c r="AU87" s="32">
        <v>1</v>
      </c>
      <c r="AV87" s="33">
        <f t="shared" si="65"/>
        <v>0</v>
      </c>
      <c r="AW87" s="33">
        <f t="shared" si="66"/>
        <v>0</v>
      </c>
      <c r="AX87" s="30" t="str">
        <f t="shared" si="42"/>
        <v xml:space="preserve"> </v>
      </c>
      <c r="AY87" s="29">
        <f t="shared" si="67"/>
        <v>0</v>
      </c>
      <c r="AZ87" s="29">
        <f t="shared" si="68"/>
        <v>0</v>
      </c>
      <c r="BA87" s="30" t="str">
        <f t="shared" si="84"/>
        <v xml:space="preserve"> </v>
      </c>
      <c r="BB87" s="34">
        <f t="shared" si="69"/>
        <v>0</v>
      </c>
      <c r="BC87" s="35">
        <f t="shared" si="70"/>
        <v>0</v>
      </c>
      <c r="BD87" s="27">
        <v>1</v>
      </c>
      <c r="BE87" s="36">
        <f t="shared" si="71"/>
        <v>0</v>
      </c>
      <c r="BF87" s="36">
        <f t="shared" si="72"/>
        <v>0</v>
      </c>
      <c r="BG87" s="30" t="str">
        <f t="shared" si="73"/>
        <v xml:space="preserve"> </v>
      </c>
      <c r="BH87" s="33">
        <f t="shared" si="74"/>
        <v>0</v>
      </c>
      <c r="BI87" s="27">
        <v>1</v>
      </c>
      <c r="BJ87" s="36">
        <f t="shared" si="75"/>
        <v>0</v>
      </c>
      <c r="BK87" s="37">
        <f t="shared" si="76"/>
        <v>0</v>
      </c>
      <c r="BL87" s="30" t="str">
        <f t="shared" si="77"/>
        <v xml:space="preserve"> </v>
      </c>
      <c r="BM87" s="26">
        <f t="shared" si="78"/>
        <v>0</v>
      </c>
      <c r="BO87" s="50">
        <f t="shared" si="79"/>
        <v>0</v>
      </c>
      <c r="BP87" s="50">
        <f t="shared" si="80"/>
        <v>0</v>
      </c>
    </row>
    <row r="88" spans="1:68">
      <c r="A88" s="16" t="s">
        <v>149</v>
      </c>
      <c r="B88" s="1" t="s">
        <v>66</v>
      </c>
      <c r="C88" s="24">
        <v>0</v>
      </c>
      <c r="D88" s="24" t="s">
        <v>433</v>
      </c>
      <c r="E88" s="24">
        <v>10</v>
      </c>
      <c r="F88" s="24">
        <v>0</v>
      </c>
      <c r="G88" s="24" t="s">
        <v>67</v>
      </c>
      <c r="H88" s="24">
        <v>0</v>
      </c>
      <c r="I88" s="24">
        <v>0</v>
      </c>
      <c r="J88" s="24">
        <v>0</v>
      </c>
      <c r="K88" s="24">
        <v>0</v>
      </c>
      <c r="L88" s="24">
        <v>0</v>
      </c>
      <c r="M88" s="24">
        <v>0</v>
      </c>
      <c r="N88" s="24">
        <v>0</v>
      </c>
      <c r="O88" s="24">
        <v>0</v>
      </c>
      <c r="P88" s="24">
        <v>0</v>
      </c>
      <c r="Q88" s="24">
        <v>0</v>
      </c>
      <c r="R88" s="24">
        <v>0</v>
      </c>
      <c r="S88" s="24">
        <v>0</v>
      </c>
      <c r="T88" s="28">
        <f t="shared" si="43"/>
        <v>0</v>
      </c>
      <c r="U88" s="28">
        <f t="shared" si="44"/>
        <v>0</v>
      </c>
      <c r="V88" s="29">
        <f>IF(O88&gt;0,((VLOOKUP(E88,ACs!G$4:P$53,7)*P88)+(VLOOKUP(E88,ACs!G$4:P$53,6)*(1-P88)))*O88*F88,0)</f>
        <v>0</v>
      </c>
      <c r="W88" s="29">
        <f>IF(E88&gt;0,VLOOKUP(E88,ACs!G$4:P$53,10)*Q88*F88,0)</f>
        <v>0</v>
      </c>
      <c r="X88" s="29">
        <f t="shared" si="45"/>
        <v>0</v>
      </c>
      <c r="Y88" s="29">
        <f t="shared" si="46"/>
        <v>0</v>
      </c>
      <c r="Z88" s="29">
        <f t="shared" si="47"/>
        <v>0</v>
      </c>
      <c r="AA88" s="29">
        <f t="shared" si="48"/>
        <v>0</v>
      </c>
      <c r="AB88" s="30" t="str">
        <f t="shared" si="49"/>
        <v xml:space="preserve"> </v>
      </c>
      <c r="AC88" s="30" t="str">
        <f t="shared" si="50"/>
        <v xml:space="preserve"> </v>
      </c>
      <c r="AD88" s="31" t="str">
        <f t="shared" si="51"/>
        <v xml:space="preserve"> </v>
      </c>
      <c r="AE88" s="29">
        <f t="shared" si="52"/>
        <v>0</v>
      </c>
      <c r="AF88" s="29">
        <f t="shared" si="53"/>
        <v>0</v>
      </c>
      <c r="AG88" s="29">
        <f t="shared" si="54"/>
        <v>0</v>
      </c>
      <c r="AH88" s="29">
        <f t="shared" si="55"/>
        <v>0</v>
      </c>
      <c r="AI88" s="29">
        <f t="shared" si="56"/>
        <v>0</v>
      </c>
      <c r="AJ88" s="30" t="str">
        <f t="shared" si="57"/>
        <v xml:space="preserve"> </v>
      </c>
      <c r="AK88" s="30" t="str">
        <f t="shared" si="58"/>
        <v xml:space="preserve"> </v>
      </c>
      <c r="AL88" s="30" t="str">
        <f t="shared" si="59"/>
        <v xml:space="preserve"> </v>
      </c>
      <c r="AM88" s="32" t="str">
        <f t="shared" si="60"/>
        <v xml:space="preserve"> </v>
      </c>
      <c r="AN88" s="32" t="str">
        <f t="shared" si="61"/>
        <v xml:space="preserve"> </v>
      </c>
      <c r="AO88" s="32" t="str">
        <f t="shared" si="62"/>
        <v xml:space="preserve"> </v>
      </c>
      <c r="AP88" s="32" t="str">
        <f t="shared" si="63"/>
        <v xml:space="preserve"> </v>
      </c>
      <c r="AQ88" s="33">
        <f t="shared" si="64"/>
        <v>0</v>
      </c>
      <c r="AR88" s="27">
        <v>0.87</v>
      </c>
      <c r="AS88" s="30" t="str">
        <f t="shared" si="81"/>
        <v xml:space="preserve"> </v>
      </c>
      <c r="AT88" s="33">
        <f t="shared" si="82"/>
        <v>0</v>
      </c>
      <c r="AU88" s="32">
        <v>1</v>
      </c>
      <c r="AV88" s="33">
        <f t="shared" si="65"/>
        <v>0</v>
      </c>
      <c r="AW88" s="33">
        <f t="shared" si="66"/>
        <v>0</v>
      </c>
      <c r="AX88" s="30" t="str">
        <f t="shared" si="42"/>
        <v xml:space="preserve"> </v>
      </c>
      <c r="AY88" s="29">
        <f t="shared" si="67"/>
        <v>0</v>
      </c>
      <c r="AZ88" s="29">
        <f t="shared" si="68"/>
        <v>0</v>
      </c>
      <c r="BA88" s="30" t="str">
        <f t="shared" si="84"/>
        <v xml:space="preserve"> </v>
      </c>
      <c r="BB88" s="34">
        <f t="shared" si="69"/>
        <v>0</v>
      </c>
      <c r="BC88" s="35">
        <f t="shared" si="70"/>
        <v>0</v>
      </c>
      <c r="BD88" s="27">
        <v>1</v>
      </c>
      <c r="BE88" s="36">
        <f t="shared" si="71"/>
        <v>0</v>
      </c>
      <c r="BF88" s="36">
        <f t="shared" si="72"/>
        <v>0</v>
      </c>
      <c r="BG88" s="30" t="str">
        <f t="shared" si="73"/>
        <v xml:space="preserve"> </v>
      </c>
      <c r="BH88" s="33">
        <f t="shared" si="74"/>
        <v>0</v>
      </c>
      <c r="BI88" s="27">
        <v>1</v>
      </c>
      <c r="BJ88" s="36">
        <f t="shared" si="75"/>
        <v>0</v>
      </c>
      <c r="BK88" s="37">
        <f t="shared" si="76"/>
        <v>0</v>
      </c>
      <c r="BL88" s="30" t="str">
        <f t="shared" si="77"/>
        <v xml:space="preserve"> </v>
      </c>
      <c r="BM88" s="26">
        <f t="shared" si="78"/>
        <v>0</v>
      </c>
      <c r="BO88" s="50">
        <f t="shared" si="79"/>
        <v>0</v>
      </c>
      <c r="BP88" s="50">
        <f t="shared" si="80"/>
        <v>0</v>
      </c>
    </row>
    <row r="89" spans="1:68">
      <c r="A89" s="16" t="s">
        <v>150</v>
      </c>
      <c r="B89" s="1" t="s">
        <v>66</v>
      </c>
      <c r="C89" s="24">
        <v>0</v>
      </c>
      <c r="D89" s="24" t="s">
        <v>433</v>
      </c>
      <c r="E89" s="24">
        <v>10</v>
      </c>
      <c r="F89" s="24">
        <v>0</v>
      </c>
      <c r="G89" s="24" t="s">
        <v>67</v>
      </c>
      <c r="H89" s="24">
        <v>0</v>
      </c>
      <c r="I89" s="24">
        <v>0</v>
      </c>
      <c r="J89" s="24">
        <v>0</v>
      </c>
      <c r="K89" s="24">
        <v>0</v>
      </c>
      <c r="L89" s="24">
        <v>0</v>
      </c>
      <c r="M89" s="24">
        <v>0</v>
      </c>
      <c r="N89" s="24">
        <v>0</v>
      </c>
      <c r="O89" s="24">
        <v>0</v>
      </c>
      <c r="P89" s="24">
        <v>0</v>
      </c>
      <c r="Q89" s="24">
        <v>0</v>
      </c>
      <c r="R89" s="24">
        <v>0</v>
      </c>
      <c r="S89" s="24">
        <v>0</v>
      </c>
      <c r="T89" s="28">
        <f t="shared" si="43"/>
        <v>0</v>
      </c>
      <c r="U89" s="28">
        <f t="shared" si="44"/>
        <v>0</v>
      </c>
      <c r="V89" s="29">
        <f>IF(O89&gt;0,((VLOOKUP(E89,ACs!G$4:P$53,7)*P89)+(VLOOKUP(E89,ACs!G$4:P$53,6)*(1-P89)))*O89*F89,0)</f>
        <v>0</v>
      </c>
      <c r="W89" s="29">
        <f>IF(E89&gt;0,VLOOKUP(E89,ACs!G$4:P$53,10)*Q89*F89,0)</f>
        <v>0</v>
      </c>
      <c r="X89" s="29">
        <f t="shared" si="45"/>
        <v>0</v>
      </c>
      <c r="Y89" s="29">
        <f t="shared" si="46"/>
        <v>0</v>
      </c>
      <c r="Z89" s="29">
        <f t="shared" si="47"/>
        <v>0</v>
      </c>
      <c r="AA89" s="29">
        <f t="shared" si="48"/>
        <v>0</v>
      </c>
      <c r="AB89" s="30" t="str">
        <f t="shared" si="49"/>
        <v xml:space="preserve"> </v>
      </c>
      <c r="AC89" s="30" t="str">
        <f t="shared" si="50"/>
        <v xml:space="preserve"> </v>
      </c>
      <c r="AD89" s="31" t="str">
        <f t="shared" si="51"/>
        <v xml:space="preserve"> </v>
      </c>
      <c r="AE89" s="29">
        <f t="shared" si="52"/>
        <v>0</v>
      </c>
      <c r="AF89" s="29">
        <f t="shared" si="53"/>
        <v>0</v>
      </c>
      <c r="AG89" s="29">
        <f t="shared" si="54"/>
        <v>0</v>
      </c>
      <c r="AH89" s="29">
        <f t="shared" si="55"/>
        <v>0</v>
      </c>
      <c r="AI89" s="29">
        <f t="shared" si="56"/>
        <v>0</v>
      </c>
      <c r="AJ89" s="30" t="str">
        <f t="shared" si="57"/>
        <v xml:space="preserve"> </v>
      </c>
      <c r="AK89" s="30" t="str">
        <f t="shared" si="58"/>
        <v xml:space="preserve"> </v>
      </c>
      <c r="AL89" s="30" t="str">
        <f t="shared" si="59"/>
        <v xml:space="preserve"> </v>
      </c>
      <c r="AM89" s="32" t="str">
        <f t="shared" si="60"/>
        <v xml:space="preserve"> </v>
      </c>
      <c r="AN89" s="32" t="str">
        <f t="shared" si="61"/>
        <v xml:space="preserve"> </v>
      </c>
      <c r="AO89" s="32" t="str">
        <f t="shared" si="62"/>
        <v xml:space="preserve"> </v>
      </c>
      <c r="AP89" s="32" t="str">
        <f t="shared" si="63"/>
        <v xml:space="preserve"> </v>
      </c>
      <c r="AQ89" s="33">
        <f t="shared" si="64"/>
        <v>0</v>
      </c>
      <c r="AR89" s="27">
        <v>0.87</v>
      </c>
      <c r="AS89" s="30" t="str">
        <f t="shared" si="81"/>
        <v xml:space="preserve"> </v>
      </c>
      <c r="AT89" s="33">
        <f t="shared" si="82"/>
        <v>0</v>
      </c>
      <c r="AU89" s="32">
        <v>1</v>
      </c>
      <c r="AV89" s="33">
        <f t="shared" si="65"/>
        <v>0</v>
      </c>
      <c r="AW89" s="33">
        <f t="shared" si="66"/>
        <v>0</v>
      </c>
      <c r="AX89" s="30" t="str">
        <f t="shared" si="42"/>
        <v xml:space="preserve"> </v>
      </c>
      <c r="AY89" s="29">
        <f t="shared" si="67"/>
        <v>0</v>
      </c>
      <c r="AZ89" s="29">
        <f t="shared" si="68"/>
        <v>0</v>
      </c>
      <c r="BA89" s="30" t="str">
        <f t="shared" si="84"/>
        <v xml:space="preserve"> </v>
      </c>
      <c r="BB89" s="34">
        <f t="shared" si="69"/>
        <v>0</v>
      </c>
      <c r="BC89" s="35">
        <f t="shared" si="70"/>
        <v>0</v>
      </c>
      <c r="BD89" s="27">
        <v>1</v>
      </c>
      <c r="BE89" s="36">
        <f t="shared" si="71"/>
        <v>0</v>
      </c>
      <c r="BF89" s="36">
        <f t="shared" si="72"/>
        <v>0</v>
      </c>
      <c r="BG89" s="30" t="str">
        <f t="shared" si="73"/>
        <v xml:space="preserve"> </v>
      </c>
      <c r="BH89" s="33">
        <f t="shared" si="74"/>
        <v>0</v>
      </c>
      <c r="BI89" s="27">
        <v>1</v>
      </c>
      <c r="BJ89" s="36">
        <f t="shared" si="75"/>
        <v>0</v>
      </c>
      <c r="BK89" s="37">
        <f t="shared" si="76"/>
        <v>0</v>
      </c>
      <c r="BL89" s="30" t="str">
        <f t="shared" si="77"/>
        <v xml:space="preserve"> </v>
      </c>
      <c r="BM89" s="26">
        <f t="shared" si="78"/>
        <v>0</v>
      </c>
      <c r="BO89" s="50">
        <f t="shared" si="79"/>
        <v>0</v>
      </c>
      <c r="BP89" s="50">
        <f t="shared" si="80"/>
        <v>0</v>
      </c>
    </row>
    <row r="90" spans="1:68">
      <c r="A90" s="16" t="s">
        <v>151</v>
      </c>
      <c r="B90" s="1" t="s">
        <v>66</v>
      </c>
      <c r="C90" s="24">
        <v>0</v>
      </c>
      <c r="D90" s="24" t="s">
        <v>433</v>
      </c>
      <c r="E90" s="24">
        <v>10</v>
      </c>
      <c r="F90" s="24">
        <v>0</v>
      </c>
      <c r="G90" s="24" t="s">
        <v>67</v>
      </c>
      <c r="H90" s="24">
        <v>0</v>
      </c>
      <c r="I90" s="24">
        <v>0</v>
      </c>
      <c r="J90" s="24">
        <v>0</v>
      </c>
      <c r="K90" s="24">
        <v>0</v>
      </c>
      <c r="L90" s="24">
        <v>0</v>
      </c>
      <c r="M90" s="24">
        <v>0</v>
      </c>
      <c r="N90" s="24">
        <v>0</v>
      </c>
      <c r="O90" s="24">
        <v>0</v>
      </c>
      <c r="P90" s="24">
        <v>0</v>
      </c>
      <c r="Q90" s="24">
        <v>0</v>
      </c>
      <c r="R90" s="24">
        <v>0</v>
      </c>
      <c r="S90" s="24">
        <v>0</v>
      </c>
      <c r="T90" s="28">
        <f t="shared" si="43"/>
        <v>0</v>
      </c>
      <c r="U90" s="28">
        <f t="shared" si="44"/>
        <v>0</v>
      </c>
      <c r="V90" s="29">
        <f>IF(O90&gt;0,((VLOOKUP(E90,ACs!G$4:P$53,7)*P90)+(VLOOKUP(E90,ACs!G$4:P$53,6)*(1-P90)))*O90*F90,0)</f>
        <v>0</v>
      </c>
      <c r="W90" s="29">
        <f>IF(E90&gt;0,VLOOKUP(E90,ACs!G$4:P$53,10)*Q90*F90,0)</f>
        <v>0</v>
      </c>
      <c r="X90" s="29">
        <f t="shared" si="45"/>
        <v>0</v>
      </c>
      <c r="Y90" s="29">
        <f t="shared" si="46"/>
        <v>0</v>
      </c>
      <c r="Z90" s="29">
        <f t="shared" si="47"/>
        <v>0</v>
      </c>
      <c r="AA90" s="29">
        <f t="shared" si="48"/>
        <v>0</v>
      </c>
      <c r="AB90" s="30" t="str">
        <f t="shared" si="49"/>
        <v xml:space="preserve"> </v>
      </c>
      <c r="AC90" s="30" t="str">
        <f t="shared" si="50"/>
        <v xml:space="preserve"> </v>
      </c>
      <c r="AD90" s="31" t="str">
        <f t="shared" si="51"/>
        <v xml:space="preserve"> </v>
      </c>
      <c r="AE90" s="29">
        <f t="shared" si="52"/>
        <v>0</v>
      </c>
      <c r="AF90" s="29">
        <f t="shared" si="53"/>
        <v>0</v>
      </c>
      <c r="AG90" s="29">
        <f t="shared" si="54"/>
        <v>0</v>
      </c>
      <c r="AH90" s="29">
        <f t="shared" si="55"/>
        <v>0</v>
      </c>
      <c r="AI90" s="29">
        <f t="shared" si="56"/>
        <v>0</v>
      </c>
      <c r="AJ90" s="30" t="str">
        <f t="shared" si="57"/>
        <v xml:space="preserve"> </v>
      </c>
      <c r="AK90" s="30" t="str">
        <f t="shared" si="58"/>
        <v xml:space="preserve"> </v>
      </c>
      <c r="AL90" s="30" t="str">
        <f t="shared" si="59"/>
        <v xml:space="preserve"> </v>
      </c>
      <c r="AM90" s="32" t="str">
        <f t="shared" si="60"/>
        <v xml:space="preserve"> </v>
      </c>
      <c r="AN90" s="32" t="str">
        <f t="shared" si="61"/>
        <v xml:space="preserve"> </v>
      </c>
      <c r="AO90" s="32" t="str">
        <f t="shared" si="62"/>
        <v xml:space="preserve"> </v>
      </c>
      <c r="AP90" s="32" t="str">
        <f t="shared" si="63"/>
        <v xml:space="preserve"> </v>
      </c>
      <c r="AQ90" s="33">
        <f t="shared" si="64"/>
        <v>0</v>
      </c>
      <c r="AR90" s="27">
        <v>0.87</v>
      </c>
      <c r="AS90" s="30" t="str">
        <f t="shared" si="81"/>
        <v xml:space="preserve"> </v>
      </c>
      <c r="AT90" s="33">
        <f t="shared" si="82"/>
        <v>0</v>
      </c>
      <c r="AU90" s="32">
        <v>1</v>
      </c>
      <c r="AV90" s="33">
        <f t="shared" si="65"/>
        <v>0</v>
      </c>
      <c r="AW90" s="33">
        <f t="shared" si="66"/>
        <v>0</v>
      </c>
      <c r="AX90" s="30" t="str">
        <f t="shared" si="42"/>
        <v xml:space="preserve"> </v>
      </c>
      <c r="AY90" s="29">
        <f t="shared" si="67"/>
        <v>0</v>
      </c>
      <c r="AZ90" s="29">
        <f t="shared" si="68"/>
        <v>0</v>
      </c>
      <c r="BA90" s="30" t="str">
        <f t="shared" si="84"/>
        <v xml:space="preserve"> </v>
      </c>
      <c r="BB90" s="34">
        <f t="shared" si="69"/>
        <v>0</v>
      </c>
      <c r="BC90" s="35">
        <f t="shared" si="70"/>
        <v>0</v>
      </c>
      <c r="BD90" s="27">
        <v>1</v>
      </c>
      <c r="BE90" s="36">
        <f t="shared" si="71"/>
        <v>0</v>
      </c>
      <c r="BF90" s="36">
        <f t="shared" si="72"/>
        <v>0</v>
      </c>
      <c r="BG90" s="30" t="str">
        <f t="shared" si="73"/>
        <v xml:space="preserve"> </v>
      </c>
      <c r="BH90" s="33">
        <f t="shared" si="74"/>
        <v>0</v>
      </c>
      <c r="BI90" s="27">
        <v>1</v>
      </c>
      <c r="BJ90" s="36">
        <f t="shared" si="75"/>
        <v>0</v>
      </c>
      <c r="BK90" s="37">
        <f t="shared" si="76"/>
        <v>0</v>
      </c>
      <c r="BL90" s="30" t="str">
        <f t="shared" si="77"/>
        <v xml:space="preserve"> </v>
      </c>
      <c r="BM90" s="26">
        <f t="shared" si="78"/>
        <v>0</v>
      </c>
      <c r="BO90" s="50">
        <f t="shared" si="79"/>
        <v>0</v>
      </c>
      <c r="BP90" s="50">
        <f t="shared" si="80"/>
        <v>0</v>
      </c>
    </row>
    <row r="91" spans="1:68">
      <c r="A91" s="16" t="s">
        <v>152</v>
      </c>
      <c r="B91" s="1" t="s">
        <v>66</v>
      </c>
      <c r="C91" s="24">
        <v>0</v>
      </c>
      <c r="D91" s="24" t="s">
        <v>433</v>
      </c>
      <c r="E91" s="24">
        <v>10</v>
      </c>
      <c r="F91" s="24">
        <v>0</v>
      </c>
      <c r="G91" s="24" t="s">
        <v>67</v>
      </c>
      <c r="H91" s="24">
        <v>0</v>
      </c>
      <c r="I91" s="24">
        <v>0</v>
      </c>
      <c r="J91" s="24">
        <v>0</v>
      </c>
      <c r="K91" s="24">
        <v>0</v>
      </c>
      <c r="L91" s="24">
        <v>0</v>
      </c>
      <c r="M91" s="24">
        <v>0</v>
      </c>
      <c r="N91" s="24">
        <v>0</v>
      </c>
      <c r="O91" s="24">
        <v>0</v>
      </c>
      <c r="P91" s="24">
        <v>0</v>
      </c>
      <c r="Q91" s="24">
        <v>0</v>
      </c>
      <c r="R91" s="24">
        <v>0</v>
      </c>
      <c r="S91" s="24">
        <v>0</v>
      </c>
      <c r="T91" s="28">
        <f t="shared" si="43"/>
        <v>0</v>
      </c>
      <c r="U91" s="28">
        <f t="shared" si="44"/>
        <v>0</v>
      </c>
      <c r="V91" s="29">
        <f>IF(O91&gt;0,((VLOOKUP(E91,ACs!G$4:P$53,7)*P91)+(VLOOKUP(E91,ACs!G$4:P$53,6)*(1-P91)))*O91*F91,0)</f>
        <v>0</v>
      </c>
      <c r="W91" s="29">
        <f>IF(E91&gt;0,VLOOKUP(E91,ACs!G$4:P$53,10)*Q91*F91,0)</f>
        <v>0</v>
      </c>
      <c r="X91" s="29">
        <f t="shared" si="45"/>
        <v>0</v>
      </c>
      <c r="Y91" s="29">
        <f t="shared" si="46"/>
        <v>0</v>
      </c>
      <c r="Z91" s="29">
        <f t="shared" si="47"/>
        <v>0</v>
      </c>
      <c r="AA91" s="29">
        <f t="shared" si="48"/>
        <v>0</v>
      </c>
      <c r="AB91" s="30" t="str">
        <f t="shared" si="49"/>
        <v xml:space="preserve"> </v>
      </c>
      <c r="AC91" s="30" t="str">
        <f t="shared" si="50"/>
        <v xml:space="preserve"> </v>
      </c>
      <c r="AD91" s="31" t="str">
        <f t="shared" si="51"/>
        <v xml:space="preserve"> </v>
      </c>
      <c r="AE91" s="29">
        <f t="shared" si="52"/>
        <v>0</v>
      </c>
      <c r="AF91" s="29">
        <f t="shared" si="53"/>
        <v>0</v>
      </c>
      <c r="AG91" s="29">
        <f t="shared" si="54"/>
        <v>0</v>
      </c>
      <c r="AH91" s="29">
        <f t="shared" si="55"/>
        <v>0</v>
      </c>
      <c r="AI91" s="29">
        <f t="shared" si="56"/>
        <v>0</v>
      </c>
      <c r="AJ91" s="30" t="str">
        <f t="shared" si="57"/>
        <v xml:space="preserve"> </v>
      </c>
      <c r="AK91" s="30" t="str">
        <f t="shared" si="58"/>
        <v xml:space="preserve"> </v>
      </c>
      <c r="AL91" s="30" t="str">
        <f t="shared" si="59"/>
        <v xml:space="preserve"> </v>
      </c>
      <c r="AM91" s="32" t="str">
        <f t="shared" si="60"/>
        <v xml:space="preserve"> </v>
      </c>
      <c r="AN91" s="32" t="str">
        <f t="shared" si="61"/>
        <v xml:space="preserve"> </v>
      </c>
      <c r="AO91" s="32" t="str">
        <f t="shared" si="62"/>
        <v xml:space="preserve"> </v>
      </c>
      <c r="AP91" s="32" t="str">
        <f t="shared" si="63"/>
        <v xml:space="preserve"> </v>
      </c>
      <c r="AQ91" s="33">
        <f t="shared" si="64"/>
        <v>0</v>
      </c>
      <c r="AR91" s="27">
        <v>0.87</v>
      </c>
      <c r="AS91" s="30" t="str">
        <f t="shared" si="81"/>
        <v xml:space="preserve"> </v>
      </c>
      <c r="AT91" s="33">
        <f t="shared" si="82"/>
        <v>0</v>
      </c>
      <c r="AU91" s="32">
        <v>1</v>
      </c>
      <c r="AV91" s="33">
        <f t="shared" si="65"/>
        <v>0</v>
      </c>
      <c r="AW91" s="33">
        <f t="shared" si="66"/>
        <v>0</v>
      </c>
      <c r="AX91" s="30" t="str">
        <f t="shared" si="42"/>
        <v xml:space="preserve"> </v>
      </c>
      <c r="AY91" s="29">
        <f t="shared" si="67"/>
        <v>0</v>
      </c>
      <c r="AZ91" s="29">
        <f t="shared" si="68"/>
        <v>0</v>
      </c>
      <c r="BA91" s="30" t="str">
        <f t="shared" si="84"/>
        <v xml:space="preserve"> </v>
      </c>
      <c r="BB91" s="34">
        <f t="shared" si="69"/>
        <v>0</v>
      </c>
      <c r="BC91" s="35">
        <f t="shared" si="70"/>
        <v>0</v>
      </c>
      <c r="BD91" s="27">
        <v>1</v>
      </c>
      <c r="BE91" s="36">
        <f t="shared" si="71"/>
        <v>0</v>
      </c>
      <c r="BF91" s="36">
        <f t="shared" si="72"/>
        <v>0</v>
      </c>
      <c r="BG91" s="30" t="str">
        <f t="shared" si="73"/>
        <v xml:space="preserve"> </v>
      </c>
      <c r="BH91" s="33">
        <f t="shared" si="74"/>
        <v>0</v>
      </c>
      <c r="BI91" s="27">
        <v>1</v>
      </c>
      <c r="BJ91" s="36">
        <f t="shared" si="75"/>
        <v>0</v>
      </c>
      <c r="BK91" s="37">
        <f t="shared" si="76"/>
        <v>0</v>
      </c>
      <c r="BL91" s="30" t="str">
        <f t="shared" si="77"/>
        <v xml:space="preserve"> </v>
      </c>
      <c r="BM91" s="26">
        <f t="shared" si="78"/>
        <v>0</v>
      </c>
      <c r="BO91" s="50">
        <f t="shared" si="79"/>
        <v>0</v>
      </c>
      <c r="BP91" s="50">
        <f t="shared" si="80"/>
        <v>0</v>
      </c>
    </row>
    <row r="92" spans="1:68">
      <c r="A92" s="16" t="s">
        <v>153</v>
      </c>
      <c r="B92" s="1" t="s">
        <v>66</v>
      </c>
      <c r="C92" s="24">
        <v>0</v>
      </c>
      <c r="D92" s="24" t="s">
        <v>433</v>
      </c>
      <c r="E92" s="24">
        <v>10</v>
      </c>
      <c r="F92" s="24">
        <v>0</v>
      </c>
      <c r="G92" s="24" t="s">
        <v>67</v>
      </c>
      <c r="H92" s="24">
        <v>0</v>
      </c>
      <c r="I92" s="24">
        <v>0</v>
      </c>
      <c r="J92" s="24">
        <v>0</v>
      </c>
      <c r="K92" s="24">
        <v>0</v>
      </c>
      <c r="L92" s="24">
        <v>0</v>
      </c>
      <c r="M92" s="24">
        <v>0</v>
      </c>
      <c r="N92" s="24">
        <v>0</v>
      </c>
      <c r="O92" s="24">
        <v>0</v>
      </c>
      <c r="P92" s="24">
        <v>0</v>
      </c>
      <c r="Q92" s="24">
        <v>0</v>
      </c>
      <c r="R92" s="24">
        <v>0</v>
      </c>
      <c r="S92" s="24">
        <v>0</v>
      </c>
      <c r="T92" s="28">
        <f t="shared" si="43"/>
        <v>0</v>
      </c>
      <c r="U92" s="28">
        <f t="shared" si="44"/>
        <v>0</v>
      </c>
      <c r="V92" s="29">
        <f>IF(O92&gt;0,((VLOOKUP(E92,ACs!G$4:P$53,7)*P92)+(VLOOKUP(E92,ACs!G$4:P$53,6)*(1-P92)))*O92*F92,0)</f>
        <v>0</v>
      </c>
      <c r="W92" s="29">
        <f>IF(E92&gt;0,VLOOKUP(E92,ACs!G$4:P$53,10)*Q92*F92,0)</f>
        <v>0</v>
      </c>
      <c r="X92" s="29">
        <f t="shared" si="45"/>
        <v>0</v>
      </c>
      <c r="Y92" s="29">
        <f t="shared" si="46"/>
        <v>0</v>
      </c>
      <c r="Z92" s="29">
        <f t="shared" si="47"/>
        <v>0</v>
      </c>
      <c r="AA92" s="29">
        <f t="shared" si="48"/>
        <v>0</v>
      </c>
      <c r="AB92" s="30" t="str">
        <f t="shared" si="49"/>
        <v xml:space="preserve"> </v>
      </c>
      <c r="AC92" s="30" t="str">
        <f t="shared" si="50"/>
        <v xml:space="preserve"> </v>
      </c>
      <c r="AD92" s="31" t="str">
        <f t="shared" si="51"/>
        <v xml:space="preserve"> </v>
      </c>
      <c r="AE92" s="29">
        <f t="shared" si="52"/>
        <v>0</v>
      </c>
      <c r="AF92" s="29">
        <f t="shared" si="53"/>
        <v>0</v>
      </c>
      <c r="AG92" s="29">
        <f t="shared" si="54"/>
        <v>0</v>
      </c>
      <c r="AH92" s="29">
        <f t="shared" si="55"/>
        <v>0</v>
      </c>
      <c r="AI92" s="29">
        <f t="shared" si="56"/>
        <v>0</v>
      </c>
      <c r="AJ92" s="30" t="str">
        <f t="shared" si="57"/>
        <v xml:space="preserve"> </v>
      </c>
      <c r="AK92" s="30" t="str">
        <f t="shared" si="58"/>
        <v xml:space="preserve"> </v>
      </c>
      <c r="AL92" s="30" t="str">
        <f t="shared" si="59"/>
        <v xml:space="preserve"> </v>
      </c>
      <c r="AM92" s="32" t="str">
        <f t="shared" si="60"/>
        <v xml:space="preserve"> </v>
      </c>
      <c r="AN92" s="32" t="str">
        <f t="shared" si="61"/>
        <v xml:space="preserve"> </v>
      </c>
      <c r="AO92" s="32" t="str">
        <f t="shared" si="62"/>
        <v xml:space="preserve"> </v>
      </c>
      <c r="AP92" s="32" t="str">
        <f t="shared" si="63"/>
        <v xml:space="preserve"> </v>
      </c>
      <c r="AQ92" s="33">
        <f t="shared" si="64"/>
        <v>0</v>
      </c>
      <c r="AR92" s="27">
        <v>0.87</v>
      </c>
      <c r="AS92" s="30" t="str">
        <f t="shared" si="81"/>
        <v xml:space="preserve"> </v>
      </c>
      <c r="AT92" s="33">
        <f t="shared" si="82"/>
        <v>0</v>
      </c>
      <c r="AU92" s="32">
        <v>1</v>
      </c>
      <c r="AV92" s="33">
        <f t="shared" si="65"/>
        <v>0</v>
      </c>
      <c r="AW92" s="33">
        <f t="shared" si="66"/>
        <v>0</v>
      </c>
      <c r="AX92" s="30" t="str">
        <f t="shared" si="42"/>
        <v xml:space="preserve"> </v>
      </c>
      <c r="AY92" s="29">
        <f t="shared" si="67"/>
        <v>0</v>
      </c>
      <c r="AZ92" s="29">
        <f t="shared" si="68"/>
        <v>0</v>
      </c>
      <c r="BA92" s="30" t="str">
        <f t="shared" si="84"/>
        <v xml:space="preserve"> </v>
      </c>
      <c r="BB92" s="34">
        <f t="shared" si="69"/>
        <v>0</v>
      </c>
      <c r="BC92" s="35">
        <f t="shared" si="70"/>
        <v>0</v>
      </c>
      <c r="BD92" s="27">
        <v>1</v>
      </c>
      <c r="BE92" s="36">
        <f t="shared" si="71"/>
        <v>0</v>
      </c>
      <c r="BF92" s="36">
        <f t="shared" si="72"/>
        <v>0</v>
      </c>
      <c r="BG92" s="30" t="str">
        <f t="shared" si="73"/>
        <v xml:space="preserve"> </v>
      </c>
      <c r="BH92" s="33">
        <f t="shared" si="74"/>
        <v>0</v>
      </c>
      <c r="BI92" s="27">
        <v>1</v>
      </c>
      <c r="BJ92" s="36">
        <f t="shared" si="75"/>
        <v>0</v>
      </c>
      <c r="BK92" s="37">
        <f t="shared" si="76"/>
        <v>0</v>
      </c>
      <c r="BL92" s="30" t="str">
        <f t="shared" si="77"/>
        <v xml:space="preserve"> </v>
      </c>
      <c r="BM92" s="26">
        <f t="shared" si="78"/>
        <v>0</v>
      </c>
      <c r="BO92" s="50">
        <f t="shared" si="79"/>
        <v>0</v>
      </c>
      <c r="BP92" s="50">
        <f t="shared" si="80"/>
        <v>0</v>
      </c>
    </row>
    <row r="93" spans="1:68">
      <c r="A93" s="16" t="s">
        <v>154</v>
      </c>
      <c r="B93" s="1" t="s">
        <v>66</v>
      </c>
      <c r="C93" s="24">
        <v>0</v>
      </c>
      <c r="D93" s="24" t="s">
        <v>433</v>
      </c>
      <c r="E93" s="24">
        <v>10</v>
      </c>
      <c r="F93" s="24">
        <v>0</v>
      </c>
      <c r="G93" s="24" t="s">
        <v>67</v>
      </c>
      <c r="H93" s="24">
        <v>0</v>
      </c>
      <c r="I93" s="24">
        <v>0</v>
      </c>
      <c r="J93" s="24">
        <v>0</v>
      </c>
      <c r="K93" s="24">
        <v>0</v>
      </c>
      <c r="L93" s="24">
        <v>0</v>
      </c>
      <c r="M93" s="24">
        <v>0</v>
      </c>
      <c r="N93" s="24">
        <v>0</v>
      </c>
      <c r="O93" s="24">
        <v>0</v>
      </c>
      <c r="P93" s="24">
        <v>0</v>
      </c>
      <c r="Q93" s="24">
        <v>0</v>
      </c>
      <c r="R93" s="24">
        <v>0</v>
      </c>
      <c r="S93" s="24">
        <v>0</v>
      </c>
      <c r="T93" s="28">
        <f t="shared" si="43"/>
        <v>0</v>
      </c>
      <c r="U93" s="28">
        <f t="shared" si="44"/>
        <v>0</v>
      </c>
      <c r="V93" s="29">
        <f>IF(O93&gt;0,((VLOOKUP(E93,ACs!G$4:P$53,7)*P93)+(VLOOKUP(E93,ACs!G$4:P$53,6)*(1-P93)))*O93*F93,0)</f>
        <v>0</v>
      </c>
      <c r="W93" s="29">
        <f>IF(E93&gt;0,VLOOKUP(E93,ACs!G$4:P$53,10)*Q93*F93,0)</f>
        <v>0</v>
      </c>
      <c r="X93" s="29">
        <f t="shared" si="45"/>
        <v>0</v>
      </c>
      <c r="Y93" s="29">
        <f t="shared" si="46"/>
        <v>0</v>
      </c>
      <c r="Z93" s="29">
        <f t="shared" si="47"/>
        <v>0</v>
      </c>
      <c r="AA93" s="29">
        <f t="shared" si="48"/>
        <v>0</v>
      </c>
      <c r="AB93" s="30" t="str">
        <f t="shared" si="49"/>
        <v xml:space="preserve"> </v>
      </c>
      <c r="AC93" s="30" t="str">
        <f t="shared" si="50"/>
        <v xml:space="preserve"> </v>
      </c>
      <c r="AD93" s="31" t="str">
        <f t="shared" si="51"/>
        <v xml:space="preserve"> </v>
      </c>
      <c r="AE93" s="29">
        <f t="shared" si="52"/>
        <v>0</v>
      </c>
      <c r="AF93" s="29">
        <f t="shared" si="53"/>
        <v>0</v>
      </c>
      <c r="AG93" s="29">
        <f t="shared" si="54"/>
        <v>0</v>
      </c>
      <c r="AH93" s="29">
        <f t="shared" si="55"/>
        <v>0</v>
      </c>
      <c r="AI93" s="29">
        <f t="shared" si="56"/>
        <v>0</v>
      </c>
      <c r="AJ93" s="30" t="str">
        <f t="shared" si="57"/>
        <v xml:space="preserve"> </v>
      </c>
      <c r="AK93" s="30" t="str">
        <f t="shared" si="58"/>
        <v xml:space="preserve"> </v>
      </c>
      <c r="AL93" s="30" t="str">
        <f t="shared" si="59"/>
        <v xml:space="preserve"> </v>
      </c>
      <c r="AM93" s="32" t="str">
        <f t="shared" si="60"/>
        <v xml:space="preserve"> </v>
      </c>
      <c r="AN93" s="32" t="str">
        <f t="shared" si="61"/>
        <v xml:space="preserve"> </v>
      </c>
      <c r="AO93" s="32" t="str">
        <f t="shared" si="62"/>
        <v xml:space="preserve"> </v>
      </c>
      <c r="AP93" s="32" t="str">
        <f t="shared" si="63"/>
        <v xml:space="preserve"> </v>
      </c>
      <c r="AQ93" s="33">
        <f t="shared" si="64"/>
        <v>0</v>
      </c>
      <c r="AR93" s="27">
        <v>0.87</v>
      </c>
      <c r="AS93" s="30" t="str">
        <f t="shared" si="81"/>
        <v xml:space="preserve"> </v>
      </c>
      <c r="AT93" s="33">
        <f t="shared" si="82"/>
        <v>0</v>
      </c>
      <c r="AU93" s="32">
        <v>1</v>
      </c>
      <c r="AV93" s="33">
        <f t="shared" si="65"/>
        <v>0</v>
      </c>
      <c r="AW93" s="33">
        <f t="shared" si="66"/>
        <v>0</v>
      </c>
      <c r="AX93" s="30" t="str">
        <f t="shared" si="42"/>
        <v xml:space="preserve"> </v>
      </c>
      <c r="AY93" s="29">
        <f t="shared" si="67"/>
        <v>0</v>
      </c>
      <c r="AZ93" s="29">
        <f t="shared" si="68"/>
        <v>0</v>
      </c>
      <c r="BA93" s="30" t="str">
        <f t="shared" si="84"/>
        <v xml:space="preserve"> </v>
      </c>
      <c r="BB93" s="34">
        <f t="shared" si="69"/>
        <v>0</v>
      </c>
      <c r="BC93" s="35">
        <f t="shared" si="70"/>
        <v>0</v>
      </c>
      <c r="BD93" s="27">
        <v>1</v>
      </c>
      <c r="BE93" s="36">
        <f t="shared" si="71"/>
        <v>0</v>
      </c>
      <c r="BF93" s="36">
        <f t="shared" si="72"/>
        <v>0</v>
      </c>
      <c r="BG93" s="30" t="str">
        <f t="shared" si="73"/>
        <v xml:space="preserve"> </v>
      </c>
      <c r="BH93" s="33">
        <f t="shared" si="74"/>
        <v>0</v>
      </c>
      <c r="BI93" s="27">
        <v>1</v>
      </c>
      <c r="BJ93" s="36">
        <f t="shared" si="75"/>
        <v>0</v>
      </c>
      <c r="BK93" s="37">
        <f t="shared" si="76"/>
        <v>0</v>
      </c>
      <c r="BL93" s="30" t="str">
        <f t="shared" si="77"/>
        <v xml:space="preserve"> </v>
      </c>
      <c r="BM93" s="26">
        <f t="shared" si="78"/>
        <v>0</v>
      </c>
      <c r="BO93" s="50">
        <f t="shared" si="79"/>
        <v>0</v>
      </c>
      <c r="BP93" s="50">
        <f t="shared" si="80"/>
        <v>0</v>
      </c>
    </row>
    <row r="94" spans="1:68">
      <c r="A94" s="16" t="s">
        <v>155</v>
      </c>
      <c r="B94" s="1" t="s">
        <v>66</v>
      </c>
      <c r="C94" s="24">
        <v>0</v>
      </c>
      <c r="D94" s="24" t="s">
        <v>433</v>
      </c>
      <c r="E94" s="24">
        <v>10</v>
      </c>
      <c r="F94" s="24">
        <v>0</v>
      </c>
      <c r="G94" s="24" t="s">
        <v>67</v>
      </c>
      <c r="H94" s="24">
        <v>0</v>
      </c>
      <c r="I94" s="24">
        <v>0</v>
      </c>
      <c r="J94" s="24">
        <v>0</v>
      </c>
      <c r="K94" s="24">
        <v>0</v>
      </c>
      <c r="L94" s="24">
        <v>0</v>
      </c>
      <c r="M94" s="24">
        <v>0</v>
      </c>
      <c r="N94" s="24">
        <v>0</v>
      </c>
      <c r="O94" s="24">
        <v>0</v>
      </c>
      <c r="P94" s="24">
        <v>0</v>
      </c>
      <c r="Q94" s="24">
        <v>0</v>
      </c>
      <c r="R94" s="24">
        <v>0</v>
      </c>
      <c r="S94" s="24">
        <v>0</v>
      </c>
      <c r="T94" s="28">
        <f t="shared" si="43"/>
        <v>0</v>
      </c>
      <c r="U94" s="28">
        <f t="shared" si="44"/>
        <v>0</v>
      </c>
      <c r="V94" s="29">
        <f>IF(O94&gt;0,((VLOOKUP(E94,ACs!G$4:P$53,7)*P94)+(VLOOKUP(E94,ACs!G$4:P$53,6)*(1-P94)))*O94*F94,0)</f>
        <v>0</v>
      </c>
      <c r="W94" s="29">
        <f>IF(E94&gt;0,VLOOKUP(E94,ACs!G$4:P$53,10)*Q94*F94,0)</f>
        <v>0</v>
      </c>
      <c r="X94" s="29">
        <f t="shared" si="45"/>
        <v>0</v>
      </c>
      <c r="Y94" s="29">
        <f t="shared" si="46"/>
        <v>0</v>
      </c>
      <c r="Z94" s="29">
        <f t="shared" si="47"/>
        <v>0</v>
      </c>
      <c r="AA94" s="29">
        <f t="shared" si="48"/>
        <v>0</v>
      </c>
      <c r="AB94" s="30" t="str">
        <f t="shared" si="49"/>
        <v xml:space="preserve"> </v>
      </c>
      <c r="AC94" s="30" t="str">
        <f t="shared" si="50"/>
        <v xml:space="preserve"> </v>
      </c>
      <c r="AD94" s="31" t="str">
        <f t="shared" si="51"/>
        <v xml:space="preserve"> </v>
      </c>
      <c r="AE94" s="29">
        <f t="shared" si="52"/>
        <v>0</v>
      </c>
      <c r="AF94" s="29">
        <f t="shared" si="53"/>
        <v>0</v>
      </c>
      <c r="AG94" s="29">
        <f t="shared" si="54"/>
        <v>0</v>
      </c>
      <c r="AH94" s="29">
        <f t="shared" si="55"/>
        <v>0</v>
      </c>
      <c r="AI94" s="29">
        <f t="shared" si="56"/>
        <v>0</v>
      </c>
      <c r="AJ94" s="30" t="str">
        <f t="shared" si="57"/>
        <v xml:space="preserve"> </v>
      </c>
      <c r="AK94" s="30" t="str">
        <f t="shared" si="58"/>
        <v xml:space="preserve"> </v>
      </c>
      <c r="AL94" s="30" t="str">
        <f t="shared" si="59"/>
        <v xml:space="preserve"> </v>
      </c>
      <c r="AM94" s="32" t="str">
        <f t="shared" si="60"/>
        <v xml:space="preserve"> </v>
      </c>
      <c r="AN94" s="32" t="str">
        <f t="shared" si="61"/>
        <v xml:space="preserve"> </v>
      </c>
      <c r="AO94" s="32" t="str">
        <f t="shared" si="62"/>
        <v xml:space="preserve"> </v>
      </c>
      <c r="AP94" s="32" t="str">
        <f t="shared" si="63"/>
        <v xml:space="preserve"> </v>
      </c>
      <c r="AQ94" s="33">
        <f t="shared" si="64"/>
        <v>0</v>
      </c>
      <c r="AR94" s="27">
        <v>0.87</v>
      </c>
      <c r="AS94" s="30" t="str">
        <f t="shared" si="81"/>
        <v xml:space="preserve"> </v>
      </c>
      <c r="AT94" s="33">
        <f t="shared" si="82"/>
        <v>0</v>
      </c>
      <c r="AU94" s="32">
        <v>1</v>
      </c>
      <c r="AV94" s="33">
        <f t="shared" si="65"/>
        <v>0</v>
      </c>
      <c r="AW94" s="33">
        <f t="shared" si="66"/>
        <v>0</v>
      </c>
      <c r="AX94" s="30" t="str">
        <f t="shared" si="42"/>
        <v xml:space="preserve"> </v>
      </c>
      <c r="AY94" s="29">
        <f t="shared" si="67"/>
        <v>0</v>
      </c>
      <c r="AZ94" s="29">
        <f t="shared" si="68"/>
        <v>0</v>
      </c>
      <c r="BA94" s="30" t="str">
        <f t="shared" si="84"/>
        <v xml:space="preserve"> </v>
      </c>
      <c r="BB94" s="34">
        <f t="shared" si="69"/>
        <v>0</v>
      </c>
      <c r="BC94" s="35">
        <f t="shared" si="70"/>
        <v>0</v>
      </c>
      <c r="BD94" s="27">
        <v>1</v>
      </c>
      <c r="BE94" s="36">
        <f t="shared" si="71"/>
        <v>0</v>
      </c>
      <c r="BF94" s="36">
        <f t="shared" si="72"/>
        <v>0</v>
      </c>
      <c r="BG94" s="30" t="str">
        <f t="shared" si="73"/>
        <v xml:space="preserve"> </v>
      </c>
      <c r="BH94" s="33">
        <f t="shared" si="74"/>
        <v>0</v>
      </c>
      <c r="BI94" s="27">
        <v>1</v>
      </c>
      <c r="BJ94" s="36">
        <f t="shared" si="75"/>
        <v>0</v>
      </c>
      <c r="BK94" s="37">
        <f t="shared" si="76"/>
        <v>0</v>
      </c>
      <c r="BL94" s="30" t="str">
        <f t="shared" si="77"/>
        <v xml:space="preserve"> </v>
      </c>
      <c r="BM94" s="26">
        <f t="shared" si="78"/>
        <v>0</v>
      </c>
      <c r="BO94" s="50">
        <f t="shared" si="79"/>
        <v>0</v>
      </c>
      <c r="BP94" s="50">
        <f t="shared" si="80"/>
        <v>0</v>
      </c>
    </row>
    <row r="95" spans="1:68">
      <c r="A95" s="16" t="s">
        <v>156</v>
      </c>
      <c r="B95" s="1" t="s">
        <v>66</v>
      </c>
      <c r="C95" s="24">
        <v>0</v>
      </c>
      <c r="D95" s="24" t="s">
        <v>433</v>
      </c>
      <c r="E95" s="24">
        <v>10</v>
      </c>
      <c r="F95" s="24">
        <v>0</v>
      </c>
      <c r="G95" s="24" t="s">
        <v>67</v>
      </c>
      <c r="H95" s="24">
        <v>0</v>
      </c>
      <c r="I95" s="24">
        <v>0</v>
      </c>
      <c r="J95" s="24">
        <v>0</v>
      </c>
      <c r="K95" s="24">
        <v>0</v>
      </c>
      <c r="L95" s="24">
        <v>0</v>
      </c>
      <c r="M95" s="24">
        <v>0</v>
      </c>
      <c r="N95" s="24">
        <v>0</v>
      </c>
      <c r="O95" s="24">
        <v>0</v>
      </c>
      <c r="P95" s="24">
        <v>0</v>
      </c>
      <c r="Q95" s="24">
        <v>0</v>
      </c>
      <c r="R95" s="24">
        <v>0</v>
      </c>
      <c r="S95" s="24">
        <v>0</v>
      </c>
      <c r="T95" s="28">
        <f t="shared" si="43"/>
        <v>0</v>
      </c>
      <c r="U95" s="28">
        <f t="shared" si="44"/>
        <v>0</v>
      </c>
      <c r="V95" s="29">
        <f>IF(O95&gt;0,((VLOOKUP(E95,ACs!G$4:P$53,7)*P95)+(VLOOKUP(E95,ACs!G$4:P$53,6)*(1-P95)))*O95*F95,0)</f>
        <v>0</v>
      </c>
      <c r="W95" s="29">
        <f>IF(E95&gt;0,VLOOKUP(E95,ACs!G$4:P$53,10)*Q95*F95,0)</f>
        <v>0</v>
      </c>
      <c r="X95" s="29">
        <f t="shared" si="45"/>
        <v>0</v>
      </c>
      <c r="Y95" s="29">
        <f t="shared" si="46"/>
        <v>0</v>
      </c>
      <c r="Z95" s="29">
        <f t="shared" si="47"/>
        <v>0</v>
      </c>
      <c r="AA95" s="29">
        <f t="shared" si="48"/>
        <v>0</v>
      </c>
      <c r="AB95" s="30" t="str">
        <f t="shared" si="49"/>
        <v xml:space="preserve"> </v>
      </c>
      <c r="AC95" s="30" t="str">
        <f t="shared" si="50"/>
        <v xml:space="preserve"> </v>
      </c>
      <c r="AD95" s="31" t="str">
        <f t="shared" si="51"/>
        <v xml:space="preserve"> </v>
      </c>
      <c r="AE95" s="29">
        <f t="shared" si="52"/>
        <v>0</v>
      </c>
      <c r="AF95" s="29">
        <f t="shared" si="53"/>
        <v>0</v>
      </c>
      <c r="AG95" s="29">
        <f t="shared" si="54"/>
        <v>0</v>
      </c>
      <c r="AH95" s="29">
        <f t="shared" si="55"/>
        <v>0</v>
      </c>
      <c r="AI95" s="29">
        <f t="shared" si="56"/>
        <v>0</v>
      </c>
      <c r="AJ95" s="30" t="str">
        <f t="shared" si="57"/>
        <v xml:space="preserve"> </v>
      </c>
      <c r="AK95" s="30" t="str">
        <f t="shared" si="58"/>
        <v xml:space="preserve"> </v>
      </c>
      <c r="AL95" s="30" t="str">
        <f t="shared" si="59"/>
        <v xml:space="preserve"> </v>
      </c>
      <c r="AM95" s="32" t="str">
        <f t="shared" si="60"/>
        <v xml:space="preserve"> </v>
      </c>
      <c r="AN95" s="32" t="str">
        <f t="shared" si="61"/>
        <v xml:space="preserve"> </v>
      </c>
      <c r="AO95" s="32" t="str">
        <f t="shared" si="62"/>
        <v xml:space="preserve"> </v>
      </c>
      <c r="AP95" s="32" t="str">
        <f t="shared" si="63"/>
        <v xml:space="preserve"> </v>
      </c>
      <c r="AQ95" s="33">
        <f t="shared" si="64"/>
        <v>0</v>
      </c>
      <c r="AR95" s="27">
        <v>0.87</v>
      </c>
      <c r="AS95" s="30" t="str">
        <f t="shared" si="81"/>
        <v xml:space="preserve"> </v>
      </c>
      <c r="AT95" s="33">
        <f t="shared" si="82"/>
        <v>0</v>
      </c>
      <c r="AU95" s="32">
        <v>1</v>
      </c>
      <c r="AV95" s="33">
        <f t="shared" si="65"/>
        <v>0</v>
      </c>
      <c r="AW95" s="33">
        <f t="shared" si="66"/>
        <v>0</v>
      </c>
      <c r="AX95" s="30" t="str">
        <f t="shared" si="42"/>
        <v xml:space="preserve"> </v>
      </c>
      <c r="AY95" s="29">
        <f t="shared" si="67"/>
        <v>0</v>
      </c>
      <c r="AZ95" s="29">
        <f t="shared" si="68"/>
        <v>0</v>
      </c>
      <c r="BA95" s="30" t="str">
        <f t="shared" si="84"/>
        <v xml:space="preserve"> </v>
      </c>
      <c r="BB95" s="34">
        <f t="shared" si="69"/>
        <v>0</v>
      </c>
      <c r="BC95" s="35">
        <f t="shared" si="70"/>
        <v>0</v>
      </c>
      <c r="BD95" s="27">
        <v>1</v>
      </c>
      <c r="BE95" s="36">
        <f t="shared" si="71"/>
        <v>0</v>
      </c>
      <c r="BF95" s="36">
        <f t="shared" si="72"/>
        <v>0</v>
      </c>
      <c r="BG95" s="30" t="str">
        <f t="shared" si="73"/>
        <v xml:space="preserve"> </v>
      </c>
      <c r="BH95" s="33">
        <f t="shared" si="74"/>
        <v>0</v>
      </c>
      <c r="BI95" s="27">
        <v>1</v>
      </c>
      <c r="BJ95" s="36">
        <f t="shared" si="75"/>
        <v>0</v>
      </c>
      <c r="BK95" s="37">
        <f t="shared" si="76"/>
        <v>0</v>
      </c>
      <c r="BL95" s="30" t="str">
        <f t="shared" si="77"/>
        <v xml:space="preserve"> </v>
      </c>
      <c r="BM95" s="26">
        <f t="shared" si="78"/>
        <v>0</v>
      </c>
      <c r="BO95" s="50">
        <f t="shared" si="79"/>
        <v>0</v>
      </c>
      <c r="BP95" s="50">
        <f t="shared" si="80"/>
        <v>0</v>
      </c>
    </row>
    <row r="96" spans="1:68">
      <c r="A96" s="16" t="s">
        <v>157</v>
      </c>
      <c r="B96" s="1" t="s">
        <v>66</v>
      </c>
      <c r="C96" s="24">
        <v>0</v>
      </c>
      <c r="D96" s="24" t="s">
        <v>433</v>
      </c>
      <c r="E96" s="24">
        <v>10</v>
      </c>
      <c r="F96" s="24">
        <v>0</v>
      </c>
      <c r="G96" s="24" t="s">
        <v>67</v>
      </c>
      <c r="H96" s="24">
        <v>0</v>
      </c>
      <c r="I96" s="24">
        <v>0</v>
      </c>
      <c r="J96" s="24">
        <v>0</v>
      </c>
      <c r="K96" s="24">
        <v>0</v>
      </c>
      <c r="L96" s="24">
        <v>0</v>
      </c>
      <c r="M96" s="24">
        <v>0</v>
      </c>
      <c r="N96" s="24">
        <v>0</v>
      </c>
      <c r="O96" s="24">
        <v>0</v>
      </c>
      <c r="P96" s="24">
        <v>0</v>
      </c>
      <c r="Q96" s="24">
        <v>0</v>
      </c>
      <c r="R96" s="24">
        <v>0</v>
      </c>
      <c r="S96" s="24">
        <v>0</v>
      </c>
      <c r="T96" s="28">
        <f t="shared" si="43"/>
        <v>0</v>
      </c>
      <c r="U96" s="28">
        <f t="shared" si="44"/>
        <v>0</v>
      </c>
      <c r="V96" s="29">
        <f>IF(O96&gt;0,((VLOOKUP(E96,ACs!G$4:P$53,7)*P96)+(VLOOKUP(E96,ACs!G$4:P$53,6)*(1-P96)))*O96*F96,0)</f>
        <v>0</v>
      </c>
      <c r="W96" s="29">
        <f>IF(E96&gt;0,VLOOKUP(E96,ACs!G$4:P$53,10)*Q96*F96,0)</f>
        <v>0</v>
      </c>
      <c r="X96" s="29">
        <f t="shared" si="45"/>
        <v>0</v>
      </c>
      <c r="Y96" s="29">
        <f t="shared" si="46"/>
        <v>0</v>
      </c>
      <c r="Z96" s="29">
        <f t="shared" si="47"/>
        <v>0</v>
      </c>
      <c r="AA96" s="29">
        <f t="shared" si="48"/>
        <v>0</v>
      </c>
      <c r="AB96" s="30" t="str">
        <f t="shared" si="49"/>
        <v xml:space="preserve"> </v>
      </c>
      <c r="AC96" s="30" t="str">
        <f t="shared" si="50"/>
        <v xml:space="preserve"> </v>
      </c>
      <c r="AD96" s="31" t="str">
        <f t="shared" si="51"/>
        <v xml:space="preserve"> </v>
      </c>
      <c r="AE96" s="29">
        <f t="shared" si="52"/>
        <v>0</v>
      </c>
      <c r="AF96" s="29">
        <f t="shared" si="53"/>
        <v>0</v>
      </c>
      <c r="AG96" s="29">
        <f t="shared" si="54"/>
        <v>0</v>
      </c>
      <c r="AH96" s="29">
        <f t="shared" si="55"/>
        <v>0</v>
      </c>
      <c r="AI96" s="29">
        <f t="shared" si="56"/>
        <v>0</v>
      </c>
      <c r="AJ96" s="30" t="str">
        <f t="shared" si="57"/>
        <v xml:space="preserve"> </v>
      </c>
      <c r="AK96" s="30" t="str">
        <f t="shared" si="58"/>
        <v xml:space="preserve"> </v>
      </c>
      <c r="AL96" s="30" t="str">
        <f t="shared" si="59"/>
        <v xml:space="preserve"> </v>
      </c>
      <c r="AM96" s="32" t="str">
        <f t="shared" si="60"/>
        <v xml:space="preserve"> </v>
      </c>
      <c r="AN96" s="32" t="str">
        <f t="shared" si="61"/>
        <v xml:space="preserve"> </v>
      </c>
      <c r="AO96" s="32" t="str">
        <f t="shared" si="62"/>
        <v xml:space="preserve"> </v>
      </c>
      <c r="AP96" s="32" t="str">
        <f t="shared" si="63"/>
        <v xml:space="preserve"> </v>
      </c>
      <c r="AQ96" s="33">
        <f t="shared" si="64"/>
        <v>0</v>
      </c>
      <c r="AR96" s="27">
        <v>0.87</v>
      </c>
      <c r="AS96" s="30" t="str">
        <f t="shared" si="81"/>
        <v xml:space="preserve"> </v>
      </c>
      <c r="AT96" s="33">
        <f t="shared" si="82"/>
        <v>0</v>
      </c>
      <c r="AU96" s="32">
        <v>1</v>
      </c>
      <c r="AV96" s="33">
        <f t="shared" si="65"/>
        <v>0</v>
      </c>
      <c r="AW96" s="33">
        <f t="shared" si="66"/>
        <v>0</v>
      </c>
      <c r="AX96" s="30" t="str">
        <f t="shared" si="42"/>
        <v xml:space="preserve"> </v>
      </c>
      <c r="AY96" s="29">
        <f t="shared" si="67"/>
        <v>0</v>
      </c>
      <c r="AZ96" s="29">
        <f t="shared" si="68"/>
        <v>0</v>
      </c>
      <c r="BA96" s="30" t="str">
        <f t="shared" si="84"/>
        <v xml:space="preserve"> </v>
      </c>
      <c r="BB96" s="34">
        <f t="shared" si="69"/>
        <v>0</v>
      </c>
      <c r="BC96" s="35">
        <f t="shared" si="70"/>
        <v>0</v>
      </c>
      <c r="BD96" s="27">
        <v>1</v>
      </c>
      <c r="BE96" s="36">
        <f t="shared" si="71"/>
        <v>0</v>
      </c>
      <c r="BF96" s="36">
        <f t="shared" si="72"/>
        <v>0</v>
      </c>
      <c r="BG96" s="30" t="str">
        <f t="shared" si="73"/>
        <v xml:space="preserve"> </v>
      </c>
      <c r="BH96" s="33">
        <f t="shared" si="74"/>
        <v>0</v>
      </c>
      <c r="BI96" s="27">
        <v>1</v>
      </c>
      <c r="BJ96" s="36">
        <f t="shared" si="75"/>
        <v>0</v>
      </c>
      <c r="BK96" s="37">
        <f t="shared" si="76"/>
        <v>0</v>
      </c>
      <c r="BL96" s="30" t="str">
        <f t="shared" si="77"/>
        <v xml:space="preserve"> </v>
      </c>
      <c r="BM96" s="26">
        <f t="shared" si="78"/>
        <v>0</v>
      </c>
      <c r="BO96" s="50">
        <f t="shared" si="79"/>
        <v>0</v>
      </c>
      <c r="BP96" s="50">
        <f t="shared" si="80"/>
        <v>0</v>
      </c>
    </row>
    <row r="97" spans="1:68">
      <c r="A97" s="16" t="s">
        <v>158</v>
      </c>
      <c r="B97" s="1" t="s">
        <v>66</v>
      </c>
      <c r="C97" s="24">
        <v>0</v>
      </c>
      <c r="D97" s="24" t="s">
        <v>433</v>
      </c>
      <c r="E97" s="24">
        <v>10</v>
      </c>
      <c r="F97" s="24">
        <v>0</v>
      </c>
      <c r="G97" s="24" t="s">
        <v>67</v>
      </c>
      <c r="H97" s="24">
        <v>0</v>
      </c>
      <c r="I97" s="24">
        <v>0</v>
      </c>
      <c r="J97" s="24">
        <v>0</v>
      </c>
      <c r="K97" s="24">
        <v>0</v>
      </c>
      <c r="L97" s="24">
        <v>0</v>
      </c>
      <c r="M97" s="24">
        <v>0</v>
      </c>
      <c r="N97" s="24">
        <v>0</v>
      </c>
      <c r="O97" s="24">
        <v>0</v>
      </c>
      <c r="P97" s="24">
        <v>0</v>
      </c>
      <c r="Q97" s="24">
        <v>0</v>
      </c>
      <c r="R97" s="24">
        <v>0</v>
      </c>
      <c r="S97" s="24">
        <v>0</v>
      </c>
      <c r="T97" s="28">
        <f t="shared" si="43"/>
        <v>0</v>
      </c>
      <c r="U97" s="28">
        <f t="shared" si="44"/>
        <v>0</v>
      </c>
      <c r="V97" s="29">
        <f>IF(O97&gt;0,((VLOOKUP(E97,ACs!G$4:P$53,7)*P97)+(VLOOKUP(E97,ACs!G$4:P$53,6)*(1-P97)))*O97*F97,0)</f>
        <v>0</v>
      </c>
      <c r="W97" s="29">
        <f>IF(E97&gt;0,VLOOKUP(E97,ACs!G$4:P$53,10)*Q97*F97,0)</f>
        <v>0</v>
      </c>
      <c r="X97" s="29">
        <f t="shared" si="45"/>
        <v>0</v>
      </c>
      <c r="Y97" s="29">
        <f t="shared" si="46"/>
        <v>0</v>
      </c>
      <c r="Z97" s="29">
        <f t="shared" si="47"/>
        <v>0</v>
      </c>
      <c r="AA97" s="29">
        <f t="shared" si="48"/>
        <v>0</v>
      </c>
      <c r="AB97" s="30" t="str">
        <f t="shared" si="49"/>
        <v xml:space="preserve"> </v>
      </c>
      <c r="AC97" s="30" t="str">
        <f t="shared" si="50"/>
        <v xml:space="preserve"> </v>
      </c>
      <c r="AD97" s="31" t="str">
        <f t="shared" si="51"/>
        <v xml:space="preserve"> </v>
      </c>
      <c r="AE97" s="29">
        <f t="shared" si="52"/>
        <v>0</v>
      </c>
      <c r="AF97" s="29">
        <f t="shared" si="53"/>
        <v>0</v>
      </c>
      <c r="AG97" s="29">
        <f t="shared" si="54"/>
        <v>0</v>
      </c>
      <c r="AH97" s="29">
        <f t="shared" si="55"/>
        <v>0</v>
      </c>
      <c r="AI97" s="29">
        <f t="shared" si="56"/>
        <v>0</v>
      </c>
      <c r="AJ97" s="30" t="str">
        <f t="shared" si="57"/>
        <v xml:space="preserve"> </v>
      </c>
      <c r="AK97" s="30" t="str">
        <f t="shared" si="58"/>
        <v xml:space="preserve"> </v>
      </c>
      <c r="AL97" s="30" t="str">
        <f t="shared" si="59"/>
        <v xml:space="preserve"> </v>
      </c>
      <c r="AM97" s="32" t="str">
        <f t="shared" si="60"/>
        <v xml:space="preserve"> </v>
      </c>
      <c r="AN97" s="32" t="str">
        <f t="shared" si="61"/>
        <v xml:space="preserve"> </v>
      </c>
      <c r="AO97" s="32" t="str">
        <f t="shared" si="62"/>
        <v xml:space="preserve"> </v>
      </c>
      <c r="AP97" s="32" t="str">
        <f t="shared" si="63"/>
        <v xml:space="preserve"> </v>
      </c>
      <c r="AQ97" s="33">
        <f t="shared" si="64"/>
        <v>0</v>
      </c>
      <c r="AR97" s="27">
        <v>0.87</v>
      </c>
      <c r="AS97" s="30" t="str">
        <f t="shared" si="81"/>
        <v xml:space="preserve"> </v>
      </c>
      <c r="AT97" s="33">
        <f t="shared" si="82"/>
        <v>0</v>
      </c>
      <c r="AU97" s="32">
        <v>1</v>
      </c>
      <c r="AV97" s="33">
        <f t="shared" si="65"/>
        <v>0</v>
      </c>
      <c r="AW97" s="33">
        <f t="shared" si="66"/>
        <v>0</v>
      </c>
      <c r="AX97" s="30" t="str">
        <f t="shared" si="42"/>
        <v xml:space="preserve"> </v>
      </c>
      <c r="AY97" s="29">
        <f t="shared" si="67"/>
        <v>0</v>
      </c>
      <c r="AZ97" s="29">
        <f t="shared" si="68"/>
        <v>0</v>
      </c>
      <c r="BA97" s="30" t="str">
        <f t="shared" si="84"/>
        <v xml:space="preserve"> </v>
      </c>
      <c r="BB97" s="34">
        <f t="shared" si="69"/>
        <v>0</v>
      </c>
      <c r="BC97" s="35">
        <f t="shared" si="70"/>
        <v>0</v>
      </c>
      <c r="BD97" s="27">
        <v>1</v>
      </c>
      <c r="BE97" s="36">
        <f t="shared" si="71"/>
        <v>0</v>
      </c>
      <c r="BF97" s="36">
        <f t="shared" si="72"/>
        <v>0</v>
      </c>
      <c r="BG97" s="30" t="str">
        <f t="shared" si="73"/>
        <v xml:space="preserve"> </v>
      </c>
      <c r="BH97" s="33">
        <f t="shared" si="74"/>
        <v>0</v>
      </c>
      <c r="BI97" s="27">
        <v>1</v>
      </c>
      <c r="BJ97" s="36">
        <f t="shared" si="75"/>
        <v>0</v>
      </c>
      <c r="BK97" s="37">
        <f t="shared" si="76"/>
        <v>0</v>
      </c>
      <c r="BL97" s="30" t="str">
        <f t="shared" si="77"/>
        <v xml:space="preserve"> </v>
      </c>
      <c r="BM97" s="26">
        <f t="shared" si="78"/>
        <v>0</v>
      </c>
      <c r="BO97" s="50">
        <f t="shared" si="79"/>
        <v>0</v>
      </c>
      <c r="BP97" s="50">
        <f t="shared" si="80"/>
        <v>0</v>
      </c>
    </row>
    <row r="98" spans="1:68">
      <c r="A98" s="16" t="s">
        <v>159</v>
      </c>
      <c r="B98" s="1" t="s">
        <v>66</v>
      </c>
      <c r="C98" s="24">
        <v>0</v>
      </c>
      <c r="D98" s="24" t="s">
        <v>433</v>
      </c>
      <c r="E98" s="24">
        <v>10</v>
      </c>
      <c r="F98" s="24">
        <v>0</v>
      </c>
      <c r="G98" s="24" t="s">
        <v>67</v>
      </c>
      <c r="H98" s="24">
        <v>0</v>
      </c>
      <c r="I98" s="24">
        <v>0</v>
      </c>
      <c r="J98" s="24">
        <v>0</v>
      </c>
      <c r="K98" s="24">
        <v>0</v>
      </c>
      <c r="L98" s="24">
        <v>0</v>
      </c>
      <c r="M98" s="24">
        <v>0</v>
      </c>
      <c r="N98" s="24">
        <v>0</v>
      </c>
      <c r="O98" s="24">
        <v>0</v>
      </c>
      <c r="P98" s="24">
        <v>0</v>
      </c>
      <c r="Q98" s="24">
        <v>0</v>
      </c>
      <c r="R98" s="24">
        <v>0</v>
      </c>
      <c r="S98" s="24">
        <v>0</v>
      </c>
      <c r="T98" s="28">
        <f t="shared" si="43"/>
        <v>0</v>
      </c>
      <c r="U98" s="28">
        <f t="shared" si="44"/>
        <v>0</v>
      </c>
      <c r="V98" s="29">
        <f>IF(O98&gt;0,((VLOOKUP(E98,ACs!G$4:P$53,7)*P98)+(VLOOKUP(E98,ACs!G$4:P$53,6)*(1-P98)))*O98*F98,0)</f>
        <v>0</v>
      </c>
      <c r="W98" s="29">
        <f>IF(E98&gt;0,VLOOKUP(E98,ACs!G$4:P$53,10)*Q98*F98,0)</f>
        <v>0</v>
      </c>
      <c r="X98" s="29">
        <f t="shared" si="45"/>
        <v>0</v>
      </c>
      <c r="Y98" s="29">
        <f t="shared" si="46"/>
        <v>0</v>
      </c>
      <c r="Z98" s="29">
        <f t="shared" si="47"/>
        <v>0</v>
      </c>
      <c r="AA98" s="29">
        <f t="shared" si="48"/>
        <v>0</v>
      </c>
      <c r="AB98" s="30" t="str">
        <f t="shared" si="49"/>
        <v xml:space="preserve"> </v>
      </c>
      <c r="AC98" s="30" t="str">
        <f t="shared" si="50"/>
        <v xml:space="preserve"> </v>
      </c>
      <c r="AD98" s="31" t="str">
        <f t="shared" si="51"/>
        <v xml:space="preserve"> </v>
      </c>
      <c r="AE98" s="29">
        <f t="shared" si="52"/>
        <v>0</v>
      </c>
      <c r="AF98" s="29">
        <f t="shared" si="53"/>
        <v>0</v>
      </c>
      <c r="AG98" s="29">
        <f t="shared" si="54"/>
        <v>0</v>
      </c>
      <c r="AH98" s="29">
        <f t="shared" si="55"/>
        <v>0</v>
      </c>
      <c r="AI98" s="29">
        <f t="shared" si="56"/>
        <v>0</v>
      </c>
      <c r="AJ98" s="30" t="str">
        <f t="shared" si="57"/>
        <v xml:space="preserve"> </v>
      </c>
      <c r="AK98" s="30" t="str">
        <f t="shared" si="58"/>
        <v xml:space="preserve"> </v>
      </c>
      <c r="AL98" s="30" t="str">
        <f t="shared" si="59"/>
        <v xml:space="preserve"> </v>
      </c>
      <c r="AM98" s="32" t="str">
        <f t="shared" si="60"/>
        <v xml:space="preserve"> </v>
      </c>
      <c r="AN98" s="32" t="str">
        <f t="shared" si="61"/>
        <v xml:space="preserve"> </v>
      </c>
      <c r="AO98" s="32" t="str">
        <f t="shared" si="62"/>
        <v xml:space="preserve"> </v>
      </c>
      <c r="AP98" s="32" t="str">
        <f t="shared" si="63"/>
        <v xml:space="preserve"> </v>
      </c>
      <c r="AQ98" s="33">
        <f t="shared" si="64"/>
        <v>0</v>
      </c>
      <c r="AR98" s="27">
        <v>0.87</v>
      </c>
      <c r="AS98" s="30" t="str">
        <f t="shared" si="81"/>
        <v xml:space="preserve"> </v>
      </c>
      <c r="AT98" s="33">
        <f t="shared" si="82"/>
        <v>0</v>
      </c>
      <c r="AU98" s="32">
        <v>1</v>
      </c>
      <c r="AV98" s="33">
        <f t="shared" si="65"/>
        <v>0</v>
      </c>
      <c r="AW98" s="33">
        <f t="shared" si="66"/>
        <v>0</v>
      </c>
      <c r="AX98" s="30" t="str">
        <f t="shared" si="42"/>
        <v xml:space="preserve"> </v>
      </c>
      <c r="AY98" s="29">
        <f t="shared" si="67"/>
        <v>0</v>
      </c>
      <c r="AZ98" s="29">
        <f t="shared" si="68"/>
        <v>0</v>
      </c>
      <c r="BA98" s="30" t="str">
        <f t="shared" si="84"/>
        <v xml:space="preserve"> </v>
      </c>
      <c r="BB98" s="34">
        <f t="shared" si="69"/>
        <v>0</v>
      </c>
      <c r="BC98" s="35">
        <f t="shared" si="70"/>
        <v>0</v>
      </c>
      <c r="BD98" s="27">
        <v>1</v>
      </c>
      <c r="BE98" s="36">
        <f t="shared" si="71"/>
        <v>0</v>
      </c>
      <c r="BF98" s="36">
        <f t="shared" si="72"/>
        <v>0</v>
      </c>
      <c r="BG98" s="30" t="str">
        <f t="shared" si="73"/>
        <v xml:space="preserve"> </v>
      </c>
      <c r="BH98" s="33">
        <f t="shared" si="74"/>
        <v>0</v>
      </c>
      <c r="BI98" s="27">
        <v>1</v>
      </c>
      <c r="BJ98" s="36">
        <f t="shared" si="75"/>
        <v>0</v>
      </c>
      <c r="BK98" s="37">
        <f t="shared" si="76"/>
        <v>0</v>
      </c>
      <c r="BL98" s="30" t="str">
        <f t="shared" si="77"/>
        <v xml:space="preserve"> </v>
      </c>
      <c r="BM98" s="26">
        <f t="shared" si="78"/>
        <v>0</v>
      </c>
      <c r="BO98" s="50">
        <f t="shared" si="79"/>
        <v>0</v>
      </c>
      <c r="BP98" s="50">
        <f t="shared" si="80"/>
        <v>0</v>
      </c>
    </row>
    <row r="99" spans="1:68">
      <c r="A99" s="16" t="s">
        <v>160</v>
      </c>
      <c r="B99" s="1" t="s">
        <v>66</v>
      </c>
      <c r="C99" s="24">
        <v>0</v>
      </c>
      <c r="D99" s="24" t="s">
        <v>433</v>
      </c>
      <c r="E99" s="24">
        <v>10</v>
      </c>
      <c r="F99" s="24">
        <v>0</v>
      </c>
      <c r="G99" s="24" t="s">
        <v>67</v>
      </c>
      <c r="H99" s="24">
        <v>0</v>
      </c>
      <c r="I99" s="24">
        <v>0</v>
      </c>
      <c r="J99" s="24">
        <v>0</v>
      </c>
      <c r="K99" s="24">
        <v>0</v>
      </c>
      <c r="L99" s="24">
        <v>0</v>
      </c>
      <c r="M99" s="24">
        <v>0</v>
      </c>
      <c r="N99" s="24">
        <v>0</v>
      </c>
      <c r="O99" s="24">
        <v>0</v>
      </c>
      <c r="P99" s="24">
        <v>0</v>
      </c>
      <c r="Q99" s="24">
        <v>0</v>
      </c>
      <c r="R99" s="24">
        <v>0</v>
      </c>
      <c r="S99" s="24">
        <v>0</v>
      </c>
      <c r="T99" s="28">
        <f t="shared" si="43"/>
        <v>0</v>
      </c>
      <c r="U99" s="28">
        <f t="shared" si="44"/>
        <v>0</v>
      </c>
      <c r="V99" s="29">
        <f>IF(O99&gt;0,((VLOOKUP(E99,ACs!G$4:P$53,7)*P99)+(VLOOKUP(E99,ACs!G$4:P$53,6)*(1-P99)))*O99*F99,0)</f>
        <v>0</v>
      </c>
      <c r="W99" s="29">
        <f>IF(E99&gt;0,VLOOKUP(E99,ACs!G$4:P$53,10)*Q99*F99,0)</f>
        <v>0</v>
      </c>
      <c r="X99" s="29">
        <f t="shared" si="45"/>
        <v>0</v>
      </c>
      <c r="Y99" s="29">
        <f t="shared" si="46"/>
        <v>0</v>
      </c>
      <c r="Z99" s="29">
        <f t="shared" si="47"/>
        <v>0</v>
      </c>
      <c r="AA99" s="29">
        <f t="shared" si="48"/>
        <v>0</v>
      </c>
      <c r="AB99" s="30" t="str">
        <f t="shared" si="49"/>
        <v xml:space="preserve"> </v>
      </c>
      <c r="AC99" s="30" t="str">
        <f t="shared" si="50"/>
        <v xml:space="preserve"> </v>
      </c>
      <c r="AD99" s="31" t="str">
        <f t="shared" si="51"/>
        <v xml:space="preserve"> </v>
      </c>
      <c r="AE99" s="29">
        <f t="shared" si="52"/>
        <v>0</v>
      </c>
      <c r="AF99" s="29">
        <f t="shared" si="53"/>
        <v>0</v>
      </c>
      <c r="AG99" s="29">
        <f t="shared" si="54"/>
        <v>0</v>
      </c>
      <c r="AH99" s="29">
        <f t="shared" si="55"/>
        <v>0</v>
      </c>
      <c r="AI99" s="29">
        <f t="shared" si="56"/>
        <v>0</v>
      </c>
      <c r="AJ99" s="30" t="str">
        <f t="shared" si="57"/>
        <v xml:space="preserve"> </v>
      </c>
      <c r="AK99" s="30" t="str">
        <f t="shared" si="58"/>
        <v xml:space="preserve"> </v>
      </c>
      <c r="AL99" s="30" t="str">
        <f t="shared" si="59"/>
        <v xml:space="preserve"> </v>
      </c>
      <c r="AM99" s="32" t="str">
        <f t="shared" si="60"/>
        <v xml:space="preserve"> </v>
      </c>
      <c r="AN99" s="32" t="str">
        <f t="shared" si="61"/>
        <v xml:space="preserve"> </v>
      </c>
      <c r="AO99" s="32" t="str">
        <f t="shared" si="62"/>
        <v xml:space="preserve"> </v>
      </c>
      <c r="AP99" s="32" t="str">
        <f t="shared" si="63"/>
        <v xml:space="preserve"> </v>
      </c>
      <c r="AQ99" s="33">
        <f t="shared" si="64"/>
        <v>0</v>
      </c>
      <c r="AR99" s="27">
        <v>0.87</v>
      </c>
      <c r="AS99" s="30" t="str">
        <f t="shared" si="81"/>
        <v xml:space="preserve"> </v>
      </c>
      <c r="AT99" s="33">
        <f t="shared" si="82"/>
        <v>0</v>
      </c>
      <c r="AU99" s="32">
        <v>1</v>
      </c>
      <c r="AV99" s="33">
        <f t="shared" si="65"/>
        <v>0</v>
      </c>
      <c r="AW99" s="33">
        <f t="shared" si="66"/>
        <v>0</v>
      </c>
      <c r="AX99" s="30" t="str">
        <f t="shared" si="42"/>
        <v xml:space="preserve"> </v>
      </c>
      <c r="AY99" s="29">
        <f t="shared" si="67"/>
        <v>0</v>
      </c>
      <c r="AZ99" s="29">
        <f t="shared" si="68"/>
        <v>0</v>
      </c>
      <c r="BA99" s="30" t="str">
        <f t="shared" si="84"/>
        <v xml:space="preserve"> </v>
      </c>
      <c r="BB99" s="34">
        <f t="shared" si="69"/>
        <v>0</v>
      </c>
      <c r="BC99" s="35">
        <f t="shared" si="70"/>
        <v>0</v>
      </c>
      <c r="BD99" s="27">
        <v>1</v>
      </c>
      <c r="BE99" s="36">
        <f t="shared" si="71"/>
        <v>0</v>
      </c>
      <c r="BF99" s="36">
        <f t="shared" si="72"/>
        <v>0</v>
      </c>
      <c r="BG99" s="30" t="str">
        <f t="shared" si="73"/>
        <v xml:space="preserve"> </v>
      </c>
      <c r="BH99" s="33">
        <f t="shared" si="74"/>
        <v>0</v>
      </c>
      <c r="BI99" s="27">
        <v>1</v>
      </c>
      <c r="BJ99" s="36">
        <f t="shared" si="75"/>
        <v>0</v>
      </c>
      <c r="BK99" s="37">
        <f t="shared" si="76"/>
        <v>0</v>
      </c>
      <c r="BL99" s="30" t="str">
        <f t="shared" si="77"/>
        <v xml:space="preserve"> </v>
      </c>
      <c r="BM99" s="26">
        <f t="shared" si="78"/>
        <v>0</v>
      </c>
      <c r="BO99" s="50">
        <f t="shared" si="79"/>
        <v>0</v>
      </c>
      <c r="BP99" s="50">
        <f t="shared" si="80"/>
        <v>0</v>
      </c>
    </row>
    <row r="100" spans="1:68">
      <c r="A100" s="16" t="s">
        <v>161</v>
      </c>
      <c r="B100" s="1" t="s">
        <v>66</v>
      </c>
      <c r="C100" s="24">
        <v>0</v>
      </c>
      <c r="D100" s="24" t="s">
        <v>433</v>
      </c>
      <c r="E100" s="24">
        <v>10</v>
      </c>
      <c r="F100" s="24">
        <v>0</v>
      </c>
      <c r="G100" s="24" t="s">
        <v>67</v>
      </c>
      <c r="H100" s="24">
        <v>0</v>
      </c>
      <c r="I100" s="24">
        <v>0</v>
      </c>
      <c r="J100" s="24">
        <v>0</v>
      </c>
      <c r="K100" s="24">
        <v>0</v>
      </c>
      <c r="L100" s="24">
        <v>0</v>
      </c>
      <c r="M100" s="24">
        <v>0</v>
      </c>
      <c r="N100" s="24">
        <v>0</v>
      </c>
      <c r="O100" s="24">
        <v>0</v>
      </c>
      <c r="P100" s="24">
        <v>0</v>
      </c>
      <c r="Q100" s="24">
        <v>0</v>
      </c>
      <c r="R100" s="24">
        <v>0</v>
      </c>
      <c r="S100" s="24">
        <v>0</v>
      </c>
      <c r="T100" s="28">
        <f t="shared" si="43"/>
        <v>0</v>
      </c>
      <c r="U100" s="28">
        <f t="shared" si="44"/>
        <v>0</v>
      </c>
      <c r="V100" s="29">
        <f>IF(O100&gt;0,((VLOOKUP(E100,ACs!G$4:P$53,7)*P100)+(VLOOKUP(E100,ACs!G$4:P$53,6)*(1-P100)))*O100*F100,0)</f>
        <v>0</v>
      </c>
      <c r="W100" s="29">
        <f>IF(E100&gt;0,VLOOKUP(E100,ACs!G$4:P$53,10)*Q100*F100,0)</f>
        <v>0</v>
      </c>
      <c r="X100" s="29">
        <f t="shared" si="45"/>
        <v>0</v>
      </c>
      <c r="Y100" s="29">
        <f t="shared" si="46"/>
        <v>0</v>
      </c>
      <c r="Z100" s="29">
        <f t="shared" si="47"/>
        <v>0</v>
      </c>
      <c r="AA100" s="29">
        <f t="shared" si="48"/>
        <v>0</v>
      </c>
      <c r="AB100" s="30" t="str">
        <f t="shared" si="49"/>
        <v xml:space="preserve"> </v>
      </c>
      <c r="AC100" s="30" t="str">
        <f t="shared" si="50"/>
        <v xml:space="preserve"> </v>
      </c>
      <c r="AD100" s="31" t="str">
        <f t="shared" si="51"/>
        <v xml:space="preserve"> </v>
      </c>
      <c r="AE100" s="29">
        <f t="shared" si="52"/>
        <v>0</v>
      </c>
      <c r="AF100" s="29">
        <f t="shared" si="53"/>
        <v>0</v>
      </c>
      <c r="AG100" s="29">
        <f t="shared" si="54"/>
        <v>0</v>
      </c>
      <c r="AH100" s="29">
        <f t="shared" si="55"/>
        <v>0</v>
      </c>
      <c r="AI100" s="29">
        <f t="shared" si="56"/>
        <v>0</v>
      </c>
      <c r="AJ100" s="30" t="str">
        <f t="shared" si="57"/>
        <v xml:space="preserve"> </v>
      </c>
      <c r="AK100" s="30" t="str">
        <f t="shared" si="58"/>
        <v xml:space="preserve"> </v>
      </c>
      <c r="AL100" s="30" t="str">
        <f t="shared" si="59"/>
        <v xml:space="preserve"> </v>
      </c>
      <c r="AM100" s="32" t="str">
        <f t="shared" si="60"/>
        <v xml:space="preserve"> </v>
      </c>
      <c r="AN100" s="32" t="str">
        <f t="shared" si="61"/>
        <v xml:space="preserve"> </v>
      </c>
      <c r="AO100" s="32" t="str">
        <f t="shared" si="62"/>
        <v xml:space="preserve"> </v>
      </c>
      <c r="AP100" s="32" t="str">
        <f t="shared" si="63"/>
        <v xml:space="preserve"> </v>
      </c>
      <c r="AQ100" s="33">
        <f t="shared" si="64"/>
        <v>0</v>
      </c>
      <c r="AR100" s="27">
        <v>0.87</v>
      </c>
      <c r="AS100" s="30" t="str">
        <f t="shared" si="81"/>
        <v xml:space="preserve"> </v>
      </c>
      <c r="AT100" s="33">
        <f t="shared" si="82"/>
        <v>0</v>
      </c>
      <c r="AU100" s="32">
        <v>1</v>
      </c>
      <c r="AV100" s="33">
        <f t="shared" si="65"/>
        <v>0</v>
      </c>
      <c r="AW100" s="33">
        <f t="shared" si="66"/>
        <v>0</v>
      </c>
      <c r="AX100" s="30" t="str">
        <f t="shared" si="42"/>
        <v xml:space="preserve"> </v>
      </c>
      <c r="AY100" s="29">
        <f t="shared" si="67"/>
        <v>0</v>
      </c>
      <c r="AZ100" s="29">
        <f t="shared" si="68"/>
        <v>0</v>
      </c>
      <c r="BA100" s="30" t="str">
        <f t="shared" si="84"/>
        <v xml:space="preserve"> </v>
      </c>
      <c r="BB100" s="34">
        <f t="shared" si="69"/>
        <v>0</v>
      </c>
      <c r="BC100" s="35">
        <f t="shared" si="70"/>
        <v>0</v>
      </c>
      <c r="BD100" s="27">
        <v>1</v>
      </c>
      <c r="BE100" s="36">
        <f t="shared" si="71"/>
        <v>0</v>
      </c>
      <c r="BF100" s="36">
        <f t="shared" si="72"/>
        <v>0</v>
      </c>
      <c r="BG100" s="30" t="str">
        <f t="shared" si="73"/>
        <v xml:space="preserve"> </v>
      </c>
      <c r="BH100" s="33">
        <f t="shared" si="74"/>
        <v>0</v>
      </c>
      <c r="BI100" s="27">
        <v>1</v>
      </c>
      <c r="BJ100" s="36">
        <f t="shared" si="75"/>
        <v>0</v>
      </c>
      <c r="BK100" s="37">
        <f t="shared" si="76"/>
        <v>0</v>
      </c>
      <c r="BL100" s="30" t="str">
        <f t="shared" si="77"/>
        <v xml:space="preserve"> </v>
      </c>
      <c r="BM100" s="26">
        <f t="shared" si="78"/>
        <v>0</v>
      </c>
      <c r="BO100" s="50">
        <f t="shared" si="79"/>
        <v>0</v>
      </c>
      <c r="BP100" s="50">
        <f t="shared" si="80"/>
        <v>0</v>
      </c>
    </row>
    <row r="101" spans="1:68">
      <c r="A101" s="16" t="s">
        <v>162</v>
      </c>
      <c r="B101" s="1" t="s">
        <v>66</v>
      </c>
      <c r="C101" s="24">
        <v>0</v>
      </c>
      <c r="D101" s="24" t="s">
        <v>433</v>
      </c>
      <c r="E101" s="24">
        <v>10</v>
      </c>
      <c r="F101" s="24">
        <v>0</v>
      </c>
      <c r="G101" s="24" t="s">
        <v>67</v>
      </c>
      <c r="H101" s="24">
        <v>0</v>
      </c>
      <c r="I101" s="24">
        <v>0</v>
      </c>
      <c r="J101" s="24">
        <v>0</v>
      </c>
      <c r="K101" s="24">
        <v>0</v>
      </c>
      <c r="L101" s="24">
        <v>0</v>
      </c>
      <c r="M101" s="24">
        <v>0</v>
      </c>
      <c r="N101" s="24">
        <v>0</v>
      </c>
      <c r="O101" s="24">
        <v>0</v>
      </c>
      <c r="P101" s="24">
        <v>0</v>
      </c>
      <c r="Q101" s="24">
        <v>0</v>
      </c>
      <c r="R101" s="24">
        <v>0</v>
      </c>
      <c r="S101" s="24">
        <v>0</v>
      </c>
      <c r="T101" s="28">
        <f t="shared" si="43"/>
        <v>0</v>
      </c>
      <c r="U101" s="28">
        <f t="shared" si="44"/>
        <v>0</v>
      </c>
      <c r="V101" s="29">
        <f>IF(O101&gt;0,((VLOOKUP(E101,ACs!G$4:P$53,7)*P101)+(VLOOKUP(E101,ACs!G$4:P$53,6)*(1-P101)))*O101*F101,0)</f>
        <v>0</v>
      </c>
      <c r="W101" s="29">
        <f>IF(E101&gt;0,VLOOKUP(E101,ACs!G$4:P$53,10)*Q101*F101,0)</f>
        <v>0</v>
      </c>
      <c r="X101" s="29">
        <f t="shared" si="45"/>
        <v>0</v>
      </c>
      <c r="Y101" s="29">
        <f t="shared" si="46"/>
        <v>0</v>
      </c>
      <c r="Z101" s="29">
        <f t="shared" ref="Z101:Z119" si="85">S101*F143</f>
        <v>0</v>
      </c>
      <c r="AA101" s="29">
        <f t="shared" si="48"/>
        <v>0</v>
      </c>
      <c r="AB101" s="30" t="str">
        <f t="shared" si="49"/>
        <v xml:space="preserve"> </v>
      </c>
      <c r="AC101" s="30" t="str">
        <f t="shared" si="50"/>
        <v xml:space="preserve"> </v>
      </c>
      <c r="AD101" s="31" t="str">
        <f t="shared" si="51"/>
        <v xml:space="preserve"> </v>
      </c>
      <c r="AE101" s="29">
        <f t="shared" si="52"/>
        <v>0</v>
      </c>
      <c r="AF101" s="29">
        <f t="shared" si="53"/>
        <v>0</v>
      </c>
      <c r="AG101" s="29">
        <f t="shared" si="54"/>
        <v>0</v>
      </c>
      <c r="AH101" s="29">
        <f t="shared" si="55"/>
        <v>0</v>
      </c>
      <c r="AI101" s="29">
        <f t="shared" si="56"/>
        <v>0</v>
      </c>
      <c r="AJ101" s="30" t="str">
        <f t="shared" si="57"/>
        <v xml:space="preserve"> </v>
      </c>
      <c r="AK101" s="30" t="str">
        <f t="shared" si="58"/>
        <v xml:space="preserve"> </v>
      </c>
      <c r="AL101" s="30" t="str">
        <f t="shared" si="59"/>
        <v xml:space="preserve"> </v>
      </c>
      <c r="AM101" s="32" t="str">
        <f t="shared" si="60"/>
        <v xml:space="preserve"> </v>
      </c>
      <c r="AN101" s="32" t="str">
        <f t="shared" si="61"/>
        <v xml:space="preserve"> </v>
      </c>
      <c r="AO101" s="32" t="str">
        <f t="shared" si="62"/>
        <v xml:space="preserve"> </v>
      </c>
      <c r="AP101" s="32" t="str">
        <f t="shared" si="63"/>
        <v xml:space="preserve"> </v>
      </c>
      <c r="AQ101" s="33">
        <f t="shared" si="64"/>
        <v>0</v>
      </c>
      <c r="AR101" s="27">
        <v>0.87</v>
      </c>
      <c r="AS101" s="30" t="str">
        <f t="shared" si="81"/>
        <v xml:space="preserve"> </v>
      </c>
      <c r="AT101" s="33">
        <f t="shared" si="82"/>
        <v>0</v>
      </c>
      <c r="AU101" s="32">
        <v>1</v>
      </c>
      <c r="AV101" s="33">
        <f t="shared" si="65"/>
        <v>0</v>
      </c>
      <c r="AW101" s="33">
        <f t="shared" si="66"/>
        <v>0</v>
      </c>
      <c r="AX101" s="30" t="str">
        <f t="shared" si="42"/>
        <v xml:space="preserve"> </v>
      </c>
      <c r="AY101" s="29">
        <f t="shared" si="67"/>
        <v>0</v>
      </c>
      <c r="AZ101" s="29">
        <f t="shared" si="68"/>
        <v>0</v>
      </c>
      <c r="BA101" s="30" t="str">
        <f t="shared" si="84"/>
        <v xml:space="preserve"> </v>
      </c>
      <c r="BB101" s="34">
        <f t="shared" si="69"/>
        <v>0</v>
      </c>
      <c r="BC101" s="35">
        <f t="shared" si="70"/>
        <v>0</v>
      </c>
      <c r="BD101" s="27">
        <v>1</v>
      </c>
      <c r="BE101" s="36">
        <f t="shared" si="71"/>
        <v>0</v>
      </c>
      <c r="BF101" s="36">
        <f t="shared" si="72"/>
        <v>0</v>
      </c>
      <c r="BG101" s="30" t="str">
        <f t="shared" si="73"/>
        <v xml:space="preserve"> </v>
      </c>
      <c r="BH101" s="33">
        <f t="shared" si="74"/>
        <v>0</v>
      </c>
      <c r="BI101" s="27">
        <v>1</v>
      </c>
      <c r="BJ101" s="36">
        <f t="shared" si="75"/>
        <v>0</v>
      </c>
      <c r="BK101" s="37">
        <f t="shared" si="76"/>
        <v>0</v>
      </c>
      <c r="BL101" s="30" t="str">
        <f t="shared" si="77"/>
        <v xml:space="preserve"> </v>
      </c>
      <c r="BM101" s="26">
        <f t="shared" si="78"/>
        <v>0</v>
      </c>
      <c r="BO101" s="50">
        <f t="shared" si="79"/>
        <v>0</v>
      </c>
      <c r="BP101" s="50">
        <f t="shared" si="80"/>
        <v>0</v>
      </c>
    </row>
    <row r="102" spans="1:68">
      <c r="A102" s="16">
        <v>0</v>
      </c>
      <c r="B102" s="1" t="s">
        <v>66</v>
      </c>
      <c r="C102" s="24">
        <v>0</v>
      </c>
      <c r="D102" s="24" t="s">
        <v>433</v>
      </c>
      <c r="E102" s="24">
        <v>10</v>
      </c>
      <c r="F102" s="24">
        <v>0</v>
      </c>
      <c r="G102" s="24" t="s">
        <v>67</v>
      </c>
      <c r="H102" s="24">
        <v>0</v>
      </c>
      <c r="I102" s="24">
        <v>0</v>
      </c>
      <c r="J102" s="24">
        <v>0</v>
      </c>
      <c r="K102" s="24">
        <v>0</v>
      </c>
      <c r="L102" s="24">
        <v>0</v>
      </c>
      <c r="M102" s="24">
        <v>0</v>
      </c>
      <c r="N102" s="24">
        <v>0</v>
      </c>
      <c r="O102" s="24">
        <v>0</v>
      </c>
      <c r="P102" s="24">
        <v>0</v>
      </c>
      <c r="Q102" s="24">
        <v>0</v>
      </c>
      <c r="R102" s="24">
        <v>0</v>
      </c>
      <c r="S102" s="24">
        <v>0</v>
      </c>
      <c r="T102" s="28">
        <f t="shared" si="43"/>
        <v>0</v>
      </c>
      <c r="U102" s="28">
        <f t="shared" si="44"/>
        <v>0</v>
      </c>
      <c r="V102" s="29">
        <f>IF(O102&gt;0,((VLOOKUP(E102,ACs!G$4:P$53,7)*P102)+(VLOOKUP(E102,ACs!G$4:P$53,6)*(1-P102)))*O102*F102,0)</f>
        <v>0</v>
      </c>
      <c r="W102" s="29">
        <f>IF(E102&gt;0,VLOOKUP(E102,ACs!G$4:P$53,10)*Q102*F102,0)</f>
        <v>0</v>
      </c>
      <c r="X102" s="29">
        <f t="shared" si="45"/>
        <v>0</v>
      </c>
      <c r="Y102" s="29">
        <f t="shared" si="46"/>
        <v>0</v>
      </c>
      <c r="Z102" s="29">
        <f t="shared" si="85"/>
        <v>0</v>
      </c>
      <c r="AA102" s="29">
        <f t="shared" si="48"/>
        <v>0</v>
      </c>
      <c r="AB102" s="30" t="str">
        <f t="shared" si="49"/>
        <v xml:space="preserve"> </v>
      </c>
      <c r="AC102" s="30" t="str">
        <f t="shared" si="50"/>
        <v xml:space="preserve"> </v>
      </c>
      <c r="AD102" s="31" t="str">
        <f t="shared" si="51"/>
        <v xml:space="preserve"> </v>
      </c>
      <c r="AE102" s="29">
        <f t="shared" si="52"/>
        <v>0</v>
      </c>
      <c r="AF102" s="29">
        <f t="shared" si="53"/>
        <v>0</v>
      </c>
      <c r="AG102" s="29">
        <f t="shared" si="54"/>
        <v>0</v>
      </c>
      <c r="AH102" s="29">
        <f t="shared" si="55"/>
        <v>0</v>
      </c>
      <c r="AI102" s="29">
        <f t="shared" si="56"/>
        <v>0</v>
      </c>
      <c r="AJ102" s="30" t="str">
        <f t="shared" si="57"/>
        <v xml:space="preserve"> </v>
      </c>
      <c r="AK102" s="30" t="str">
        <f t="shared" si="58"/>
        <v xml:space="preserve"> </v>
      </c>
      <c r="AL102" s="30" t="str">
        <f t="shared" si="59"/>
        <v xml:space="preserve"> </v>
      </c>
      <c r="AM102" s="32" t="str">
        <f t="shared" si="60"/>
        <v xml:space="preserve"> </v>
      </c>
      <c r="AN102" s="32" t="str">
        <f t="shared" si="61"/>
        <v xml:space="preserve"> </v>
      </c>
      <c r="AO102" s="32" t="str">
        <f t="shared" si="62"/>
        <v xml:space="preserve"> </v>
      </c>
      <c r="AP102" s="32" t="str">
        <f t="shared" si="63"/>
        <v xml:space="preserve"> </v>
      </c>
      <c r="AQ102" s="33">
        <f t="shared" si="64"/>
        <v>0</v>
      </c>
      <c r="AR102" s="27">
        <v>0.87</v>
      </c>
      <c r="AS102" s="30" t="str">
        <f t="shared" si="81"/>
        <v xml:space="preserve"> </v>
      </c>
      <c r="AT102" s="33">
        <f t="shared" si="82"/>
        <v>0</v>
      </c>
      <c r="AU102" s="32">
        <v>1</v>
      </c>
      <c r="AV102" s="33">
        <f t="shared" si="65"/>
        <v>0</v>
      </c>
      <c r="AW102" s="33">
        <f t="shared" si="66"/>
        <v>0</v>
      </c>
      <c r="AX102" s="30" t="str">
        <f t="shared" si="42"/>
        <v xml:space="preserve"> </v>
      </c>
      <c r="AY102" s="29">
        <f t="shared" si="67"/>
        <v>0</v>
      </c>
      <c r="AZ102" s="29">
        <f t="shared" si="68"/>
        <v>0</v>
      </c>
      <c r="BA102" s="30" t="str">
        <f t="shared" si="84"/>
        <v xml:space="preserve"> </v>
      </c>
      <c r="BB102" s="34">
        <f t="shared" si="69"/>
        <v>0</v>
      </c>
      <c r="BC102" s="35">
        <f t="shared" si="70"/>
        <v>0</v>
      </c>
      <c r="BD102" s="27">
        <v>1</v>
      </c>
      <c r="BE102" s="36">
        <f t="shared" si="71"/>
        <v>0</v>
      </c>
      <c r="BF102" s="36">
        <f t="shared" si="72"/>
        <v>0</v>
      </c>
      <c r="BG102" s="30" t="str">
        <f t="shared" si="73"/>
        <v xml:space="preserve"> </v>
      </c>
      <c r="BH102" s="33">
        <f t="shared" si="74"/>
        <v>0</v>
      </c>
      <c r="BI102" s="27">
        <v>1</v>
      </c>
      <c r="BJ102" s="36">
        <f t="shared" si="75"/>
        <v>0</v>
      </c>
      <c r="BK102" s="37">
        <f t="shared" si="76"/>
        <v>0</v>
      </c>
      <c r="BL102" s="30" t="str">
        <f t="shared" si="77"/>
        <v xml:space="preserve"> </v>
      </c>
      <c r="BM102" s="26">
        <f t="shared" si="78"/>
        <v>0</v>
      </c>
      <c r="BO102" s="50">
        <f t="shared" si="79"/>
        <v>0</v>
      </c>
      <c r="BP102" s="50">
        <f t="shared" si="80"/>
        <v>0</v>
      </c>
    </row>
    <row r="103" spans="1:68">
      <c r="A103" s="23" t="s">
        <v>163</v>
      </c>
      <c r="B103" s="1" t="s">
        <v>66</v>
      </c>
      <c r="C103" s="24">
        <v>2</v>
      </c>
      <c r="D103" s="24" t="s">
        <v>432</v>
      </c>
      <c r="E103" s="24">
        <v>10</v>
      </c>
      <c r="F103" s="24">
        <v>2</v>
      </c>
      <c r="G103" s="24" t="s">
        <v>67</v>
      </c>
      <c r="H103" s="24">
        <v>491</v>
      </c>
      <c r="I103" s="24">
        <v>0</v>
      </c>
      <c r="J103" s="24">
        <v>0</v>
      </c>
      <c r="K103" s="24">
        <v>0</v>
      </c>
      <c r="L103" s="24">
        <v>0</v>
      </c>
      <c r="M103" s="24">
        <v>0</v>
      </c>
      <c r="N103" s="24">
        <v>0</v>
      </c>
      <c r="O103" s="24">
        <v>88</v>
      </c>
      <c r="P103" s="24">
        <v>0</v>
      </c>
      <c r="Q103" s="24">
        <v>0</v>
      </c>
      <c r="R103" s="24">
        <v>250</v>
      </c>
      <c r="S103" s="24">
        <v>0</v>
      </c>
      <c r="T103" s="28">
        <f t="shared" si="43"/>
        <v>1</v>
      </c>
      <c r="U103" s="28">
        <f t="shared" si="44"/>
        <v>1</v>
      </c>
      <c r="V103" s="29">
        <f>IF(O103&gt;0,((VLOOKUP(E103,ACs!G$4:P$53,7)*P103)+(VLOOKUP(E103,ACs!G$4:P$53,6)*(1-P103)))*O103*F103,0)</f>
        <v>549.44920022046824</v>
      </c>
      <c r="W103" s="29">
        <f>IF(E103&gt;0,VLOOKUP(E103,ACs!G$4:P$53,10)*Q103*F103,0)</f>
        <v>0</v>
      </c>
      <c r="X103" s="29">
        <f t="shared" si="45"/>
        <v>0</v>
      </c>
      <c r="Y103" s="29">
        <f t="shared" si="46"/>
        <v>982</v>
      </c>
      <c r="Z103" s="29">
        <f t="shared" si="85"/>
        <v>0</v>
      </c>
      <c r="AA103" s="29">
        <f t="shared" si="48"/>
        <v>500</v>
      </c>
      <c r="AB103" s="30">
        <f t="shared" si="49"/>
        <v>0.55952057048927517</v>
      </c>
      <c r="AC103" s="30">
        <f t="shared" si="50"/>
        <v>0.55952057048927517</v>
      </c>
      <c r="AD103" s="31">
        <f t="shared" si="51"/>
        <v>1.0988984004409366</v>
      </c>
      <c r="AE103" s="29">
        <f>U103*(V103+W103)</f>
        <v>549.44920022046824</v>
      </c>
      <c r="AF103" s="29">
        <f t="shared" si="53"/>
        <v>0</v>
      </c>
      <c r="AG103" s="29">
        <f t="shared" si="54"/>
        <v>982</v>
      </c>
      <c r="AH103" s="29">
        <f t="shared" si="55"/>
        <v>0</v>
      </c>
      <c r="AI103" s="29">
        <f t="shared" si="56"/>
        <v>500</v>
      </c>
      <c r="AJ103" s="30">
        <f t="shared" si="57"/>
        <v>0.55952057048927517</v>
      </c>
      <c r="AK103" s="30">
        <f t="shared" si="58"/>
        <v>0.55952057048927517</v>
      </c>
      <c r="AL103" s="30">
        <f t="shared" si="59"/>
        <v>1.0988984004409366</v>
      </c>
      <c r="AM103" s="32">
        <f t="shared" si="60"/>
        <v>1</v>
      </c>
      <c r="AN103" s="32">
        <f t="shared" si="61"/>
        <v>1</v>
      </c>
      <c r="AO103" s="32">
        <f t="shared" si="62"/>
        <v>0.91000223460034779</v>
      </c>
      <c r="AP103" s="32">
        <f t="shared" si="63"/>
        <v>0.91000223460034779</v>
      </c>
      <c r="AQ103" s="33">
        <f t="shared" si="64"/>
        <v>176</v>
      </c>
      <c r="AR103" s="27">
        <v>0.87</v>
      </c>
      <c r="AS103" s="30">
        <f t="shared" si="81"/>
        <v>0.55952057048927517</v>
      </c>
      <c r="AT103" s="33">
        <f t="shared" si="82"/>
        <v>153.12</v>
      </c>
      <c r="AU103" s="32">
        <v>1</v>
      </c>
      <c r="AV103" s="33">
        <f t="shared" si="65"/>
        <v>549.44920022046824</v>
      </c>
      <c r="AW103" s="33">
        <f t="shared" si="66"/>
        <v>982</v>
      </c>
      <c r="AX103" s="30">
        <f t="shared" si="42"/>
        <v>0.55952057048927517</v>
      </c>
      <c r="AY103" s="29">
        <f t="shared" si="67"/>
        <v>478.02080419180737</v>
      </c>
      <c r="AZ103" s="29">
        <f t="shared" si="68"/>
        <v>854.34</v>
      </c>
      <c r="BA103" s="30">
        <f t="shared" si="84"/>
        <v>0.55952057048927517</v>
      </c>
      <c r="BB103" s="34">
        <f t="shared" si="69"/>
        <v>1</v>
      </c>
      <c r="BC103" s="35">
        <f t="shared" si="70"/>
        <v>1</v>
      </c>
      <c r="BD103" s="27">
        <f>11/12</f>
        <v>0.91666666666666663</v>
      </c>
      <c r="BE103" s="36">
        <f t="shared" si="71"/>
        <v>0</v>
      </c>
      <c r="BF103" s="36">
        <f t="shared" si="72"/>
        <v>900.16666666666663</v>
      </c>
      <c r="BG103" s="30">
        <f t="shared" si="73"/>
        <v>0</v>
      </c>
      <c r="BH103" s="33">
        <f t="shared" si="74"/>
        <v>161.33333333333331</v>
      </c>
      <c r="BI103" s="27">
        <v>0</v>
      </c>
      <c r="BJ103" s="36">
        <f t="shared" si="75"/>
        <v>0</v>
      </c>
      <c r="BK103" s="37">
        <f t="shared" si="76"/>
        <v>0</v>
      </c>
      <c r="BL103" s="30" t="str">
        <f t="shared" si="77"/>
        <v xml:space="preserve"> </v>
      </c>
      <c r="BM103" s="26">
        <f t="shared" si="78"/>
        <v>0</v>
      </c>
      <c r="BO103" s="50">
        <f t="shared" si="79"/>
        <v>0</v>
      </c>
      <c r="BP103" s="50">
        <f t="shared" si="80"/>
        <v>0</v>
      </c>
    </row>
    <row r="104" spans="1:68">
      <c r="A104" s="16" t="s">
        <v>164</v>
      </c>
      <c r="B104" s="1" t="s">
        <v>66</v>
      </c>
      <c r="C104" s="24">
        <v>0</v>
      </c>
      <c r="D104" s="24" t="s">
        <v>433</v>
      </c>
      <c r="E104" s="24">
        <v>10</v>
      </c>
      <c r="F104" s="24">
        <v>0</v>
      </c>
      <c r="G104" s="24" t="s">
        <v>67</v>
      </c>
      <c r="H104" s="24">
        <v>0</v>
      </c>
      <c r="I104" s="24">
        <v>0</v>
      </c>
      <c r="J104" s="24">
        <v>0</v>
      </c>
      <c r="K104" s="24">
        <v>0</v>
      </c>
      <c r="L104" s="24">
        <v>0</v>
      </c>
      <c r="M104" s="24">
        <v>0</v>
      </c>
      <c r="N104" s="24">
        <v>0</v>
      </c>
      <c r="O104" s="24">
        <v>0</v>
      </c>
      <c r="P104" s="24">
        <v>0</v>
      </c>
      <c r="Q104" s="24">
        <v>0</v>
      </c>
      <c r="R104" s="24">
        <v>0</v>
      </c>
      <c r="S104" s="24">
        <v>0</v>
      </c>
      <c r="T104" s="28">
        <f t="shared" si="43"/>
        <v>0</v>
      </c>
      <c r="U104" s="28">
        <f t="shared" si="44"/>
        <v>0</v>
      </c>
      <c r="V104" s="29">
        <f>IF(O104&gt;0,((VLOOKUP(E104,ACs!G$4:P$53,7)*P104)+(VLOOKUP(E104,ACs!G$4:P$53,6)*(1-P104)))*O104*F104,0)</f>
        <v>0</v>
      </c>
      <c r="W104" s="29">
        <f>IF(E104&gt;0,VLOOKUP(E104,ACs!G$4:P$53,10)*Q104*F104,0)</f>
        <v>0</v>
      </c>
      <c r="X104" s="29">
        <f t="shared" si="45"/>
        <v>0</v>
      </c>
      <c r="Y104" s="29">
        <f t="shared" si="46"/>
        <v>0</v>
      </c>
      <c r="Z104" s="29">
        <f t="shared" si="85"/>
        <v>0</v>
      </c>
      <c r="AA104" s="29">
        <f t="shared" si="48"/>
        <v>0</v>
      </c>
      <c r="AB104" s="30" t="str">
        <f t="shared" si="49"/>
        <v xml:space="preserve"> </v>
      </c>
      <c r="AC104" s="30" t="str">
        <f t="shared" si="50"/>
        <v xml:space="preserve"> </v>
      </c>
      <c r="AD104" s="31" t="str">
        <f t="shared" si="51"/>
        <v xml:space="preserve"> </v>
      </c>
      <c r="AE104" s="29">
        <f t="shared" si="52"/>
        <v>0</v>
      </c>
      <c r="AF104" s="29">
        <f t="shared" si="53"/>
        <v>0</v>
      </c>
      <c r="AG104" s="29">
        <f t="shared" si="54"/>
        <v>0</v>
      </c>
      <c r="AH104" s="29">
        <f t="shared" si="55"/>
        <v>0</v>
      </c>
      <c r="AI104" s="29">
        <f t="shared" si="56"/>
        <v>0</v>
      </c>
      <c r="AJ104" s="30" t="str">
        <f t="shared" si="57"/>
        <v xml:space="preserve"> </v>
      </c>
      <c r="AK104" s="30" t="str">
        <f t="shared" si="58"/>
        <v xml:space="preserve"> </v>
      </c>
      <c r="AL104" s="30" t="str">
        <f t="shared" si="59"/>
        <v xml:space="preserve"> </v>
      </c>
      <c r="AM104" s="32" t="str">
        <f t="shared" si="60"/>
        <v xml:space="preserve"> </v>
      </c>
      <c r="AN104" s="32" t="str">
        <f t="shared" si="61"/>
        <v xml:space="preserve"> </v>
      </c>
      <c r="AO104" s="32" t="str">
        <f t="shared" si="62"/>
        <v xml:space="preserve"> </v>
      </c>
      <c r="AP104" s="32" t="str">
        <f t="shared" si="63"/>
        <v xml:space="preserve"> </v>
      </c>
      <c r="AQ104" s="33">
        <f t="shared" si="64"/>
        <v>0</v>
      </c>
      <c r="AR104" s="27">
        <v>0.87</v>
      </c>
      <c r="AS104" s="30" t="str">
        <f t="shared" si="81"/>
        <v xml:space="preserve"> </v>
      </c>
      <c r="AT104" s="33">
        <f t="shared" si="82"/>
        <v>0</v>
      </c>
      <c r="AU104" s="32">
        <v>1</v>
      </c>
      <c r="AV104" s="33">
        <f t="shared" si="65"/>
        <v>0</v>
      </c>
      <c r="AW104" s="33">
        <f t="shared" si="66"/>
        <v>0</v>
      </c>
      <c r="AX104" s="30" t="str">
        <f t="shared" si="42"/>
        <v xml:space="preserve"> </v>
      </c>
      <c r="AY104" s="29">
        <f t="shared" si="67"/>
        <v>0</v>
      </c>
      <c r="AZ104" s="29">
        <f t="shared" si="68"/>
        <v>0</v>
      </c>
      <c r="BA104" s="30" t="str">
        <f t="shared" si="84"/>
        <v xml:space="preserve"> </v>
      </c>
      <c r="BB104" s="34">
        <f t="shared" si="69"/>
        <v>0</v>
      </c>
      <c r="BC104" s="35">
        <f t="shared" si="70"/>
        <v>0</v>
      </c>
      <c r="BD104" s="27">
        <v>1</v>
      </c>
      <c r="BE104" s="36">
        <f t="shared" si="71"/>
        <v>0</v>
      </c>
      <c r="BF104" s="36">
        <f t="shared" si="72"/>
        <v>0</v>
      </c>
      <c r="BG104" s="30" t="str">
        <f t="shared" si="73"/>
        <v xml:space="preserve"> </v>
      </c>
      <c r="BH104" s="33">
        <f t="shared" si="74"/>
        <v>0</v>
      </c>
      <c r="BI104" s="27">
        <v>1</v>
      </c>
      <c r="BJ104" s="36">
        <f t="shared" si="75"/>
        <v>0</v>
      </c>
      <c r="BK104" s="37">
        <f t="shared" si="76"/>
        <v>0</v>
      </c>
      <c r="BL104" s="30" t="str">
        <f t="shared" si="77"/>
        <v xml:space="preserve"> </v>
      </c>
      <c r="BM104" s="26">
        <f t="shared" si="78"/>
        <v>0</v>
      </c>
      <c r="BO104" s="50">
        <f t="shared" si="79"/>
        <v>0</v>
      </c>
      <c r="BP104" s="50">
        <f t="shared" si="80"/>
        <v>0</v>
      </c>
    </row>
    <row r="105" spans="1:68">
      <c r="A105" s="16">
        <v>0</v>
      </c>
      <c r="B105" s="1" t="s">
        <v>66</v>
      </c>
      <c r="C105" s="24">
        <v>0</v>
      </c>
      <c r="D105" s="24" t="s">
        <v>433</v>
      </c>
      <c r="E105" s="24">
        <v>10</v>
      </c>
      <c r="F105" s="24">
        <v>0</v>
      </c>
      <c r="G105" s="24" t="s">
        <v>67</v>
      </c>
      <c r="H105" s="24">
        <v>0</v>
      </c>
      <c r="I105" s="24">
        <v>0</v>
      </c>
      <c r="J105" s="24">
        <v>0</v>
      </c>
      <c r="K105" s="24">
        <v>0</v>
      </c>
      <c r="L105" s="24">
        <v>0</v>
      </c>
      <c r="M105" s="24">
        <v>0</v>
      </c>
      <c r="N105" s="24">
        <v>0</v>
      </c>
      <c r="O105" s="24">
        <v>0</v>
      </c>
      <c r="P105" s="24">
        <v>0</v>
      </c>
      <c r="Q105" s="24">
        <v>0</v>
      </c>
      <c r="R105" s="24">
        <v>0</v>
      </c>
      <c r="S105" s="24">
        <v>0</v>
      </c>
      <c r="T105" s="28">
        <f t="shared" si="43"/>
        <v>0</v>
      </c>
      <c r="U105" s="28">
        <f t="shared" si="44"/>
        <v>0</v>
      </c>
      <c r="V105" s="29">
        <f>IF(O105&gt;0,((VLOOKUP(E105,ACs!G$4:P$53,7)*P105)+(VLOOKUP(E105,ACs!G$4:P$53,6)*(1-P105)))*O105*F105,0)</f>
        <v>0</v>
      </c>
      <c r="W105" s="29">
        <f>IF(E105&gt;0,VLOOKUP(E105,ACs!G$4:P$53,10)*Q105*F105,0)</f>
        <v>0</v>
      </c>
      <c r="X105" s="29">
        <f t="shared" si="45"/>
        <v>0</v>
      </c>
      <c r="Y105" s="29">
        <f t="shared" si="46"/>
        <v>0</v>
      </c>
      <c r="Z105" s="29">
        <f t="shared" si="85"/>
        <v>0</v>
      </c>
      <c r="AA105" s="29">
        <f t="shared" si="48"/>
        <v>0</v>
      </c>
      <c r="AB105" s="30" t="str">
        <f t="shared" si="49"/>
        <v xml:space="preserve"> </v>
      </c>
      <c r="AC105" s="30" t="str">
        <f t="shared" si="50"/>
        <v xml:space="preserve"> </v>
      </c>
      <c r="AD105" s="31" t="str">
        <f t="shared" si="51"/>
        <v xml:space="preserve"> </v>
      </c>
      <c r="AE105" s="29">
        <f t="shared" si="52"/>
        <v>0</v>
      </c>
      <c r="AF105" s="29">
        <f t="shared" si="53"/>
        <v>0</v>
      </c>
      <c r="AG105" s="29">
        <f t="shared" si="54"/>
        <v>0</v>
      </c>
      <c r="AH105" s="29">
        <f t="shared" si="55"/>
        <v>0</v>
      </c>
      <c r="AI105" s="29">
        <f t="shared" si="56"/>
        <v>0</v>
      </c>
      <c r="AJ105" s="30" t="str">
        <f t="shared" si="57"/>
        <v xml:space="preserve"> </v>
      </c>
      <c r="AK105" s="30" t="str">
        <f t="shared" si="58"/>
        <v xml:space="preserve"> </v>
      </c>
      <c r="AL105" s="30" t="str">
        <f t="shared" si="59"/>
        <v xml:space="preserve"> </v>
      </c>
      <c r="AM105" s="32" t="str">
        <f t="shared" si="60"/>
        <v xml:space="preserve"> </v>
      </c>
      <c r="AN105" s="32" t="str">
        <f t="shared" si="61"/>
        <v xml:space="preserve"> </v>
      </c>
      <c r="AO105" s="32" t="str">
        <f t="shared" si="62"/>
        <v xml:space="preserve"> </v>
      </c>
      <c r="AP105" s="32" t="str">
        <f t="shared" si="63"/>
        <v xml:space="preserve"> </v>
      </c>
      <c r="AQ105" s="33">
        <f t="shared" si="64"/>
        <v>0</v>
      </c>
      <c r="AR105" s="27">
        <v>0.87</v>
      </c>
      <c r="AS105" s="30" t="str">
        <f t="shared" si="81"/>
        <v xml:space="preserve"> </v>
      </c>
      <c r="AT105" s="33">
        <f t="shared" si="82"/>
        <v>0</v>
      </c>
      <c r="AU105" s="32">
        <v>1</v>
      </c>
      <c r="AV105" s="33">
        <f t="shared" si="65"/>
        <v>0</v>
      </c>
      <c r="AW105" s="33">
        <f t="shared" si="66"/>
        <v>0</v>
      </c>
      <c r="AX105" s="30" t="str">
        <f t="shared" si="42"/>
        <v xml:space="preserve"> </v>
      </c>
      <c r="AY105" s="29">
        <f t="shared" si="67"/>
        <v>0</v>
      </c>
      <c r="AZ105" s="29">
        <f t="shared" si="68"/>
        <v>0</v>
      </c>
      <c r="BA105" s="30" t="str">
        <f t="shared" si="84"/>
        <v xml:space="preserve"> </v>
      </c>
      <c r="BB105" s="34">
        <f t="shared" si="69"/>
        <v>0</v>
      </c>
      <c r="BC105" s="35">
        <f t="shared" si="70"/>
        <v>0</v>
      </c>
      <c r="BD105" s="27">
        <v>1</v>
      </c>
      <c r="BE105" s="36">
        <f t="shared" si="71"/>
        <v>0</v>
      </c>
      <c r="BF105" s="36">
        <f t="shared" si="72"/>
        <v>0</v>
      </c>
      <c r="BG105" s="30" t="str">
        <f t="shared" si="73"/>
        <v xml:space="preserve"> </v>
      </c>
      <c r="BH105" s="33">
        <f t="shared" si="74"/>
        <v>0</v>
      </c>
      <c r="BI105" s="27">
        <v>1</v>
      </c>
      <c r="BJ105" s="36">
        <f t="shared" si="75"/>
        <v>0</v>
      </c>
      <c r="BK105" s="37">
        <f t="shared" si="76"/>
        <v>0</v>
      </c>
      <c r="BL105" s="30" t="str">
        <f t="shared" si="77"/>
        <v xml:space="preserve"> </v>
      </c>
      <c r="BM105" s="26">
        <f t="shared" si="78"/>
        <v>0</v>
      </c>
      <c r="BO105" s="50">
        <f t="shared" si="79"/>
        <v>0</v>
      </c>
      <c r="BP105" s="50">
        <f t="shared" si="80"/>
        <v>0</v>
      </c>
    </row>
    <row r="106" spans="1:68">
      <c r="A106" s="16" t="s">
        <v>165</v>
      </c>
      <c r="B106" s="1" t="s">
        <v>66</v>
      </c>
      <c r="C106" s="24">
        <v>0</v>
      </c>
      <c r="D106" s="24" t="s">
        <v>433</v>
      </c>
      <c r="E106" s="24">
        <v>10</v>
      </c>
      <c r="F106" s="24">
        <v>0</v>
      </c>
      <c r="G106" s="24" t="s">
        <v>67</v>
      </c>
      <c r="H106" s="24">
        <v>0</v>
      </c>
      <c r="I106" s="24">
        <v>0</v>
      </c>
      <c r="J106" s="24">
        <v>0</v>
      </c>
      <c r="K106" s="24">
        <v>0</v>
      </c>
      <c r="L106" s="24">
        <v>66.35267379679145</v>
      </c>
      <c r="M106" s="24">
        <v>0</v>
      </c>
      <c r="N106" s="24">
        <v>0</v>
      </c>
      <c r="O106" s="24">
        <v>0</v>
      </c>
      <c r="P106" s="24">
        <v>0</v>
      </c>
      <c r="Q106" s="24">
        <v>0</v>
      </c>
      <c r="R106" s="24">
        <v>0</v>
      </c>
      <c r="S106" s="24">
        <v>0</v>
      </c>
      <c r="T106" s="28">
        <f t="shared" si="43"/>
        <v>0</v>
      </c>
      <c r="U106" s="28">
        <f t="shared" si="44"/>
        <v>0</v>
      </c>
      <c r="V106" s="29">
        <f>IF(O106&gt;0,((VLOOKUP(E106,ACs!G$4:P$53,7)*P106)+(VLOOKUP(E106,ACs!G$4:P$53,6)*(1-P106)))*O106*F106,0)</f>
        <v>0</v>
      </c>
      <c r="W106" s="29">
        <f>IF(E106&gt;0,VLOOKUP(E106,ACs!G$4:P$53,10)*Q106*F106,0)</f>
        <v>0</v>
      </c>
      <c r="X106" s="29">
        <f t="shared" si="45"/>
        <v>0</v>
      </c>
      <c r="Y106" s="29">
        <f t="shared" si="46"/>
        <v>0</v>
      </c>
      <c r="Z106" s="29">
        <f t="shared" si="85"/>
        <v>0</v>
      </c>
      <c r="AA106" s="29">
        <f t="shared" si="48"/>
        <v>0</v>
      </c>
      <c r="AB106" s="30" t="str">
        <f t="shared" si="49"/>
        <v xml:space="preserve"> </v>
      </c>
      <c r="AC106" s="30" t="str">
        <f t="shared" si="50"/>
        <v xml:space="preserve"> </v>
      </c>
      <c r="AD106" s="31" t="str">
        <f t="shared" si="51"/>
        <v xml:space="preserve"> </v>
      </c>
      <c r="AE106" s="29">
        <f t="shared" si="52"/>
        <v>0</v>
      </c>
      <c r="AF106" s="29">
        <f t="shared" si="53"/>
        <v>0</v>
      </c>
      <c r="AG106" s="29">
        <f t="shared" si="54"/>
        <v>0</v>
      </c>
      <c r="AH106" s="29">
        <f t="shared" si="55"/>
        <v>0</v>
      </c>
      <c r="AI106" s="29">
        <f t="shared" si="56"/>
        <v>0</v>
      </c>
      <c r="AJ106" s="30" t="str">
        <f t="shared" si="57"/>
        <v xml:space="preserve"> </v>
      </c>
      <c r="AK106" s="30" t="str">
        <f t="shared" si="58"/>
        <v xml:space="preserve"> </v>
      </c>
      <c r="AL106" s="30" t="str">
        <f t="shared" si="59"/>
        <v xml:space="preserve"> </v>
      </c>
      <c r="AM106" s="32" t="str">
        <f t="shared" si="60"/>
        <v xml:space="preserve"> </v>
      </c>
      <c r="AN106" s="32" t="str">
        <f t="shared" si="61"/>
        <v xml:space="preserve"> </v>
      </c>
      <c r="AO106" s="32" t="str">
        <f t="shared" si="62"/>
        <v xml:space="preserve"> </v>
      </c>
      <c r="AP106" s="32" t="str">
        <f t="shared" si="63"/>
        <v xml:space="preserve"> </v>
      </c>
      <c r="AQ106" s="33">
        <f t="shared" si="64"/>
        <v>0</v>
      </c>
      <c r="AR106" s="27">
        <v>0.87</v>
      </c>
      <c r="AS106" s="30" t="str">
        <f t="shared" si="81"/>
        <v xml:space="preserve"> </v>
      </c>
      <c r="AT106" s="33">
        <f t="shared" si="82"/>
        <v>0</v>
      </c>
      <c r="AU106" s="32">
        <v>1</v>
      </c>
      <c r="AV106" s="33">
        <f t="shared" si="65"/>
        <v>0</v>
      </c>
      <c r="AW106" s="33">
        <f t="shared" si="66"/>
        <v>0</v>
      </c>
      <c r="AX106" s="30" t="str">
        <f t="shared" si="42"/>
        <v xml:space="preserve"> </v>
      </c>
      <c r="AY106" s="29">
        <f t="shared" si="67"/>
        <v>0</v>
      </c>
      <c r="AZ106" s="29">
        <f t="shared" si="68"/>
        <v>0</v>
      </c>
      <c r="BA106" s="30" t="str">
        <f t="shared" si="84"/>
        <v xml:space="preserve"> </v>
      </c>
      <c r="BB106" s="34">
        <f t="shared" si="69"/>
        <v>0</v>
      </c>
      <c r="BC106" s="35">
        <f t="shared" si="70"/>
        <v>0</v>
      </c>
      <c r="BD106" s="27">
        <v>1</v>
      </c>
      <c r="BE106" s="36">
        <f t="shared" si="71"/>
        <v>0</v>
      </c>
      <c r="BF106" s="36">
        <f t="shared" si="72"/>
        <v>0</v>
      </c>
      <c r="BG106" s="30" t="str">
        <f t="shared" si="73"/>
        <v xml:space="preserve"> </v>
      </c>
      <c r="BH106" s="33">
        <f t="shared" si="74"/>
        <v>0</v>
      </c>
      <c r="BI106" s="27">
        <v>1</v>
      </c>
      <c r="BJ106" s="36">
        <f t="shared" si="75"/>
        <v>0</v>
      </c>
      <c r="BK106" s="37">
        <f t="shared" si="76"/>
        <v>0</v>
      </c>
      <c r="BL106" s="30" t="str">
        <f t="shared" si="77"/>
        <v xml:space="preserve"> </v>
      </c>
      <c r="BM106" s="26">
        <f t="shared" si="78"/>
        <v>0</v>
      </c>
      <c r="BO106" s="50">
        <f t="shared" si="79"/>
        <v>0</v>
      </c>
      <c r="BP106" s="50">
        <f t="shared" si="80"/>
        <v>0</v>
      </c>
    </row>
    <row r="107" spans="1:68">
      <c r="A107" s="16" t="s">
        <v>166</v>
      </c>
      <c r="B107" s="1" t="s">
        <v>66</v>
      </c>
      <c r="C107" s="24">
        <v>0</v>
      </c>
      <c r="D107" s="24" t="s">
        <v>433</v>
      </c>
      <c r="E107" s="24">
        <v>10</v>
      </c>
      <c r="F107" s="24">
        <v>0</v>
      </c>
      <c r="G107" s="24" t="s">
        <v>67</v>
      </c>
      <c r="H107" s="24">
        <v>0</v>
      </c>
      <c r="I107" s="24">
        <v>0</v>
      </c>
      <c r="J107" s="24">
        <v>0</v>
      </c>
      <c r="K107" s="24">
        <v>0</v>
      </c>
      <c r="L107" s="24">
        <v>66.35267379679145</v>
      </c>
      <c r="M107" s="24">
        <v>0</v>
      </c>
      <c r="N107" s="24">
        <v>0</v>
      </c>
      <c r="O107" s="24">
        <v>0</v>
      </c>
      <c r="P107" s="24">
        <v>0</v>
      </c>
      <c r="Q107" s="24">
        <v>0</v>
      </c>
      <c r="R107" s="24">
        <v>0</v>
      </c>
      <c r="S107" s="24">
        <v>0</v>
      </c>
      <c r="T107" s="28">
        <f t="shared" si="43"/>
        <v>0</v>
      </c>
      <c r="U107" s="28">
        <f t="shared" si="44"/>
        <v>0</v>
      </c>
      <c r="V107" s="29">
        <f>IF(O107&gt;0,((VLOOKUP(E107,ACs!G$4:P$53,7)*P107)+(VLOOKUP(E107,ACs!G$4:P$53,6)*(1-P107)))*O107*F107,0)</f>
        <v>0</v>
      </c>
      <c r="W107" s="29">
        <f>IF(E107&gt;0,VLOOKUP(E107,ACs!G$4:P$53,10)*Q107*F107,0)</f>
        <v>0</v>
      </c>
      <c r="X107" s="29">
        <f t="shared" si="45"/>
        <v>0</v>
      </c>
      <c r="Y107" s="29">
        <f t="shared" si="46"/>
        <v>0</v>
      </c>
      <c r="Z107" s="29">
        <f t="shared" si="85"/>
        <v>0</v>
      </c>
      <c r="AA107" s="29">
        <f t="shared" si="48"/>
        <v>0</v>
      </c>
      <c r="AB107" s="30" t="str">
        <f t="shared" si="49"/>
        <v xml:space="preserve"> </v>
      </c>
      <c r="AC107" s="30" t="str">
        <f t="shared" si="50"/>
        <v xml:space="preserve"> </v>
      </c>
      <c r="AD107" s="31" t="str">
        <f t="shared" si="51"/>
        <v xml:space="preserve"> </v>
      </c>
      <c r="AE107" s="29">
        <f t="shared" si="52"/>
        <v>0</v>
      </c>
      <c r="AF107" s="29">
        <f t="shared" si="53"/>
        <v>0</v>
      </c>
      <c r="AG107" s="29">
        <f t="shared" si="54"/>
        <v>0</v>
      </c>
      <c r="AH107" s="29">
        <f t="shared" si="55"/>
        <v>0</v>
      </c>
      <c r="AI107" s="29">
        <f t="shared" si="56"/>
        <v>0</v>
      </c>
      <c r="AJ107" s="30" t="str">
        <f t="shared" si="57"/>
        <v xml:space="preserve"> </v>
      </c>
      <c r="AK107" s="30" t="str">
        <f t="shared" si="58"/>
        <v xml:space="preserve"> </v>
      </c>
      <c r="AL107" s="30" t="str">
        <f t="shared" si="59"/>
        <v xml:space="preserve"> </v>
      </c>
      <c r="AM107" s="32" t="str">
        <f t="shared" si="60"/>
        <v xml:space="preserve"> </v>
      </c>
      <c r="AN107" s="32" t="str">
        <f t="shared" si="61"/>
        <v xml:space="preserve"> </v>
      </c>
      <c r="AO107" s="32" t="str">
        <f t="shared" si="62"/>
        <v xml:space="preserve"> </v>
      </c>
      <c r="AP107" s="32" t="str">
        <f t="shared" si="63"/>
        <v xml:space="preserve"> </v>
      </c>
      <c r="AQ107" s="33">
        <f t="shared" si="64"/>
        <v>0</v>
      </c>
      <c r="AR107" s="27">
        <v>0.87</v>
      </c>
      <c r="AS107" s="30" t="str">
        <f t="shared" si="81"/>
        <v xml:space="preserve"> </v>
      </c>
      <c r="AT107" s="33">
        <f t="shared" si="82"/>
        <v>0</v>
      </c>
      <c r="AU107" s="32">
        <v>1</v>
      </c>
      <c r="AV107" s="33">
        <f t="shared" si="65"/>
        <v>0</v>
      </c>
      <c r="AW107" s="33">
        <f t="shared" si="66"/>
        <v>0</v>
      </c>
      <c r="AX107" s="30" t="str">
        <f t="shared" si="42"/>
        <v xml:space="preserve"> </v>
      </c>
      <c r="AY107" s="29">
        <f t="shared" si="67"/>
        <v>0</v>
      </c>
      <c r="AZ107" s="29">
        <f t="shared" si="68"/>
        <v>0</v>
      </c>
      <c r="BA107" s="30" t="str">
        <f t="shared" si="84"/>
        <v xml:space="preserve"> </v>
      </c>
      <c r="BB107" s="34">
        <f t="shared" si="69"/>
        <v>0</v>
      </c>
      <c r="BC107" s="35">
        <f t="shared" si="70"/>
        <v>0</v>
      </c>
      <c r="BD107" s="27">
        <v>1</v>
      </c>
      <c r="BE107" s="36">
        <f t="shared" si="71"/>
        <v>0</v>
      </c>
      <c r="BF107" s="36">
        <f t="shared" si="72"/>
        <v>0</v>
      </c>
      <c r="BG107" s="30" t="str">
        <f t="shared" si="73"/>
        <v xml:space="preserve"> </v>
      </c>
      <c r="BH107" s="33">
        <f t="shared" si="74"/>
        <v>0</v>
      </c>
      <c r="BI107" s="27">
        <v>1</v>
      </c>
      <c r="BJ107" s="36">
        <f t="shared" si="75"/>
        <v>0</v>
      </c>
      <c r="BK107" s="37">
        <f t="shared" si="76"/>
        <v>0</v>
      </c>
      <c r="BL107" s="30" t="str">
        <f t="shared" si="77"/>
        <v xml:space="preserve"> </v>
      </c>
      <c r="BM107" s="26">
        <f t="shared" si="78"/>
        <v>0</v>
      </c>
      <c r="BO107" s="50">
        <f t="shared" si="79"/>
        <v>0</v>
      </c>
      <c r="BP107" s="50">
        <f t="shared" si="80"/>
        <v>0</v>
      </c>
    </row>
    <row r="108" spans="1:68">
      <c r="A108" s="16" t="s">
        <v>167</v>
      </c>
      <c r="B108" s="1" t="s">
        <v>66</v>
      </c>
      <c r="C108" s="24">
        <v>0</v>
      </c>
      <c r="D108" s="24" t="s">
        <v>433</v>
      </c>
      <c r="E108" s="24">
        <v>10</v>
      </c>
      <c r="F108" s="24">
        <v>0</v>
      </c>
      <c r="G108" s="24" t="s">
        <v>67</v>
      </c>
      <c r="H108" s="24">
        <v>0</v>
      </c>
      <c r="I108" s="24">
        <v>0</v>
      </c>
      <c r="J108" s="24">
        <v>0</v>
      </c>
      <c r="K108" s="24">
        <v>0</v>
      </c>
      <c r="L108" s="24">
        <v>2.4732620320855614</v>
      </c>
      <c r="M108" s="24">
        <v>0</v>
      </c>
      <c r="N108" s="24">
        <v>0</v>
      </c>
      <c r="O108" s="24">
        <v>0</v>
      </c>
      <c r="P108" s="24">
        <v>0</v>
      </c>
      <c r="Q108" s="24">
        <v>0</v>
      </c>
      <c r="R108" s="24">
        <v>0</v>
      </c>
      <c r="S108" s="24">
        <v>0</v>
      </c>
      <c r="T108" s="28">
        <f t="shared" si="43"/>
        <v>0</v>
      </c>
      <c r="U108" s="28">
        <f t="shared" si="44"/>
        <v>0</v>
      </c>
      <c r="V108" s="29">
        <f>IF(O108&gt;0,((VLOOKUP(E108,ACs!G$4:P$53,7)*P108)+(VLOOKUP(E108,ACs!G$4:P$53,6)*(1-P108)))*O108*F108,0)</f>
        <v>0</v>
      </c>
      <c r="W108" s="29">
        <f>IF(E108&gt;0,VLOOKUP(E108,ACs!G$4:P$53,10)*Q108*F108,0)</f>
        <v>0</v>
      </c>
      <c r="X108" s="29">
        <f t="shared" si="45"/>
        <v>0</v>
      </c>
      <c r="Y108" s="29">
        <f t="shared" si="46"/>
        <v>0</v>
      </c>
      <c r="Z108" s="29">
        <f t="shared" si="85"/>
        <v>0</v>
      </c>
      <c r="AA108" s="29">
        <f t="shared" si="48"/>
        <v>0</v>
      </c>
      <c r="AB108" s="30" t="str">
        <f t="shared" si="49"/>
        <v xml:space="preserve"> </v>
      </c>
      <c r="AC108" s="30" t="str">
        <f t="shared" si="50"/>
        <v xml:space="preserve"> </v>
      </c>
      <c r="AD108" s="31" t="str">
        <f t="shared" si="51"/>
        <v xml:space="preserve"> </v>
      </c>
      <c r="AE108" s="29">
        <f t="shared" si="52"/>
        <v>0</v>
      </c>
      <c r="AF108" s="29">
        <f t="shared" si="53"/>
        <v>0</v>
      </c>
      <c r="AG108" s="29">
        <f t="shared" si="54"/>
        <v>0</v>
      </c>
      <c r="AH108" s="29">
        <f t="shared" si="55"/>
        <v>0</v>
      </c>
      <c r="AI108" s="29">
        <f t="shared" si="56"/>
        <v>0</v>
      </c>
      <c r="AJ108" s="30" t="str">
        <f t="shared" si="57"/>
        <v xml:space="preserve"> </v>
      </c>
      <c r="AK108" s="30" t="str">
        <f t="shared" si="58"/>
        <v xml:space="preserve"> </v>
      </c>
      <c r="AL108" s="30" t="str">
        <f t="shared" si="59"/>
        <v xml:space="preserve"> </v>
      </c>
      <c r="AM108" s="32" t="str">
        <f t="shared" si="60"/>
        <v xml:space="preserve"> </v>
      </c>
      <c r="AN108" s="32" t="str">
        <f t="shared" si="61"/>
        <v xml:space="preserve"> </v>
      </c>
      <c r="AO108" s="32" t="str">
        <f t="shared" si="62"/>
        <v xml:space="preserve"> </v>
      </c>
      <c r="AP108" s="32" t="str">
        <f t="shared" si="63"/>
        <v xml:space="preserve"> </v>
      </c>
      <c r="AQ108" s="33">
        <f t="shared" si="64"/>
        <v>0</v>
      </c>
      <c r="AR108" s="27">
        <v>0.87</v>
      </c>
      <c r="AS108" s="30" t="str">
        <f t="shared" si="81"/>
        <v xml:space="preserve"> </v>
      </c>
      <c r="AT108" s="33">
        <f t="shared" si="82"/>
        <v>0</v>
      </c>
      <c r="AU108" s="32">
        <v>1</v>
      </c>
      <c r="AV108" s="33">
        <f t="shared" si="65"/>
        <v>0</v>
      </c>
      <c r="AW108" s="33">
        <f t="shared" si="66"/>
        <v>0</v>
      </c>
      <c r="AX108" s="30" t="str">
        <f t="shared" si="42"/>
        <v xml:space="preserve"> </v>
      </c>
      <c r="AY108" s="29">
        <f t="shared" si="67"/>
        <v>0</v>
      </c>
      <c r="AZ108" s="29">
        <f t="shared" si="68"/>
        <v>0</v>
      </c>
      <c r="BA108" s="30" t="str">
        <f t="shared" si="84"/>
        <v xml:space="preserve"> </v>
      </c>
      <c r="BB108" s="34">
        <f t="shared" si="69"/>
        <v>0</v>
      </c>
      <c r="BC108" s="35">
        <f t="shared" si="70"/>
        <v>0</v>
      </c>
      <c r="BD108" s="27">
        <v>1</v>
      </c>
      <c r="BE108" s="36">
        <f t="shared" si="71"/>
        <v>0</v>
      </c>
      <c r="BF108" s="36">
        <f t="shared" si="72"/>
        <v>0</v>
      </c>
      <c r="BG108" s="30" t="str">
        <f t="shared" si="73"/>
        <v xml:space="preserve"> </v>
      </c>
      <c r="BH108" s="33">
        <f t="shared" si="74"/>
        <v>0</v>
      </c>
      <c r="BI108" s="27">
        <v>1</v>
      </c>
      <c r="BJ108" s="36">
        <f t="shared" si="75"/>
        <v>0</v>
      </c>
      <c r="BK108" s="37">
        <f t="shared" si="76"/>
        <v>0</v>
      </c>
      <c r="BL108" s="30" t="str">
        <f t="shared" si="77"/>
        <v xml:space="preserve"> </v>
      </c>
      <c r="BM108" s="26">
        <f t="shared" si="78"/>
        <v>0</v>
      </c>
      <c r="BO108" s="50">
        <f t="shared" si="79"/>
        <v>0</v>
      </c>
      <c r="BP108" s="50">
        <f t="shared" si="80"/>
        <v>0</v>
      </c>
    </row>
    <row r="109" spans="1:68">
      <c r="A109" s="16" t="s">
        <v>168</v>
      </c>
      <c r="B109" s="1" t="s">
        <v>66</v>
      </c>
      <c r="C109" s="24">
        <v>0</v>
      </c>
      <c r="D109" s="24" t="s">
        <v>433</v>
      </c>
      <c r="E109" s="24">
        <v>10</v>
      </c>
      <c r="F109" s="24">
        <v>0</v>
      </c>
      <c r="G109" s="24" t="s">
        <v>67</v>
      </c>
      <c r="H109" s="24">
        <v>0</v>
      </c>
      <c r="I109" s="24">
        <v>0</v>
      </c>
      <c r="J109" s="24">
        <v>0</v>
      </c>
      <c r="K109" s="24">
        <v>0</v>
      </c>
      <c r="L109" s="24">
        <v>2.4732620320855614</v>
      </c>
      <c r="M109" s="24">
        <v>0</v>
      </c>
      <c r="N109" s="24">
        <v>0</v>
      </c>
      <c r="O109" s="24">
        <v>0</v>
      </c>
      <c r="P109" s="24">
        <v>0</v>
      </c>
      <c r="Q109" s="24">
        <v>0</v>
      </c>
      <c r="R109" s="24">
        <v>0</v>
      </c>
      <c r="S109" s="24">
        <v>0</v>
      </c>
      <c r="T109" s="28">
        <f t="shared" si="43"/>
        <v>0</v>
      </c>
      <c r="U109" s="28">
        <f t="shared" si="44"/>
        <v>0</v>
      </c>
      <c r="V109" s="29">
        <f>IF(O109&gt;0,((VLOOKUP(E109,ACs!G$4:P$53,7)*P109)+(VLOOKUP(E109,ACs!G$4:P$53,6)*(1-P109)))*O109*F109,0)</f>
        <v>0</v>
      </c>
      <c r="W109" s="29">
        <f>IF(E109&gt;0,VLOOKUP(E109,ACs!G$4:P$53,10)*Q109*F109,0)</f>
        <v>0</v>
      </c>
      <c r="X109" s="29">
        <f t="shared" si="45"/>
        <v>0</v>
      </c>
      <c r="Y109" s="29">
        <f t="shared" si="46"/>
        <v>0</v>
      </c>
      <c r="Z109" s="29">
        <f t="shared" si="85"/>
        <v>0</v>
      </c>
      <c r="AA109" s="29">
        <f t="shared" si="48"/>
        <v>0</v>
      </c>
      <c r="AB109" s="30" t="str">
        <f t="shared" si="49"/>
        <v xml:space="preserve"> </v>
      </c>
      <c r="AC109" s="30" t="str">
        <f t="shared" si="50"/>
        <v xml:space="preserve"> </v>
      </c>
      <c r="AD109" s="31" t="str">
        <f t="shared" si="51"/>
        <v xml:space="preserve"> </v>
      </c>
      <c r="AE109" s="29">
        <f t="shared" si="52"/>
        <v>0</v>
      </c>
      <c r="AF109" s="29">
        <f t="shared" si="53"/>
        <v>0</v>
      </c>
      <c r="AG109" s="29">
        <f t="shared" si="54"/>
        <v>0</v>
      </c>
      <c r="AH109" s="29">
        <f t="shared" si="55"/>
        <v>0</v>
      </c>
      <c r="AI109" s="29">
        <f t="shared" si="56"/>
        <v>0</v>
      </c>
      <c r="AJ109" s="30" t="str">
        <f t="shared" si="57"/>
        <v xml:space="preserve"> </v>
      </c>
      <c r="AK109" s="30" t="str">
        <f t="shared" si="58"/>
        <v xml:space="preserve"> </v>
      </c>
      <c r="AL109" s="30" t="str">
        <f t="shared" si="59"/>
        <v xml:space="preserve"> </v>
      </c>
      <c r="AM109" s="32" t="str">
        <f t="shared" si="60"/>
        <v xml:space="preserve"> </v>
      </c>
      <c r="AN109" s="32" t="str">
        <f t="shared" si="61"/>
        <v xml:space="preserve"> </v>
      </c>
      <c r="AO109" s="32" t="str">
        <f t="shared" si="62"/>
        <v xml:space="preserve"> </v>
      </c>
      <c r="AP109" s="32" t="str">
        <f t="shared" si="63"/>
        <v xml:space="preserve"> </v>
      </c>
      <c r="AQ109" s="33">
        <f t="shared" si="64"/>
        <v>0</v>
      </c>
      <c r="AR109" s="27">
        <v>0.87</v>
      </c>
      <c r="AS109" s="30" t="str">
        <f t="shared" si="81"/>
        <v xml:space="preserve"> </v>
      </c>
      <c r="AT109" s="33">
        <f t="shared" si="82"/>
        <v>0</v>
      </c>
      <c r="AU109" s="32">
        <v>1</v>
      </c>
      <c r="AV109" s="33">
        <f t="shared" si="65"/>
        <v>0</v>
      </c>
      <c r="AW109" s="33">
        <f t="shared" si="66"/>
        <v>0</v>
      </c>
      <c r="AX109" s="30" t="str">
        <f t="shared" si="42"/>
        <v xml:space="preserve"> </v>
      </c>
      <c r="AY109" s="29">
        <f t="shared" si="67"/>
        <v>0</v>
      </c>
      <c r="AZ109" s="29">
        <f t="shared" si="68"/>
        <v>0</v>
      </c>
      <c r="BA109" s="30" t="str">
        <f t="shared" si="84"/>
        <v xml:space="preserve"> </v>
      </c>
      <c r="BB109" s="34">
        <f t="shared" si="69"/>
        <v>0</v>
      </c>
      <c r="BC109" s="35">
        <f t="shared" si="70"/>
        <v>0</v>
      </c>
      <c r="BD109" s="27">
        <v>1</v>
      </c>
      <c r="BE109" s="36">
        <f t="shared" si="71"/>
        <v>0</v>
      </c>
      <c r="BF109" s="36">
        <f t="shared" si="72"/>
        <v>0</v>
      </c>
      <c r="BG109" s="30" t="str">
        <f t="shared" si="73"/>
        <v xml:space="preserve"> </v>
      </c>
      <c r="BH109" s="33">
        <f t="shared" si="74"/>
        <v>0</v>
      </c>
      <c r="BI109" s="27">
        <v>1</v>
      </c>
      <c r="BJ109" s="36">
        <f t="shared" si="75"/>
        <v>0</v>
      </c>
      <c r="BK109" s="37">
        <f t="shared" si="76"/>
        <v>0</v>
      </c>
      <c r="BL109" s="30" t="str">
        <f t="shared" si="77"/>
        <v xml:space="preserve"> </v>
      </c>
      <c r="BM109" s="26">
        <f t="shared" si="78"/>
        <v>0</v>
      </c>
      <c r="BO109" s="50">
        <f t="shared" si="79"/>
        <v>0</v>
      </c>
      <c r="BP109" s="50">
        <f t="shared" si="80"/>
        <v>0</v>
      </c>
    </row>
    <row r="110" spans="1:68">
      <c r="A110" s="16" t="s">
        <v>169</v>
      </c>
      <c r="B110" s="1" t="s">
        <v>66</v>
      </c>
      <c r="C110" s="24">
        <v>0</v>
      </c>
      <c r="D110" s="24" t="s">
        <v>433</v>
      </c>
      <c r="E110" s="24">
        <v>10</v>
      </c>
      <c r="F110" s="24">
        <v>0</v>
      </c>
      <c r="G110" s="24" t="s">
        <v>67</v>
      </c>
      <c r="H110" s="24">
        <v>0</v>
      </c>
      <c r="I110" s="24">
        <v>0</v>
      </c>
      <c r="J110" s="24">
        <v>0</v>
      </c>
      <c r="K110" s="24">
        <v>0</v>
      </c>
      <c r="L110" s="24">
        <v>2.4732620320855614</v>
      </c>
      <c r="M110" s="24">
        <v>0</v>
      </c>
      <c r="N110" s="24">
        <v>0</v>
      </c>
      <c r="O110" s="24">
        <v>0</v>
      </c>
      <c r="P110" s="24">
        <v>0</v>
      </c>
      <c r="Q110" s="24">
        <v>0</v>
      </c>
      <c r="R110" s="24">
        <v>0</v>
      </c>
      <c r="S110" s="24">
        <v>0</v>
      </c>
      <c r="T110" s="28">
        <f t="shared" si="43"/>
        <v>0</v>
      </c>
      <c r="U110" s="28">
        <f t="shared" si="44"/>
        <v>0</v>
      </c>
      <c r="V110" s="29">
        <f>IF(O110&gt;0,((VLOOKUP(E110,ACs!G$4:P$53,7)*P110)+(VLOOKUP(E110,ACs!G$4:P$53,6)*(1-P110)))*O110*F110,0)</f>
        <v>0</v>
      </c>
      <c r="W110" s="29">
        <f>IF(E110&gt;0,VLOOKUP(E110,ACs!G$4:P$53,10)*Q110*F110,0)</f>
        <v>0</v>
      </c>
      <c r="X110" s="29">
        <f t="shared" si="45"/>
        <v>0</v>
      </c>
      <c r="Y110" s="29">
        <f t="shared" si="46"/>
        <v>0</v>
      </c>
      <c r="Z110" s="29">
        <f t="shared" si="85"/>
        <v>0</v>
      </c>
      <c r="AA110" s="29">
        <f t="shared" si="48"/>
        <v>0</v>
      </c>
      <c r="AB110" s="30" t="str">
        <f t="shared" si="49"/>
        <v xml:space="preserve"> </v>
      </c>
      <c r="AC110" s="30" t="str">
        <f t="shared" si="50"/>
        <v xml:space="preserve"> </v>
      </c>
      <c r="AD110" s="31" t="str">
        <f t="shared" si="51"/>
        <v xml:space="preserve"> </v>
      </c>
      <c r="AE110" s="29">
        <f t="shared" si="52"/>
        <v>0</v>
      </c>
      <c r="AF110" s="29">
        <f t="shared" si="53"/>
        <v>0</v>
      </c>
      <c r="AG110" s="29">
        <f t="shared" si="54"/>
        <v>0</v>
      </c>
      <c r="AH110" s="29">
        <f t="shared" si="55"/>
        <v>0</v>
      </c>
      <c r="AI110" s="29">
        <f t="shared" si="56"/>
        <v>0</v>
      </c>
      <c r="AJ110" s="30" t="str">
        <f t="shared" si="57"/>
        <v xml:space="preserve"> </v>
      </c>
      <c r="AK110" s="30" t="str">
        <f t="shared" si="58"/>
        <v xml:space="preserve"> </v>
      </c>
      <c r="AL110" s="30" t="str">
        <f t="shared" si="59"/>
        <v xml:space="preserve"> </v>
      </c>
      <c r="AM110" s="32" t="str">
        <f t="shared" si="60"/>
        <v xml:space="preserve"> </v>
      </c>
      <c r="AN110" s="32" t="str">
        <f t="shared" si="61"/>
        <v xml:space="preserve"> </v>
      </c>
      <c r="AO110" s="32" t="str">
        <f t="shared" si="62"/>
        <v xml:space="preserve"> </v>
      </c>
      <c r="AP110" s="32" t="str">
        <f t="shared" si="63"/>
        <v xml:space="preserve"> </v>
      </c>
      <c r="AQ110" s="33">
        <f t="shared" si="64"/>
        <v>0</v>
      </c>
      <c r="AR110" s="27">
        <v>0.87</v>
      </c>
      <c r="AS110" s="30" t="str">
        <f t="shared" si="81"/>
        <v xml:space="preserve"> </v>
      </c>
      <c r="AT110" s="33">
        <f t="shared" si="82"/>
        <v>0</v>
      </c>
      <c r="AU110" s="32">
        <v>1</v>
      </c>
      <c r="AV110" s="33">
        <f t="shared" si="65"/>
        <v>0</v>
      </c>
      <c r="AW110" s="33">
        <f t="shared" si="66"/>
        <v>0</v>
      </c>
      <c r="AX110" s="30" t="str">
        <f t="shared" si="42"/>
        <v xml:space="preserve"> </v>
      </c>
      <c r="AY110" s="29">
        <f t="shared" si="67"/>
        <v>0</v>
      </c>
      <c r="AZ110" s="29">
        <f t="shared" si="68"/>
        <v>0</v>
      </c>
      <c r="BA110" s="30" t="str">
        <f t="shared" si="84"/>
        <v xml:space="preserve"> </v>
      </c>
      <c r="BB110" s="34">
        <f t="shared" si="69"/>
        <v>0</v>
      </c>
      <c r="BC110" s="35">
        <f t="shared" si="70"/>
        <v>0</v>
      </c>
      <c r="BD110" s="27">
        <v>1</v>
      </c>
      <c r="BE110" s="36">
        <f t="shared" si="71"/>
        <v>0</v>
      </c>
      <c r="BF110" s="36">
        <f t="shared" si="72"/>
        <v>0</v>
      </c>
      <c r="BG110" s="30" t="str">
        <f t="shared" si="73"/>
        <v xml:space="preserve"> </v>
      </c>
      <c r="BH110" s="33">
        <f t="shared" si="74"/>
        <v>0</v>
      </c>
      <c r="BI110" s="27">
        <v>1</v>
      </c>
      <c r="BJ110" s="36">
        <f t="shared" si="75"/>
        <v>0</v>
      </c>
      <c r="BK110" s="37">
        <f t="shared" si="76"/>
        <v>0</v>
      </c>
      <c r="BL110" s="30" t="str">
        <f t="shared" si="77"/>
        <v xml:space="preserve"> </v>
      </c>
      <c r="BM110" s="26">
        <f t="shared" si="78"/>
        <v>0</v>
      </c>
      <c r="BO110" s="50">
        <f t="shared" si="79"/>
        <v>0</v>
      </c>
      <c r="BP110" s="50">
        <f t="shared" si="80"/>
        <v>0</v>
      </c>
    </row>
    <row r="111" spans="1:68">
      <c r="A111" s="16" t="s">
        <v>170</v>
      </c>
      <c r="B111" s="1" t="s">
        <v>66</v>
      </c>
      <c r="C111" s="24">
        <v>0</v>
      </c>
      <c r="D111" s="24" t="s">
        <v>433</v>
      </c>
      <c r="E111" s="24">
        <v>10</v>
      </c>
      <c r="F111" s="24">
        <v>0</v>
      </c>
      <c r="G111" s="24" t="s">
        <v>67</v>
      </c>
      <c r="H111" s="24">
        <v>0</v>
      </c>
      <c r="I111" s="24">
        <v>0</v>
      </c>
      <c r="J111" s="24">
        <v>0</v>
      </c>
      <c r="K111" s="24">
        <v>0</v>
      </c>
      <c r="L111" s="24">
        <v>2.4732620320855614</v>
      </c>
      <c r="M111" s="24">
        <v>0</v>
      </c>
      <c r="N111" s="24">
        <v>0</v>
      </c>
      <c r="O111" s="24">
        <v>0</v>
      </c>
      <c r="P111" s="24">
        <v>0</v>
      </c>
      <c r="Q111" s="24">
        <v>0</v>
      </c>
      <c r="R111" s="24">
        <v>0</v>
      </c>
      <c r="S111" s="24">
        <v>0</v>
      </c>
      <c r="T111" s="28">
        <f t="shared" si="43"/>
        <v>0</v>
      </c>
      <c r="U111" s="28">
        <f t="shared" si="44"/>
        <v>0</v>
      </c>
      <c r="V111" s="29">
        <f>IF(O111&gt;0,((VLOOKUP(E111,ACs!G$4:P$53,7)*P111)+(VLOOKUP(E111,ACs!G$4:P$53,6)*(1-P111)))*O111*F111,0)</f>
        <v>0</v>
      </c>
      <c r="W111" s="29">
        <f>IF(E111&gt;0,VLOOKUP(E111,ACs!G$4:P$53,10)*Q111*F111,0)</f>
        <v>0</v>
      </c>
      <c r="X111" s="29">
        <f t="shared" si="45"/>
        <v>0</v>
      </c>
      <c r="Y111" s="29">
        <f t="shared" si="46"/>
        <v>0</v>
      </c>
      <c r="Z111" s="29">
        <f t="shared" si="85"/>
        <v>0</v>
      </c>
      <c r="AA111" s="29">
        <f t="shared" si="48"/>
        <v>0</v>
      </c>
      <c r="AB111" s="30" t="str">
        <f t="shared" si="49"/>
        <v xml:space="preserve"> </v>
      </c>
      <c r="AC111" s="30" t="str">
        <f t="shared" si="50"/>
        <v xml:space="preserve"> </v>
      </c>
      <c r="AD111" s="31" t="str">
        <f t="shared" si="51"/>
        <v xml:space="preserve"> </v>
      </c>
      <c r="AE111" s="29">
        <f t="shared" si="52"/>
        <v>0</v>
      </c>
      <c r="AF111" s="29">
        <f t="shared" si="53"/>
        <v>0</v>
      </c>
      <c r="AG111" s="29">
        <f t="shared" si="54"/>
        <v>0</v>
      </c>
      <c r="AH111" s="29">
        <f t="shared" si="55"/>
        <v>0</v>
      </c>
      <c r="AI111" s="29">
        <f t="shared" si="56"/>
        <v>0</v>
      </c>
      <c r="AJ111" s="30" t="str">
        <f t="shared" si="57"/>
        <v xml:space="preserve"> </v>
      </c>
      <c r="AK111" s="30" t="str">
        <f t="shared" si="58"/>
        <v xml:space="preserve"> </v>
      </c>
      <c r="AL111" s="30" t="str">
        <f t="shared" si="59"/>
        <v xml:space="preserve"> </v>
      </c>
      <c r="AM111" s="32" t="str">
        <f t="shared" si="60"/>
        <v xml:space="preserve"> </v>
      </c>
      <c r="AN111" s="32" t="str">
        <f t="shared" si="61"/>
        <v xml:space="preserve"> </v>
      </c>
      <c r="AO111" s="32" t="str">
        <f t="shared" si="62"/>
        <v xml:space="preserve"> </v>
      </c>
      <c r="AP111" s="32" t="str">
        <f t="shared" si="63"/>
        <v xml:space="preserve"> </v>
      </c>
      <c r="AQ111" s="33">
        <f t="shared" si="64"/>
        <v>0</v>
      </c>
      <c r="AR111" s="27">
        <v>0.87</v>
      </c>
      <c r="AS111" s="30" t="str">
        <f t="shared" si="81"/>
        <v xml:space="preserve"> </v>
      </c>
      <c r="AT111" s="33">
        <f t="shared" si="82"/>
        <v>0</v>
      </c>
      <c r="AU111" s="32">
        <v>1</v>
      </c>
      <c r="AV111" s="33">
        <f t="shared" si="65"/>
        <v>0</v>
      </c>
      <c r="AW111" s="33">
        <f t="shared" si="66"/>
        <v>0</v>
      </c>
      <c r="AX111" s="30" t="str">
        <f t="shared" si="42"/>
        <v xml:space="preserve"> </v>
      </c>
      <c r="AY111" s="29">
        <f t="shared" si="67"/>
        <v>0</v>
      </c>
      <c r="AZ111" s="29">
        <f t="shared" si="68"/>
        <v>0</v>
      </c>
      <c r="BA111" s="30" t="str">
        <f t="shared" si="84"/>
        <v xml:space="preserve"> </v>
      </c>
      <c r="BB111" s="34">
        <f t="shared" si="69"/>
        <v>0</v>
      </c>
      <c r="BC111" s="35">
        <f t="shared" si="70"/>
        <v>0</v>
      </c>
      <c r="BD111" s="27">
        <v>1</v>
      </c>
      <c r="BE111" s="36">
        <f t="shared" si="71"/>
        <v>0</v>
      </c>
      <c r="BF111" s="36">
        <f t="shared" si="72"/>
        <v>0</v>
      </c>
      <c r="BG111" s="30" t="str">
        <f t="shared" si="73"/>
        <v xml:space="preserve"> </v>
      </c>
      <c r="BH111" s="33">
        <f t="shared" si="74"/>
        <v>0</v>
      </c>
      <c r="BI111" s="27">
        <v>1</v>
      </c>
      <c r="BJ111" s="36">
        <f t="shared" si="75"/>
        <v>0</v>
      </c>
      <c r="BK111" s="37">
        <f t="shared" si="76"/>
        <v>0</v>
      </c>
      <c r="BL111" s="30" t="str">
        <f t="shared" si="77"/>
        <v xml:space="preserve"> </v>
      </c>
      <c r="BM111" s="26">
        <f t="shared" si="78"/>
        <v>0</v>
      </c>
      <c r="BO111" s="50">
        <f t="shared" si="79"/>
        <v>0</v>
      </c>
      <c r="BP111" s="50">
        <f t="shared" si="80"/>
        <v>0</v>
      </c>
    </row>
    <row r="112" spans="1:68">
      <c r="A112" s="16" t="s">
        <v>171</v>
      </c>
      <c r="B112" s="1" t="s">
        <v>66</v>
      </c>
      <c r="C112" s="24">
        <v>0</v>
      </c>
      <c r="D112" s="24" t="s">
        <v>433</v>
      </c>
      <c r="E112" s="24">
        <v>10</v>
      </c>
      <c r="F112" s="24">
        <v>0</v>
      </c>
      <c r="G112" s="24" t="s">
        <v>67</v>
      </c>
      <c r="H112" s="24">
        <v>0</v>
      </c>
      <c r="I112" s="24">
        <v>0</v>
      </c>
      <c r="J112" s="24">
        <v>0</v>
      </c>
      <c r="K112" s="24">
        <v>0</v>
      </c>
      <c r="L112" s="24">
        <v>2.4732620320855614</v>
      </c>
      <c r="M112" s="24">
        <v>0</v>
      </c>
      <c r="N112" s="24">
        <v>0</v>
      </c>
      <c r="O112" s="24">
        <v>0</v>
      </c>
      <c r="P112" s="24">
        <v>0</v>
      </c>
      <c r="Q112" s="24">
        <v>0</v>
      </c>
      <c r="R112" s="24">
        <v>0</v>
      </c>
      <c r="S112" s="24">
        <v>0</v>
      </c>
      <c r="T112" s="28">
        <f t="shared" si="43"/>
        <v>0</v>
      </c>
      <c r="U112" s="28">
        <f t="shared" si="44"/>
        <v>0</v>
      </c>
      <c r="V112" s="29">
        <f>IF(O112&gt;0,((VLOOKUP(E112,ACs!G$4:P$53,7)*P112)+(VLOOKUP(E112,ACs!G$4:P$53,6)*(1-P112)))*O112*F112,0)</f>
        <v>0</v>
      </c>
      <c r="W112" s="29">
        <f>IF(E112&gt;0,VLOOKUP(E112,ACs!G$4:P$53,10)*Q112*F112,0)</f>
        <v>0</v>
      </c>
      <c r="X112" s="29">
        <f t="shared" si="45"/>
        <v>0</v>
      </c>
      <c r="Y112" s="29">
        <f t="shared" si="46"/>
        <v>0</v>
      </c>
      <c r="Z112" s="29">
        <f t="shared" si="85"/>
        <v>0</v>
      </c>
      <c r="AA112" s="29">
        <f t="shared" si="48"/>
        <v>0</v>
      </c>
      <c r="AB112" s="30" t="str">
        <f t="shared" si="49"/>
        <v xml:space="preserve"> </v>
      </c>
      <c r="AC112" s="30" t="str">
        <f t="shared" si="50"/>
        <v xml:space="preserve"> </v>
      </c>
      <c r="AD112" s="31" t="str">
        <f t="shared" si="51"/>
        <v xml:space="preserve"> </v>
      </c>
      <c r="AE112" s="29">
        <f t="shared" si="52"/>
        <v>0</v>
      </c>
      <c r="AF112" s="29">
        <f t="shared" si="53"/>
        <v>0</v>
      </c>
      <c r="AG112" s="29">
        <f t="shared" si="54"/>
        <v>0</v>
      </c>
      <c r="AH112" s="29">
        <f t="shared" si="55"/>
        <v>0</v>
      </c>
      <c r="AI112" s="29">
        <f t="shared" si="56"/>
        <v>0</v>
      </c>
      <c r="AJ112" s="30" t="str">
        <f t="shared" si="57"/>
        <v xml:space="preserve"> </v>
      </c>
      <c r="AK112" s="30" t="str">
        <f t="shared" si="58"/>
        <v xml:space="preserve"> </v>
      </c>
      <c r="AL112" s="30" t="str">
        <f t="shared" si="59"/>
        <v xml:space="preserve"> </v>
      </c>
      <c r="AM112" s="32" t="str">
        <f t="shared" si="60"/>
        <v xml:space="preserve"> </v>
      </c>
      <c r="AN112" s="32" t="str">
        <f t="shared" si="61"/>
        <v xml:space="preserve"> </v>
      </c>
      <c r="AO112" s="32" t="str">
        <f t="shared" si="62"/>
        <v xml:space="preserve"> </v>
      </c>
      <c r="AP112" s="32" t="str">
        <f t="shared" si="63"/>
        <v xml:space="preserve"> </v>
      </c>
      <c r="AQ112" s="33">
        <f t="shared" si="64"/>
        <v>0</v>
      </c>
      <c r="AR112" s="27">
        <v>0.87</v>
      </c>
      <c r="AS112" s="30" t="str">
        <f t="shared" si="81"/>
        <v xml:space="preserve"> </v>
      </c>
      <c r="AT112" s="33">
        <f t="shared" si="82"/>
        <v>0</v>
      </c>
      <c r="AU112" s="32">
        <v>1</v>
      </c>
      <c r="AV112" s="33">
        <f t="shared" si="65"/>
        <v>0</v>
      </c>
      <c r="AW112" s="33">
        <f t="shared" si="66"/>
        <v>0</v>
      </c>
      <c r="AX112" s="30" t="str">
        <f t="shared" si="42"/>
        <v xml:space="preserve"> </v>
      </c>
      <c r="AY112" s="29">
        <f t="shared" si="67"/>
        <v>0</v>
      </c>
      <c r="AZ112" s="29">
        <f t="shared" si="68"/>
        <v>0</v>
      </c>
      <c r="BA112" s="30" t="str">
        <f t="shared" si="84"/>
        <v xml:space="preserve"> </v>
      </c>
      <c r="BB112" s="34">
        <f t="shared" si="69"/>
        <v>0</v>
      </c>
      <c r="BC112" s="35">
        <f t="shared" si="70"/>
        <v>0</v>
      </c>
      <c r="BD112" s="27">
        <v>1</v>
      </c>
      <c r="BE112" s="36">
        <f t="shared" si="71"/>
        <v>0</v>
      </c>
      <c r="BF112" s="36">
        <f t="shared" si="72"/>
        <v>0</v>
      </c>
      <c r="BG112" s="30" t="str">
        <f t="shared" si="73"/>
        <v xml:space="preserve"> </v>
      </c>
      <c r="BH112" s="33">
        <f t="shared" si="74"/>
        <v>0</v>
      </c>
      <c r="BI112" s="27">
        <v>1</v>
      </c>
      <c r="BJ112" s="36">
        <f t="shared" si="75"/>
        <v>0</v>
      </c>
      <c r="BK112" s="37">
        <f t="shared" si="76"/>
        <v>0</v>
      </c>
      <c r="BL112" s="30" t="str">
        <f t="shared" si="77"/>
        <v xml:space="preserve"> </v>
      </c>
      <c r="BM112" s="26">
        <f t="shared" si="78"/>
        <v>0</v>
      </c>
      <c r="BO112" s="50">
        <f t="shared" si="79"/>
        <v>0</v>
      </c>
      <c r="BP112" s="50">
        <f t="shared" si="80"/>
        <v>0</v>
      </c>
    </row>
    <row r="113" spans="1:68">
      <c r="A113" s="16" t="s">
        <v>172</v>
      </c>
      <c r="B113" s="1" t="s">
        <v>66</v>
      </c>
      <c r="C113" s="24">
        <v>0</v>
      </c>
      <c r="D113" s="24" t="s">
        <v>433</v>
      </c>
      <c r="E113" s="24">
        <v>10</v>
      </c>
      <c r="F113" s="24">
        <v>0</v>
      </c>
      <c r="G113" s="24" t="s">
        <v>67</v>
      </c>
      <c r="H113" s="24">
        <v>0</v>
      </c>
      <c r="I113" s="24">
        <v>0</v>
      </c>
      <c r="J113" s="24">
        <v>0</v>
      </c>
      <c r="K113" s="24">
        <v>0</v>
      </c>
      <c r="L113" s="24">
        <v>2.4732620320855614</v>
      </c>
      <c r="M113" s="24">
        <v>0</v>
      </c>
      <c r="N113" s="24">
        <v>0</v>
      </c>
      <c r="O113" s="24">
        <v>0</v>
      </c>
      <c r="P113" s="24">
        <v>0</v>
      </c>
      <c r="Q113" s="24">
        <v>0</v>
      </c>
      <c r="R113" s="24">
        <v>0</v>
      </c>
      <c r="S113" s="24">
        <v>0</v>
      </c>
      <c r="T113" s="28">
        <f t="shared" si="43"/>
        <v>0</v>
      </c>
      <c r="U113" s="28">
        <f t="shared" si="44"/>
        <v>0</v>
      </c>
      <c r="V113" s="29">
        <f>IF(O113&gt;0,((VLOOKUP(E113,ACs!G$4:P$53,7)*P113)+(VLOOKUP(E113,ACs!G$4:P$53,6)*(1-P113)))*O113*F113,0)</f>
        <v>0</v>
      </c>
      <c r="W113" s="29">
        <f>IF(E113&gt;0,VLOOKUP(E113,ACs!G$4:P$53,10)*Q113*F113,0)</f>
        <v>0</v>
      </c>
      <c r="X113" s="29">
        <f t="shared" si="45"/>
        <v>0</v>
      </c>
      <c r="Y113" s="29">
        <f t="shared" si="46"/>
        <v>0</v>
      </c>
      <c r="Z113" s="29">
        <f t="shared" si="85"/>
        <v>0</v>
      </c>
      <c r="AA113" s="29">
        <f t="shared" si="48"/>
        <v>0</v>
      </c>
      <c r="AB113" s="30" t="str">
        <f t="shared" si="49"/>
        <v xml:space="preserve"> </v>
      </c>
      <c r="AC113" s="30" t="str">
        <f t="shared" si="50"/>
        <v xml:space="preserve"> </v>
      </c>
      <c r="AD113" s="31" t="str">
        <f t="shared" si="51"/>
        <v xml:space="preserve"> </v>
      </c>
      <c r="AE113" s="29">
        <f t="shared" si="52"/>
        <v>0</v>
      </c>
      <c r="AF113" s="29">
        <f t="shared" si="53"/>
        <v>0</v>
      </c>
      <c r="AG113" s="29">
        <f t="shared" si="54"/>
        <v>0</v>
      </c>
      <c r="AH113" s="29">
        <f t="shared" si="55"/>
        <v>0</v>
      </c>
      <c r="AI113" s="29">
        <f t="shared" si="56"/>
        <v>0</v>
      </c>
      <c r="AJ113" s="30" t="str">
        <f t="shared" si="57"/>
        <v xml:space="preserve"> </v>
      </c>
      <c r="AK113" s="30" t="str">
        <f t="shared" si="58"/>
        <v xml:space="preserve"> </v>
      </c>
      <c r="AL113" s="30" t="str">
        <f t="shared" si="59"/>
        <v xml:space="preserve"> </v>
      </c>
      <c r="AM113" s="32" t="str">
        <f t="shared" si="60"/>
        <v xml:space="preserve"> </v>
      </c>
      <c r="AN113" s="32" t="str">
        <f t="shared" si="61"/>
        <v xml:space="preserve"> </v>
      </c>
      <c r="AO113" s="32" t="str">
        <f t="shared" si="62"/>
        <v xml:space="preserve"> </v>
      </c>
      <c r="AP113" s="32" t="str">
        <f t="shared" si="63"/>
        <v xml:space="preserve"> </v>
      </c>
      <c r="AQ113" s="33">
        <f t="shared" si="64"/>
        <v>0</v>
      </c>
      <c r="AR113" s="27">
        <v>0.87</v>
      </c>
      <c r="AS113" s="30" t="str">
        <f t="shared" si="81"/>
        <v xml:space="preserve"> </v>
      </c>
      <c r="AT113" s="33">
        <f t="shared" si="82"/>
        <v>0</v>
      </c>
      <c r="AU113" s="32">
        <v>1</v>
      </c>
      <c r="AV113" s="33">
        <f t="shared" si="65"/>
        <v>0</v>
      </c>
      <c r="AW113" s="33">
        <f t="shared" si="66"/>
        <v>0</v>
      </c>
      <c r="AX113" s="30" t="str">
        <f t="shared" si="42"/>
        <v xml:space="preserve"> </v>
      </c>
      <c r="AY113" s="29">
        <f t="shared" si="67"/>
        <v>0</v>
      </c>
      <c r="AZ113" s="29">
        <f t="shared" si="68"/>
        <v>0</v>
      </c>
      <c r="BA113" s="30" t="str">
        <f t="shared" si="84"/>
        <v xml:space="preserve"> </v>
      </c>
      <c r="BB113" s="34">
        <f t="shared" si="69"/>
        <v>0</v>
      </c>
      <c r="BC113" s="35">
        <f t="shared" si="70"/>
        <v>0</v>
      </c>
      <c r="BD113" s="27">
        <v>1</v>
      </c>
      <c r="BE113" s="36">
        <f t="shared" si="71"/>
        <v>0</v>
      </c>
      <c r="BF113" s="36">
        <f t="shared" si="72"/>
        <v>0</v>
      </c>
      <c r="BG113" s="30" t="str">
        <f t="shared" si="73"/>
        <v xml:space="preserve"> </v>
      </c>
      <c r="BH113" s="33">
        <f t="shared" si="74"/>
        <v>0</v>
      </c>
      <c r="BI113" s="27">
        <v>1</v>
      </c>
      <c r="BJ113" s="36">
        <f t="shared" si="75"/>
        <v>0</v>
      </c>
      <c r="BK113" s="37">
        <f t="shared" si="76"/>
        <v>0</v>
      </c>
      <c r="BL113" s="30" t="str">
        <f t="shared" si="77"/>
        <v xml:space="preserve"> </v>
      </c>
      <c r="BM113" s="26">
        <f t="shared" si="78"/>
        <v>0</v>
      </c>
      <c r="BO113" s="50">
        <f t="shared" si="79"/>
        <v>0</v>
      </c>
      <c r="BP113" s="50">
        <f t="shared" si="80"/>
        <v>0</v>
      </c>
    </row>
    <row r="114" spans="1:68">
      <c r="A114" s="16" t="s">
        <v>173</v>
      </c>
      <c r="B114" s="1" t="s">
        <v>66</v>
      </c>
      <c r="C114" s="24">
        <v>0</v>
      </c>
      <c r="D114" s="24" t="s">
        <v>432</v>
      </c>
      <c r="E114" s="24">
        <v>10</v>
      </c>
      <c r="F114" s="24">
        <v>0</v>
      </c>
      <c r="G114" s="24" t="s">
        <v>67</v>
      </c>
      <c r="H114" s="24">
        <v>1000</v>
      </c>
      <c r="I114" s="24">
        <v>33</v>
      </c>
      <c r="J114" s="24">
        <v>0</v>
      </c>
      <c r="K114" s="24">
        <v>0</v>
      </c>
      <c r="L114" s="24">
        <v>16.927005347593582</v>
      </c>
      <c r="M114" s="24">
        <v>0</v>
      </c>
      <c r="N114" s="24">
        <v>33</v>
      </c>
      <c r="O114" s="24">
        <v>55.407754010695157</v>
      </c>
      <c r="P114" s="24">
        <v>0</v>
      </c>
      <c r="Q114" s="24">
        <v>0</v>
      </c>
      <c r="R114" s="24">
        <v>0</v>
      </c>
      <c r="S114" s="24">
        <v>0</v>
      </c>
      <c r="T114" s="28">
        <f t="shared" si="43"/>
        <v>1</v>
      </c>
      <c r="U114" s="28">
        <f t="shared" si="44"/>
        <v>0</v>
      </c>
      <c r="V114" s="29">
        <f>IF(O114&gt;0,((VLOOKUP(E114,ACs!G$4:P$53,7)*P114)+(VLOOKUP(E114,ACs!G$4:P$53,6)*(1-P114)))*O114*F114,0)</f>
        <v>0</v>
      </c>
      <c r="W114" s="29">
        <f>IF(E114&gt;0,VLOOKUP(E114,ACs!G$4:P$53,10)*Q114*F114,0)</f>
        <v>0</v>
      </c>
      <c r="X114" s="29">
        <f t="shared" si="45"/>
        <v>0</v>
      </c>
      <c r="Y114" s="29">
        <f t="shared" si="46"/>
        <v>0</v>
      </c>
      <c r="Z114" s="29">
        <f t="shared" si="85"/>
        <v>0</v>
      </c>
      <c r="AA114" s="29">
        <f t="shared" si="48"/>
        <v>0</v>
      </c>
      <c r="AB114" s="30" t="str">
        <f t="shared" si="49"/>
        <v xml:space="preserve"> </v>
      </c>
      <c r="AC114" s="30" t="str">
        <f t="shared" si="50"/>
        <v xml:space="preserve"> </v>
      </c>
      <c r="AD114" s="31" t="str">
        <f t="shared" si="51"/>
        <v xml:space="preserve"> </v>
      </c>
      <c r="AE114" s="29">
        <f t="shared" si="52"/>
        <v>0</v>
      </c>
      <c r="AF114" s="29">
        <f t="shared" si="53"/>
        <v>0</v>
      </c>
      <c r="AG114" s="29">
        <f t="shared" si="54"/>
        <v>0</v>
      </c>
      <c r="AH114" s="29">
        <f t="shared" si="55"/>
        <v>0</v>
      </c>
      <c r="AI114" s="29">
        <f t="shared" si="56"/>
        <v>0</v>
      </c>
      <c r="AJ114" s="30" t="str">
        <f t="shared" si="57"/>
        <v xml:space="preserve"> </v>
      </c>
      <c r="AK114" s="30" t="str">
        <f t="shared" si="58"/>
        <v xml:space="preserve"> </v>
      </c>
      <c r="AL114" s="30" t="str">
        <f t="shared" si="59"/>
        <v xml:space="preserve"> </v>
      </c>
      <c r="AM114" s="32" t="str">
        <f t="shared" si="60"/>
        <v xml:space="preserve"> </v>
      </c>
      <c r="AN114" s="32" t="str">
        <f t="shared" si="61"/>
        <v xml:space="preserve"> </v>
      </c>
      <c r="AO114" s="32" t="str">
        <f t="shared" si="62"/>
        <v xml:space="preserve"> </v>
      </c>
      <c r="AP114" s="32" t="str">
        <f t="shared" si="63"/>
        <v xml:space="preserve"> </v>
      </c>
      <c r="AQ114" s="33">
        <f t="shared" si="64"/>
        <v>0</v>
      </c>
      <c r="AR114" s="27">
        <v>0.87</v>
      </c>
      <c r="AS114" s="30" t="str">
        <f t="shared" si="81"/>
        <v xml:space="preserve"> </v>
      </c>
      <c r="AT114" s="33">
        <f t="shared" si="82"/>
        <v>0</v>
      </c>
      <c r="AU114" s="32">
        <v>1</v>
      </c>
      <c r="AV114" s="33">
        <f t="shared" si="65"/>
        <v>0</v>
      </c>
      <c r="AW114" s="33">
        <f t="shared" si="66"/>
        <v>0</v>
      </c>
      <c r="AX114" s="30" t="str">
        <f t="shared" si="42"/>
        <v xml:space="preserve"> </v>
      </c>
      <c r="AY114" s="29">
        <f t="shared" si="67"/>
        <v>0</v>
      </c>
      <c r="AZ114" s="29">
        <f t="shared" si="68"/>
        <v>0</v>
      </c>
      <c r="BA114" s="30" t="str">
        <f t="shared" si="84"/>
        <v xml:space="preserve"> </v>
      </c>
      <c r="BB114" s="34">
        <f t="shared" si="69"/>
        <v>0</v>
      </c>
      <c r="BC114" s="35">
        <f t="shared" si="70"/>
        <v>1</v>
      </c>
      <c r="BD114" s="27">
        <v>1</v>
      </c>
      <c r="BE114" s="36">
        <f t="shared" si="71"/>
        <v>0</v>
      </c>
      <c r="BF114" s="36">
        <f t="shared" si="72"/>
        <v>0</v>
      </c>
      <c r="BG114" s="30" t="str">
        <f t="shared" si="73"/>
        <v xml:space="preserve"> </v>
      </c>
      <c r="BH114" s="33">
        <f t="shared" si="74"/>
        <v>0</v>
      </c>
      <c r="BI114" s="27">
        <v>1</v>
      </c>
      <c r="BJ114" s="36">
        <f t="shared" si="75"/>
        <v>0</v>
      </c>
      <c r="BK114" s="37">
        <f t="shared" si="76"/>
        <v>0</v>
      </c>
      <c r="BL114" s="30" t="str">
        <f t="shared" si="77"/>
        <v xml:space="preserve"> </v>
      </c>
      <c r="BM114" s="26">
        <f t="shared" si="78"/>
        <v>0</v>
      </c>
      <c r="BO114" s="50">
        <f t="shared" si="79"/>
        <v>0</v>
      </c>
      <c r="BP114" s="50">
        <f t="shared" si="80"/>
        <v>0</v>
      </c>
    </row>
    <row r="115" spans="1:68">
      <c r="A115" s="16" t="s">
        <v>174</v>
      </c>
      <c r="B115" s="1" t="s">
        <v>66</v>
      </c>
      <c r="C115" s="24">
        <v>1</v>
      </c>
      <c r="D115" s="24" t="s">
        <v>432</v>
      </c>
      <c r="E115" s="24">
        <v>10</v>
      </c>
      <c r="F115" s="24">
        <v>1</v>
      </c>
      <c r="G115" s="24" t="s">
        <v>67</v>
      </c>
      <c r="H115" s="24">
        <v>1000</v>
      </c>
      <c r="I115" s="24">
        <v>128</v>
      </c>
      <c r="J115" s="24">
        <v>0</v>
      </c>
      <c r="K115" s="24">
        <v>0</v>
      </c>
      <c r="L115" s="24">
        <v>66.35267379679145</v>
      </c>
      <c r="M115" s="24">
        <v>0</v>
      </c>
      <c r="N115" s="24">
        <v>128</v>
      </c>
      <c r="O115" s="24">
        <v>217.1983957219251</v>
      </c>
      <c r="P115" s="24">
        <v>0</v>
      </c>
      <c r="Q115" s="24">
        <v>2679.5181978740729</v>
      </c>
      <c r="R115" s="24">
        <v>250</v>
      </c>
      <c r="S115" s="24">
        <v>0</v>
      </c>
      <c r="T115" s="28">
        <f t="shared" si="43"/>
        <v>0.70370370370370383</v>
      </c>
      <c r="U115" s="28">
        <f t="shared" si="44"/>
        <v>0.37169597516215486</v>
      </c>
      <c r="V115" s="29">
        <f>IF(O115&gt;0,((VLOOKUP(E115,ACs!G$4:P$53,7)*P115)+(VLOOKUP(E115,ACs!G$4:P$53,6)*(1-P115)))*O115*F115,0)</f>
        <v>678.06525465102561</v>
      </c>
      <c r="W115" s="29">
        <f>IF(E115&gt;0,VLOOKUP(E115,ACs!G$4:P$53,10)*Q115*F115,0)</f>
        <v>1146.1817105070315</v>
      </c>
      <c r="X115" s="29">
        <f t="shared" si="45"/>
        <v>470.37257697918602</v>
      </c>
      <c r="Y115" s="29">
        <f t="shared" si="46"/>
        <v>1000</v>
      </c>
      <c r="Z115" s="29">
        <f t="shared" si="85"/>
        <v>0</v>
      </c>
      <c r="AA115" s="29">
        <f t="shared" si="48"/>
        <v>250</v>
      </c>
      <c r="AB115" s="30">
        <f t="shared" si="49"/>
        <v>2.2946195421372431</v>
      </c>
      <c r="AC115" s="30">
        <f t="shared" si="50"/>
        <v>1.8242469651580573</v>
      </c>
      <c r="AD115" s="31">
        <f t="shared" si="51"/>
        <v>7.2969878606322292</v>
      </c>
      <c r="AE115" s="29">
        <f t="shared" si="52"/>
        <v>678.06525465102561</v>
      </c>
      <c r="AF115" s="29">
        <f t="shared" si="53"/>
        <v>174.83559368981429</v>
      </c>
      <c r="AG115" s="29">
        <f t="shared" si="54"/>
        <v>371.69597516215487</v>
      </c>
      <c r="AH115" s="29">
        <f t="shared" si="55"/>
        <v>0</v>
      </c>
      <c r="AI115" s="29">
        <f t="shared" si="56"/>
        <v>92.923993790538717</v>
      </c>
      <c r="AJ115" s="30">
        <f t="shared" si="57"/>
        <v>2.2946195421372435</v>
      </c>
      <c r="AK115" s="30">
        <f t="shared" si="58"/>
        <v>1.8242469651580571</v>
      </c>
      <c r="AL115" s="30">
        <f t="shared" si="59"/>
        <v>7.2969878606322283</v>
      </c>
      <c r="AM115" s="32">
        <f t="shared" si="60"/>
        <v>0.79501064627860962</v>
      </c>
      <c r="AN115" s="32">
        <f t="shared" si="61"/>
        <v>0.79501064627860973</v>
      </c>
      <c r="AO115" s="32">
        <f t="shared" si="62"/>
        <v>0.13704284824085725</v>
      </c>
      <c r="AP115" s="32">
        <f t="shared" si="63"/>
        <v>0.13704284824085722</v>
      </c>
      <c r="AQ115" s="33">
        <f t="shared" si="64"/>
        <v>217.1983957219251</v>
      </c>
      <c r="AR115" s="27">
        <v>0.87</v>
      </c>
      <c r="AS115" s="30">
        <f t="shared" si="81"/>
        <v>2.2946195421372431</v>
      </c>
      <c r="AT115" s="33">
        <f t="shared" si="82"/>
        <v>188.96260427807482</v>
      </c>
      <c r="AU115" s="32">
        <v>1</v>
      </c>
      <c r="AV115" s="33">
        <f t="shared" si="65"/>
        <v>852.90084834083996</v>
      </c>
      <c r="AW115" s="33">
        <f t="shared" si="66"/>
        <v>371.69597516215487</v>
      </c>
      <c r="AX115" s="30">
        <f t="shared" si="42"/>
        <v>2.2946195421372435</v>
      </c>
      <c r="AY115" s="29">
        <f t="shared" si="67"/>
        <v>742.02373805653076</v>
      </c>
      <c r="AZ115" s="29">
        <f t="shared" si="68"/>
        <v>323.37549839107476</v>
      </c>
      <c r="BA115" s="30">
        <f t="shared" si="84"/>
        <v>2.2946195421372431</v>
      </c>
      <c r="BB115" s="34">
        <f t="shared" si="69"/>
        <v>1</v>
      </c>
      <c r="BC115" s="35">
        <f t="shared" si="70"/>
        <v>1</v>
      </c>
      <c r="BD115" s="27">
        <v>1</v>
      </c>
      <c r="BE115" s="36">
        <f t="shared" si="71"/>
        <v>174.83559368981429</v>
      </c>
      <c r="BF115" s="36">
        <f t="shared" si="72"/>
        <v>371.69597516215487</v>
      </c>
      <c r="BG115" s="30">
        <f t="shared" si="73"/>
        <v>0.470372576979186</v>
      </c>
      <c r="BH115" s="33">
        <f t="shared" si="74"/>
        <v>217.1983957219251</v>
      </c>
      <c r="BI115" s="27">
        <v>1</v>
      </c>
      <c r="BJ115" s="36">
        <f>((AE115)+AF115)*BI115</f>
        <v>852.90084834083996</v>
      </c>
      <c r="BK115" s="37">
        <f t="shared" si="76"/>
        <v>371.69597516215487</v>
      </c>
      <c r="BL115" s="30">
        <f t="shared" si="77"/>
        <v>2.2946195421372435</v>
      </c>
      <c r="BM115" s="26">
        <f t="shared" si="78"/>
        <v>217.1983957219251</v>
      </c>
      <c r="BO115" s="50">
        <f t="shared" si="79"/>
        <v>678.06525465102561</v>
      </c>
      <c r="BP115" s="50">
        <f t="shared" si="80"/>
        <v>174.83559368981429</v>
      </c>
    </row>
    <row r="116" spans="1:68">
      <c r="A116" s="16" t="s">
        <v>175</v>
      </c>
      <c r="B116" s="1" t="s">
        <v>66</v>
      </c>
      <c r="C116" s="24">
        <v>2</v>
      </c>
      <c r="D116" s="24" t="s">
        <v>432</v>
      </c>
      <c r="E116" s="24">
        <v>10</v>
      </c>
      <c r="F116" s="24">
        <v>2</v>
      </c>
      <c r="G116" s="24" t="s">
        <v>67</v>
      </c>
      <c r="H116" s="24">
        <v>2000</v>
      </c>
      <c r="I116" s="24">
        <v>328</v>
      </c>
      <c r="J116" s="24">
        <v>0</v>
      </c>
      <c r="K116" s="24">
        <v>0</v>
      </c>
      <c r="L116" s="24">
        <v>169.35414438502676</v>
      </c>
      <c r="M116" s="24">
        <v>0</v>
      </c>
      <c r="N116" s="24">
        <v>328</v>
      </c>
      <c r="O116" s="24">
        <v>554.37304812834213</v>
      </c>
      <c r="P116" s="24">
        <v>0</v>
      </c>
      <c r="Q116" s="24">
        <v>0</v>
      </c>
      <c r="R116" s="24">
        <v>1000</v>
      </c>
      <c r="S116" s="24">
        <v>0</v>
      </c>
      <c r="T116" s="28">
        <f t="shared" si="43"/>
        <v>1</v>
      </c>
      <c r="U116" s="28">
        <f t="shared" si="44"/>
        <v>1</v>
      </c>
      <c r="V116" s="29">
        <f>IF(O116&gt;0,((VLOOKUP(E116,ACs!G$4:P$53,7)*P116)+(VLOOKUP(E116,ACs!G$4:P$53,6)*(1-P116)))*O116*F116,0)</f>
        <v>3461.3616808852353</v>
      </c>
      <c r="W116" s="29">
        <f>IF(E116&gt;0,VLOOKUP(E116,ACs!G$4:P$53,10)*Q116*F116,0)</f>
        <v>0</v>
      </c>
      <c r="X116" s="29">
        <f t="shared" si="45"/>
        <v>2401.0952613741456</v>
      </c>
      <c r="Y116" s="29">
        <f t="shared" si="46"/>
        <v>4000</v>
      </c>
      <c r="Z116" s="29">
        <f t="shared" si="85"/>
        <v>0</v>
      </c>
      <c r="AA116" s="29">
        <f t="shared" si="48"/>
        <v>2000</v>
      </c>
      <c r="AB116" s="30">
        <f t="shared" si="49"/>
        <v>1.4656142355648454</v>
      </c>
      <c r="AC116" s="30">
        <f t="shared" si="50"/>
        <v>0.86534042022130886</v>
      </c>
      <c r="AD116" s="31">
        <f t="shared" si="51"/>
        <v>1.7306808404426177</v>
      </c>
      <c r="AE116" s="29">
        <f t="shared" si="52"/>
        <v>3461.3616808852353</v>
      </c>
      <c r="AF116" s="29">
        <f t="shared" si="53"/>
        <v>2401.0952613741456</v>
      </c>
      <c r="AG116" s="29">
        <f t="shared" si="54"/>
        <v>4000</v>
      </c>
      <c r="AH116" s="29">
        <f t="shared" si="55"/>
        <v>0</v>
      </c>
      <c r="AI116" s="29">
        <f t="shared" si="56"/>
        <v>2000</v>
      </c>
      <c r="AJ116" s="30">
        <f t="shared" si="57"/>
        <v>1.4656142355648454</v>
      </c>
      <c r="AK116" s="30">
        <f t="shared" si="58"/>
        <v>0.86534042022130886</v>
      </c>
      <c r="AL116" s="30">
        <f t="shared" si="59"/>
        <v>1.7306808404426177</v>
      </c>
      <c r="AM116" s="32">
        <f t="shared" si="60"/>
        <v>0.59042850377869593</v>
      </c>
      <c r="AN116" s="32">
        <f t="shared" si="61"/>
        <v>0.59042850377869593</v>
      </c>
      <c r="AO116" s="32">
        <f t="shared" si="62"/>
        <v>0.57780728637652934</v>
      </c>
      <c r="AP116" s="32">
        <f t="shared" si="63"/>
        <v>0.57780728637652934</v>
      </c>
      <c r="AQ116" s="33">
        <f t="shared" si="64"/>
        <v>1108.7460962566843</v>
      </c>
      <c r="AR116" s="27">
        <v>0.87</v>
      </c>
      <c r="AS116" s="30">
        <f t="shared" si="81"/>
        <v>1.4656142355648454</v>
      </c>
      <c r="AT116" s="33">
        <f t="shared" si="82"/>
        <v>964.60910374331536</v>
      </c>
      <c r="AU116" s="32">
        <v>1</v>
      </c>
      <c r="AV116" s="33">
        <f t="shared" si="65"/>
        <v>5862.4569422593813</v>
      </c>
      <c r="AW116" s="33">
        <f t="shared" si="66"/>
        <v>4000</v>
      </c>
      <c r="AX116" s="30">
        <f t="shared" si="42"/>
        <v>1.4656142355648454</v>
      </c>
      <c r="AY116" s="29">
        <f t="shared" si="67"/>
        <v>5100.3375397656619</v>
      </c>
      <c r="AZ116" s="29">
        <f t="shared" si="68"/>
        <v>3480</v>
      </c>
      <c r="BA116" s="30">
        <f t="shared" si="84"/>
        <v>1.4656142355648454</v>
      </c>
      <c r="BB116" s="34">
        <f t="shared" si="69"/>
        <v>1</v>
      </c>
      <c r="BC116" s="35">
        <f t="shared" si="70"/>
        <v>1</v>
      </c>
      <c r="BD116" s="27">
        <v>1</v>
      </c>
      <c r="BE116" s="36">
        <f t="shared" si="71"/>
        <v>2401.0952613741456</v>
      </c>
      <c r="BF116" s="36">
        <f t="shared" si="72"/>
        <v>4000</v>
      </c>
      <c r="BG116" s="30">
        <f t="shared" si="73"/>
        <v>0.60027381534353641</v>
      </c>
      <c r="BH116" s="33">
        <f t="shared" si="74"/>
        <v>1108.7460962566843</v>
      </c>
      <c r="BI116" s="27">
        <v>1</v>
      </c>
      <c r="BJ116" s="36">
        <f t="shared" si="75"/>
        <v>5862.4569422593813</v>
      </c>
      <c r="BK116" s="37">
        <f t="shared" si="76"/>
        <v>4000</v>
      </c>
      <c r="BL116" s="30">
        <f t="shared" si="77"/>
        <v>1.4656142355648454</v>
      </c>
      <c r="BM116" s="26">
        <f t="shared" si="78"/>
        <v>1108.7460962566843</v>
      </c>
      <c r="BO116" s="50">
        <f t="shared" si="79"/>
        <v>3461.3616808852353</v>
      </c>
      <c r="BP116" s="50">
        <f t="shared" si="80"/>
        <v>2401.0952613741456</v>
      </c>
    </row>
    <row r="117" spans="1:68">
      <c r="A117" s="16" t="s">
        <v>176</v>
      </c>
      <c r="B117" s="1" t="s">
        <v>66</v>
      </c>
      <c r="C117" s="24">
        <v>2</v>
      </c>
      <c r="D117" s="24" t="s">
        <v>432</v>
      </c>
      <c r="E117" s="24">
        <v>10</v>
      </c>
      <c r="F117" s="24">
        <v>2</v>
      </c>
      <c r="G117" s="24" t="s">
        <v>67</v>
      </c>
      <c r="H117" s="24">
        <v>2100</v>
      </c>
      <c r="I117" s="24">
        <v>240</v>
      </c>
      <c r="J117" s="24">
        <v>0</v>
      </c>
      <c r="K117" s="24">
        <v>0</v>
      </c>
      <c r="L117" s="24">
        <v>123.85601604278075</v>
      </c>
      <c r="M117" s="24">
        <v>0</v>
      </c>
      <c r="N117" s="24">
        <v>240</v>
      </c>
      <c r="O117" s="24">
        <v>405.43700534759341</v>
      </c>
      <c r="P117" s="24">
        <v>0</v>
      </c>
      <c r="Q117" s="24">
        <v>5196.6473026982712</v>
      </c>
      <c r="R117" s="24">
        <v>1000</v>
      </c>
      <c r="S117" s="24">
        <v>0</v>
      </c>
      <c r="T117" s="28">
        <f t="shared" si="43"/>
        <v>0.69567260593864932</v>
      </c>
      <c r="U117" s="28">
        <f t="shared" si="44"/>
        <v>0.36281423731220441</v>
      </c>
      <c r="V117" s="29">
        <f>IF(O117&gt;0,((VLOOKUP(E117,ACs!G$4:P$53,7)*P117)+(VLOOKUP(E117,ACs!G$4:P$53,6)*(1-P117)))*O117*F117,0)</f>
        <v>2531.4436173638283</v>
      </c>
      <c r="W117" s="29">
        <f>IF(E117&gt;0,VLOOKUP(E117,ACs!G$4:P$53,10)*Q117*F117,0)</f>
        <v>4445.8008152616248</v>
      </c>
      <c r="X117" s="29">
        <f t="shared" si="45"/>
        <v>1756.024892646763</v>
      </c>
      <c r="Y117" s="29">
        <f t="shared" si="46"/>
        <v>4200</v>
      </c>
      <c r="Z117" s="29">
        <f t="shared" si="85"/>
        <v>0</v>
      </c>
      <c r="AA117" s="29">
        <f t="shared" si="48"/>
        <v>2000</v>
      </c>
      <c r="AB117" s="30">
        <f t="shared" si="49"/>
        <v>2.0793498393505279</v>
      </c>
      <c r="AC117" s="30">
        <f t="shared" si="50"/>
        <v>1.6612486744346318</v>
      </c>
      <c r="AD117" s="31">
        <f t="shared" si="51"/>
        <v>3.4886222163127267</v>
      </c>
      <c r="AE117" s="29">
        <f t="shared" si="52"/>
        <v>2531.4436173638283</v>
      </c>
      <c r="AF117" s="29">
        <f t="shared" si="53"/>
        <v>637.11083212688095</v>
      </c>
      <c r="AG117" s="29">
        <f t="shared" si="54"/>
        <v>1523.8197967112585</v>
      </c>
      <c r="AH117" s="29">
        <f t="shared" si="55"/>
        <v>0</v>
      </c>
      <c r="AI117" s="29">
        <f t="shared" si="56"/>
        <v>725.6284746244088</v>
      </c>
      <c r="AJ117" s="30">
        <f t="shared" si="57"/>
        <v>2.0793498393505274</v>
      </c>
      <c r="AK117" s="30">
        <f t="shared" si="58"/>
        <v>1.6612486744346318</v>
      </c>
      <c r="AL117" s="30">
        <f t="shared" si="59"/>
        <v>3.4886222163127267</v>
      </c>
      <c r="AM117" s="32">
        <f t="shared" si="60"/>
        <v>0.79892697370900934</v>
      </c>
      <c r="AN117" s="32">
        <f t="shared" si="61"/>
        <v>0.79892697370900934</v>
      </c>
      <c r="AO117" s="32">
        <f t="shared" si="62"/>
        <v>0.28664611356426623</v>
      </c>
      <c r="AP117" s="32">
        <f t="shared" si="63"/>
        <v>0.28664611356426623</v>
      </c>
      <c r="AQ117" s="33">
        <f t="shared" si="64"/>
        <v>810.87401069518683</v>
      </c>
      <c r="AR117" s="27">
        <v>0.87</v>
      </c>
      <c r="AS117" s="30">
        <f t="shared" si="81"/>
        <v>2.0793498393505274</v>
      </c>
      <c r="AT117" s="33">
        <f t="shared" si="82"/>
        <v>705.46038930481257</v>
      </c>
      <c r="AU117" s="32">
        <v>1</v>
      </c>
      <c r="AV117" s="33">
        <f t="shared" si="65"/>
        <v>3168.554449490709</v>
      </c>
      <c r="AW117" s="33">
        <f t="shared" si="66"/>
        <v>1523.8197967112585</v>
      </c>
      <c r="AX117" s="30">
        <f t="shared" si="42"/>
        <v>2.0793498393505274</v>
      </c>
      <c r="AY117" s="29">
        <f t="shared" si="67"/>
        <v>2756.642371056917</v>
      </c>
      <c r="AZ117" s="29">
        <f t="shared" si="68"/>
        <v>1325.723223138795</v>
      </c>
      <c r="BA117" s="30">
        <f t="shared" si="84"/>
        <v>2.0793498393505274</v>
      </c>
      <c r="BB117" s="34">
        <f t="shared" si="69"/>
        <v>1</v>
      </c>
      <c r="BC117" s="35">
        <f t="shared" si="70"/>
        <v>1</v>
      </c>
      <c r="BD117" s="27">
        <v>1</v>
      </c>
      <c r="BE117" s="36">
        <f t="shared" si="71"/>
        <v>637.11083212688095</v>
      </c>
      <c r="BF117" s="36">
        <f t="shared" si="72"/>
        <v>1523.8197967112585</v>
      </c>
      <c r="BG117" s="30">
        <f t="shared" si="73"/>
        <v>0.41810116491589594</v>
      </c>
      <c r="BH117" s="33">
        <f t="shared" si="74"/>
        <v>810.87401069518683</v>
      </c>
      <c r="BI117" s="27">
        <v>1</v>
      </c>
      <c r="BJ117" s="36">
        <f t="shared" si="75"/>
        <v>3168.554449490709</v>
      </c>
      <c r="BK117" s="37">
        <f t="shared" si="76"/>
        <v>1523.8197967112585</v>
      </c>
      <c r="BL117" s="30">
        <f t="shared" si="77"/>
        <v>2.0793498393505274</v>
      </c>
      <c r="BM117" s="26">
        <f t="shared" si="78"/>
        <v>810.87401069518683</v>
      </c>
      <c r="BO117" s="50">
        <f t="shared" si="79"/>
        <v>2531.4436173638283</v>
      </c>
      <c r="BP117" s="50">
        <f t="shared" si="80"/>
        <v>637.11083212688095</v>
      </c>
    </row>
    <row r="118" spans="1:68">
      <c r="A118" s="16" t="s">
        <v>177</v>
      </c>
      <c r="B118" s="1" t="s">
        <v>66</v>
      </c>
      <c r="C118" s="24">
        <v>2</v>
      </c>
      <c r="D118" s="24" t="s">
        <v>432</v>
      </c>
      <c r="E118" s="24">
        <v>10</v>
      </c>
      <c r="F118" s="24">
        <v>2</v>
      </c>
      <c r="G118" s="24" t="s">
        <v>67</v>
      </c>
      <c r="H118" s="24">
        <v>3000</v>
      </c>
      <c r="I118" s="24">
        <v>307</v>
      </c>
      <c r="J118" s="24">
        <v>0</v>
      </c>
      <c r="K118" s="24">
        <v>0</v>
      </c>
      <c r="L118" s="24">
        <v>158.88235294117646</v>
      </c>
      <c r="M118" s="24">
        <v>0</v>
      </c>
      <c r="N118" s="24">
        <v>307</v>
      </c>
      <c r="O118" s="24">
        <v>520.09411764705851</v>
      </c>
      <c r="P118" s="24">
        <v>0</v>
      </c>
      <c r="Q118" s="24">
        <v>0</v>
      </c>
      <c r="R118" s="24">
        <v>1500</v>
      </c>
      <c r="S118" s="24">
        <v>0</v>
      </c>
      <c r="T118" s="28">
        <f t="shared" si="43"/>
        <v>1</v>
      </c>
      <c r="U118" s="28">
        <f t="shared" si="44"/>
        <v>1</v>
      </c>
      <c r="V118" s="29">
        <f>IF(O118&gt;0,((VLOOKUP(E118,ACs!G$4:P$53,7)*P118)+(VLOOKUP(E118,ACs!G$4:P$53,6)*(1-P118)))*O118*F118,0)</f>
        <v>3247.3329202334817</v>
      </c>
      <c r="W118" s="29">
        <f>IF(E118&gt;0,VLOOKUP(E118,ACs!G$4:P$53,10)*Q118*F118,0)</f>
        <v>0</v>
      </c>
      <c r="X118" s="29">
        <f t="shared" si="45"/>
        <v>2252.6266844448269</v>
      </c>
      <c r="Y118" s="29">
        <f t="shared" si="46"/>
        <v>6000</v>
      </c>
      <c r="Z118" s="29">
        <f t="shared" si="85"/>
        <v>0</v>
      </c>
      <c r="AA118" s="29">
        <f t="shared" si="48"/>
        <v>3000</v>
      </c>
      <c r="AB118" s="30">
        <f t="shared" si="49"/>
        <v>0.91665993411305136</v>
      </c>
      <c r="AC118" s="30">
        <f t="shared" si="50"/>
        <v>0.54122215337224699</v>
      </c>
      <c r="AD118" s="31">
        <f t="shared" si="51"/>
        <v>1.082444306744494</v>
      </c>
      <c r="AE118" s="29">
        <f t="shared" si="52"/>
        <v>3247.3329202334817</v>
      </c>
      <c r="AF118" s="29">
        <f t="shared" si="53"/>
        <v>2252.6266844448269</v>
      </c>
      <c r="AG118" s="29">
        <f t="shared" si="54"/>
        <v>6000</v>
      </c>
      <c r="AH118" s="29">
        <f t="shared" si="55"/>
        <v>0</v>
      </c>
      <c r="AI118" s="29">
        <f t="shared" si="56"/>
        <v>3000</v>
      </c>
      <c r="AJ118" s="30">
        <f t="shared" si="57"/>
        <v>0.91665993411305136</v>
      </c>
      <c r="AK118" s="30">
        <f t="shared" si="58"/>
        <v>0.54122215337224699</v>
      </c>
      <c r="AL118" s="30">
        <f t="shared" si="59"/>
        <v>1.082444306744494</v>
      </c>
      <c r="AM118" s="32">
        <f t="shared" si="60"/>
        <v>0.59042850377869593</v>
      </c>
      <c r="AN118" s="32">
        <f t="shared" si="61"/>
        <v>0.59042850377869593</v>
      </c>
      <c r="AO118" s="32">
        <f t="shared" si="62"/>
        <v>0.92383505901338303</v>
      </c>
      <c r="AP118" s="32">
        <f t="shared" si="63"/>
        <v>0.92383505901338303</v>
      </c>
      <c r="AQ118" s="33">
        <f t="shared" si="64"/>
        <v>1040.188235294117</v>
      </c>
      <c r="AR118" s="27">
        <v>0.87</v>
      </c>
      <c r="AS118" s="30">
        <f t="shared" si="81"/>
        <v>0.91665993411305136</v>
      </c>
      <c r="AT118" s="33">
        <f t="shared" si="82"/>
        <v>904.96376470588177</v>
      </c>
      <c r="AU118" s="32">
        <v>1</v>
      </c>
      <c r="AV118" s="33">
        <f t="shared" si="65"/>
        <v>5499.9596046783081</v>
      </c>
      <c r="AW118" s="33">
        <f t="shared" si="66"/>
        <v>6000</v>
      </c>
      <c r="AX118" s="30">
        <f t="shared" si="42"/>
        <v>0.91665993411305136</v>
      </c>
      <c r="AY118" s="29">
        <f t="shared" si="67"/>
        <v>4784.964856070128</v>
      </c>
      <c r="AZ118" s="29">
        <f t="shared" si="68"/>
        <v>5220</v>
      </c>
      <c r="BA118" s="30">
        <f t="shared" si="84"/>
        <v>0.91665993411305136</v>
      </c>
      <c r="BB118" s="34">
        <f t="shared" si="69"/>
        <v>1</v>
      </c>
      <c r="BC118" s="35">
        <f t="shared" si="70"/>
        <v>1</v>
      </c>
      <c r="BD118" s="27">
        <v>1</v>
      </c>
      <c r="BE118" s="36">
        <f t="shared" si="71"/>
        <v>2252.6266844448269</v>
      </c>
      <c r="BF118" s="36">
        <f t="shared" si="72"/>
        <v>6000</v>
      </c>
      <c r="BG118" s="30">
        <f t="shared" si="73"/>
        <v>0.37543778074080447</v>
      </c>
      <c r="BH118" s="33">
        <f t="shared" si="74"/>
        <v>1040.188235294117</v>
      </c>
      <c r="BI118" s="27">
        <v>1</v>
      </c>
      <c r="BJ118" s="36">
        <f t="shared" si="75"/>
        <v>5499.9596046783081</v>
      </c>
      <c r="BK118" s="37">
        <f t="shared" si="76"/>
        <v>6000</v>
      </c>
      <c r="BL118" s="30">
        <f t="shared" si="77"/>
        <v>0.91665993411305136</v>
      </c>
      <c r="BM118" s="26">
        <f t="shared" si="78"/>
        <v>1040.188235294117</v>
      </c>
      <c r="BO118" s="50">
        <f t="shared" si="79"/>
        <v>3247.3329202334817</v>
      </c>
      <c r="BP118" s="50">
        <f t="shared" si="80"/>
        <v>2252.6266844448269</v>
      </c>
    </row>
    <row r="119" spans="1:68">
      <c r="A119" s="16" t="s">
        <v>178</v>
      </c>
      <c r="B119" s="1" t="s">
        <v>66</v>
      </c>
      <c r="C119" s="24">
        <v>2</v>
      </c>
      <c r="D119" s="24" t="s">
        <v>432</v>
      </c>
      <c r="E119" s="24">
        <v>10</v>
      </c>
      <c r="F119" s="24">
        <v>2</v>
      </c>
      <c r="G119" s="24" t="s">
        <v>67</v>
      </c>
      <c r="H119" s="24">
        <v>3000</v>
      </c>
      <c r="I119" s="24">
        <v>300</v>
      </c>
      <c r="J119" s="24">
        <v>0</v>
      </c>
      <c r="K119" s="24">
        <v>0</v>
      </c>
      <c r="L119" s="24">
        <v>155.27139037433156</v>
      </c>
      <c r="M119" s="24">
        <v>0</v>
      </c>
      <c r="N119" s="24">
        <v>300</v>
      </c>
      <c r="O119" s="24">
        <v>508.27379679144349</v>
      </c>
      <c r="P119" s="24">
        <v>0</v>
      </c>
      <c r="Q119" s="24">
        <v>7998.4371433243577</v>
      </c>
      <c r="R119" s="24">
        <v>1500</v>
      </c>
      <c r="S119" s="24">
        <v>0</v>
      </c>
      <c r="T119" s="28">
        <f t="shared" si="43"/>
        <v>0.65058175230443138</v>
      </c>
      <c r="U119" s="28">
        <f t="shared" si="44"/>
        <v>0.31683657322991871</v>
      </c>
      <c r="V119" s="29">
        <f>IF(O119&gt;0,((VLOOKUP(E119,ACs!G$4:P$53,7)*P119)+(VLOOKUP(E119,ACs!G$4:P$53,6)*(1-P119)))*O119*F119,0)</f>
        <v>3173.5298993190841</v>
      </c>
      <c r="W119" s="29">
        <f>IF(E119&gt;0,VLOOKUP(E119,ACs!G$4:P$53,10)*Q119*F119,0)</f>
        <v>6842.7692512721887</v>
      </c>
      <c r="X119" s="29">
        <f t="shared" si="45"/>
        <v>2201.4306234347177</v>
      </c>
      <c r="Y119" s="29">
        <f t="shared" si="46"/>
        <v>6000</v>
      </c>
      <c r="Z119" s="29">
        <f t="shared" si="85"/>
        <v>0</v>
      </c>
      <c r="AA119" s="29">
        <f t="shared" si="48"/>
        <v>3000</v>
      </c>
      <c r="AB119" s="30">
        <f t="shared" si="49"/>
        <v>2.0362882956709982</v>
      </c>
      <c r="AC119" s="30">
        <f t="shared" si="50"/>
        <v>1.669383191765212</v>
      </c>
      <c r="AD119" s="31">
        <f t="shared" si="51"/>
        <v>3.338766383530424</v>
      </c>
      <c r="AE119" s="29">
        <f t="shared" si="52"/>
        <v>3173.5298993190841</v>
      </c>
      <c r="AF119" s="29">
        <f t="shared" si="53"/>
        <v>697.49373493245957</v>
      </c>
      <c r="AG119" s="29">
        <f t="shared" si="54"/>
        <v>1901.0194393795123</v>
      </c>
      <c r="AH119" s="29">
        <f t="shared" si="55"/>
        <v>0</v>
      </c>
      <c r="AI119" s="29">
        <f t="shared" si="56"/>
        <v>950.50971968975614</v>
      </c>
      <c r="AJ119" s="30">
        <f t="shared" si="57"/>
        <v>2.0362882956709982</v>
      </c>
      <c r="AK119" s="30">
        <f t="shared" si="58"/>
        <v>1.669383191765212</v>
      </c>
      <c r="AL119" s="30">
        <f t="shared" si="59"/>
        <v>3.338766383530424</v>
      </c>
      <c r="AM119" s="32">
        <f t="shared" si="60"/>
        <v>0.81981672011482853</v>
      </c>
      <c r="AN119" s="32">
        <f t="shared" si="61"/>
        <v>0.81981672011482865</v>
      </c>
      <c r="AO119" s="32">
        <f t="shared" si="62"/>
        <v>0.2995118211722847</v>
      </c>
      <c r="AP119" s="32">
        <f t="shared" si="63"/>
        <v>0.2995118211722847</v>
      </c>
      <c r="AQ119" s="33">
        <f t="shared" si="64"/>
        <v>1016.547593582887</v>
      </c>
      <c r="AR119" s="27">
        <v>0.87</v>
      </c>
      <c r="AS119" s="30">
        <f t="shared" si="81"/>
        <v>2.0362882956709982</v>
      </c>
      <c r="AT119" s="33">
        <f t="shared" si="82"/>
        <v>884.39640641711162</v>
      </c>
      <c r="AU119" s="32">
        <v>1</v>
      </c>
      <c r="AV119" s="33">
        <f t="shared" si="65"/>
        <v>3871.0236342515436</v>
      </c>
      <c r="AW119" s="33">
        <f t="shared" si="66"/>
        <v>1901.0194393795123</v>
      </c>
      <c r="AX119" s="30">
        <f t="shared" si="42"/>
        <v>2.0362882956709982</v>
      </c>
      <c r="AY119" s="29">
        <f t="shared" si="67"/>
        <v>3367.7905617988431</v>
      </c>
      <c r="AZ119" s="29">
        <f t="shared" si="68"/>
        <v>1653.8869122601757</v>
      </c>
      <c r="BA119" s="30">
        <f t="shared" si="84"/>
        <v>2.0362882956709982</v>
      </c>
      <c r="BB119" s="34">
        <f t="shared" si="69"/>
        <v>1</v>
      </c>
      <c r="BC119" s="35">
        <f t="shared" si="70"/>
        <v>1</v>
      </c>
      <c r="BD119" s="27">
        <v>1</v>
      </c>
      <c r="BE119" s="36">
        <f t="shared" si="71"/>
        <v>697.49373493245957</v>
      </c>
      <c r="BF119" s="36">
        <f t="shared" si="72"/>
        <v>1901.0194393795123</v>
      </c>
      <c r="BG119" s="30">
        <f t="shared" si="73"/>
        <v>0.36690510390578629</v>
      </c>
      <c r="BH119" s="33">
        <f t="shared" si="74"/>
        <v>1016.547593582887</v>
      </c>
      <c r="BI119" s="27">
        <v>1</v>
      </c>
      <c r="BJ119" s="36">
        <f t="shared" si="75"/>
        <v>3871.0236342515436</v>
      </c>
      <c r="BK119" s="37">
        <f t="shared" si="76"/>
        <v>1901.0194393795123</v>
      </c>
      <c r="BL119" s="30">
        <f t="shared" si="77"/>
        <v>2.0362882956709982</v>
      </c>
      <c r="BM119" s="26">
        <f t="shared" si="78"/>
        <v>1016.547593582887</v>
      </c>
      <c r="BO119" s="50">
        <f t="shared" si="79"/>
        <v>3173.5298993190841</v>
      </c>
      <c r="BP119" s="50">
        <f t="shared" si="80"/>
        <v>697.49373493245957</v>
      </c>
    </row>
    <row r="120" spans="1:68">
      <c r="A120" s="16" t="s">
        <v>179</v>
      </c>
      <c r="B120" s="1" t="s">
        <v>66</v>
      </c>
      <c r="C120" s="24">
        <v>2</v>
      </c>
      <c r="D120" s="24" t="s">
        <v>432</v>
      </c>
      <c r="E120" s="24">
        <v>10</v>
      </c>
      <c r="F120" s="24">
        <v>2</v>
      </c>
      <c r="G120" s="24" t="s">
        <v>67</v>
      </c>
      <c r="H120" s="24">
        <v>4000</v>
      </c>
      <c r="I120" s="24">
        <v>471</v>
      </c>
      <c r="J120" s="24">
        <v>0</v>
      </c>
      <c r="K120" s="24">
        <v>0</v>
      </c>
      <c r="L120" s="24">
        <v>243.73997326203209</v>
      </c>
      <c r="M120" s="24">
        <v>0</v>
      </c>
      <c r="N120" s="24">
        <v>471</v>
      </c>
      <c r="O120" s="24">
        <v>797.87165775401036</v>
      </c>
      <c r="P120" s="24">
        <v>0</v>
      </c>
      <c r="Q120" s="24">
        <v>0</v>
      </c>
      <c r="R120" s="24">
        <v>2000</v>
      </c>
      <c r="S120" s="24">
        <v>0</v>
      </c>
      <c r="T120" s="28">
        <f t="shared" si="43"/>
        <v>1</v>
      </c>
      <c r="U120" s="28">
        <f t="shared" si="44"/>
        <v>1</v>
      </c>
      <c r="V120" s="29">
        <f>IF(O120&gt;0,((VLOOKUP(E120,ACs!G$4:P$53,7)*P120)+(VLOOKUP(E120,ACs!G$4:P$53,6)*(1-P120)))*O120*F120,0)</f>
        <v>4981.7039117218192</v>
      </c>
      <c r="W120" s="29">
        <f>IF(E120&gt;0,VLOOKUP(E120,ACs!G$4:P$53,10)*Q120*F120,0)</f>
        <v>0</v>
      </c>
      <c r="X120" s="29">
        <f t="shared" si="45"/>
        <v>3455.7341181824049</v>
      </c>
      <c r="Y120" s="29">
        <f t="shared" si="46"/>
        <v>8000</v>
      </c>
      <c r="Z120" s="29">
        <f t="shared" ref="Z120:Z133" si="86">S120*F163</f>
        <v>0</v>
      </c>
      <c r="AA120" s="29">
        <f t="shared" si="48"/>
        <v>4000</v>
      </c>
      <c r="AB120" s="30">
        <f t="shared" si="49"/>
        <v>1.0546797537380279</v>
      </c>
      <c r="AC120" s="30">
        <f t="shared" si="50"/>
        <v>0.62271298896522742</v>
      </c>
      <c r="AD120" s="31">
        <f t="shared" si="51"/>
        <v>1.2454259779304548</v>
      </c>
      <c r="AE120" s="29">
        <f t="shared" si="52"/>
        <v>4981.7039117218192</v>
      </c>
      <c r="AF120" s="29">
        <f t="shared" si="53"/>
        <v>3455.7341181824049</v>
      </c>
      <c r="AG120" s="29">
        <f t="shared" si="54"/>
        <v>8000</v>
      </c>
      <c r="AH120" s="29">
        <f t="shared" si="55"/>
        <v>0</v>
      </c>
      <c r="AI120" s="29">
        <f t="shared" si="56"/>
        <v>4000</v>
      </c>
      <c r="AJ120" s="30">
        <f t="shared" si="57"/>
        <v>1.0546797537380279</v>
      </c>
      <c r="AK120" s="30">
        <f t="shared" si="58"/>
        <v>0.62271298896522742</v>
      </c>
      <c r="AL120" s="30">
        <f t="shared" si="59"/>
        <v>1.2454259779304548</v>
      </c>
      <c r="AM120" s="32">
        <f t="shared" si="60"/>
        <v>0.59042850377869593</v>
      </c>
      <c r="AN120" s="32">
        <f t="shared" si="61"/>
        <v>0.59042850377869593</v>
      </c>
      <c r="AO120" s="32">
        <f t="shared" si="62"/>
        <v>0.80293812536471798</v>
      </c>
      <c r="AP120" s="32">
        <f t="shared" si="63"/>
        <v>0.80293812536471798</v>
      </c>
      <c r="AQ120" s="33">
        <f t="shared" si="64"/>
        <v>1595.7433155080207</v>
      </c>
      <c r="AR120" s="27">
        <v>0.87</v>
      </c>
      <c r="AS120" s="30">
        <f t="shared" si="81"/>
        <v>1.0546797537380279</v>
      </c>
      <c r="AT120" s="33">
        <f t="shared" si="82"/>
        <v>1388.2966844919781</v>
      </c>
      <c r="AU120" s="32">
        <v>1</v>
      </c>
      <c r="AV120" s="33">
        <f t="shared" si="65"/>
        <v>8437.4380299042241</v>
      </c>
      <c r="AW120" s="33">
        <f t="shared" si="66"/>
        <v>8000</v>
      </c>
      <c r="AX120" s="30">
        <f t="shared" si="42"/>
        <v>1.0546797537380279</v>
      </c>
      <c r="AY120" s="29">
        <f t="shared" si="67"/>
        <v>7340.5710860166746</v>
      </c>
      <c r="AZ120" s="29">
        <f t="shared" si="68"/>
        <v>6960</v>
      </c>
      <c r="BA120" s="30">
        <f t="shared" si="84"/>
        <v>1.0546797537380279</v>
      </c>
      <c r="BB120" s="34">
        <f t="shared" si="69"/>
        <v>1</v>
      </c>
      <c r="BC120" s="35">
        <f t="shared" si="70"/>
        <v>1</v>
      </c>
      <c r="BD120" s="27">
        <v>1</v>
      </c>
      <c r="BE120" s="36">
        <f t="shared" si="71"/>
        <v>3455.7341181824049</v>
      </c>
      <c r="BF120" s="36">
        <f t="shared" si="72"/>
        <v>8000</v>
      </c>
      <c r="BG120" s="30">
        <f t="shared" si="73"/>
        <v>0.4319667647728006</v>
      </c>
      <c r="BH120" s="33">
        <f t="shared" si="74"/>
        <v>1595.7433155080207</v>
      </c>
      <c r="BI120" s="27">
        <v>1</v>
      </c>
      <c r="BJ120" s="36">
        <f t="shared" si="75"/>
        <v>8437.4380299042241</v>
      </c>
      <c r="BK120" s="37">
        <f t="shared" si="76"/>
        <v>8000</v>
      </c>
      <c r="BL120" s="30">
        <f t="shared" si="77"/>
        <v>1.0546797537380279</v>
      </c>
      <c r="BM120" s="26">
        <f t="shared" si="78"/>
        <v>1595.7433155080207</v>
      </c>
      <c r="BO120" s="50">
        <f t="shared" si="79"/>
        <v>4981.7039117218192</v>
      </c>
      <c r="BP120" s="50">
        <f t="shared" si="80"/>
        <v>3455.7341181824049</v>
      </c>
    </row>
    <row r="121" spans="1:68">
      <c r="A121" s="16" t="s">
        <v>180</v>
      </c>
      <c r="B121" s="1" t="s">
        <v>66</v>
      </c>
      <c r="C121" s="24">
        <v>2</v>
      </c>
      <c r="D121" s="24" t="s">
        <v>432</v>
      </c>
      <c r="E121" s="24">
        <v>10</v>
      </c>
      <c r="F121" s="24">
        <v>2</v>
      </c>
      <c r="G121" s="24" t="s">
        <v>67</v>
      </c>
      <c r="H121" s="24">
        <v>4000</v>
      </c>
      <c r="I121" s="24">
        <v>587</v>
      </c>
      <c r="J121" s="24">
        <v>0</v>
      </c>
      <c r="K121" s="24">
        <v>0</v>
      </c>
      <c r="L121" s="24">
        <v>303.32085561497325</v>
      </c>
      <c r="M121" s="24">
        <v>0</v>
      </c>
      <c r="N121" s="24">
        <v>587</v>
      </c>
      <c r="O121" s="24">
        <v>992.90695187165738</v>
      </c>
      <c r="P121" s="24">
        <v>0</v>
      </c>
      <c r="Q121" s="24">
        <v>12249.226047424338</v>
      </c>
      <c r="R121" s="24">
        <v>2000</v>
      </c>
      <c r="S121" s="24">
        <v>0</v>
      </c>
      <c r="T121" s="28">
        <f t="shared" si="43"/>
        <v>0.70370370370370361</v>
      </c>
      <c r="U121" s="28">
        <f t="shared" si="44"/>
        <v>0.37169597516215475</v>
      </c>
      <c r="V121" s="29">
        <f>IF(O121&gt;0,((VLOOKUP(E121,ACs!G$4:P$53,7)*P121)+(VLOOKUP(E121,ACs!G$4:P$53,6)*(1-P121)))*O121*F121,0)</f>
        <v>6199.4537568093756</v>
      </c>
      <c r="W121" s="29">
        <f>IF(E121&gt;0,VLOOKUP(E121,ACs!G$4:P$53,10)*Q121*F121,0)</f>
        <v>10479.375638921434</v>
      </c>
      <c r="X121" s="29">
        <f t="shared" si="45"/>
        <v>4300.4691248492145</v>
      </c>
      <c r="Y121" s="29">
        <f t="shared" si="46"/>
        <v>8000</v>
      </c>
      <c r="Z121" s="29">
        <f t="shared" si="86"/>
        <v>0</v>
      </c>
      <c r="AA121" s="29">
        <f t="shared" si="48"/>
        <v>4000</v>
      </c>
      <c r="AB121" s="30">
        <f t="shared" si="49"/>
        <v>2.6224123150725025</v>
      </c>
      <c r="AC121" s="30">
        <f t="shared" si="50"/>
        <v>2.0848536744663511</v>
      </c>
      <c r="AD121" s="31">
        <f t="shared" si="51"/>
        <v>4.1697073489327021</v>
      </c>
      <c r="AE121" s="29">
        <f t="shared" si="52"/>
        <v>6199.4537568093756</v>
      </c>
      <c r="AF121" s="29">
        <f t="shared" si="53"/>
        <v>1598.467065015567</v>
      </c>
      <c r="AG121" s="29">
        <f t="shared" si="54"/>
        <v>2973.567801297238</v>
      </c>
      <c r="AH121" s="29">
        <f t="shared" si="55"/>
        <v>0</v>
      </c>
      <c r="AI121" s="29">
        <f t="shared" si="56"/>
        <v>1486.783900648619</v>
      </c>
      <c r="AJ121" s="30">
        <f t="shared" si="57"/>
        <v>2.6224123150725029</v>
      </c>
      <c r="AK121" s="30">
        <f t="shared" si="58"/>
        <v>2.0848536744663511</v>
      </c>
      <c r="AL121" s="30">
        <f t="shared" si="59"/>
        <v>4.1697073489327021</v>
      </c>
      <c r="AM121" s="32">
        <f t="shared" si="60"/>
        <v>0.79501368357809532</v>
      </c>
      <c r="AN121" s="32">
        <f t="shared" si="61"/>
        <v>0.79501368357809532</v>
      </c>
      <c r="AO121" s="32">
        <f t="shared" si="62"/>
        <v>0.23982498442150013</v>
      </c>
      <c r="AP121" s="32">
        <f t="shared" si="63"/>
        <v>0.23982498442150016</v>
      </c>
      <c r="AQ121" s="33">
        <f t="shared" si="64"/>
        <v>1985.8139037433148</v>
      </c>
      <c r="AR121" s="27">
        <v>0.87</v>
      </c>
      <c r="AS121" s="30">
        <f t="shared" si="81"/>
        <v>2.6224123150725029</v>
      </c>
      <c r="AT121" s="33">
        <f t="shared" si="82"/>
        <v>1727.6580962566838</v>
      </c>
      <c r="AU121" s="32">
        <v>1</v>
      </c>
      <c r="AV121" s="33">
        <f t="shared" si="65"/>
        <v>7797.9208218249423</v>
      </c>
      <c r="AW121" s="33">
        <f t="shared" si="66"/>
        <v>2973.567801297238</v>
      </c>
      <c r="AX121" s="30">
        <f t="shared" si="42"/>
        <v>2.6224123150725029</v>
      </c>
      <c r="AY121" s="29">
        <f t="shared" si="67"/>
        <v>6784.1911149876996</v>
      </c>
      <c r="AZ121" s="29">
        <f t="shared" si="68"/>
        <v>2587.0039871285971</v>
      </c>
      <c r="BA121" s="30">
        <f>IF(AZ121=0," ",AY121/AZ121)</f>
        <v>2.6224123150725029</v>
      </c>
      <c r="BB121" s="34">
        <f t="shared" si="69"/>
        <v>1</v>
      </c>
      <c r="BC121" s="35">
        <f t="shared" si="70"/>
        <v>1</v>
      </c>
      <c r="BD121" s="27">
        <v>1</v>
      </c>
      <c r="BE121" s="36">
        <f t="shared" si="71"/>
        <v>1598.467065015567</v>
      </c>
      <c r="BF121" s="36">
        <f t="shared" si="72"/>
        <v>2973.567801297238</v>
      </c>
      <c r="BG121" s="30">
        <f t="shared" si="73"/>
        <v>0.53755864060615177</v>
      </c>
      <c r="BH121" s="33">
        <f t="shared" si="74"/>
        <v>1985.8139037433148</v>
      </c>
      <c r="BI121" s="27">
        <v>1</v>
      </c>
      <c r="BJ121" s="36">
        <f t="shared" si="75"/>
        <v>7797.9208218249423</v>
      </c>
      <c r="BK121" s="37">
        <f t="shared" si="76"/>
        <v>2973.567801297238</v>
      </c>
      <c r="BL121" s="30">
        <f t="shared" si="77"/>
        <v>2.6224123150725029</v>
      </c>
      <c r="BM121" s="26">
        <f t="shared" si="78"/>
        <v>1985.8139037433148</v>
      </c>
      <c r="BO121" s="50">
        <f t="shared" si="79"/>
        <v>6199.4537568093756</v>
      </c>
      <c r="BP121" s="50">
        <f t="shared" si="80"/>
        <v>1598.467065015567</v>
      </c>
    </row>
    <row r="122" spans="1:68">
      <c r="A122" s="16" t="s">
        <v>181</v>
      </c>
      <c r="B122" s="1" t="s">
        <v>66</v>
      </c>
      <c r="C122" s="24">
        <v>0</v>
      </c>
      <c r="D122" s="24" t="s">
        <v>433</v>
      </c>
      <c r="E122" s="24">
        <v>10</v>
      </c>
      <c r="F122" s="24">
        <v>0</v>
      </c>
      <c r="G122" s="24" t="s">
        <v>67</v>
      </c>
      <c r="H122" s="24">
        <v>1000</v>
      </c>
      <c r="I122" s="24">
        <v>33</v>
      </c>
      <c r="J122" s="24">
        <v>0</v>
      </c>
      <c r="K122" s="24">
        <v>0</v>
      </c>
      <c r="L122" s="24">
        <v>2.4732620320855614</v>
      </c>
      <c r="M122" s="24">
        <v>0</v>
      </c>
      <c r="N122" s="24">
        <v>33</v>
      </c>
      <c r="O122" s="24">
        <v>0</v>
      </c>
      <c r="P122" s="24">
        <v>0</v>
      </c>
      <c r="Q122" s="24">
        <v>1196.2134811937831</v>
      </c>
      <c r="R122" s="24">
        <v>0</v>
      </c>
      <c r="S122" s="24">
        <v>0</v>
      </c>
      <c r="T122" s="28">
        <f t="shared" si="43"/>
        <v>0</v>
      </c>
      <c r="U122" s="28">
        <f t="shared" si="44"/>
        <v>0</v>
      </c>
      <c r="V122" s="29">
        <f>IF(O122&gt;0,((VLOOKUP(E122,ACs!G$4:P$53,7)*P122)+(VLOOKUP(E122,ACs!G$4:P$53,6)*(1-P122)))*O122*F122,0)</f>
        <v>0</v>
      </c>
      <c r="W122" s="29">
        <f>IF(E122&gt;0,VLOOKUP(E122,ACs!G$4:P$53,10)*Q122*F122,0)</f>
        <v>0</v>
      </c>
      <c r="X122" s="29">
        <f t="shared" si="45"/>
        <v>0</v>
      </c>
      <c r="Y122" s="29">
        <f t="shared" si="46"/>
        <v>0</v>
      </c>
      <c r="Z122" s="29">
        <f t="shared" si="86"/>
        <v>0</v>
      </c>
      <c r="AA122" s="29">
        <f t="shared" si="48"/>
        <v>0</v>
      </c>
      <c r="AB122" s="30" t="str">
        <f t="shared" si="49"/>
        <v xml:space="preserve"> </v>
      </c>
      <c r="AC122" s="30" t="str">
        <f t="shared" si="50"/>
        <v xml:space="preserve"> </v>
      </c>
      <c r="AD122" s="31" t="str">
        <f t="shared" si="51"/>
        <v xml:space="preserve"> </v>
      </c>
      <c r="AE122" s="29">
        <f t="shared" si="52"/>
        <v>0</v>
      </c>
      <c r="AF122" s="29">
        <f t="shared" si="53"/>
        <v>0</v>
      </c>
      <c r="AG122" s="29">
        <f t="shared" si="54"/>
        <v>0</v>
      </c>
      <c r="AH122" s="29">
        <f t="shared" si="55"/>
        <v>0</v>
      </c>
      <c r="AI122" s="29">
        <f t="shared" si="56"/>
        <v>0</v>
      </c>
      <c r="AJ122" s="30" t="str">
        <f t="shared" si="57"/>
        <v xml:space="preserve"> </v>
      </c>
      <c r="AK122" s="30" t="str">
        <f t="shared" si="58"/>
        <v xml:space="preserve"> </v>
      </c>
      <c r="AL122" s="30" t="str">
        <f t="shared" si="59"/>
        <v xml:space="preserve"> </v>
      </c>
      <c r="AM122" s="32" t="str">
        <f t="shared" si="60"/>
        <v xml:space="preserve"> </v>
      </c>
      <c r="AN122" s="32" t="str">
        <f t="shared" si="61"/>
        <v xml:space="preserve"> </v>
      </c>
      <c r="AO122" s="32" t="str">
        <f t="shared" si="62"/>
        <v xml:space="preserve"> </v>
      </c>
      <c r="AP122" s="32" t="str">
        <f t="shared" si="63"/>
        <v xml:space="preserve"> </v>
      </c>
      <c r="AQ122" s="33">
        <f t="shared" si="64"/>
        <v>0</v>
      </c>
      <c r="AR122" s="27">
        <v>0.87</v>
      </c>
      <c r="AS122" s="30" t="str">
        <f t="shared" si="81"/>
        <v xml:space="preserve"> </v>
      </c>
      <c r="AT122" s="33">
        <f t="shared" si="82"/>
        <v>0</v>
      </c>
      <c r="AU122" s="32">
        <v>1</v>
      </c>
      <c r="AV122" s="33">
        <f t="shared" si="65"/>
        <v>0</v>
      </c>
      <c r="AW122" s="33">
        <f t="shared" si="66"/>
        <v>0</v>
      </c>
      <c r="AX122" s="30" t="str">
        <f t="shared" si="42"/>
        <v xml:space="preserve"> </v>
      </c>
      <c r="AY122" s="29">
        <f t="shared" si="67"/>
        <v>0</v>
      </c>
      <c r="AZ122" s="29">
        <f t="shared" si="68"/>
        <v>0</v>
      </c>
      <c r="BA122" s="30" t="str">
        <f>IF(AZ122=0," ",AY122/AZ122)</f>
        <v xml:space="preserve"> </v>
      </c>
      <c r="BB122" s="34">
        <f t="shared" si="69"/>
        <v>0</v>
      </c>
      <c r="BC122" s="35">
        <f t="shared" si="70"/>
        <v>0</v>
      </c>
      <c r="BD122" s="27">
        <v>1</v>
      </c>
      <c r="BE122" s="36">
        <f t="shared" si="71"/>
        <v>0</v>
      </c>
      <c r="BF122" s="36">
        <f t="shared" si="72"/>
        <v>0</v>
      </c>
      <c r="BG122" s="30" t="str">
        <f t="shared" si="73"/>
        <v xml:space="preserve"> </v>
      </c>
      <c r="BH122" s="33">
        <f t="shared" si="74"/>
        <v>0</v>
      </c>
      <c r="BI122" s="27">
        <v>1</v>
      </c>
      <c r="BJ122" s="36">
        <f t="shared" si="75"/>
        <v>0</v>
      </c>
      <c r="BK122" s="37">
        <f t="shared" si="76"/>
        <v>0</v>
      </c>
      <c r="BL122" s="30" t="str">
        <f t="shared" si="77"/>
        <v xml:space="preserve"> </v>
      </c>
      <c r="BM122" s="26">
        <f t="shared" si="78"/>
        <v>0</v>
      </c>
      <c r="BO122" s="50">
        <f t="shared" si="79"/>
        <v>0</v>
      </c>
      <c r="BP122" s="50">
        <f t="shared" si="80"/>
        <v>0</v>
      </c>
    </row>
    <row r="123" spans="1:68">
      <c r="A123" s="16" t="s">
        <v>182</v>
      </c>
      <c r="B123" s="1" t="s">
        <v>66</v>
      </c>
      <c r="C123" s="24">
        <v>2</v>
      </c>
      <c r="D123" s="24" t="s">
        <v>432</v>
      </c>
      <c r="E123" s="24">
        <v>10</v>
      </c>
      <c r="F123" s="24">
        <v>2</v>
      </c>
      <c r="G123" s="24" t="s">
        <v>67</v>
      </c>
      <c r="H123" s="24">
        <v>1000</v>
      </c>
      <c r="I123" s="24">
        <v>128</v>
      </c>
      <c r="J123" s="24">
        <v>0</v>
      </c>
      <c r="K123" s="24">
        <v>0</v>
      </c>
      <c r="L123" s="24">
        <v>66.35267379679145</v>
      </c>
      <c r="M123" s="24">
        <v>0</v>
      </c>
      <c r="N123" s="24">
        <v>128</v>
      </c>
      <c r="O123" s="24">
        <v>108.59919786096255</v>
      </c>
      <c r="P123" s="24">
        <v>0</v>
      </c>
      <c r="Q123" s="24">
        <v>4689.1568462796322</v>
      </c>
      <c r="R123" s="24">
        <v>250</v>
      </c>
      <c r="S123" s="24">
        <v>0</v>
      </c>
      <c r="T123" s="28">
        <f t="shared" si="43"/>
        <v>0.40425531914893603</v>
      </c>
      <c r="U123" s="28">
        <f t="shared" si="44"/>
        <v>0.14458602365998438</v>
      </c>
      <c r="V123" s="29">
        <f>IF(O123&gt;0,((VLOOKUP(E123,ACs!G$4:P$53,7)*P123)+(VLOOKUP(E123,ACs!G$4:P$53,6)*(1-P123)))*O123*F123,0)</f>
        <v>678.06525465102561</v>
      </c>
      <c r="W123" s="29">
        <f>IF(E123&gt;0,VLOOKUP(E123,ACs!G$4:P$53,10)*Q123*F123,0)</f>
        <v>4011.6359867746141</v>
      </c>
      <c r="X123" s="29">
        <f t="shared" si="45"/>
        <v>940.74515395837204</v>
      </c>
      <c r="Y123" s="29">
        <f t="shared" si="46"/>
        <v>2000</v>
      </c>
      <c r="Z123" s="29">
        <f t="shared" si="86"/>
        <v>0</v>
      </c>
      <c r="AA123" s="29">
        <f t="shared" si="48"/>
        <v>500</v>
      </c>
      <c r="AB123" s="30">
        <f t="shared" si="49"/>
        <v>2.8152231976920055</v>
      </c>
      <c r="AC123" s="30">
        <f t="shared" si="50"/>
        <v>2.3448506207128199</v>
      </c>
      <c r="AD123" s="31">
        <f t="shared" si="51"/>
        <v>9.3794024828512796</v>
      </c>
      <c r="AE123" s="29">
        <f t="shared" si="52"/>
        <v>678.06525465102561</v>
      </c>
      <c r="AF123" s="29">
        <f t="shared" si="53"/>
        <v>136.01860108824084</v>
      </c>
      <c r="AG123" s="29">
        <f t="shared" si="54"/>
        <v>289.17204731996878</v>
      </c>
      <c r="AH123" s="29">
        <f t="shared" si="55"/>
        <v>0</v>
      </c>
      <c r="AI123" s="29">
        <f t="shared" si="56"/>
        <v>72.293011829992196</v>
      </c>
      <c r="AJ123" s="30">
        <f t="shared" si="57"/>
        <v>2.8152231976920055</v>
      </c>
      <c r="AK123" s="30">
        <f t="shared" si="58"/>
        <v>2.3448506207128195</v>
      </c>
      <c r="AL123" s="30">
        <f t="shared" si="59"/>
        <v>9.3794024828512779</v>
      </c>
      <c r="AM123" s="32">
        <f t="shared" si="60"/>
        <v>0.83291819371025</v>
      </c>
      <c r="AN123" s="32">
        <f t="shared" si="61"/>
        <v>0.83291819371025011</v>
      </c>
      <c r="AO123" s="32">
        <f t="shared" si="62"/>
        <v>0.10661659970646728</v>
      </c>
      <c r="AP123" s="32">
        <f t="shared" si="63"/>
        <v>0.10661659970646727</v>
      </c>
      <c r="AQ123" s="33">
        <f t="shared" si="64"/>
        <v>217.1983957219251</v>
      </c>
      <c r="AR123" s="27">
        <v>0.87</v>
      </c>
      <c r="AS123" s="30">
        <f t="shared" si="81"/>
        <v>2.8152231976920055</v>
      </c>
      <c r="AT123" s="33">
        <f t="shared" si="82"/>
        <v>188.96260427807482</v>
      </c>
      <c r="AU123" s="32">
        <v>1</v>
      </c>
      <c r="AV123" s="33">
        <f t="shared" si="65"/>
        <v>814.08385573926648</v>
      </c>
      <c r="AW123" s="33">
        <f t="shared" si="66"/>
        <v>289.17204731996878</v>
      </c>
      <c r="AX123" s="30">
        <f t="shared" si="42"/>
        <v>2.8152231976920055</v>
      </c>
      <c r="AY123" s="29">
        <f t="shared" si="67"/>
        <v>708.25295449316184</v>
      </c>
      <c r="AZ123" s="29">
        <f t="shared" si="68"/>
        <v>251.57968116837284</v>
      </c>
      <c r="BA123" s="30">
        <f t="shared" ref="BA123:BA153" si="87">IF(AZ123=0," ",AY123/AZ123)</f>
        <v>2.8152231976920055</v>
      </c>
      <c r="BB123" s="34">
        <f t="shared" si="69"/>
        <v>1</v>
      </c>
      <c r="BC123" s="35">
        <f t="shared" si="70"/>
        <v>1</v>
      </c>
      <c r="BD123" s="27">
        <v>1</v>
      </c>
      <c r="BE123" s="36">
        <f t="shared" si="71"/>
        <v>136.01860108824084</v>
      </c>
      <c r="BF123" s="36">
        <f t="shared" si="72"/>
        <v>289.17204731996878</v>
      </c>
      <c r="BG123" s="30">
        <f t="shared" si="73"/>
        <v>0.47037257697918605</v>
      </c>
      <c r="BH123" s="33">
        <f t="shared" si="74"/>
        <v>217.1983957219251</v>
      </c>
      <c r="BI123" s="27">
        <v>1</v>
      </c>
      <c r="BJ123" s="36">
        <f t="shared" si="75"/>
        <v>814.08385573926648</v>
      </c>
      <c r="BK123" s="37">
        <f t="shared" si="76"/>
        <v>289.17204731996878</v>
      </c>
      <c r="BL123" s="30">
        <f t="shared" si="77"/>
        <v>2.8152231976920055</v>
      </c>
      <c r="BM123" s="26">
        <f t="shared" si="78"/>
        <v>217.1983957219251</v>
      </c>
      <c r="BO123" s="50">
        <f t="shared" si="79"/>
        <v>678.06525465102561</v>
      </c>
      <c r="BP123" s="50">
        <f t="shared" si="80"/>
        <v>136.01860108824084</v>
      </c>
    </row>
    <row r="124" spans="1:68">
      <c r="A124" s="16" t="s">
        <v>183</v>
      </c>
      <c r="B124" s="1" t="s">
        <v>66</v>
      </c>
      <c r="C124" s="24">
        <v>0</v>
      </c>
      <c r="D124" s="24" t="s">
        <v>433</v>
      </c>
      <c r="E124" s="24">
        <v>10</v>
      </c>
      <c r="F124" s="24">
        <v>0</v>
      </c>
      <c r="G124" s="24" t="s">
        <v>67</v>
      </c>
      <c r="H124" s="24">
        <v>2000</v>
      </c>
      <c r="I124" s="24">
        <v>328</v>
      </c>
      <c r="J124" s="24">
        <v>0</v>
      </c>
      <c r="K124" s="24">
        <v>0</v>
      </c>
      <c r="L124" s="24">
        <v>2.4732620320855614</v>
      </c>
      <c r="M124" s="24">
        <v>0</v>
      </c>
      <c r="N124" s="24">
        <v>328</v>
      </c>
      <c r="O124" s="24">
        <v>0</v>
      </c>
      <c r="P124" s="24">
        <v>0</v>
      </c>
      <c r="Q124" s="24">
        <v>11968.514617170862</v>
      </c>
      <c r="R124" s="24">
        <v>0</v>
      </c>
      <c r="S124" s="24">
        <v>0</v>
      </c>
      <c r="T124" s="28">
        <f t="shared" si="43"/>
        <v>0</v>
      </c>
      <c r="U124" s="28">
        <f t="shared" si="44"/>
        <v>0</v>
      </c>
      <c r="V124" s="29">
        <f>IF(O124&gt;0,((VLOOKUP(E124,ACs!G$4:P$53,7)*P124)+(VLOOKUP(E124,ACs!G$4:P$53,6)*(1-P124)))*O124*F124,0)</f>
        <v>0</v>
      </c>
      <c r="W124" s="29">
        <f>IF(E124&gt;0,VLOOKUP(E124,ACs!G$4:P$53,10)*Q124*F124,0)</f>
        <v>0</v>
      </c>
      <c r="X124" s="29">
        <f t="shared" si="45"/>
        <v>0</v>
      </c>
      <c r="Y124" s="29">
        <f t="shared" si="46"/>
        <v>0</v>
      </c>
      <c r="Z124" s="29">
        <f t="shared" si="86"/>
        <v>0</v>
      </c>
      <c r="AA124" s="29">
        <f t="shared" si="48"/>
        <v>0</v>
      </c>
      <c r="AB124" s="30" t="str">
        <f t="shared" si="49"/>
        <v xml:space="preserve"> </v>
      </c>
      <c r="AC124" s="30" t="str">
        <f t="shared" si="50"/>
        <v xml:space="preserve"> </v>
      </c>
      <c r="AD124" s="31" t="str">
        <f t="shared" si="51"/>
        <v xml:space="preserve"> </v>
      </c>
      <c r="AE124" s="29">
        <f t="shared" si="52"/>
        <v>0</v>
      </c>
      <c r="AF124" s="29">
        <f t="shared" si="53"/>
        <v>0</v>
      </c>
      <c r="AG124" s="29">
        <f t="shared" si="54"/>
        <v>0</v>
      </c>
      <c r="AH124" s="29">
        <f t="shared" si="55"/>
        <v>0</v>
      </c>
      <c r="AI124" s="29">
        <f t="shared" si="56"/>
        <v>0</v>
      </c>
      <c r="AJ124" s="30" t="str">
        <f t="shared" si="57"/>
        <v xml:space="preserve"> </v>
      </c>
      <c r="AK124" s="30" t="str">
        <f t="shared" si="58"/>
        <v xml:space="preserve"> </v>
      </c>
      <c r="AL124" s="30" t="str">
        <f t="shared" si="59"/>
        <v xml:space="preserve"> </v>
      </c>
      <c r="AM124" s="32" t="str">
        <f t="shared" si="60"/>
        <v xml:space="preserve"> </v>
      </c>
      <c r="AN124" s="32" t="str">
        <f t="shared" si="61"/>
        <v xml:space="preserve"> </v>
      </c>
      <c r="AO124" s="32" t="str">
        <f t="shared" si="62"/>
        <v xml:space="preserve"> </v>
      </c>
      <c r="AP124" s="32" t="str">
        <f t="shared" si="63"/>
        <v xml:space="preserve"> </v>
      </c>
      <c r="AQ124" s="33">
        <f t="shared" si="64"/>
        <v>0</v>
      </c>
      <c r="AR124" s="27">
        <v>0.87</v>
      </c>
      <c r="AS124" s="30" t="str">
        <f t="shared" si="81"/>
        <v xml:space="preserve"> </v>
      </c>
      <c r="AT124" s="33">
        <f t="shared" si="82"/>
        <v>0</v>
      </c>
      <c r="AU124" s="32">
        <v>1</v>
      </c>
      <c r="AV124" s="33">
        <f t="shared" si="65"/>
        <v>0</v>
      </c>
      <c r="AW124" s="33">
        <f t="shared" si="66"/>
        <v>0</v>
      </c>
      <c r="AX124" s="30" t="str">
        <f t="shared" si="42"/>
        <v xml:space="preserve"> </v>
      </c>
      <c r="AY124" s="29">
        <f t="shared" si="67"/>
        <v>0</v>
      </c>
      <c r="AZ124" s="29">
        <f t="shared" si="68"/>
        <v>0</v>
      </c>
      <c r="BA124" s="30" t="str">
        <f t="shared" si="87"/>
        <v xml:space="preserve"> </v>
      </c>
      <c r="BB124" s="34">
        <f t="shared" si="69"/>
        <v>0</v>
      </c>
      <c r="BC124" s="35">
        <f t="shared" si="70"/>
        <v>0</v>
      </c>
      <c r="BD124" s="27">
        <v>1</v>
      </c>
      <c r="BE124" s="36">
        <f t="shared" si="71"/>
        <v>0</v>
      </c>
      <c r="BF124" s="36">
        <f t="shared" si="72"/>
        <v>0</v>
      </c>
      <c r="BG124" s="30" t="str">
        <f t="shared" si="73"/>
        <v xml:space="preserve"> </v>
      </c>
      <c r="BH124" s="33">
        <f t="shared" si="74"/>
        <v>0</v>
      </c>
      <c r="BI124" s="27">
        <v>1</v>
      </c>
      <c r="BJ124" s="36">
        <f t="shared" si="75"/>
        <v>0</v>
      </c>
      <c r="BK124" s="37">
        <f t="shared" si="76"/>
        <v>0</v>
      </c>
      <c r="BL124" s="30" t="str">
        <f t="shared" si="77"/>
        <v xml:space="preserve"> </v>
      </c>
      <c r="BM124" s="26">
        <f t="shared" si="78"/>
        <v>0</v>
      </c>
      <c r="BO124" s="50">
        <f t="shared" si="79"/>
        <v>0</v>
      </c>
      <c r="BP124" s="50">
        <f t="shared" si="80"/>
        <v>0</v>
      </c>
    </row>
    <row r="125" spans="1:68">
      <c r="A125" s="16" t="s">
        <v>184</v>
      </c>
      <c r="B125" s="1" t="s">
        <v>66</v>
      </c>
      <c r="C125" s="24">
        <v>2</v>
      </c>
      <c r="D125" s="24" t="s">
        <v>432</v>
      </c>
      <c r="E125" s="24">
        <v>10</v>
      </c>
      <c r="F125" s="24">
        <v>2</v>
      </c>
      <c r="G125" s="24" t="s">
        <v>67</v>
      </c>
      <c r="H125" s="24">
        <v>2100</v>
      </c>
      <c r="I125" s="24">
        <v>240</v>
      </c>
      <c r="J125" s="24">
        <v>0</v>
      </c>
      <c r="K125" s="24">
        <v>0</v>
      </c>
      <c r="L125" s="24">
        <v>123.85601604278075</v>
      </c>
      <c r="M125" s="24">
        <v>0</v>
      </c>
      <c r="N125" s="24">
        <v>240</v>
      </c>
      <c r="O125" s="24">
        <v>202.71850267379671</v>
      </c>
      <c r="P125" s="24">
        <v>0</v>
      </c>
      <c r="Q125" s="24">
        <v>8947.9727797219748</v>
      </c>
      <c r="R125" s="24">
        <v>1000</v>
      </c>
      <c r="S125" s="24">
        <v>0</v>
      </c>
      <c r="T125" s="28">
        <f t="shared" si="43"/>
        <v>0.39896357113943293</v>
      </c>
      <c r="U125" s="28">
        <f t="shared" si="44"/>
        <v>0.14188383907646634</v>
      </c>
      <c r="V125" s="29">
        <f>IF(O125&gt;0,((VLOOKUP(E125,ACs!G$4:P$53,7)*P125)+(VLOOKUP(E125,ACs!G$4:P$53,6)*(1-P125)))*O125*F125,0)</f>
        <v>1265.7218086819141</v>
      </c>
      <c r="W125" s="29">
        <f>IF(E125&gt;0,VLOOKUP(E125,ACs!G$4:P$53,10)*Q125*F125,0)</f>
        <v>7655.1096046813136</v>
      </c>
      <c r="X125" s="29">
        <f t="shared" si="45"/>
        <v>1756.024892646763</v>
      </c>
      <c r="Y125" s="29">
        <f t="shared" si="46"/>
        <v>4200</v>
      </c>
      <c r="Z125" s="29">
        <f t="shared" si="86"/>
        <v>0</v>
      </c>
      <c r="AA125" s="29">
        <f t="shared" si="48"/>
        <v>2000</v>
      </c>
      <c r="AB125" s="30">
        <f t="shared" si="49"/>
        <v>2.5421086442880934</v>
      </c>
      <c r="AC125" s="30">
        <f t="shared" si="50"/>
        <v>2.1240074793721972</v>
      </c>
      <c r="AD125" s="31">
        <f t="shared" si="51"/>
        <v>4.4604157066816139</v>
      </c>
      <c r="AE125" s="29">
        <f t="shared" si="52"/>
        <v>1265.7218086819141</v>
      </c>
      <c r="AF125" s="29">
        <f t="shared" si="53"/>
        <v>249.15155328256242</v>
      </c>
      <c r="AG125" s="29">
        <f t="shared" si="54"/>
        <v>595.91212412115863</v>
      </c>
      <c r="AH125" s="29">
        <f t="shared" si="55"/>
        <v>0</v>
      </c>
      <c r="AI125" s="29">
        <f t="shared" si="56"/>
        <v>283.76767815293272</v>
      </c>
      <c r="AJ125" s="30">
        <f t="shared" si="57"/>
        <v>2.5421086442880934</v>
      </c>
      <c r="AK125" s="30">
        <f t="shared" si="58"/>
        <v>2.1240074793721972</v>
      </c>
      <c r="AL125" s="30">
        <f t="shared" si="59"/>
        <v>4.4604157066816139</v>
      </c>
      <c r="AM125" s="32">
        <f t="shared" si="60"/>
        <v>0.83552978120925925</v>
      </c>
      <c r="AN125" s="32">
        <f t="shared" si="61"/>
        <v>0.83552978120925925</v>
      </c>
      <c r="AO125" s="32">
        <f t="shared" si="62"/>
        <v>0.22419434997998502</v>
      </c>
      <c r="AP125" s="32">
        <f t="shared" si="63"/>
        <v>0.22419434997998502</v>
      </c>
      <c r="AQ125" s="33">
        <f t="shared" si="64"/>
        <v>405.43700534759341</v>
      </c>
      <c r="AR125" s="27">
        <v>0.87</v>
      </c>
      <c r="AS125" s="30">
        <f t="shared" si="81"/>
        <v>2.5421086442880929</v>
      </c>
      <c r="AT125" s="33">
        <f t="shared" si="82"/>
        <v>352.73019465240628</v>
      </c>
      <c r="AU125" s="32">
        <v>1</v>
      </c>
      <c r="AV125" s="33">
        <f t="shared" si="65"/>
        <v>1514.8733619644765</v>
      </c>
      <c r="AW125" s="33">
        <f t="shared" si="66"/>
        <v>595.91212412115863</v>
      </c>
      <c r="AX125" s="30">
        <f t="shared" si="42"/>
        <v>2.5421086442880934</v>
      </c>
      <c r="AY125" s="29">
        <f t="shared" si="67"/>
        <v>1317.9398249090946</v>
      </c>
      <c r="AZ125" s="29">
        <f t="shared" si="68"/>
        <v>518.44354798540803</v>
      </c>
      <c r="BA125" s="30">
        <f t="shared" si="87"/>
        <v>2.5421086442880929</v>
      </c>
      <c r="BB125" s="34">
        <f t="shared" si="69"/>
        <v>1</v>
      </c>
      <c r="BC125" s="35">
        <f t="shared" si="70"/>
        <v>1</v>
      </c>
      <c r="BD125" s="27">
        <v>1</v>
      </c>
      <c r="BE125" s="36">
        <f t="shared" si="71"/>
        <v>249.15155328256242</v>
      </c>
      <c r="BF125" s="36">
        <f t="shared" si="72"/>
        <v>595.91212412115863</v>
      </c>
      <c r="BG125" s="30">
        <f t="shared" si="73"/>
        <v>0.418101164915896</v>
      </c>
      <c r="BH125" s="33">
        <f t="shared" si="74"/>
        <v>405.43700534759341</v>
      </c>
      <c r="BI125" s="27">
        <v>1</v>
      </c>
      <c r="BJ125" s="36">
        <f t="shared" si="75"/>
        <v>1514.8733619644765</v>
      </c>
      <c r="BK125" s="37">
        <f t="shared" si="76"/>
        <v>595.91212412115863</v>
      </c>
      <c r="BL125" s="30">
        <f t="shared" si="77"/>
        <v>2.5421086442880934</v>
      </c>
      <c r="BM125" s="26">
        <f t="shared" si="78"/>
        <v>405.43700534759341</v>
      </c>
      <c r="BO125" s="50">
        <f t="shared" si="79"/>
        <v>1265.7218086819141</v>
      </c>
      <c r="BP125" s="50">
        <f t="shared" si="80"/>
        <v>249.15155328256242</v>
      </c>
    </row>
    <row r="126" spans="1:68">
      <c r="A126" s="16" t="s">
        <v>185</v>
      </c>
      <c r="B126" s="1" t="s">
        <v>66</v>
      </c>
      <c r="C126" s="24">
        <v>0</v>
      </c>
      <c r="D126" s="24" t="s">
        <v>433</v>
      </c>
      <c r="E126" s="24">
        <v>10</v>
      </c>
      <c r="F126" s="24">
        <v>0</v>
      </c>
      <c r="G126" s="24" t="s">
        <v>67</v>
      </c>
      <c r="H126" s="24">
        <v>3000</v>
      </c>
      <c r="I126" s="24">
        <v>307</v>
      </c>
      <c r="J126" s="24">
        <v>0</v>
      </c>
      <c r="K126" s="24">
        <v>0</v>
      </c>
      <c r="L126" s="24">
        <v>2.4732620320855614</v>
      </c>
      <c r="M126" s="24">
        <v>0</v>
      </c>
      <c r="N126" s="24">
        <v>307</v>
      </c>
      <c r="O126" s="24">
        <v>0</v>
      </c>
      <c r="P126" s="24">
        <v>0</v>
      </c>
      <c r="Q126" s="24">
        <v>11228.457210138979</v>
      </c>
      <c r="R126" s="24">
        <v>0</v>
      </c>
      <c r="S126" s="24">
        <v>0</v>
      </c>
      <c r="T126" s="28">
        <f t="shared" si="43"/>
        <v>0</v>
      </c>
      <c r="U126" s="28">
        <f t="shared" si="44"/>
        <v>0</v>
      </c>
      <c r="V126" s="29">
        <f>IF(O126&gt;0,((VLOOKUP(E126,ACs!G$4:P$53,7)*P126)+(VLOOKUP(E126,ACs!G$4:P$53,6)*(1-P126)))*O126*F126,0)</f>
        <v>0</v>
      </c>
      <c r="W126" s="29">
        <f>IF(E126&gt;0,VLOOKUP(E126,ACs!G$4:P$53,10)*Q126*F126,0)</f>
        <v>0</v>
      </c>
      <c r="X126" s="29">
        <f t="shared" si="45"/>
        <v>0</v>
      </c>
      <c r="Y126" s="29">
        <f t="shared" si="46"/>
        <v>0</v>
      </c>
      <c r="Z126" s="29">
        <f t="shared" si="86"/>
        <v>0</v>
      </c>
      <c r="AA126" s="29">
        <f t="shared" si="48"/>
        <v>0</v>
      </c>
      <c r="AB126" s="30" t="str">
        <f t="shared" si="49"/>
        <v xml:space="preserve"> </v>
      </c>
      <c r="AC126" s="30" t="str">
        <f t="shared" si="50"/>
        <v xml:space="preserve"> </v>
      </c>
      <c r="AD126" s="31" t="str">
        <f t="shared" si="51"/>
        <v xml:space="preserve"> </v>
      </c>
      <c r="AE126" s="29">
        <f t="shared" si="52"/>
        <v>0</v>
      </c>
      <c r="AF126" s="29">
        <f t="shared" si="53"/>
        <v>0</v>
      </c>
      <c r="AG126" s="29">
        <f t="shared" si="54"/>
        <v>0</v>
      </c>
      <c r="AH126" s="29">
        <f t="shared" si="55"/>
        <v>0</v>
      </c>
      <c r="AI126" s="29">
        <f t="shared" si="56"/>
        <v>0</v>
      </c>
      <c r="AJ126" s="30" t="str">
        <f t="shared" si="57"/>
        <v xml:space="preserve"> </v>
      </c>
      <c r="AK126" s="30" t="str">
        <f t="shared" si="58"/>
        <v xml:space="preserve"> </v>
      </c>
      <c r="AL126" s="30" t="str">
        <f t="shared" si="59"/>
        <v xml:space="preserve"> </v>
      </c>
      <c r="AM126" s="32" t="str">
        <f t="shared" si="60"/>
        <v xml:space="preserve"> </v>
      </c>
      <c r="AN126" s="32" t="str">
        <f t="shared" si="61"/>
        <v xml:space="preserve"> </v>
      </c>
      <c r="AO126" s="32" t="str">
        <f t="shared" si="62"/>
        <v xml:space="preserve"> </v>
      </c>
      <c r="AP126" s="32" t="str">
        <f t="shared" si="63"/>
        <v xml:space="preserve"> </v>
      </c>
      <c r="AQ126" s="33">
        <f t="shared" si="64"/>
        <v>0</v>
      </c>
      <c r="AR126" s="27">
        <v>0.87</v>
      </c>
      <c r="AS126" s="30" t="str">
        <f t="shared" si="81"/>
        <v xml:space="preserve"> </v>
      </c>
      <c r="AT126" s="33">
        <f t="shared" si="82"/>
        <v>0</v>
      </c>
      <c r="AU126" s="32">
        <v>1</v>
      </c>
      <c r="AV126" s="33">
        <f t="shared" si="65"/>
        <v>0</v>
      </c>
      <c r="AW126" s="33">
        <f t="shared" si="66"/>
        <v>0</v>
      </c>
      <c r="AX126" s="30" t="str">
        <f t="shared" si="42"/>
        <v xml:space="preserve"> </v>
      </c>
      <c r="AY126" s="29">
        <f t="shared" si="67"/>
        <v>0</v>
      </c>
      <c r="AZ126" s="29">
        <f t="shared" si="68"/>
        <v>0</v>
      </c>
      <c r="BA126" s="30" t="str">
        <f t="shared" si="87"/>
        <v xml:space="preserve"> </v>
      </c>
      <c r="BB126" s="34">
        <f t="shared" si="69"/>
        <v>0</v>
      </c>
      <c r="BC126" s="35">
        <f t="shared" si="70"/>
        <v>0</v>
      </c>
      <c r="BD126" s="27">
        <v>1</v>
      </c>
      <c r="BE126" s="36">
        <f t="shared" si="71"/>
        <v>0</v>
      </c>
      <c r="BF126" s="36">
        <f t="shared" si="72"/>
        <v>0</v>
      </c>
      <c r="BG126" s="30" t="str">
        <f t="shared" si="73"/>
        <v xml:space="preserve"> </v>
      </c>
      <c r="BH126" s="33">
        <f t="shared" si="74"/>
        <v>0</v>
      </c>
      <c r="BI126" s="27">
        <v>1</v>
      </c>
      <c r="BJ126" s="36">
        <f t="shared" si="75"/>
        <v>0</v>
      </c>
      <c r="BK126" s="37">
        <f t="shared" si="76"/>
        <v>0</v>
      </c>
      <c r="BL126" s="30" t="str">
        <f t="shared" si="77"/>
        <v xml:space="preserve"> </v>
      </c>
      <c r="BM126" s="26">
        <f t="shared" si="78"/>
        <v>0</v>
      </c>
      <c r="BO126" s="50">
        <f t="shared" si="79"/>
        <v>0</v>
      </c>
      <c r="BP126" s="50">
        <f t="shared" si="80"/>
        <v>0</v>
      </c>
    </row>
    <row r="127" spans="1:68">
      <c r="A127" s="16" t="s">
        <v>186</v>
      </c>
      <c r="B127" s="1" t="s">
        <v>66</v>
      </c>
      <c r="C127" s="24">
        <v>2</v>
      </c>
      <c r="D127" s="24" t="s">
        <v>432</v>
      </c>
      <c r="E127" s="24">
        <v>10</v>
      </c>
      <c r="F127" s="24">
        <v>2</v>
      </c>
      <c r="G127" s="24" t="s">
        <v>67</v>
      </c>
      <c r="H127" s="24">
        <v>3000</v>
      </c>
      <c r="I127" s="24">
        <v>300</v>
      </c>
      <c r="J127" s="24">
        <v>0</v>
      </c>
      <c r="K127" s="24">
        <v>0</v>
      </c>
      <c r="L127" s="24">
        <v>155.27139037433156</v>
      </c>
      <c r="M127" s="24">
        <v>0</v>
      </c>
      <c r="N127" s="24">
        <v>300</v>
      </c>
      <c r="O127" s="24">
        <v>254.13689839572174</v>
      </c>
      <c r="P127" s="24">
        <v>0</v>
      </c>
      <c r="Q127" s="24">
        <v>12701.265000817632</v>
      </c>
      <c r="R127" s="24">
        <v>1500</v>
      </c>
      <c r="S127" s="24">
        <v>0</v>
      </c>
      <c r="T127" s="28">
        <f t="shared" si="43"/>
        <v>0.36958320881817808</v>
      </c>
      <c r="U127" s="28">
        <f t="shared" si="44"/>
        <v>0.1274216682267231</v>
      </c>
      <c r="V127" s="29">
        <f>IF(O127&gt;0,((VLOOKUP(E127,ACs!G$4:P$53,7)*P127)+(VLOOKUP(E127,ACs!G$4:P$53,6)*(1-P127)))*O127*F127,0)</f>
        <v>1586.764949659542</v>
      </c>
      <c r="W127" s="29">
        <f>IF(E127&gt;0,VLOOKUP(E127,ACs!G$4:P$53,10)*Q127*F127,0)</f>
        <v>10866.100969786668</v>
      </c>
      <c r="X127" s="29">
        <f t="shared" si="45"/>
        <v>2201.4306234347177</v>
      </c>
      <c r="Y127" s="29">
        <f t="shared" si="46"/>
        <v>6000</v>
      </c>
      <c r="Z127" s="29">
        <f t="shared" si="86"/>
        <v>0</v>
      </c>
      <c r="AA127" s="29">
        <f t="shared" si="48"/>
        <v>3000</v>
      </c>
      <c r="AB127" s="30">
        <f t="shared" si="49"/>
        <v>2.4423827571468215</v>
      </c>
      <c r="AC127" s="30">
        <f t="shared" si="50"/>
        <v>2.0754776532410353</v>
      </c>
      <c r="AD127" s="31">
        <f t="shared" si="51"/>
        <v>4.1509553064820706</v>
      </c>
      <c r="AE127" s="29">
        <f t="shared" si="52"/>
        <v>1586.7649496595423</v>
      </c>
      <c r="AF127" s="29">
        <f t="shared" si="53"/>
        <v>280.5099625234468</v>
      </c>
      <c r="AG127" s="29">
        <f t="shared" si="54"/>
        <v>764.53000936033857</v>
      </c>
      <c r="AH127" s="29">
        <f t="shared" si="55"/>
        <v>0</v>
      </c>
      <c r="AI127" s="29">
        <f t="shared" si="56"/>
        <v>382.26500468016928</v>
      </c>
      <c r="AJ127" s="30">
        <f t="shared" si="57"/>
        <v>2.4423827571468215</v>
      </c>
      <c r="AK127" s="30">
        <f t="shared" si="58"/>
        <v>2.0754776532410353</v>
      </c>
      <c r="AL127" s="30">
        <f t="shared" si="59"/>
        <v>4.1509553064820706</v>
      </c>
      <c r="AM127" s="32">
        <f t="shared" si="60"/>
        <v>0.84977575573191366</v>
      </c>
      <c r="AN127" s="32">
        <f t="shared" si="61"/>
        <v>0.84977575573191366</v>
      </c>
      <c r="AO127" s="32">
        <f t="shared" si="62"/>
        <v>0.24090839967330285</v>
      </c>
      <c r="AP127" s="32">
        <f t="shared" si="63"/>
        <v>0.24090839967330288</v>
      </c>
      <c r="AQ127" s="33">
        <f t="shared" si="64"/>
        <v>508.27379679144349</v>
      </c>
      <c r="AR127" s="27">
        <v>0.87</v>
      </c>
      <c r="AS127" s="30">
        <f t="shared" si="81"/>
        <v>2.4423827571468215</v>
      </c>
      <c r="AT127" s="33">
        <f t="shared" si="82"/>
        <v>442.19820320855581</v>
      </c>
      <c r="AU127" s="32">
        <v>1</v>
      </c>
      <c r="AV127" s="33">
        <f t="shared" si="65"/>
        <v>1867.2749121829891</v>
      </c>
      <c r="AW127" s="33">
        <f t="shared" si="66"/>
        <v>764.53000936033857</v>
      </c>
      <c r="AX127" s="30">
        <f t="shared" si="42"/>
        <v>2.4423827571468215</v>
      </c>
      <c r="AY127" s="29">
        <f t="shared" si="67"/>
        <v>1624.5291735992005</v>
      </c>
      <c r="AZ127" s="29">
        <f t="shared" si="68"/>
        <v>665.14110814349453</v>
      </c>
      <c r="BA127" s="30">
        <f t="shared" si="87"/>
        <v>2.4423827571468215</v>
      </c>
      <c r="BB127" s="34">
        <f t="shared" si="69"/>
        <v>1</v>
      </c>
      <c r="BC127" s="35">
        <f t="shared" si="70"/>
        <v>1</v>
      </c>
      <c r="BD127" s="27">
        <v>1</v>
      </c>
      <c r="BE127" s="36">
        <f t="shared" si="71"/>
        <v>280.5099625234468</v>
      </c>
      <c r="BF127" s="36">
        <f t="shared" si="72"/>
        <v>764.53000936033857</v>
      </c>
      <c r="BG127" s="30">
        <f t="shared" si="73"/>
        <v>0.36690510390578629</v>
      </c>
      <c r="BH127" s="33">
        <f t="shared" si="74"/>
        <v>508.27379679144349</v>
      </c>
      <c r="BI127" s="27">
        <v>1</v>
      </c>
      <c r="BJ127" s="36">
        <f t="shared" si="75"/>
        <v>1867.2749121829891</v>
      </c>
      <c r="BK127" s="37">
        <f t="shared" si="76"/>
        <v>764.53000936033857</v>
      </c>
      <c r="BL127" s="30">
        <f t="shared" si="77"/>
        <v>2.4423827571468215</v>
      </c>
      <c r="BM127" s="26">
        <f t="shared" si="78"/>
        <v>508.27379679144349</v>
      </c>
      <c r="BO127" s="50">
        <f t="shared" si="79"/>
        <v>1586.7649496595423</v>
      </c>
      <c r="BP127" s="50">
        <f t="shared" si="80"/>
        <v>280.5099625234468</v>
      </c>
    </row>
    <row r="128" spans="1:68">
      <c r="A128" s="16" t="s">
        <v>187</v>
      </c>
      <c r="B128" s="1" t="s">
        <v>66</v>
      </c>
      <c r="C128" s="24">
        <v>0</v>
      </c>
      <c r="D128" s="24" t="s">
        <v>433</v>
      </c>
      <c r="E128" s="24">
        <v>10</v>
      </c>
      <c r="F128" s="24">
        <v>0</v>
      </c>
      <c r="G128" s="24" t="s">
        <v>67</v>
      </c>
      <c r="H128" s="24">
        <v>4000</v>
      </c>
      <c r="I128" s="24">
        <v>471</v>
      </c>
      <c r="J128" s="24">
        <v>0</v>
      </c>
      <c r="K128" s="24">
        <v>0</v>
      </c>
      <c r="L128" s="24">
        <v>2.4732620320855614</v>
      </c>
      <c r="M128" s="24">
        <v>0</v>
      </c>
      <c r="N128" s="24">
        <v>471</v>
      </c>
      <c r="O128" s="24">
        <v>0</v>
      </c>
      <c r="P128" s="24">
        <v>0</v>
      </c>
      <c r="Q128" s="24">
        <v>17225.474129190479</v>
      </c>
      <c r="R128" s="24">
        <v>0</v>
      </c>
      <c r="S128" s="24">
        <v>0</v>
      </c>
      <c r="T128" s="28">
        <f t="shared" si="43"/>
        <v>0</v>
      </c>
      <c r="U128" s="28">
        <f t="shared" si="44"/>
        <v>0</v>
      </c>
      <c r="V128" s="29">
        <f>IF(O128&gt;0,((VLOOKUP(E128,ACs!G$4:P$53,7)*P128)+(VLOOKUP(E128,ACs!G$4:P$53,6)*(1-P128)))*O128*F128,0)</f>
        <v>0</v>
      </c>
      <c r="W128" s="29">
        <f>IF(E128&gt;0,VLOOKUP(E128,ACs!G$4:P$53,10)*Q128*F128,0)</f>
        <v>0</v>
      </c>
      <c r="X128" s="29">
        <f t="shared" si="45"/>
        <v>0</v>
      </c>
      <c r="Y128" s="29">
        <f t="shared" si="46"/>
        <v>0</v>
      </c>
      <c r="Z128" s="29">
        <f t="shared" si="86"/>
        <v>0</v>
      </c>
      <c r="AA128" s="29">
        <f t="shared" si="48"/>
        <v>0</v>
      </c>
      <c r="AB128" s="30" t="str">
        <f t="shared" si="49"/>
        <v xml:space="preserve"> </v>
      </c>
      <c r="AC128" s="30" t="str">
        <f t="shared" si="50"/>
        <v xml:space="preserve"> </v>
      </c>
      <c r="AD128" s="31" t="str">
        <f t="shared" si="51"/>
        <v xml:space="preserve"> </v>
      </c>
      <c r="AE128" s="29">
        <f t="shared" si="52"/>
        <v>0</v>
      </c>
      <c r="AF128" s="29">
        <f t="shared" si="53"/>
        <v>0</v>
      </c>
      <c r="AG128" s="29">
        <f t="shared" si="54"/>
        <v>0</v>
      </c>
      <c r="AH128" s="29">
        <f t="shared" si="55"/>
        <v>0</v>
      </c>
      <c r="AI128" s="29">
        <f t="shared" si="56"/>
        <v>0</v>
      </c>
      <c r="AJ128" s="30" t="str">
        <f t="shared" si="57"/>
        <v xml:space="preserve"> </v>
      </c>
      <c r="AK128" s="30" t="str">
        <f t="shared" si="58"/>
        <v xml:space="preserve"> </v>
      </c>
      <c r="AL128" s="30" t="str">
        <f t="shared" si="59"/>
        <v xml:space="preserve"> </v>
      </c>
      <c r="AM128" s="32" t="str">
        <f t="shared" si="60"/>
        <v xml:space="preserve"> </v>
      </c>
      <c r="AN128" s="32" t="str">
        <f t="shared" si="61"/>
        <v xml:space="preserve"> </v>
      </c>
      <c r="AO128" s="32" t="str">
        <f t="shared" si="62"/>
        <v xml:space="preserve"> </v>
      </c>
      <c r="AP128" s="32" t="str">
        <f t="shared" si="63"/>
        <v xml:space="preserve"> </v>
      </c>
      <c r="AQ128" s="33">
        <f t="shared" si="64"/>
        <v>0</v>
      </c>
      <c r="AR128" s="27">
        <v>0.87</v>
      </c>
      <c r="AS128" s="30" t="str">
        <f t="shared" si="81"/>
        <v xml:space="preserve"> </v>
      </c>
      <c r="AT128" s="33">
        <f t="shared" si="82"/>
        <v>0</v>
      </c>
      <c r="AU128" s="32">
        <v>1</v>
      </c>
      <c r="AV128" s="33">
        <f t="shared" si="65"/>
        <v>0</v>
      </c>
      <c r="AW128" s="33">
        <f t="shared" si="66"/>
        <v>0</v>
      </c>
      <c r="AX128" s="30" t="str">
        <f t="shared" si="42"/>
        <v xml:space="preserve"> </v>
      </c>
      <c r="AY128" s="29">
        <f t="shared" si="67"/>
        <v>0</v>
      </c>
      <c r="AZ128" s="29">
        <f t="shared" si="68"/>
        <v>0</v>
      </c>
      <c r="BA128" s="30" t="str">
        <f t="shared" si="87"/>
        <v xml:space="preserve"> </v>
      </c>
      <c r="BB128" s="34">
        <f t="shared" si="69"/>
        <v>0</v>
      </c>
      <c r="BC128" s="35">
        <f t="shared" si="70"/>
        <v>0</v>
      </c>
      <c r="BD128" s="27">
        <v>1</v>
      </c>
      <c r="BE128" s="36">
        <f t="shared" si="71"/>
        <v>0</v>
      </c>
      <c r="BF128" s="36">
        <f t="shared" si="72"/>
        <v>0</v>
      </c>
      <c r="BG128" s="30" t="str">
        <f t="shared" si="73"/>
        <v xml:space="preserve"> </v>
      </c>
      <c r="BH128" s="33">
        <f t="shared" si="74"/>
        <v>0</v>
      </c>
      <c r="BI128" s="27">
        <v>1</v>
      </c>
      <c r="BJ128" s="36">
        <f t="shared" si="75"/>
        <v>0</v>
      </c>
      <c r="BK128" s="37">
        <f t="shared" si="76"/>
        <v>0</v>
      </c>
      <c r="BL128" s="30" t="str">
        <f t="shared" si="77"/>
        <v xml:space="preserve"> </v>
      </c>
      <c r="BM128" s="26">
        <f t="shared" si="78"/>
        <v>0</v>
      </c>
      <c r="BO128" s="50">
        <f t="shared" si="79"/>
        <v>0</v>
      </c>
      <c r="BP128" s="50">
        <f t="shared" si="80"/>
        <v>0</v>
      </c>
    </row>
    <row r="129" spans="1:68">
      <c r="A129" s="16" t="s">
        <v>188</v>
      </c>
      <c r="B129" s="1" t="s">
        <v>66</v>
      </c>
      <c r="C129" s="24">
        <v>2</v>
      </c>
      <c r="D129" s="24" t="s">
        <v>432</v>
      </c>
      <c r="E129" s="24">
        <v>10</v>
      </c>
      <c r="F129" s="24">
        <v>2</v>
      </c>
      <c r="G129" s="24" t="s">
        <v>67</v>
      </c>
      <c r="H129" s="24">
        <v>4000</v>
      </c>
      <c r="I129" s="24">
        <v>587</v>
      </c>
      <c r="J129" s="24">
        <v>0</v>
      </c>
      <c r="K129" s="24">
        <v>0</v>
      </c>
      <c r="L129" s="24">
        <v>303.32085561497325</v>
      </c>
      <c r="M129" s="24">
        <v>0</v>
      </c>
      <c r="N129" s="24">
        <v>587</v>
      </c>
      <c r="O129" s="24">
        <v>496.45347593582869</v>
      </c>
      <c r="P129" s="24">
        <v>0</v>
      </c>
      <c r="Q129" s="24">
        <v>21436.145582992598</v>
      </c>
      <c r="R129" s="24">
        <v>2000</v>
      </c>
      <c r="S129" s="24">
        <v>0</v>
      </c>
      <c r="T129" s="28">
        <f t="shared" si="43"/>
        <v>0.40425531914893603</v>
      </c>
      <c r="U129" s="28">
        <f t="shared" si="44"/>
        <v>0.14458602365998438</v>
      </c>
      <c r="V129" s="29">
        <f>IF(O129&gt;0,((VLOOKUP(E129,ACs!G$4:P$53,7)*P129)+(VLOOKUP(E129,ACs!G$4:P$53,6)*(1-P129)))*O129*F129,0)</f>
        <v>3099.7268784046878</v>
      </c>
      <c r="W129" s="29">
        <f>IF(E129&gt;0,VLOOKUP(E129,ACs!G$4:P$53,10)*Q129*F129,0)</f>
        <v>18338.907368112516</v>
      </c>
      <c r="X129" s="29">
        <f t="shared" si="45"/>
        <v>4300.4691248492145</v>
      </c>
      <c r="Y129" s="29">
        <f t="shared" si="46"/>
        <v>8000</v>
      </c>
      <c r="Z129" s="29">
        <f t="shared" si="86"/>
        <v>0</v>
      </c>
      <c r="AA129" s="29">
        <f t="shared" si="48"/>
        <v>4000</v>
      </c>
      <c r="AB129" s="30">
        <f t="shared" si="49"/>
        <v>3.2173879214208019</v>
      </c>
      <c r="AC129" s="30">
        <f t="shared" si="50"/>
        <v>2.6798292808146504</v>
      </c>
      <c r="AD129" s="31">
        <f t="shared" si="51"/>
        <v>5.3596585616293009</v>
      </c>
      <c r="AE129" s="29">
        <f t="shared" si="52"/>
        <v>3099.7268784046878</v>
      </c>
      <c r="AF129" s="29">
        <f t="shared" si="53"/>
        <v>621.78773063448079</v>
      </c>
      <c r="AG129" s="29">
        <f t="shared" si="54"/>
        <v>1156.6881892798751</v>
      </c>
      <c r="AH129" s="29">
        <f t="shared" si="55"/>
        <v>0</v>
      </c>
      <c r="AI129" s="29">
        <f t="shared" si="56"/>
        <v>578.34409463993757</v>
      </c>
      <c r="AJ129" s="30">
        <f t="shared" si="57"/>
        <v>3.2173879214208019</v>
      </c>
      <c r="AK129" s="30">
        <f t="shared" si="58"/>
        <v>2.6798292808146504</v>
      </c>
      <c r="AL129" s="30">
        <f t="shared" si="59"/>
        <v>5.3596585616293009</v>
      </c>
      <c r="AM129" s="32">
        <f t="shared" si="60"/>
        <v>0.83292078737935793</v>
      </c>
      <c r="AN129" s="32">
        <f t="shared" si="61"/>
        <v>0.83292078737935804</v>
      </c>
      <c r="AO129" s="32">
        <f t="shared" si="62"/>
        <v>0.18657904948631779</v>
      </c>
      <c r="AP129" s="32">
        <f t="shared" si="63"/>
        <v>0.18657904948631776</v>
      </c>
      <c r="AQ129" s="33">
        <f t="shared" si="64"/>
        <v>992.90695187165738</v>
      </c>
      <c r="AR129" s="27">
        <v>0.87</v>
      </c>
      <c r="AS129" s="30">
        <f t="shared" si="81"/>
        <v>3.2173879214208019</v>
      </c>
      <c r="AT129" s="33">
        <f t="shared" si="82"/>
        <v>863.82904812834192</v>
      </c>
      <c r="AU129" s="32">
        <v>1</v>
      </c>
      <c r="AV129" s="33">
        <f t="shared" si="65"/>
        <v>3721.5146090391686</v>
      </c>
      <c r="AW129" s="33">
        <f t="shared" si="66"/>
        <v>1156.6881892798751</v>
      </c>
      <c r="AX129" s="30">
        <f t="shared" si="42"/>
        <v>3.2173879214208019</v>
      </c>
      <c r="AY129" s="29">
        <f t="shared" si="67"/>
        <v>3237.7177098640768</v>
      </c>
      <c r="AZ129" s="29">
        <f t="shared" si="68"/>
        <v>1006.3187246734914</v>
      </c>
      <c r="BA129" s="30">
        <f t="shared" si="87"/>
        <v>3.2173879214208019</v>
      </c>
      <c r="BB129" s="34">
        <f t="shared" si="69"/>
        <v>1</v>
      </c>
      <c r="BC129" s="35">
        <f t="shared" si="70"/>
        <v>1</v>
      </c>
      <c r="BD129" s="27">
        <v>1</v>
      </c>
      <c r="BE129" s="36">
        <f t="shared" si="71"/>
        <v>621.78773063448079</v>
      </c>
      <c r="BF129" s="36">
        <f t="shared" si="72"/>
        <v>1156.6881892798751</v>
      </c>
      <c r="BG129" s="30">
        <f t="shared" si="73"/>
        <v>0.53755864060615177</v>
      </c>
      <c r="BH129" s="33">
        <f t="shared" si="74"/>
        <v>992.90695187165738</v>
      </c>
      <c r="BI129" s="27">
        <v>1</v>
      </c>
      <c r="BJ129" s="36">
        <f t="shared" si="75"/>
        <v>3721.5146090391686</v>
      </c>
      <c r="BK129" s="37">
        <f t="shared" si="76"/>
        <v>1156.6881892798751</v>
      </c>
      <c r="BL129" s="30">
        <f t="shared" si="77"/>
        <v>3.2173879214208019</v>
      </c>
      <c r="BM129" s="26">
        <f t="shared" si="78"/>
        <v>992.90695187165738</v>
      </c>
      <c r="BO129" s="50">
        <f t="shared" si="79"/>
        <v>3099.7268784046878</v>
      </c>
      <c r="BP129" s="50">
        <f t="shared" si="80"/>
        <v>621.78773063448079</v>
      </c>
    </row>
    <row r="130" spans="1:68">
      <c r="A130" s="16" t="s">
        <v>189</v>
      </c>
      <c r="B130" s="1" t="s">
        <v>66</v>
      </c>
      <c r="C130" s="24">
        <v>0</v>
      </c>
      <c r="D130" s="24" t="s">
        <v>432</v>
      </c>
      <c r="E130" s="24">
        <v>10</v>
      </c>
      <c r="F130" s="24">
        <v>0</v>
      </c>
      <c r="G130" s="24" t="s">
        <v>67</v>
      </c>
      <c r="H130" s="24">
        <v>1000</v>
      </c>
      <c r="I130" s="24">
        <v>33</v>
      </c>
      <c r="J130" s="24">
        <v>0</v>
      </c>
      <c r="K130" s="24">
        <v>0</v>
      </c>
      <c r="L130" s="24">
        <v>16.927005347593582</v>
      </c>
      <c r="M130" s="24">
        <v>0</v>
      </c>
      <c r="N130" s="24">
        <v>33</v>
      </c>
      <c r="O130" s="24">
        <v>55.407754010695157</v>
      </c>
      <c r="P130" s="24">
        <v>0</v>
      </c>
      <c r="Q130" s="24">
        <v>0</v>
      </c>
      <c r="R130" s="24">
        <v>0</v>
      </c>
      <c r="S130" s="24">
        <v>0</v>
      </c>
      <c r="T130" s="28">
        <f t="shared" si="43"/>
        <v>1</v>
      </c>
      <c r="U130" s="28">
        <f t="shared" si="44"/>
        <v>0</v>
      </c>
      <c r="V130" s="29">
        <f>IF(O130&gt;0,((VLOOKUP(E130,ACs!G$4:P$53,7)*P130)+(VLOOKUP(E130,ACs!G$4:P$53,6)*(1-P130)))*O130*F130,0)</f>
        <v>0</v>
      </c>
      <c r="W130" s="29">
        <f>IF(E130&gt;0,VLOOKUP(E130,ACs!G$4:P$53,10)*Q130*F130,0)</f>
        <v>0</v>
      </c>
      <c r="X130" s="29">
        <f t="shared" si="45"/>
        <v>0</v>
      </c>
      <c r="Y130" s="29">
        <f t="shared" si="46"/>
        <v>0</v>
      </c>
      <c r="Z130" s="29">
        <f t="shared" si="86"/>
        <v>0</v>
      </c>
      <c r="AA130" s="29">
        <f t="shared" si="48"/>
        <v>0</v>
      </c>
      <c r="AB130" s="30" t="str">
        <f t="shared" si="49"/>
        <v xml:space="preserve"> </v>
      </c>
      <c r="AC130" s="30" t="str">
        <f t="shared" si="50"/>
        <v xml:space="preserve"> </v>
      </c>
      <c r="AD130" s="31" t="str">
        <f t="shared" si="51"/>
        <v xml:space="preserve"> </v>
      </c>
      <c r="AE130" s="29">
        <f t="shared" si="52"/>
        <v>0</v>
      </c>
      <c r="AF130" s="29">
        <f t="shared" si="53"/>
        <v>0</v>
      </c>
      <c r="AG130" s="29">
        <f t="shared" si="54"/>
        <v>0</v>
      </c>
      <c r="AH130" s="29">
        <f t="shared" si="55"/>
        <v>0</v>
      </c>
      <c r="AI130" s="29">
        <f t="shared" si="56"/>
        <v>0</v>
      </c>
      <c r="AJ130" s="30" t="str">
        <f t="shared" si="57"/>
        <v xml:space="preserve"> </v>
      </c>
      <c r="AK130" s="30" t="str">
        <f t="shared" si="58"/>
        <v xml:space="preserve"> </v>
      </c>
      <c r="AL130" s="30" t="str">
        <f t="shared" si="59"/>
        <v xml:space="preserve"> </v>
      </c>
      <c r="AM130" s="32" t="str">
        <f t="shared" si="60"/>
        <v xml:space="preserve"> </v>
      </c>
      <c r="AN130" s="32" t="str">
        <f t="shared" si="61"/>
        <v xml:space="preserve"> </v>
      </c>
      <c r="AO130" s="32" t="str">
        <f t="shared" si="62"/>
        <v xml:space="preserve"> </v>
      </c>
      <c r="AP130" s="32" t="str">
        <f t="shared" si="63"/>
        <v xml:space="preserve"> </v>
      </c>
      <c r="AQ130" s="33">
        <f t="shared" si="64"/>
        <v>0</v>
      </c>
      <c r="AR130" s="27">
        <v>0.87</v>
      </c>
      <c r="AS130" s="30" t="str">
        <f t="shared" si="81"/>
        <v xml:space="preserve"> </v>
      </c>
      <c r="AT130" s="33">
        <f t="shared" si="82"/>
        <v>0</v>
      </c>
      <c r="AU130" s="32">
        <v>1</v>
      </c>
      <c r="AV130" s="33">
        <f t="shared" si="65"/>
        <v>0</v>
      </c>
      <c r="AW130" s="33">
        <f t="shared" si="66"/>
        <v>0</v>
      </c>
      <c r="AX130" s="30" t="str">
        <f t="shared" si="42"/>
        <v xml:space="preserve"> </v>
      </c>
      <c r="AY130" s="29">
        <f t="shared" si="67"/>
        <v>0</v>
      </c>
      <c r="AZ130" s="29">
        <f t="shared" si="68"/>
        <v>0</v>
      </c>
      <c r="BA130" s="30" t="str">
        <f t="shared" si="87"/>
        <v xml:space="preserve"> </v>
      </c>
      <c r="BB130" s="34">
        <f t="shared" si="69"/>
        <v>0</v>
      </c>
      <c r="BC130" s="35">
        <f t="shared" si="70"/>
        <v>1</v>
      </c>
      <c r="BD130" s="27">
        <v>1</v>
      </c>
      <c r="BE130" s="36">
        <f t="shared" si="71"/>
        <v>0</v>
      </c>
      <c r="BF130" s="36">
        <f t="shared" si="72"/>
        <v>0</v>
      </c>
      <c r="BG130" s="30" t="str">
        <f t="shared" si="73"/>
        <v xml:space="preserve"> </v>
      </c>
      <c r="BH130" s="33">
        <f t="shared" si="74"/>
        <v>0</v>
      </c>
      <c r="BI130" s="27">
        <v>1</v>
      </c>
      <c r="BJ130" s="36">
        <f t="shared" si="75"/>
        <v>0</v>
      </c>
      <c r="BK130" s="37">
        <f t="shared" si="76"/>
        <v>0</v>
      </c>
      <c r="BL130" s="30" t="str">
        <f t="shared" si="77"/>
        <v xml:space="preserve"> </v>
      </c>
      <c r="BM130" s="26">
        <f t="shared" si="78"/>
        <v>0</v>
      </c>
      <c r="BO130" s="50">
        <f t="shared" si="79"/>
        <v>0</v>
      </c>
      <c r="BP130" s="50">
        <f t="shared" si="80"/>
        <v>0</v>
      </c>
    </row>
    <row r="131" spans="1:68">
      <c r="A131" s="16" t="s">
        <v>190</v>
      </c>
      <c r="B131" s="1" t="s">
        <v>66</v>
      </c>
      <c r="C131" s="24">
        <v>2</v>
      </c>
      <c r="D131" s="24" t="s">
        <v>432</v>
      </c>
      <c r="E131" s="24">
        <v>10</v>
      </c>
      <c r="F131" s="24">
        <v>2</v>
      </c>
      <c r="G131" s="24" t="s">
        <v>67</v>
      </c>
      <c r="H131" s="24">
        <v>1000</v>
      </c>
      <c r="I131" s="24">
        <v>128</v>
      </c>
      <c r="J131" s="24">
        <v>0</v>
      </c>
      <c r="K131" s="24">
        <v>0</v>
      </c>
      <c r="L131" s="24">
        <v>66.35267379679145</v>
      </c>
      <c r="M131" s="24">
        <v>0</v>
      </c>
      <c r="N131" s="24">
        <v>128</v>
      </c>
      <c r="O131" s="24">
        <v>325.7975935828876</v>
      </c>
      <c r="P131" s="24">
        <v>0</v>
      </c>
      <c r="Q131" s="24">
        <v>0</v>
      </c>
      <c r="R131" s="24">
        <v>250</v>
      </c>
      <c r="S131" s="24">
        <v>0</v>
      </c>
      <c r="T131" s="28">
        <f t="shared" si="43"/>
        <v>1</v>
      </c>
      <c r="U131" s="28">
        <f t="shared" si="44"/>
        <v>1</v>
      </c>
      <c r="V131" s="29">
        <f>IF(O131&gt;0,((VLOOKUP(E131,ACs!G$4:P$53,7)*P131)+(VLOOKUP(E131,ACs!G$4:P$53,6)*(1-P131)))*O131*F131,0)</f>
        <v>2034.1957639530765</v>
      </c>
      <c r="W131" s="29">
        <f>IF(E131&gt;0,VLOOKUP(E131,ACs!G$4:P$53,10)*Q131*F131,0)</f>
        <v>0</v>
      </c>
      <c r="X131" s="29">
        <f t="shared" si="45"/>
        <v>940.74515395837204</v>
      </c>
      <c r="Y131" s="29">
        <f t="shared" si="46"/>
        <v>2000</v>
      </c>
      <c r="Z131" s="29">
        <f t="shared" si="86"/>
        <v>0</v>
      </c>
      <c r="AA131" s="29">
        <f t="shared" si="48"/>
        <v>500</v>
      </c>
      <c r="AB131" s="30">
        <f t="shared" si="49"/>
        <v>1.4874704589557244</v>
      </c>
      <c r="AC131" s="30">
        <f t="shared" si="50"/>
        <v>1.0170978819765382</v>
      </c>
      <c r="AD131" s="31">
        <f t="shared" si="51"/>
        <v>4.0683915279061527</v>
      </c>
      <c r="AE131" s="29">
        <f t="shared" si="52"/>
        <v>2034.1957639530765</v>
      </c>
      <c r="AF131" s="29">
        <f t="shared" si="53"/>
        <v>940.74515395837204</v>
      </c>
      <c r="AG131" s="29">
        <f t="shared" si="54"/>
        <v>2000</v>
      </c>
      <c r="AH131" s="29">
        <f t="shared" si="55"/>
        <v>0</v>
      </c>
      <c r="AI131" s="29">
        <f t="shared" si="56"/>
        <v>500</v>
      </c>
      <c r="AJ131" s="30">
        <f t="shared" si="57"/>
        <v>1.4874704589557244</v>
      </c>
      <c r="AK131" s="30">
        <f t="shared" si="58"/>
        <v>1.0170978819765382</v>
      </c>
      <c r="AL131" s="30">
        <f t="shared" si="59"/>
        <v>4.0683915279061527</v>
      </c>
      <c r="AM131" s="32">
        <f t="shared" si="60"/>
        <v>0.68377686148509453</v>
      </c>
      <c r="AN131" s="32">
        <f t="shared" si="61"/>
        <v>0.68377686148509453</v>
      </c>
      <c r="AO131" s="32">
        <f t="shared" si="62"/>
        <v>0.24579738531572995</v>
      </c>
      <c r="AP131" s="32">
        <f t="shared" si="63"/>
        <v>0.24579738531572995</v>
      </c>
      <c r="AQ131" s="33">
        <f t="shared" si="64"/>
        <v>651.5951871657752</v>
      </c>
      <c r="AR131" s="27">
        <v>0.87</v>
      </c>
      <c r="AS131" s="30">
        <f t="shared" si="81"/>
        <v>1.4874704589557242</v>
      </c>
      <c r="AT131" s="33">
        <f t="shared" si="82"/>
        <v>566.88781283422441</v>
      </c>
      <c r="AU131" s="32">
        <v>1</v>
      </c>
      <c r="AV131" s="33">
        <f t="shared" si="65"/>
        <v>2974.9409179114487</v>
      </c>
      <c r="AW131" s="33">
        <f t="shared" si="66"/>
        <v>2000</v>
      </c>
      <c r="AX131" s="30">
        <f t="shared" si="42"/>
        <v>1.4874704589557244</v>
      </c>
      <c r="AY131" s="29">
        <f t="shared" si="67"/>
        <v>2588.1985985829601</v>
      </c>
      <c r="AZ131" s="29">
        <f t="shared" si="68"/>
        <v>1740</v>
      </c>
      <c r="BA131" s="30">
        <f t="shared" si="87"/>
        <v>1.4874704589557242</v>
      </c>
      <c r="BB131" s="34">
        <f t="shared" si="69"/>
        <v>1</v>
      </c>
      <c r="BC131" s="35">
        <f t="shared" si="70"/>
        <v>1</v>
      </c>
      <c r="BD131" s="27">
        <v>1</v>
      </c>
      <c r="BE131" s="36">
        <f t="shared" si="71"/>
        <v>940.74515395837204</v>
      </c>
      <c r="BF131" s="36">
        <f t="shared" si="72"/>
        <v>2000</v>
      </c>
      <c r="BG131" s="30">
        <f t="shared" si="73"/>
        <v>0.470372576979186</v>
      </c>
      <c r="BH131" s="33">
        <f t="shared" si="74"/>
        <v>651.5951871657752</v>
      </c>
      <c r="BI131" s="27">
        <v>1</v>
      </c>
      <c r="BJ131" s="36">
        <f t="shared" si="75"/>
        <v>2974.9409179114487</v>
      </c>
      <c r="BK131" s="37">
        <f t="shared" si="76"/>
        <v>2000</v>
      </c>
      <c r="BL131" s="30">
        <f t="shared" si="77"/>
        <v>1.4874704589557244</v>
      </c>
      <c r="BM131" s="26">
        <f t="shared" si="78"/>
        <v>651.5951871657752</v>
      </c>
      <c r="BO131" s="50">
        <f t="shared" si="79"/>
        <v>2034.1957639530765</v>
      </c>
      <c r="BP131" s="50">
        <f t="shared" si="80"/>
        <v>940.74515395837204</v>
      </c>
    </row>
    <row r="132" spans="1:68">
      <c r="A132" s="16" t="s">
        <v>191</v>
      </c>
      <c r="B132" s="1" t="s">
        <v>66</v>
      </c>
      <c r="C132" s="24">
        <v>2</v>
      </c>
      <c r="D132" s="24" t="s">
        <v>432</v>
      </c>
      <c r="E132" s="24">
        <v>10</v>
      </c>
      <c r="F132" s="24">
        <v>2</v>
      </c>
      <c r="G132" s="24" t="s">
        <v>67</v>
      </c>
      <c r="H132" s="24">
        <v>2000</v>
      </c>
      <c r="I132" s="24">
        <v>328</v>
      </c>
      <c r="J132" s="24">
        <v>0</v>
      </c>
      <c r="K132" s="24">
        <v>0</v>
      </c>
      <c r="L132" s="24">
        <v>169.35414438502676</v>
      </c>
      <c r="M132" s="24">
        <v>0</v>
      </c>
      <c r="N132" s="24">
        <v>328</v>
      </c>
      <c r="O132" s="24">
        <v>554.37304812834213</v>
      </c>
      <c r="P132" s="24">
        <v>0</v>
      </c>
      <c r="Q132" s="24">
        <v>0</v>
      </c>
      <c r="R132" s="24">
        <v>1000</v>
      </c>
      <c r="S132" s="24">
        <v>0</v>
      </c>
      <c r="T132" s="28">
        <f t="shared" si="43"/>
        <v>1</v>
      </c>
      <c r="U132" s="28">
        <f t="shared" si="44"/>
        <v>1</v>
      </c>
      <c r="V132" s="29">
        <f>IF(O132&gt;0,((VLOOKUP(E132,ACs!G$4:P$53,7)*P132)+(VLOOKUP(E132,ACs!G$4:P$53,6)*(1-P132)))*O132*F132,0)</f>
        <v>3461.3616808852353</v>
      </c>
      <c r="W132" s="29">
        <f>IF(E132&gt;0,VLOOKUP(E132,ACs!G$4:P$53,10)*Q132*F132,0)</f>
        <v>0</v>
      </c>
      <c r="X132" s="29">
        <f t="shared" si="45"/>
        <v>2401.0952613741456</v>
      </c>
      <c r="Y132" s="29">
        <f t="shared" si="46"/>
        <v>4000</v>
      </c>
      <c r="Z132" s="29">
        <f t="shared" si="86"/>
        <v>0</v>
      </c>
      <c r="AA132" s="29">
        <f t="shared" si="48"/>
        <v>2000</v>
      </c>
      <c r="AB132" s="30">
        <f t="shared" si="49"/>
        <v>1.4656142355648454</v>
      </c>
      <c r="AC132" s="30">
        <f t="shared" si="50"/>
        <v>0.86534042022130886</v>
      </c>
      <c r="AD132" s="31">
        <f t="shared" si="51"/>
        <v>1.7306808404426177</v>
      </c>
      <c r="AE132" s="29">
        <f t="shared" si="52"/>
        <v>3461.3616808852353</v>
      </c>
      <c r="AF132" s="29">
        <f t="shared" si="53"/>
        <v>2401.0952613741456</v>
      </c>
      <c r="AG132" s="29">
        <f t="shared" si="54"/>
        <v>4000</v>
      </c>
      <c r="AH132" s="29">
        <f t="shared" si="55"/>
        <v>0</v>
      </c>
      <c r="AI132" s="29">
        <f t="shared" si="56"/>
        <v>2000</v>
      </c>
      <c r="AJ132" s="30">
        <f t="shared" si="57"/>
        <v>1.4656142355648454</v>
      </c>
      <c r="AK132" s="30">
        <f t="shared" si="58"/>
        <v>0.86534042022130886</v>
      </c>
      <c r="AL132" s="30">
        <f t="shared" si="59"/>
        <v>1.7306808404426177</v>
      </c>
      <c r="AM132" s="32">
        <f t="shared" si="60"/>
        <v>0.59042850377869593</v>
      </c>
      <c r="AN132" s="32">
        <f t="shared" si="61"/>
        <v>0.59042850377869593</v>
      </c>
      <c r="AO132" s="32">
        <f t="shared" si="62"/>
        <v>0.57780728637652934</v>
      </c>
      <c r="AP132" s="32">
        <f t="shared" si="63"/>
        <v>0.57780728637652934</v>
      </c>
      <c r="AQ132" s="33">
        <f t="shared" si="64"/>
        <v>1108.7460962566843</v>
      </c>
      <c r="AR132" s="27">
        <v>0.87</v>
      </c>
      <c r="AS132" s="30">
        <f t="shared" si="81"/>
        <v>1.4656142355648454</v>
      </c>
      <c r="AT132" s="33">
        <f t="shared" si="82"/>
        <v>964.60910374331536</v>
      </c>
      <c r="AU132" s="32">
        <v>1</v>
      </c>
      <c r="AV132" s="33">
        <f t="shared" si="65"/>
        <v>5862.4569422593813</v>
      </c>
      <c r="AW132" s="33">
        <f t="shared" si="66"/>
        <v>4000</v>
      </c>
      <c r="AX132" s="30">
        <f t="shared" ref="AX132:AX161" si="88">IF(AW132=0," ",AV132/AW132)</f>
        <v>1.4656142355648454</v>
      </c>
      <c r="AY132" s="29">
        <f t="shared" si="67"/>
        <v>5100.3375397656619</v>
      </c>
      <c r="AZ132" s="29">
        <f t="shared" si="68"/>
        <v>3480</v>
      </c>
      <c r="BA132" s="30">
        <f t="shared" si="87"/>
        <v>1.4656142355648454</v>
      </c>
      <c r="BB132" s="34">
        <f t="shared" si="69"/>
        <v>1</v>
      </c>
      <c r="BC132" s="35">
        <f t="shared" si="70"/>
        <v>1</v>
      </c>
      <c r="BD132" s="27">
        <v>1</v>
      </c>
      <c r="BE132" s="36">
        <f t="shared" si="71"/>
        <v>2401.0952613741456</v>
      </c>
      <c r="BF132" s="36">
        <f t="shared" si="72"/>
        <v>4000</v>
      </c>
      <c r="BG132" s="30">
        <f t="shared" si="73"/>
        <v>0.60027381534353641</v>
      </c>
      <c r="BH132" s="33">
        <f t="shared" si="74"/>
        <v>1108.7460962566843</v>
      </c>
      <c r="BI132" s="27">
        <v>1</v>
      </c>
      <c r="BJ132" s="36">
        <f t="shared" si="75"/>
        <v>5862.4569422593813</v>
      </c>
      <c r="BK132" s="37">
        <f t="shared" si="76"/>
        <v>4000</v>
      </c>
      <c r="BL132" s="30">
        <f t="shared" si="77"/>
        <v>1.4656142355648454</v>
      </c>
      <c r="BM132" s="26">
        <f t="shared" si="78"/>
        <v>1108.7460962566843</v>
      </c>
      <c r="BO132" s="50">
        <f t="shared" si="79"/>
        <v>3461.3616808852353</v>
      </c>
      <c r="BP132" s="50">
        <f t="shared" si="80"/>
        <v>2401.0952613741456</v>
      </c>
    </row>
    <row r="133" spans="1:68">
      <c r="A133" s="16" t="s">
        <v>192</v>
      </c>
      <c r="B133" s="1" t="s">
        <v>66</v>
      </c>
      <c r="C133" s="24">
        <v>2</v>
      </c>
      <c r="D133" s="24" t="s">
        <v>432</v>
      </c>
      <c r="E133" s="24">
        <v>10</v>
      </c>
      <c r="F133" s="24">
        <v>2</v>
      </c>
      <c r="G133" s="24" t="s">
        <v>67</v>
      </c>
      <c r="H133" s="24">
        <v>2100</v>
      </c>
      <c r="I133" s="24">
        <v>240</v>
      </c>
      <c r="J133" s="24">
        <v>0</v>
      </c>
      <c r="K133" s="24">
        <v>0</v>
      </c>
      <c r="L133" s="24">
        <v>123.85601604278075</v>
      </c>
      <c r="M133" s="24">
        <v>0</v>
      </c>
      <c r="N133" s="24">
        <v>240</v>
      </c>
      <c r="O133" s="24">
        <v>608.15550802139023</v>
      </c>
      <c r="P133" s="24">
        <v>0</v>
      </c>
      <c r="Q133" s="24">
        <v>194.88</v>
      </c>
      <c r="R133" s="24">
        <v>1000</v>
      </c>
      <c r="S133" s="24">
        <v>0</v>
      </c>
      <c r="T133" s="28">
        <f t="shared" ref="T133:T161" si="89">IF(O133=0,0,(O133*100000)/((O133*100000)+(Q133*3413)))</f>
        <v>0.98918155295851939</v>
      </c>
      <c r="U133" s="28">
        <f t="shared" ref="U133:U161" si="90">IF(V133+W133=0,0,V133/(V133+W133))</f>
        <v>0.95793967048261164</v>
      </c>
      <c r="V133" s="29">
        <f>IF(O133&gt;0,((VLOOKUP(E133,ACs!G$4:P$53,7)*P133)+(VLOOKUP(E133,ACs!G$4:P$53,6)*(1-P133)))*O133*F133,0)</f>
        <v>3797.1654260457431</v>
      </c>
      <c r="W133" s="29">
        <f>IF(E133&gt;0,VLOOKUP(E133,ACs!G$4:P$53,10)*Q133*F133,0)</f>
        <v>166.72242936870529</v>
      </c>
      <c r="X133" s="29">
        <f t="shared" ref="X133:X161" si="91">(PV(X$1,E133,-L133)+K133)*F133</f>
        <v>1756.024892646763</v>
      </c>
      <c r="Y133" s="29">
        <f t="shared" ref="Y133:Y161" si="92">F133*H133</f>
        <v>4200</v>
      </c>
      <c r="Z133" s="29">
        <f t="shared" si="86"/>
        <v>0</v>
      </c>
      <c r="AA133" s="29">
        <f t="shared" ref="AA133:AA161" si="93">F133*R133</f>
        <v>2000</v>
      </c>
      <c r="AB133" s="30">
        <f t="shared" ref="AB133:AB161" si="94">IF(Y133=0," ",(V133+W133+X133)/(Y133+Z133))</f>
        <v>1.3618839876336217</v>
      </c>
      <c r="AC133" s="30">
        <f t="shared" ref="AC133:AC161" si="95">IF(Y133=0," ",(V133+W133)/(Y133+Z133))</f>
        <v>0.94378282271772584</v>
      </c>
      <c r="AD133" s="31">
        <f t="shared" ref="AD133:AD161" si="96">IF(AA133=0," ",(V133+W133)/(Z133+AA133))</f>
        <v>1.9819439277072242</v>
      </c>
      <c r="AE133" s="29">
        <f t="shared" ref="AE133:AE160" si="97">U133*(V133+W133)</f>
        <v>3797.1654260457431</v>
      </c>
      <c r="AF133" s="29">
        <f t="shared" ref="AF133:AF161" si="98">U133*X133</f>
        <v>1682.1659070213036</v>
      </c>
      <c r="AG133" s="29">
        <f t="shared" ref="AG133:AG161" si="99">U133*H133*F133</f>
        <v>4023.3466160269691</v>
      </c>
      <c r="AH133" s="29">
        <f t="shared" ref="AH133:AH161" si="100">Z133*U133</f>
        <v>0</v>
      </c>
      <c r="AI133" s="29">
        <f t="shared" ref="AI133:AI161" si="101">F133*R133*U133</f>
        <v>1915.8793409652233</v>
      </c>
      <c r="AJ133" s="30">
        <f t="shared" ref="AJ133:AJ159" si="102">IF(AG133=0," ",(AE133+AF133)/(AG133+AH133))</f>
        <v>1.3618839876336217</v>
      </c>
      <c r="AK133" s="30">
        <f t="shared" ref="AK133:AK159" si="103">IF(AG133=0," ",(AE133)/(AG133+AH133))</f>
        <v>0.94378282271772584</v>
      </c>
      <c r="AL133" s="30">
        <f t="shared" ref="AL133:AL159" si="104">IF(AI133=0," ",(AE133/(AH133+AI133)))</f>
        <v>1.9819439277072244</v>
      </c>
      <c r="AM133" s="32">
        <f t="shared" ref="AM133:AM161" si="105">IF(AE133+AF133=0," ",(AE133/(AE133+AF133)))</f>
        <v>0.69299795818704146</v>
      </c>
      <c r="AN133" s="32">
        <f t="shared" ref="AN133:AN161" si="106">IF(V133+W133+X133=0," ",(V133+W133)/(V133+W133+X133))</f>
        <v>0.69299795818704135</v>
      </c>
      <c r="AO133" s="32">
        <f t="shared" ref="AO133:AO161" si="107">IF(AE133=0," ",AI133/AE133)</f>
        <v>0.50455514206036689</v>
      </c>
      <c r="AP133" s="32">
        <f t="shared" ref="AP133:AP161" si="108">IF(V133+W133=0," ",AA133/(V133+W133))</f>
        <v>0.50455514206036689</v>
      </c>
      <c r="AQ133" s="33">
        <f t="shared" ref="AQ133:AQ161" si="109">F133*O133</f>
        <v>1216.3110160427805</v>
      </c>
      <c r="AR133" s="27">
        <v>0.87</v>
      </c>
      <c r="AS133" s="30">
        <f t="shared" si="81"/>
        <v>1.3618839876336217</v>
      </c>
      <c r="AT133" s="33">
        <f t="shared" si="82"/>
        <v>1058.1905839572189</v>
      </c>
      <c r="AU133" s="32">
        <v>1</v>
      </c>
      <c r="AV133" s="33">
        <f t="shared" ref="AV133:AV161" si="110">SUM(AE133:AF133)*AU133</f>
        <v>5479.3313330670462</v>
      </c>
      <c r="AW133" s="33">
        <f t="shared" ref="AW133:AW161" si="111">SUM(AG133:AH133)*AU133</f>
        <v>4023.3466160269691</v>
      </c>
      <c r="AX133" s="30">
        <f t="shared" si="88"/>
        <v>1.3618839876336217</v>
      </c>
      <c r="AY133" s="29">
        <f t="shared" ref="AY133:AY161" si="112">(SUM(AE133:AF133)*AR133*AU133)</f>
        <v>4767.0182597683306</v>
      </c>
      <c r="AZ133" s="29">
        <f t="shared" ref="AZ133:AZ161" si="113">((AG133*AR133)+AH133)*AU133</f>
        <v>3500.3115559434632</v>
      </c>
      <c r="BA133" s="30">
        <f t="shared" si="87"/>
        <v>1.3618839876336217</v>
      </c>
      <c r="BB133" s="34">
        <f t="shared" ref="BB133:BB161" si="114">IF(AQ133&gt;0,1,0)</f>
        <v>1</v>
      </c>
      <c r="BC133" s="35">
        <f t="shared" ref="BC133:BC161" si="115">IF(O133&gt;0,IF(D133="Y",1,0),0)</f>
        <v>1</v>
      </c>
      <c r="BD133" s="27">
        <v>1</v>
      </c>
      <c r="BE133" s="36">
        <f t="shared" ref="BE133:BE161" si="116">((AE133*BE$2)+AF133)*BD133</f>
        <v>1682.1659070213036</v>
      </c>
      <c r="BF133" s="36">
        <f t="shared" ref="BF133:BF161" si="117">SUM(AG133+AH133)*BD133</f>
        <v>4023.3466160269691</v>
      </c>
      <c r="BG133" s="30">
        <f t="shared" ref="BG133:BG161" si="118">IF(BF133=0," ",BE133/BF133)</f>
        <v>0.41810116491589594</v>
      </c>
      <c r="BH133" s="33">
        <f t="shared" ref="BH133:BH161" si="119">BD133*AQ133</f>
        <v>1216.3110160427805</v>
      </c>
      <c r="BI133" s="27">
        <v>1</v>
      </c>
      <c r="BJ133" s="36">
        <f t="shared" ref="BJ133:BJ161" si="120">((AE133)+AF133)*BI133</f>
        <v>5479.3313330670462</v>
      </c>
      <c r="BK133" s="37">
        <f t="shared" ref="BK133:BK161" si="121">(AG133+AH133)*BI133</f>
        <v>4023.3466160269691</v>
      </c>
      <c r="BL133" s="30">
        <f t="shared" ref="BL133:BL161" si="122">IF(BK133=0," ",BJ133/BK133)</f>
        <v>1.3618839876336217</v>
      </c>
      <c r="BM133" s="26">
        <f t="shared" ref="BM133:BM161" si="123">BI133*AQ133</f>
        <v>1216.3110160427805</v>
      </c>
      <c r="BO133" s="50">
        <f t="shared" ref="BO133:BO161" si="124">AE133*BI133</f>
        <v>3797.1654260457431</v>
      </c>
      <c r="BP133" s="50">
        <f t="shared" ref="BP133:BP161" si="125">BI133*AF133</f>
        <v>1682.1659070213036</v>
      </c>
    </row>
    <row r="134" spans="1:68">
      <c r="A134" s="16" t="s">
        <v>193</v>
      </c>
      <c r="B134" s="1" t="s">
        <v>66</v>
      </c>
      <c r="C134" s="24">
        <v>2</v>
      </c>
      <c r="D134" s="24" t="s">
        <v>432</v>
      </c>
      <c r="E134" s="24">
        <v>10</v>
      </c>
      <c r="F134" s="24">
        <v>2</v>
      </c>
      <c r="G134" s="24" t="s">
        <v>67</v>
      </c>
      <c r="H134" s="24">
        <v>3000</v>
      </c>
      <c r="I134" s="24">
        <v>307</v>
      </c>
      <c r="J134" s="24">
        <v>0</v>
      </c>
      <c r="K134" s="24">
        <v>0</v>
      </c>
      <c r="L134" s="24">
        <v>158.88235294117646</v>
      </c>
      <c r="M134" s="24">
        <v>0</v>
      </c>
      <c r="N134" s="24">
        <v>307</v>
      </c>
      <c r="O134" s="24">
        <v>520.09411764705851</v>
      </c>
      <c r="P134" s="24">
        <v>0</v>
      </c>
      <c r="Q134" s="24">
        <v>0</v>
      </c>
      <c r="R134" s="24">
        <v>1500</v>
      </c>
      <c r="S134" s="24">
        <v>0</v>
      </c>
      <c r="T134" s="28">
        <f t="shared" si="89"/>
        <v>1</v>
      </c>
      <c r="U134" s="28">
        <f t="shared" si="90"/>
        <v>1</v>
      </c>
      <c r="V134" s="29">
        <f>IF(O134&gt;0,((VLOOKUP(E134,ACs!G$4:P$53,7)*P134)+(VLOOKUP(E134,ACs!G$4:P$53,6)*(1-P134)))*O134*F134,0)</f>
        <v>3247.3329202334817</v>
      </c>
      <c r="W134" s="29">
        <f>IF(E134&gt;0,VLOOKUP(E134,ACs!G$4:P$53,10)*Q134*F134,0)</f>
        <v>0</v>
      </c>
      <c r="X134" s="29">
        <f t="shared" si="91"/>
        <v>2252.6266844448269</v>
      </c>
      <c r="Y134" s="29">
        <f t="shared" si="92"/>
        <v>6000</v>
      </c>
      <c r="Z134" s="29">
        <f t="shared" ref="Z134:Z142" si="126">S134*F178</f>
        <v>0</v>
      </c>
      <c r="AA134" s="29">
        <f t="shared" si="93"/>
        <v>3000</v>
      </c>
      <c r="AB134" s="30">
        <f t="shared" si="94"/>
        <v>0.91665993411305136</v>
      </c>
      <c r="AC134" s="30">
        <f t="shared" si="95"/>
        <v>0.54122215337224699</v>
      </c>
      <c r="AD134" s="31">
        <f t="shared" si="96"/>
        <v>1.082444306744494</v>
      </c>
      <c r="AE134" s="29">
        <f t="shared" si="97"/>
        <v>3247.3329202334817</v>
      </c>
      <c r="AF134" s="29">
        <f t="shared" si="98"/>
        <v>2252.6266844448269</v>
      </c>
      <c r="AG134" s="29">
        <f t="shared" si="99"/>
        <v>6000</v>
      </c>
      <c r="AH134" s="29">
        <f t="shared" si="100"/>
        <v>0</v>
      </c>
      <c r="AI134" s="29">
        <f t="shared" si="101"/>
        <v>3000</v>
      </c>
      <c r="AJ134" s="30">
        <f t="shared" si="102"/>
        <v>0.91665993411305136</v>
      </c>
      <c r="AK134" s="30">
        <f t="shared" si="103"/>
        <v>0.54122215337224699</v>
      </c>
      <c r="AL134" s="30">
        <f t="shared" si="104"/>
        <v>1.082444306744494</v>
      </c>
      <c r="AM134" s="32">
        <f t="shared" si="105"/>
        <v>0.59042850377869593</v>
      </c>
      <c r="AN134" s="32">
        <f t="shared" si="106"/>
        <v>0.59042850377869593</v>
      </c>
      <c r="AO134" s="32">
        <f t="shared" si="107"/>
        <v>0.92383505901338303</v>
      </c>
      <c r="AP134" s="32">
        <f t="shared" si="108"/>
        <v>0.92383505901338303</v>
      </c>
      <c r="AQ134" s="33">
        <f t="shared" si="109"/>
        <v>1040.188235294117</v>
      </c>
      <c r="AR134" s="27">
        <v>0.87</v>
      </c>
      <c r="AS134" s="30">
        <f t="shared" ref="AS134:AS161" si="127">IF(SUM(AG134:AH134)=0," ",(AR134*SUM(AE134:AF134))/((AR134*AG134)+AH134))</f>
        <v>0.91665993411305136</v>
      </c>
      <c r="AT134" s="33">
        <f t="shared" ref="AT134:AT161" si="128">AR134*AQ134</f>
        <v>904.96376470588177</v>
      </c>
      <c r="AU134" s="32">
        <v>1</v>
      </c>
      <c r="AV134" s="33">
        <f t="shared" si="110"/>
        <v>5499.9596046783081</v>
      </c>
      <c r="AW134" s="33">
        <f t="shared" si="111"/>
        <v>6000</v>
      </c>
      <c r="AX134" s="30">
        <f t="shared" si="88"/>
        <v>0.91665993411305136</v>
      </c>
      <c r="AY134" s="29">
        <f t="shared" si="112"/>
        <v>4784.964856070128</v>
      </c>
      <c r="AZ134" s="29">
        <f t="shared" si="113"/>
        <v>5220</v>
      </c>
      <c r="BA134" s="30">
        <f t="shared" si="87"/>
        <v>0.91665993411305136</v>
      </c>
      <c r="BB134" s="34">
        <f t="shared" si="114"/>
        <v>1</v>
      </c>
      <c r="BC134" s="35">
        <f t="shared" si="115"/>
        <v>1</v>
      </c>
      <c r="BD134" s="27">
        <v>1</v>
      </c>
      <c r="BE134" s="36">
        <f t="shared" si="116"/>
        <v>2252.6266844448269</v>
      </c>
      <c r="BF134" s="36">
        <f t="shared" si="117"/>
        <v>6000</v>
      </c>
      <c r="BG134" s="30">
        <f t="shared" si="118"/>
        <v>0.37543778074080447</v>
      </c>
      <c r="BH134" s="33">
        <f t="shared" si="119"/>
        <v>1040.188235294117</v>
      </c>
      <c r="BI134" s="27">
        <v>1</v>
      </c>
      <c r="BJ134" s="36">
        <f t="shared" si="120"/>
        <v>5499.9596046783081</v>
      </c>
      <c r="BK134" s="37">
        <f t="shared" si="121"/>
        <v>6000</v>
      </c>
      <c r="BL134" s="30">
        <f t="shared" si="122"/>
        <v>0.91665993411305136</v>
      </c>
      <c r="BM134" s="26">
        <f t="shared" si="123"/>
        <v>1040.188235294117</v>
      </c>
      <c r="BO134" s="50">
        <f t="shared" si="124"/>
        <v>3247.3329202334817</v>
      </c>
      <c r="BP134" s="50">
        <f t="shared" si="125"/>
        <v>2252.6266844448269</v>
      </c>
    </row>
    <row r="135" spans="1:68">
      <c r="A135" s="16" t="s">
        <v>194</v>
      </c>
      <c r="B135" s="1" t="s">
        <v>66</v>
      </c>
      <c r="C135" s="24">
        <v>2</v>
      </c>
      <c r="D135" s="24" t="s">
        <v>432</v>
      </c>
      <c r="E135" s="24">
        <v>10</v>
      </c>
      <c r="F135" s="24">
        <v>2</v>
      </c>
      <c r="G135" s="24" t="s">
        <v>67</v>
      </c>
      <c r="H135" s="24">
        <v>3000</v>
      </c>
      <c r="I135" s="24">
        <v>300</v>
      </c>
      <c r="J135" s="24">
        <v>0</v>
      </c>
      <c r="K135" s="24">
        <v>0</v>
      </c>
      <c r="L135" s="24">
        <v>155.27139037433156</v>
      </c>
      <c r="M135" s="24">
        <v>0</v>
      </c>
      <c r="N135" s="24">
        <v>300</v>
      </c>
      <c r="O135" s="24">
        <v>762.41069518716517</v>
      </c>
      <c r="P135" s="24">
        <v>0</v>
      </c>
      <c r="Q135" s="24">
        <v>1728</v>
      </c>
      <c r="R135" s="24">
        <v>1500</v>
      </c>
      <c r="S135" s="24">
        <v>0</v>
      </c>
      <c r="T135" s="28">
        <f t="shared" si="89"/>
        <v>0.92819874683536319</v>
      </c>
      <c r="U135" s="28">
        <f t="shared" si="90"/>
        <v>0.76303629147530494</v>
      </c>
      <c r="V135" s="29">
        <f>IF(O135&gt;0,((VLOOKUP(E135,ACs!G$4:P$53,7)*P135)+(VLOOKUP(E135,ACs!G$4:P$53,6)*(1-P135)))*O135*F135,0)</f>
        <v>4760.2948489786259</v>
      </c>
      <c r="W135" s="29">
        <f>IF(E135&gt;0,VLOOKUP(E135,ACs!G$4:P$53,10)*Q135*F135,0)</f>
        <v>1478.3269599195542</v>
      </c>
      <c r="X135" s="29">
        <f t="shared" si="91"/>
        <v>2201.4306234347177</v>
      </c>
      <c r="Y135" s="29">
        <f t="shared" si="92"/>
        <v>6000</v>
      </c>
      <c r="Z135" s="29">
        <f t="shared" si="126"/>
        <v>0</v>
      </c>
      <c r="AA135" s="29">
        <f t="shared" si="93"/>
        <v>3000</v>
      </c>
      <c r="AB135" s="30">
        <f t="shared" si="94"/>
        <v>1.4066754053888162</v>
      </c>
      <c r="AC135" s="30">
        <f t="shared" si="95"/>
        <v>1.0397703014830302</v>
      </c>
      <c r="AD135" s="31">
        <f t="shared" si="96"/>
        <v>2.0795406029660604</v>
      </c>
      <c r="AE135" s="29">
        <f t="shared" si="97"/>
        <v>4760.2948489786259</v>
      </c>
      <c r="AF135" s="29">
        <f t="shared" si="98"/>
        <v>1679.7714588457955</v>
      </c>
      <c r="AG135" s="29">
        <f t="shared" si="99"/>
        <v>4578.21774885183</v>
      </c>
      <c r="AH135" s="29">
        <f t="shared" si="100"/>
        <v>0</v>
      </c>
      <c r="AI135" s="29">
        <f t="shared" si="101"/>
        <v>2289.108874425915</v>
      </c>
      <c r="AJ135" s="30">
        <f t="shared" si="102"/>
        <v>1.4066754053888162</v>
      </c>
      <c r="AK135" s="30">
        <f t="shared" si="103"/>
        <v>1.03977030148303</v>
      </c>
      <c r="AL135" s="30">
        <f t="shared" si="104"/>
        <v>2.0795406029660599</v>
      </c>
      <c r="AM135" s="32">
        <f t="shared" si="105"/>
        <v>0.73916860812365537</v>
      </c>
      <c r="AN135" s="32">
        <f t="shared" si="106"/>
        <v>0.73916860812365548</v>
      </c>
      <c r="AO135" s="32">
        <f t="shared" si="107"/>
        <v>0.48087543882225464</v>
      </c>
      <c r="AP135" s="32">
        <f t="shared" si="108"/>
        <v>0.48087543882225453</v>
      </c>
      <c r="AQ135" s="33">
        <f t="shared" si="109"/>
        <v>1524.8213903743303</v>
      </c>
      <c r="AR135" s="27">
        <v>0.87</v>
      </c>
      <c r="AS135" s="30">
        <f t="shared" si="127"/>
        <v>1.4066754053888162</v>
      </c>
      <c r="AT135" s="33">
        <f t="shared" si="128"/>
        <v>1326.5946096256673</v>
      </c>
      <c r="AU135" s="32">
        <v>1</v>
      </c>
      <c r="AV135" s="33">
        <f t="shared" si="110"/>
        <v>6440.0663078244215</v>
      </c>
      <c r="AW135" s="33">
        <f t="shared" si="111"/>
        <v>4578.21774885183</v>
      </c>
      <c r="AX135" s="30">
        <f t="shared" si="88"/>
        <v>1.4066754053888162</v>
      </c>
      <c r="AY135" s="29">
        <f t="shared" si="112"/>
        <v>5602.8576878072463</v>
      </c>
      <c r="AZ135" s="29">
        <f t="shared" si="113"/>
        <v>3983.0494415010921</v>
      </c>
      <c r="BA135" s="30">
        <f t="shared" si="87"/>
        <v>1.4066754053888162</v>
      </c>
      <c r="BB135" s="34">
        <f t="shared" si="114"/>
        <v>1</v>
      </c>
      <c r="BC135" s="35">
        <f t="shared" si="115"/>
        <v>1</v>
      </c>
      <c r="BD135" s="27">
        <v>1</v>
      </c>
      <c r="BE135" s="36">
        <f t="shared" si="116"/>
        <v>1679.7714588457955</v>
      </c>
      <c r="BF135" s="36">
        <f t="shared" si="117"/>
        <v>4578.21774885183</v>
      </c>
      <c r="BG135" s="30">
        <f t="shared" si="118"/>
        <v>0.36690510390578623</v>
      </c>
      <c r="BH135" s="33">
        <f t="shared" si="119"/>
        <v>1524.8213903743303</v>
      </c>
      <c r="BI135" s="27">
        <v>1</v>
      </c>
      <c r="BJ135" s="36">
        <f t="shared" si="120"/>
        <v>6440.0663078244215</v>
      </c>
      <c r="BK135" s="37">
        <f t="shared" si="121"/>
        <v>4578.21774885183</v>
      </c>
      <c r="BL135" s="30">
        <f t="shared" si="122"/>
        <v>1.4066754053888162</v>
      </c>
      <c r="BM135" s="26">
        <f t="shared" si="123"/>
        <v>1524.8213903743303</v>
      </c>
      <c r="BO135" s="50">
        <f t="shared" si="124"/>
        <v>4760.2948489786259</v>
      </c>
      <c r="BP135" s="50">
        <f t="shared" si="125"/>
        <v>1679.7714588457955</v>
      </c>
    </row>
    <row r="136" spans="1:68">
      <c r="A136" s="16" t="s">
        <v>195</v>
      </c>
      <c r="B136" s="1" t="s">
        <v>66</v>
      </c>
      <c r="C136" s="24">
        <v>2</v>
      </c>
      <c r="D136" s="24" t="s">
        <v>432</v>
      </c>
      <c r="E136" s="24">
        <v>10</v>
      </c>
      <c r="F136" s="24">
        <v>2</v>
      </c>
      <c r="G136" s="24" t="s">
        <v>67</v>
      </c>
      <c r="H136" s="24">
        <v>4000</v>
      </c>
      <c r="I136" s="24">
        <v>471</v>
      </c>
      <c r="J136" s="24">
        <v>0</v>
      </c>
      <c r="K136" s="24">
        <v>0</v>
      </c>
      <c r="L136" s="24">
        <v>243.73997326203209</v>
      </c>
      <c r="M136" s="24">
        <v>0</v>
      </c>
      <c r="N136" s="24">
        <v>471</v>
      </c>
      <c r="O136" s="24">
        <v>797.87165775401036</v>
      </c>
      <c r="P136" s="24">
        <v>0</v>
      </c>
      <c r="Q136" s="24">
        <v>0</v>
      </c>
      <c r="R136" s="24">
        <v>2000</v>
      </c>
      <c r="S136" s="24">
        <v>0</v>
      </c>
      <c r="T136" s="28">
        <f t="shared" si="89"/>
        <v>1</v>
      </c>
      <c r="U136" s="28">
        <f t="shared" si="90"/>
        <v>1</v>
      </c>
      <c r="V136" s="29">
        <f>IF(O136&gt;0,((VLOOKUP(E136,ACs!G$4:P$53,7)*P136)+(VLOOKUP(E136,ACs!G$4:P$53,6)*(1-P136)))*O136*F136,0)</f>
        <v>4981.7039117218192</v>
      </c>
      <c r="W136" s="29">
        <f>IF(E136&gt;0,VLOOKUP(E136,ACs!G$4:P$53,10)*Q136*F136,0)</f>
        <v>0</v>
      </c>
      <c r="X136" s="29">
        <f t="shared" si="91"/>
        <v>3455.7341181824049</v>
      </c>
      <c r="Y136" s="29">
        <f t="shared" si="92"/>
        <v>8000</v>
      </c>
      <c r="Z136" s="29">
        <f t="shared" si="126"/>
        <v>0</v>
      </c>
      <c r="AA136" s="29">
        <f t="shared" si="93"/>
        <v>4000</v>
      </c>
      <c r="AB136" s="30">
        <f t="shared" si="94"/>
        <v>1.0546797537380279</v>
      </c>
      <c r="AC136" s="30">
        <f t="shared" si="95"/>
        <v>0.62271298896522742</v>
      </c>
      <c r="AD136" s="31">
        <f t="shared" si="96"/>
        <v>1.2454259779304548</v>
      </c>
      <c r="AE136" s="29">
        <f t="shared" si="97"/>
        <v>4981.7039117218192</v>
      </c>
      <c r="AF136" s="29">
        <f t="shared" si="98"/>
        <v>3455.7341181824049</v>
      </c>
      <c r="AG136" s="29">
        <f t="shared" si="99"/>
        <v>8000</v>
      </c>
      <c r="AH136" s="29">
        <f t="shared" si="100"/>
        <v>0</v>
      </c>
      <c r="AI136" s="29">
        <f t="shared" si="101"/>
        <v>4000</v>
      </c>
      <c r="AJ136" s="30">
        <f t="shared" si="102"/>
        <v>1.0546797537380279</v>
      </c>
      <c r="AK136" s="30">
        <f t="shared" si="103"/>
        <v>0.62271298896522742</v>
      </c>
      <c r="AL136" s="30">
        <f t="shared" si="104"/>
        <v>1.2454259779304548</v>
      </c>
      <c r="AM136" s="32">
        <f t="shared" si="105"/>
        <v>0.59042850377869593</v>
      </c>
      <c r="AN136" s="32">
        <f t="shared" si="106"/>
        <v>0.59042850377869593</v>
      </c>
      <c r="AO136" s="32">
        <f t="shared" si="107"/>
        <v>0.80293812536471798</v>
      </c>
      <c r="AP136" s="32">
        <f t="shared" si="108"/>
        <v>0.80293812536471798</v>
      </c>
      <c r="AQ136" s="33">
        <f t="shared" si="109"/>
        <v>1595.7433155080207</v>
      </c>
      <c r="AR136" s="27">
        <v>0.87</v>
      </c>
      <c r="AS136" s="30">
        <f t="shared" si="127"/>
        <v>1.0546797537380279</v>
      </c>
      <c r="AT136" s="33">
        <f t="shared" si="128"/>
        <v>1388.2966844919781</v>
      </c>
      <c r="AU136" s="32">
        <v>1</v>
      </c>
      <c r="AV136" s="33">
        <f t="shared" si="110"/>
        <v>8437.4380299042241</v>
      </c>
      <c r="AW136" s="33">
        <f t="shared" si="111"/>
        <v>8000</v>
      </c>
      <c r="AX136" s="30">
        <f t="shared" si="88"/>
        <v>1.0546797537380279</v>
      </c>
      <c r="AY136" s="29">
        <f t="shared" si="112"/>
        <v>7340.5710860166746</v>
      </c>
      <c r="AZ136" s="29">
        <f t="shared" si="113"/>
        <v>6960</v>
      </c>
      <c r="BA136" s="30">
        <f t="shared" si="87"/>
        <v>1.0546797537380279</v>
      </c>
      <c r="BB136" s="34">
        <f t="shared" si="114"/>
        <v>1</v>
      </c>
      <c r="BC136" s="35">
        <f t="shared" si="115"/>
        <v>1</v>
      </c>
      <c r="BD136" s="27">
        <v>1</v>
      </c>
      <c r="BE136" s="36">
        <f t="shared" si="116"/>
        <v>3455.7341181824049</v>
      </c>
      <c r="BF136" s="36">
        <f t="shared" si="117"/>
        <v>8000</v>
      </c>
      <c r="BG136" s="30">
        <f t="shared" si="118"/>
        <v>0.4319667647728006</v>
      </c>
      <c r="BH136" s="33">
        <f t="shared" si="119"/>
        <v>1595.7433155080207</v>
      </c>
      <c r="BI136" s="27">
        <v>1</v>
      </c>
      <c r="BJ136" s="36">
        <f t="shared" si="120"/>
        <v>8437.4380299042241</v>
      </c>
      <c r="BK136" s="37">
        <f t="shared" si="121"/>
        <v>8000</v>
      </c>
      <c r="BL136" s="30">
        <f t="shared" si="122"/>
        <v>1.0546797537380279</v>
      </c>
      <c r="BM136" s="26">
        <f t="shared" si="123"/>
        <v>1595.7433155080207</v>
      </c>
      <c r="BO136" s="50">
        <f t="shared" si="124"/>
        <v>4981.7039117218192</v>
      </c>
      <c r="BP136" s="50">
        <f t="shared" si="125"/>
        <v>3455.7341181824049</v>
      </c>
    </row>
    <row r="137" spans="1:68">
      <c r="A137" s="16" t="s">
        <v>196</v>
      </c>
      <c r="B137" s="1" t="s">
        <v>66</v>
      </c>
      <c r="C137" s="24">
        <v>2</v>
      </c>
      <c r="D137" s="24" t="s">
        <v>432</v>
      </c>
      <c r="E137" s="24">
        <v>10</v>
      </c>
      <c r="F137" s="24">
        <v>2</v>
      </c>
      <c r="G137" s="24" t="s">
        <v>67</v>
      </c>
      <c r="H137" s="24">
        <v>4000</v>
      </c>
      <c r="I137" s="24">
        <v>587</v>
      </c>
      <c r="J137" s="24">
        <v>0</v>
      </c>
      <c r="K137" s="24">
        <v>0</v>
      </c>
      <c r="L137" s="24">
        <v>303.32085561497325</v>
      </c>
      <c r="M137" s="24">
        <v>0</v>
      </c>
      <c r="N137" s="24">
        <v>587</v>
      </c>
      <c r="O137" s="24">
        <v>1489.3604278074858</v>
      </c>
      <c r="P137" s="24">
        <v>0</v>
      </c>
      <c r="Q137" s="24">
        <v>0</v>
      </c>
      <c r="R137" s="24">
        <v>2000</v>
      </c>
      <c r="S137" s="24">
        <v>0</v>
      </c>
      <c r="T137" s="28">
        <f t="shared" si="89"/>
        <v>1</v>
      </c>
      <c r="U137" s="28">
        <f t="shared" si="90"/>
        <v>1</v>
      </c>
      <c r="V137" s="29">
        <f>IF(O137&gt;0,((VLOOKUP(E137,ACs!G$4:P$53,7)*P137)+(VLOOKUP(E137,ACs!G$4:P$53,6)*(1-P137)))*O137*F137,0)</f>
        <v>9299.1806352140611</v>
      </c>
      <c r="W137" s="29">
        <f>IF(E137&gt;0,VLOOKUP(E137,ACs!G$4:P$53,10)*Q137*F137,0)</f>
        <v>0</v>
      </c>
      <c r="X137" s="29">
        <f t="shared" si="91"/>
        <v>4300.4691248492145</v>
      </c>
      <c r="Y137" s="29">
        <f t="shared" si="92"/>
        <v>8000</v>
      </c>
      <c r="Z137" s="29">
        <f t="shared" si="126"/>
        <v>0</v>
      </c>
      <c r="AA137" s="29">
        <f t="shared" si="93"/>
        <v>4000</v>
      </c>
      <c r="AB137" s="30">
        <f t="shared" si="94"/>
        <v>1.6999562200079095</v>
      </c>
      <c r="AC137" s="30">
        <f t="shared" si="95"/>
        <v>1.1623975794017576</v>
      </c>
      <c r="AD137" s="31">
        <f t="shared" si="96"/>
        <v>2.3247951588035152</v>
      </c>
      <c r="AE137" s="29">
        <f t="shared" si="97"/>
        <v>9299.1806352140611</v>
      </c>
      <c r="AF137" s="29">
        <f t="shared" si="98"/>
        <v>4300.4691248492145</v>
      </c>
      <c r="AG137" s="29">
        <f t="shared" si="99"/>
        <v>8000</v>
      </c>
      <c r="AH137" s="29">
        <f t="shared" si="100"/>
        <v>0</v>
      </c>
      <c r="AI137" s="29">
        <f t="shared" si="101"/>
        <v>4000</v>
      </c>
      <c r="AJ137" s="30">
        <f t="shared" si="102"/>
        <v>1.6999562200079095</v>
      </c>
      <c r="AK137" s="30">
        <f t="shared" si="103"/>
        <v>1.1623975794017576</v>
      </c>
      <c r="AL137" s="30">
        <f t="shared" si="104"/>
        <v>2.3247951588035152</v>
      </c>
      <c r="AM137" s="32">
        <f t="shared" si="105"/>
        <v>0.68378089136692555</v>
      </c>
      <c r="AN137" s="32">
        <f t="shared" si="106"/>
        <v>0.68378089136692555</v>
      </c>
      <c r="AO137" s="32">
        <f t="shared" si="107"/>
        <v>0.43014542430252756</v>
      </c>
      <c r="AP137" s="32">
        <f t="shared" si="108"/>
        <v>0.43014542430252756</v>
      </c>
      <c r="AQ137" s="33">
        <f t="shared" si="109"/>
        <v>2978.7208556149717</v>
      </c>
      <c r="AR137" s="27">
        <v>0.87</v>
      </c>
      <c r="AS137" s="30">
        <f t="shared" si="127"/>
        <v>1.6999562200079095</v>
      </c>
      <c r="AT137" s="33">
        <f t="shared" si="128"/>
        <v>2591.4871443850252</v>
      </c>
      <c r="AU137" s="32">
        <v>1</v>
      </c>
      <c r="AV137" s="33">
        <f t="shared" si="110"/>
        <v>13599.649760063276</v>
      </c>
      <c r="AW137" s="33">
        <f t="shared" si="111"/>
        <v>8000</v>
      </c>
      <c r="AX137" s="30">
        <f t="shared" si="88"/>
        <v>1.6999562200079095</v>
      </c>
      <c r="AY137" s="29">
        <f t="shared" si="112"/>
        <v>11831.69529125505</v>
      </c>
      <c r="AZ137" s="29">
        <f t="shared" si="113"/>
        <v>6960</v>
      </c>
      <c r="BA137" s="30">
        <f t="shared" si="87"/>
        <v>1.6999562200079095</v>
      </c>
      <c r="BB137" s="34">
        <f t="shared" si="114"/>
        <v>1</v>
      </c>
      <c r="BC137" s="35">
        <f t="shared" si="115"/>
        <v>1</v>
      </c>
      <c r="BD137" s="27">
        <v>1</v>
      </c>
      <c r="BE137" s="36">
        <f t="shared" si="116"/>
        <v>4300.4691248492145</v>
      </c>
      <c r="BF137" s="36">
        <f t="shared" si="117"/>
        <v>8000</v>
      </c>
      <c r="BG137" s="30">
        <f t="shared" si="118"/>
        <v>0.53755864060615177</v>
      </c>
      <c r="BH137" s="33">
        <f t="shared" si="119"/>
        <v>2978.7208556149717</v>
      </c>
      <c r="BI137" s="27">
        <v>1</v>
      </c>
      <c r="BJ137" s="36">
        <f t="shared" si="120"/>
        <v>13599.649760063276</v>
      </c>
      <c r="BK137" s="37">
        <f t="shared" si="121"/>
        <v>8000</v>
      </c>
      <c r="BL137" s="30">
        <f t="shared" si="122"/>
        <v>1.6999562200079095</v>
      </c>
      <c r="BM137" s="26">
        <f t="shared" si="123"/>
        <v>2978.7208556149717</v>
      </c>
      <c r="BO137" s="50">
        <f t="shared" si="124"/>
        <v>9299.1806352140611</v>
      </c>
      <c r="BP137" s="50">
        <f t="shared" si="125"/>
        <v>4300.4691248492145</v>
      </c>
    </row>
    <row r="138" spans="1:68">
      <c r="A138" s="16" t="s">
        <v>197</v>
      </c>
      <c r="B138" s="1" t="s">
        <v>198</v>
      </c>
      <c r="C138" s="24">
        <v>35</v>
      </c>
      <c r="D138" s="24" t="s">
        <v>199</v>
      </c>
      <c r="E138" s="24">
        <v>20</v>
      </c>
      <c r="F138" s="24">
        <v>35</v>
      </c>
      <c r="G138" s="24" t="s">
        <v>435</v>
      </c>
      <c r="H138" s="24">
        <v>6.657</v>
      </c>
      <c r="I138" s="24">
        <v>0</v>
      </c>
      <c r="J138" s="24">
        <v>0</v>
      </c>
      <c r="K138" s="24">
        <v>0</v>
      </c>
      <c r="L138" s="24">
        <v>0</v>
      </c>
      <c r="M138" s="24">
        <v>0</v>
      </c>
      <c r="N138" s="24">
        <v>0</v>
      </c>
      <c r="O138" s="24">
        <v>2.91</v>
      </c>
      <c r="P138" s="24">
        <v>1</v>
      </c>
      <c r="Q138" s="24">
        <v>0</v>
      </c>
      <c r="R138" s="24">
        <v>3.25</v>
      </c>
      <c r="S138" s="24">
        <v>0</v>
      </c>
      <c r="T138" s="28">
        <f>IF(O138=0,0,(O138*100000)/((O138*100000)+(Q138*3413)))</f>
        <v>1</v>
      </c>
      <c r="U138" s="28">
        <f>IF(V138+W138=0,0,V138/(V138+W138))</f>
        <v>1</v>
      </c>
      <c r="V138" s="29">
        <f>IF(O138&gt;0,((VLOOKUP(E138,ACs!G$4:P$53,7)*P138)+(VLOOKUP(E138,ACs!G$4:P$53,6)*(1-P138)))*O138*F138,0)</f>
        <v>568.67152502967008</v>
      </c>
      <c r="W138" s="29">
        <f>IF(E138&gt;0,VLOOKUP(E138,ACs!G$4:P$53,10)*Q138*F138,0)</f>
        <v>0</v>
      </c>
      <c r="X138" s="29">
        <f t="shared" si="91"/>
        <v>0</v>
      </c>
      <c r="Y138" s="29">
        <f>F138*H138</f>
        <v>232.995</v>
      </c>
      <c r="Z138" s="29">
        <f t="shared" si="126"/>
        <v>0</v>
      </c>
      <c r="AA138" s="29">
        <f>F138*R138</f>
        <v>113.75</v>
      </c>
      <c r="AB138" s="30">
        <f t="shared" si="94"/>
        <v>2.4407026976101207</v>
      </c>
      <c r="AC138" s="30">
        <f t="shared" si="95"/>
        <v>2.4407026976101207</v>
      </c>
      <c r="AD138" s="31">
        <f t="shared" si="96"/>
        <v>4.9993101101509456</v>
      </c>
      <c r="AE138" s="29">
        <f t="shared" si="97"/>
        <v>568.67152502967008</v>
      </c>
      <c r="AF138" s="29">
        <f>U138*X138</f>
        <v>0</v>
      </c>
      <c r="AG138" s="29">
        <f>U138*H138*F138</f>
        <v>232.995</v>
      </c>
      <c r="AH138" s="29">
        <f t="shared" si="100"/>
        <v>0</v>
      </c>
      <c r="AI138" s="29">
        <f>F138*R138*U138</f>
        <v>113.75</v>
      </c>
      <c r="AJ138" s="30">
        <f t="shared" si="102"/>
        <v>2.4407026976101207</v>
      </c>
      <c r="AK138" s="30">
        <f t="shared" si="103"/>
        <v>2.4407026976101207</v>
      </c>
      <c r="AL138" s="30">
        <f t="shared" si="104"/>
        <v>4.9993101101509456</v>
      </c>
      <c r="AM138" s="32">
        <f>IF(AE138+AF138=0," ",(AE138/(AE138+AF138)))</f>
        <v>1</v>
      </c>
      <c r="AN138" s="32">
        <f>IF(V138+W138+X138=0," ",(V138+W138)/(V138+W138+X138))</f>
        <v>1</v>
      </c>
      <c r="AO138" s="32">
        <f t="shared" si="107"/>
        <v>0.20002759940207163</v>
      </c>
      <c r="AP138" s="32">
        <f t="shared" si="108"/>
        <v>0.20002759940207163</v>
      </c>
      <c r="AQ138" s="33">
        <f t="shared" si="109"/>
        <v>101.85000000000001</v>
      </c>
      <c r="AR138" s="27">
        <v>0.87</v>
      </c>
      <c r="AS138" s="30">
        <f t="shared" si="127"/>
        <v>2.4407026976101212</v>
      </c>
      <c r="AT138" s="33">
        <f t="shared" si="128"/>
        <v>88.609500000000011</v>
      </c>
      <c r="AU138" s="32">
        <v>1</v>
      </c>
      <c r="AV138" s="33">
        <f t="shared" si="110"/>
        <v>568.67152502967008</v>
      </c>
      <c r="AW138" s="33">
        <f t="shared" si="111"/>
        <v>232.995</v>
      </c>
      <c r="AX138" s="30">
        <f t="shared" si="88"/>
        <v>2.4407026976101207</v>
      </c>
      <c r="AY138" s="29">
        <f t="shared" si="112"/>
        <v>494.74422677581299</v>
      </c>
      <c r="AZ138" s="29">
        <f t="shared" si="113"/>
        <v>202.70564999999999</v>
      </c>
      <c r="BA138" s="30">
        <f t="shared" si="87"/>
        <v>2.4407026976101212</v>
      </c>
      <c r="BB138" s="34">
        <f t="shared" si="114"/>
        <v>1</v>
      </c>
      <c r="BC138" s="35">
        <f t="shared" si="115"/>
        <v>1</v>
      </c>
      <c r="BD138" s="27">
        <v>1</v>
      </c>
      <c r="BE138" s="36">
        <f t="shared" si="116"/>
        <v>0</v>
      </c>
      <c r="BF138" s="36">
        <f t="shared" si="117"/>
        <v>232.995</v>
      </c>
      <c r="BG138" s="30">
        <f t="shared" si="118"/>
        <v>0</v>
      </c>
      <c r="BH138" s="33">
        <f t="shared" si="119"/>
        <v>101.85000000000001</v>
      </c>
      <c r="BI138" s="27">
        <v>1</v>
      </c>
      <c r="BJ138" s="36">
        <f t="shared" si="120"/>
        <v>568.67152502967008</v>
      </c>
      <c r="BK138" s="37">
        <f t="shared" si="121"/>
        <v>232.995</v>
      </c>
      <c r="BL138" s="30">
        <f t="shared" si="122"/>
        <v>2.4407026976101207</v>
      </c>
      <c r="BM138" s="26">
        <f t="shared" si="123"/>
        <v>101.85000000000001</v>
      </c>
      <c r="BO138" s="50">
        <f t="shared" si="124"/>
        <v>568.67152502967008</v>
      </c>
      <c r="BP138" s="50">
        <f t="shared" si="125"/>
        <v>0</v>
      </c>
    </row>
    <row r="139" spans="1:68">
      <c r="A139" s="16" t="s">
        <v>200</v>
      </c>
      <c r="B139" s="1" t="s">
        <v>198</v>
      </c>
      <c r="C139" s="24">
        <v>20</v>
      </c>
      <c r="D139" s="24" t="s">
        <v>199</v>
      </c>
      <c r="E139" s="24">
        <v>20</v>
      </c>
      <c r="F139" s="24">
        <v>20</v>
      </c>
      <c r="G139" s="24" t="s">
        <v>435</v>
      </c>
      <c r="H139" s="24">
        <v>8.6050000000000004</v>
      </c>
      <c r="I139" s="24">
        <v>0</v>
      </c>
      <c r="J139" s="24">
        <v>0</v>
      </c>
      <c r="K139" s="24">
        <v>0</v>
      </c>
      <c r="L139" s="24">
        <v>0</v>
      </c>
      <c r="M139" s="24">
        <v>0</v>
      </c>
      <c r="N139" s="24">
        <v>0</v>
      </c>
      <c r="O139" s="24">
        <v>3.71</v>
      </c>
      <c r="P139" s="24">
        <v>1</v>
      </c>
      <c r="Q139" s="24">
        <v>0</v>
      </c>
      <c r="R139" s="24">
        <v>5</v>
      </c>
      <c r="S139" s="24">
        <v>0</v>
      </c>
      <c r="T139" s="28">
        <f t="shared" si="89"/>
        <v>1</v>
      </c>
      <c r="U139" s="28">
        <f t="shared" si="90"/>
        <v>1</v>
      </c>
      <c r="V139" s="29">
        <f>IF(O139&gt;0,((VLOOKUP(E139,ACs!G$4:P$53,7)*P139)+(VLOOKUP(E139,ACs!G$4:P$53,6)*(1-P139)))*O139*F139,0)</f>
        <v>414.28990826903799</v>
      </c>
      <c r="W139" s="29">
        <f>IF(E139&gt;0,VLOOKUP(E139,ACs!G$4:P$53,10)*Q139*F139,0)</f>
        <v>0</v>
      </c>
      <c r="X139" s="29">
        <f t="shared" si="91"/>
        <v>0</v>
      </c>
      <c r="Y139" s="29">
        <f t="shared" si="92"/>
        <v>172.10000000000002</v>
      </c>
      <c r="Z139" s="29">
        <f t="shared" si="126"/>
        <v>0</v>
      </c>
      <c r="AA139" s="29">
        <f t="shared" si="93"/>
        <v>100</v>
      </c>
      <c r="AB139" s="30">
        <f t="shared" si="94"/>
        <v>2.4072626860490294</v>
      </c>
      <c r="AC139" s="30">
        <f t="shared" si="95"/>
        <v>2.4072626860490294</v>
      </c>
      <c r="AD139" s="31">
        <f t="shared" si="96"/>
        <v>4.1428990826903798</v>
      </c>
      <c r="AE139" s="29">
        <f t="shared" si="97"/>
        <v>414.28990826903799</v>
      </c>
      <c r="AF139" s="29">
        <f t="shared" si="98"/>
        <v>0</v>
      </c>
      <c r="AG139" s="29">
        <f t="shared" si="99"/>
        <v>172.10000000000002</v>
      </c>
      <c r="AH139" s="29">
        <f t="shared" si="100"/>
        <v>0</v>
      </c>
      <c r="AI139" s="29">
        <f t="shared" si="101"/>
        <v>100</v>
      </c>
      <c r="AJ139" s="30">
        <f t="shared" si="102"/>
        <v>2.4072626860490294</v>
      </c>
      <c r="AK139" s="30">
        <f t="shared" si="103"/>
        <v>2.4072626860490294</v>
      </c>
      <c r="AL139" s="30">
        <f t="shared" si="104"/>
        <v>4.1428990826903798</v>
      </c>
      <c r="AM139" s="32">
        <f t="shared" si="105"/>
        <v>1</v>
      </c>
      <c r="AN139" s="32">
        <f t="shared" si="106"/>
        <v>1</v>
      </c>
      <c r="AO139" s="32">
        <f t="shared" si="107"/>
        <v>0.24137686678831782</v>
      </c>
      <c r="AP139" s="32">
        <f t="shared" si="108"/>
        <v>0.24137686678831782</v>
      </c>
      <c r="AQ139" s="33">
        <f t="shared" si="109"/>
        <v>74.2</v>
      </c>
      <c r="AR139" s="27">
        <v>0.87</v>
      </c>
      <c r="AS139" s="30">
        <f t="shared" si="127"/>
        <v>2.4072626860490289</v>
      </c>
      <c r="AT139" s="33">
        <f t="shared" si="128"/>
        <v>64.554000000000002</v>
      </c>
      <c r="AU139" s="32">
        <v>1</v>
      </c>
      <c r="AV139" s="33">
        <f t="shared" si="110"/>
        <v>414.28990826903799</v>
      </c>
      <c r="AW139" s="33">
        <f t="shared" si="111"/>
        <v>172.10000000000002</v>
      </c>
      <c r="AX139" s="30">
        <f t="shared" si="88"/>
        <v>2.4072626860490294</v>
      </c>
      <c r="AY139" s="29">
        <f t="shared" si="112"/>
        <v>360.43222019406306</v>
      </c>
      <c r="AZ139" s="29">
        <f t="shared" si="113"/>
        <v>149.72700000000003</v>
      </c>
      <c r="BA139" s="30">
        <f t="shared" si="87"/>
        <v>2.4072626860490289</v>
      </c>
      <c r="BB139" s="34">
        <f t="shared" si="114"/>
        <v>1</v>
      </c>
      <c r="BC139" s="35">
        <f t="shared" si="115"/>
        <v>1</v>
      </c>
      <c r="BD139" s="27">
        <v>1</v>
      </c>
      <c r="BE139" s="36">
        <f t="shared" si="116"/>
        <v>0</v>
      </c>
      <c r="BF139" s="36">
        <f t="shared" si="117"/>
        <v>172.10000000000002</v>
      </c>
      <c r="BG139" s="30">
        <f t="shared" si="118"/>
        <v>0</v>
      </c>
      <c r="BH139" s="33">
        <f t="shared" si="119"/>
        <v>74.2</v>
      </c>
      <c r="BI139" s="27">
        <v>1</v>
      </c>
      <c r="BJ139" s="36">
        <f t="shared" si="120"/>
        <v>414.28990826903799</v>
      </c>
      <c r="BK139" s="37">
        <f t="shared" si="121"/>
        <v>172.10000000000002</v>
      </c>
      <c r="BL139" s="30">
        <f t="shared" si="122"/>
        <v>2.4072626860490294</v>
      </c>
      <c r="BM139" s="26">
        <f t="shared" si="123"/>
        <v>74.2</v>
      </c>
      <c r="BO139" s="50">
        <f t="shared" si="124"/>
        <v>414.28990826903799</v>
      </c>
      <c r="BP139" s="50">
        <f t="shared" si="125"/>
        <v>0</v>
      </c>
    </row>
    <row r="140" spans="1:68">
      <c r="A140" s="16" t="s">
        <v>201</v>
      </c>
      <c r="B140" s="1" t="s">
        <v>198</v>
      </c>
      <c r="C140" s="24">
        <v>3</v>
      </c>
      <c r="D140" s="24" t="s">
        <v>199</v>
      </c>
      <c r="E140" s="24">
        <v>20</v>
      </c>
      <c r="F140" s="24">
        <v>3</v>
      </c>
      <c r="G140" s="24" t="s">
        <v>435</v>
      </c>
      <c r="H140" s="24">
        <v>12.31</v>
      </c>
      <c r="I140" s="24">
        <v>0</v>
      </c>
      <c r="J140" s="24">
        <v>0</v>
      </c>
      <c r="K140" s="24">
        <v>0</v>
      </c>
      <c r="L140" s="24">
        <v>0</v>
      </c>
      <c r="M140" s="24">
        <v>0</v>
      </c>
      <c r="N140" s="24">
        <v>0</v>
      </c>
      <c r="O140" s="24">
        <v>1.25</v>
      </c>
      <c r="P140" s="24">
        <v>1</v>
      </c>
      <c r="Q140" s="24">
        <v>0</v>
      </c>
      <c r="R140" s="24">
        <v>6</v>
      </c>
      <c r="S140" s="24">
        <v>0</v>
      </c>
      <c r="T140" s="28">
        <f t="shared" si="89"/>
        <v>1</v>
      </c>
      <c r="U140" s="28">
        <f t="shared" si="90"/>
        <v>1</v>
      </c>
      <c r="V140" s="29">
        <f>IF(O140&gt;0,((VLOOKUP(E140,ACs!G$4:P$53,7)*P140)+(VLOOKUP(E140,ACs!G$4:P$53,6)*(1-P140)))*O140*F140,0)</f>
        <v>20.937832291224964</v>
      </c>
      <c r="W140" s="29">
        <f>IF(E140&gt;0,VLOOKUP(E140,ACs!G$4:P$53,10)*Q140*F140,0)</f>
        <v>0</v>
      </c>
      <c r="X140" s="29">
        <f t="shared" si="91"/>
        <v>0</v>
      </c>
      <c r="Y140" s="29">
        <f t="shared" si="92"/>
        <v>36.93</v>
      </c>
      <c r="Z140" s="29">
        <f t="shared" si="126"/>
        <v>0</v>
      </c>
      <c r="AA140" s="29">
        <f t="shared" si="93"/>
        <v>18</v>
      </c>
      <c r="AB140" s="30">
        <f t="shared" si="94"/>
        <v>0.56695998622325927</v>
      </c>
      <c r="AC140" s="30">
        <f t="shared" si="95"/>
        <v>0.56695998622325927</v>
      </c>
      <c r="AD140" s="31">
        <f t="shared" si="96"/>
        <v>1.1632129050680535</v>
      </c>
      <c r="AE140" s="29">
        <f t="shared" si="97"/>
        <v>20.937832291224964</v>
      </c>
      <c r="AF140" s="29">
        <f t="shared" si="98"/>
        <v>0</v>
      </c>
      <c r="AG140" s="29">
        <f t="shared" si="99"/>
        <v>36.93</v>
      </c>
      <c r="AH140" s="29">
        <f>Z140*U140</f>
        <v>0</v>
      </c>
      <c r="AI140" s="29">
        <f t="shared" si="101"/>
        <v>18</v>
      </c>
      <c r="AJ140" s="30">
        <f>IF(AG140=0," ",(AE140+AF140)/(AG140+AH140))</f>
        <v>0.56695998622325927</v>
      </c>
      <c r="AK140" s="30">
        <f>IF(AG140=0," ",(AE140)/(AG140+AH140))</f>
        <v>0.56695998622325927</v>
      </c>
      <c r="AL140" s="30">
        <f>IF(AI140=0," ",(AE140/(AH140+AI140)))</f>
        <v>1.1632129050680535</v>
      </c>
      <c r="AM140" s="32">
        <f t="shared" si="105"/>
        <v>1</v>
      </c>
      <c r="AN140" s="32">
        <f t="shared" si="106"/>
        <v>1</v>
      </c>
      <c r="AO140" s="32">
        <f>IF(AE140=0," ",AI140/AE140)</f>
        <v>0.85968784875327287</v>
      </c>
      <c r="AP140" s="32">
        <f>IF(V140+W140=0," ",AA140/(V140+W140))</f>
        <v>0.85968784875327287</v>
      </c>
      <c r="AQ140" s="33">
        <f t="shared" si="109"/>
        <v>3.75</v>
      </c>
      <c r="AR140" s="27">
        <v>0.87</v>
      </c>
      <c r="AS140" s="30">
        <f t="shared" si="127"/>
        <v>0.56695998622325927</v>
      </c>
      <c r="AT140" s="33">
        <f t="shared" si="128"/>
        <v>3.2625000000000002</v>
      </c>
      <c r="AU140" s="32">
        <v>1</v>
      </c>
      <c r="AV140" s="33">
        <f t="shared" si="110"/>
        <v>20.937832291224964</v>
      </c>
      <c r="AW140" s="33">
        <f t="shared" si="111"/>
        <v>36.93</v>
      </c>
      <c r="AX140" s="30">
        <f t="shared" si="88"/>
        <v>0.56695998622325927</v>
      </c>
      <c r="AY140" s="29">
        <f t="shared" si="112"/>
        <v>18.215914093365718</v>
      </c>
      <c r="AZ140" s="29">
        <f t="shared" si="113"/>
        <v>32.129100000000001</v>
      </c>
      <c r="BA140" s="30">
        <f t="shared" si="87"/>
        <v>0.56695998622325927</v>
      </c>
      <c r="BB140" s="34">
        <f t="shared" si="114"/>
        <v>1</v>
      </c>
      <c r="BC140" s="35">
        <f t="shared" si="115"/>
        <v>1</v>
      </c>
      <c r="BD140" s="27">
        <v>1</v>
      </c>
      <c r="BE140" s="36">
        <f t="shared" si="116"/>
        <v>0</v>
      </c>
      <c r="BF140" s="36">
        <f t="shared" si="117"/>
        <v>36.93</v>
      </c>
      <c r="BG140" s="30">
        <f t="shared" si="118"/>
        <v>0</v>
      </c>
      <c r="BH140" s="33">
        <f t="shared" si="119"/>
        <v>3.75</v>
      </c>
      <c r="BI140" s="27">
        <v>1</v>
      </c>
      <c r="BJ140" s="36">
        <f t="shared" si="120"/>
        <v>20.937832291224964</v>
      </c>
      <c r="BK140" s="37">
        <f t="shared" si="121"/>
        <v>36.93</v>
      </c>
      <c r="BL140" s="30">
        <f t="shared" si="122"/>
        <v>0.56695998622325927</v>
      </c>
      <c r="BM140" s="26">
        <f t="shared" si="123"/>
        <v>3.75</v>
      </c>
      <c r="BO140" s="50">
        <f t="shared" si="124"/>
        <v>20.937832291224964</v>
      </c>
      <c r="BP140" s="50">
        <f t="shared" si="125"/>
        <v>0</v>
      </c>
    </row>
    <row r="141" spans="1:68">
      <c r="A141" s="16" t="s">
        <v>202</v>
      </c>
      <c r="B141" s="1" t="s">
        <v>198</v>
      </c>
      <c r="C141" s="24">
        <v>5</v>
      </c>
      <c r="D141" s="24" t="s">
        <v>199</v>
      </c>
      <c r="E141" s="24">
        <v>20</v>
      </c>
      <c r="F141" s="24">
        <v>5</v>
      </c>
      <c r="G141" s="24" t="s">
        <v>435</v>
      </c>
      <c r="H141" s="24">
        <v>14.77</v>
      </c>
      <c r="I141" s="24">
        <v>0</v>
      </c>
      <c r="J141" s="24">
        <v>0</v>
      </c>
      <c r="K141" s="24">
        <v>0</v>
      </c>
      <c r="L141" s="24">
        <v>0</v>
      </c>
      <c r="M141" s="24">
        <v>0</v>
      </c>
      <c r="N141" s="24">
        <v>0</v>
      </c>
      <c r="O141" s="24">
        <v>2.36</v>
      </c>
      <c r="P141" s="24">
        <v>1</v>
      </c>
      <c r="Q141" s="24">
        <v>0</v>
      </c>
      <c r="R141" s="24">
        <v>7.25</v>
      </c>
      <c r="S141" s="24">
        <v>0</v>
      </c>
      <c r="T141" s="28">
        <f>IF(O141=0,0,(O141*100000)/((O141*100000)+(Q141*3413)))</f>
        <v>1</v>
      </c>
      <c r="U141" s="28">
        <f>IF(V141+W141=0,0,V141/(V141+W141))</f>
        <v>1</v>
      </c>
      <c r="V141" s="29">
        <f>IF(O141&gt;0,((VLOOKUP(E141,ACs!G$4:P$53,7)*P141)+(VLOOKUP(E141,ACs!G$4:P$53,6)*(1-P141)))*O141*F141,0)</f>
        <v>65.884378943054557</v>
      </c>
      <c r="W141" s="29">
        <f>IF(E141&gt;0,VLOOKUP(E141,ACs!G$4:P$53,10)*Q141*F141,0)</f>
        <v>0</v>
      </c>
      <c r="X141" s="29">
        <f t="shared" si="91"/>
        <v>0</v>
      </c>
      <c r="Y141" s="29">
        <f>F141*H141</f>
        <v>73.849999999999994</v>
      </c>
      <c r="Z141" s="29">
        <f t="shared" si="126"/>
        <v>0</v>
      </c>
      <c r="AA141" s="29">
        <f>F141*R141</f>
        <v>36.25</v>
      </c>
      <c r="AB141" s="30">
        <f t="shared" si="94"/>
        <v>0.89213783267507873</v>
      </c>
      <c r="AC141" s="30">
        <f t="shared" si="95"/>
        <v>0.89213783267507873</v>
      </c>
      <c r="AD141" s="31">
        <f t="shared" si="96"/>
        <v>1.8175001087739189</v>
      </c>
      <c r="AE141" s="29">
        <f t="shared" si="97"/>
        <v>65.884378943054557</v>
      </c>
      <c r="AF141" s="29">
        <f>U141*X141</f>
        <v>0</v>
      </c>
      <c r="AG141" s="29">
        <f>U141*H141*F141</f>
        <v>73.849999999999994</v>
      </c>
      <c r="AH141" s="29">
        <f>Z141*U141</f>
        <v>0</v>
      </c>
      <c r="AI141" s="29">
        <f>F141*R141*U141</f>
        <v>36.25</v>
      </c>
      <c r="AJ141" s="30">
        <f>IF(AG141=0," ",(AE141+AF141)/(AG141+AH141))</f>
        <v>0.89213783267507873</v>
      </c>
      <c r="AK141" s="30">
        <f>IF(AG141=0," ",(AE141)/(AG141+AH141))</f>
        <v>0.89213783267507873</v>
      </c>
      <c r="AL141" s="30">
        <f>IF(AI141=0," ",(AE141/(AH141+AI141)))</f>
        <v>1.8175001087739189</v>
      </c>
      <c r="AM141" s="32">
        <f>IF(AE141+AF141=0," ",(AE141/(AE141+AF141)))</f>
        <v>1</v>
      </c>
      <c r="AN141" s="32">
        <f>IF(V141+W141+X141=0," ",(V141+W141)/(V141+W141+X141))</f>
        <v>1</v>
      </c>
      <c r="AO141" s="32">
        <f>IF(AE141=0," ",AI141/AE141)</f>
        <v>0.55020629444396429</v>
      </c>
      <c r="AP141" s="32">
        <f>IF(V141+W141=0," ",AA141/(V141+W141))</f>
        <v>0.55020629444396429</v>
      </c>
      <c r="AQ141" s="33">
        <f t="shared" si="109"/>
        <v>11.799999999999999</v>
      </c>
      <c r="AR141" s="27">
        <v>0.87</v>
      </c>
      <c r="AS141" s="30">
        <f t="shared" si="127"/>
        <v>0.89213783267507862</v>
      </c>
      <c r="AT141" s="33">
        <f t="shared" si="128"/>
        <v>10.265999999999998</v>
      </c>
      <c r="AU141" s="32">
        <v>1</v>
      </c>
      <c r="AV141" s="33">
        <f t="shared" si="110"/>
        <v>65.884378943054557</v>
      </c>
      <c r="AW141" s="33">
        <f t="shared" si="111"/>
        <v>73.849999999999994</v>
      </c>
      <c r="AX141" s="30">
        <f t="shared" si="88"/>
        <v>0.89213783267507873</v>
      </c>
      <c r="AY141" s="29">
        <f t="shared" si="112"/>
        <v>57.319409680457461</v>
      </c>
      <c r="AZ141" s="29">
        <f t="shared" si="113"/>
        <v>64.249499999999998</v>
      </c>
      <c r="BA141" s="30">
        <f t="shared" si="87"/>
        <v>0.89213783267507862</v>
      </c>
      <c r="BB141" s="34">
        <f t="shared" si="114"/>
        <v>1</v>
      </c>
      <c r="BC141" s="35">
        <f t="shared" si="115"/>
        <v>1</v>
      </c>
      <c r="BD141" s="27">
        <v>1</v>
      </c>
      <c r="BE141" s="36">
        <f t="shared" si="116"/>
        <v>0</v>
      </c>
      <c r="BF141" s="36">
        <f t="shared" si="117"/>
        <v>73.849999999999994</v>
      </c>
      <c r="BG141" s="30">
        <f t="shared" si="118"/>
        <v>0</v>
      </c>
      <c r="BH141" s="33">
        <f t="shared" si="119"/>
        <v>11.799999999999999</v>
      </c>
      <c r="BI141" s="27">
        <v>1</v>
      </c>
      <c r="BJ141" s="36">
        <f t="shared" si="120"/>
        <v>65.884378943054557</v>
      </c>
      <c r="BK141" s="37">
        <f t="shared" si="121"/>
        <v>73.849999999999994</v>
      </c>
      <c r="BL141" s="30">
        <f t="shared" si="122"/>
        <v>0.89213783267507873</v>
      </c>
      <c r="BM141" s="26">
        <f t="shared" si="123"/>
        <v>11.799999999999999</v>
      </c>
      <c r="BO141" s="50">
        <f t="shared" si="124"/>
        <v>65.884378943054557</v>
      </c>
      <c r="BP141" s="50">
        <f t="shared" si="125"/>
        <v>0</v>
      </c>
    </row>
    <row r="142" spans="1:68">
      <c r="A142" s="16" t="s">
        <v>203</v>
      </c>
      <c r="B142" s="1" t="s">
        <v>198</v>
      </c>
      <c r="C142" s="24">
        <v>5</v>
      </c>
      <c r="D142" s="24" t="s">
        <v>199</v>
      </c>
      <c r="E142" s="24">
        <v>20</v>
      </c>
      <c r="F142" s="24">
        <v>5</v>
      </c>
      <c r="G142" s="24" t="s">
        <v>435</v>
      </c>
      <c r="H142" s="24">
        <v>12</v>
      </c>
      <c r="I142" s="24">
        <v>0</v>
      </c>
      <c r="J142" s="24">
        <v>0</v>
      </c>
      <c r="K142" s="24">
        <v>0</v>
      </c>
      <c r="L142" s="24">
        <v>0</v>
      </c>
      <c r="M142" s="24">
        <v>0</v>
      </c>
      <c r="N142" s="24">
        <v>0</v>
      </c>
      <c r="O142" s="24">
        <v>1.65</v>
      </c>
      <c r="P142" s="24">
        <v>1</v>
      </c>
      <c r="Q142" s="24">
        <v>0</v>
      </c>
      <c r="R142" s="24">
        <v>5</v>
      </c>
      <c r="S142" s="24">
        <v>0</v>
      </c>
      <c r="T142" s="28">
        <f>IF(O142=0,0,(O142*100000)/((O142*100000)+(Q142*3413)))</f>
        <v>1</v>
      </c>
      <c r="U142" s="28">
        <f>IF(V142+W142=0,0,V142/(V142+W142))</f>
        <v>1</v>
      </c>
      <c r="V142" s="29">
        <f>IF(O142&gt;0,((VLOOKUP(E142,ACs!G$4:P$53,7)*P142)+(VLOOKUP(E142,ACs!G$4:P$53,6)*(1-P142)))*O142*F142,0)</f>
        <v>46.063231040694923</v>
      </c>
      <c r="W142" s="29">
        <f>IF(E142&gt;0,VLOOKUP(E142,ACs!G$4:P$53,10)*Q142*F142,0)</f>
        <v>0</v>
      </c>
      <c r="X142" s="29">
        <f t="shared" si="91"/>
        <v>0</v>
      </c>
      <c r="Y142" s="29">
        <f>F142*H142</f>
        <v>60</v>
      </c>
      <c r="Z142" s="29">
        <f t="shared" si="126"/>
        <v>0</v>
      </c>
      <c r="AA142" s="29">
        <f>F142*R142</f>
        <v>25</v>
      </c>
      <c r="AB142" s="30">
        <f t="shared" si="94"/>
        <v>0.76772051734491542</v>
      </c>
      <c r="AC142" s="30">
        <f t="shared" si="95"/>
        <v>0.76772051734491542</v>
      </c>
      <c r="AD142" s="31">
        <f t="shared" si="96"/>
        <v>1.842529241627797</v>
      </c>
      <c r="AE142" s="29">
        <f t="shared" si="97"/>
        <v>46.063231040694923</v>
      </c>
      <c r="AF142" s="29">
        <f>U142*X142</f>
        <v>0</v>
      </c>
      <c r="AG142" s="29">
        <f>U142*H142*F142</f>
        <v>60</v>
      </c>
      <c r="AH142" s="29">
        <f>Z142*U142</f>
        <v>0</v>
      </c>
      <c r="AI142" s="29">
        <f>F142*R142*U142</f>
        <v>25</v>
      </c>
      <c r="AJ142" s="30">
        <f>IF(AG142=0," ",(AE142+AF142)/(AG142+AH142))</f>
        <v>0.76772051734491542</v>
      </c>
      <c r="AK142" s="30">
        <f>IF(AG142=0," ",(AE142)/(AG142+AH142))</f>
        <v>0.76772051734491542</v>
      </c>
      <c r="AL142" s="30">
        <f>IF(AI142=0," ",(AE142/(AH142+AI142)))</f>
        <v>1.842529241627797</v>
      </c>
      <c r="AM142" s="32">
        <f>IF(AE142+AF142=0," ",(AE142/(AE142+AF142)))</f>
        <v>1</v>
      </c>
      <c r="AN142" s="32">
        <f>IF(V142+W142+X142=0," ",(V142+W142)/(V142+W142+X142))</f>
        <v>1</v>
      </c>
      <c r="AO142" s="32">
        <f>IF(AE142=0," ",AI142/AE142)</f>
        <v>0.54273222774827834</v>
      </c>
      <c r="AP142" s="32">
        <f>IF(V142+W142=0," ",AA142/(V142+W142))</f>
        <v>0.54273222774827834</v>
      </c>
      <c r="AQ142" s="33">
        <f t="shared" si="109"/>
        <v>8.25</v>
      </c>
      <c r="AR142" s="27">
        <v>0.87</v>
      </c>
      <c r="AS142" s="30">
        <f t="shared" si="127"/>
        <v>0.76772051734491531</v>
      </c>
      <c r="AT142" s="33">
        <f t="shared" si="128"/>
        <v>7.1775000000000002</v>
      </c>
      <c r="AU142" s="32">
        <v>1</v>
      </c>
      <c r="AV142" s="33">
        <f t="shared" si="110"/>
        <v>46.063231040694923</v>
      </c>
      <c r="AW142" s="33">
        <f t="shared" si="111"/>
        <v>60</v>
      </c>
      <c r="AX142" s="30">
        <f t="shared" si="88"/>
        <v>0.76772051734491542</v>
      </c>
      <c r="AY142" s="29">
        <f t="shared" si="112"/>
        <v>40.075011005404583</v>
      </c>
      <c r="AZ142" s="29">
        <f t="shared" si="113"/>
        <v>52.2</v>
      </c>
      <c r="BA142" s="30">
        <f t="shared" si="87"/>
        <v>0.76772051734491531</v>
      </c>
      <c r="BB142" s="34">
        <f t="shared" si="114"/>
        <v>1</v>
      </c>
      <c r="BC142" s="35">
        <f t="shared" si="115"/>
        <v>1</v>
      </c>
      <c r="BD142" s="27">
        <v>1</v>
      </c>
      <c r="BE142" s="36">
        <f t="shared" si="116"/>
        <v>0</v>
      </c>
      <c r="BF142" s="36">
        <f t="shared" si="117"/>
        <v>60</v>
      </c>
      <c r="BG142" s="30">
        <f t="shared" si="118"/>
        <v>0</v>
      </c>
      <c r="BH142" s="33">
        <f t="shared" si="119"/>
        <v>8.25</v>
      </c>
      <c r="BI142" s="27">
        <v>1</v>
      </c>
      <c r="BJ142" s="36">
        <f t="shared" si="120"/>
        <v>46.063231040694923</v>
      </c>
      <c r="BK142" s="37">
        <f t="shared" si="121"/>
        <v>60</v>
      </c>
      <c r="BL142" s="30">
        <f t="shared" si="122"/>
        <v>0.76772051734491542</v>
      </c>
      <c r="BM142" s="26">
        <f t="shared" si="123"/>
        <v>8.25</v>
      </c>
      <c r="BO142" s="50">
        <f t="shared" si="124"/>
        <v>46.063231040694923</v>
      </c>
      <c r="BP142" s="50">
        <f t="shared" si="125"/>
        <v>0</v>
      </c>
    </row>
    <row r="143" spans="1:68">
      <c r="A143" s="40" t="s">
        <v>204</v>
      </c>
      <c r="B143" s="1" t="s">
        <v>205</v>
      </c>
      <c r="C143" s="24">
        <v>26614</v>
      </c>
      <c r="D143" s="24" t="s">
        <v>432</v>
      </c>
      <c r="E143" s="24">
        <v>25</v>
      </c>
      <c r="F143" s="24">
        <v>26614</v>
      </c>
      <c r="G143" s="24" t="s">
        <v>206</v>
      </c>
      <c r="H143" s="24">
        <v>0.61</v>
      </c>
      <c r="I143" s="24">
        <v>0</v>
      </c>
      <c r="J143" s="24">
        <v>0</v>
      </c>
      <c r="K143" s="24">
        <v>0</v>
      </c>
      <c r="L143" s="24">
        <v>0</v>
      </c>
      <c r="M143" s="24">
        <v>0</v>
      </c>
      <c r="N143" s="24">
        <v>0</v>
      </c>
      <c r="O143" s="24">
        <v>0.31</v>
      </c>
      <c r="P143" s="24">
        <v>1</v>
      </c>
      <c r="Q143" s="24">
        <v>0.5</v>
      </c>
      <c r="R143" s="24">
        <v>0.3</v>
      </c>
      <c r="S143" s="24">
        <v>0</v>
      </c>
      <c r="T143" s="28">
        <f t="shared" si="89"/>
        <v>0.94782382706801405</v>
      </c>
      <c r="U143" s="28">
        <f t="shared" si="90"/>
        <v>0.82257527336786984</v>
      </c>
      <c r="V143" s="29">
        <f>IF(O143&gt;0,((VLOOKUP(E143,ACs!G$4:P$53,7)*P143)+(VLOOKUP(E143,ACs!G$4:P$53,6)*(1-P143)))*O143*F143,0)</f>
        <v>53009.545347467472</v>
      </c>
      <c r="W143" s="29">
        <f>IF(E143&gt;0,VLOOKUP(E143,ACs!G$4:P$53,10)*Q143*F143,0)</f>
        <v>11433.852191617912</v>
      </c>
      <c r="X143" s="29">
        <f t="shared" si="91"/>
        <v>0</v>
      </c>
      <c r="Y143" s="29">
        <f t="shared" si="92"/>
        <v>16234.539999999999</v>
      </c>
      <c r="Z143" s="29">
        <f t="shared" ref="Z143:Z161" si="129">S143*F184</f>
        <v>0</v>
      </c>
      <c r="AA143" s="29">
        <f t="shared" si="93"/>
        <v>7984.2</v>
      </c>
      <c r="AB143" s="30">
        <f t="shared" si="94"/>
        <v>3.9695240850116722</v>
      </c>
      <c r="AC143" s="30">
        <f t="shared" si="95"/>
        <v>3.9695240850116722</v>
      </c>
      <c r="AD143" s="31">
        <f t="shared" si="96"/>
        <v>8.0713656395237336</v>
      </c>
      <c r="AE143" s="29">
        <f t="shared" si="97"/>
        <v>53009.545347467472</v>
      </c>
      <c r="AF143" s="29">
        <f t="shared" si="98"/>
        <v>0</v>
      </c>
      <c r="AG143" s="29">
        <f t="shared" si="99"/>
        <v>13354.131178501617</v>
      </c>
      <c r="AH143" s="29">
        <f t="shared" si="100"/>
        <v>0</v>
      </c>
      <c r="AI143" s="29">
        <f t="shared" si="101"/>
        <v>6567.6054976237465</v>
      </c>
      <c r="AJ143" s="30">
        <f t="shared" si="102"/>
        <v>3.9695240850116722</v>
      </c>
      <c r="AK143" s="30">
        <f t="shared" si="103"/>
        <v>3.9695240850116722</v>
      </c>
      <c r="AL143" s="30">
        <f t="shared" si="104"/>
        <v>8.0713656395237319</v>
      </c>
      <c r="AM143" s="32">
        <f t="shared" si="105"/>
        <v>1</v>
      </c>
      <c r="AN143" s="32">
        <f t="shared" si="106"/>
        <v>1</v>
      </c>
      <c r="AO143" s="32">
        <f t="shared" si="107"/>
        <v>0.12389477130155227</v>
      </c>
      <c r="AP143" s="32">
        <f t="shared" si="108"/>
        <v>0.12389477130155226</v>
      </c>
      <c r="AQ143" s="33">
        <f t="shared" si="109"/>
        <v>8250.34</v>
      </c>
      <c r="AR143" s="27">
        <v>0.87</v>
      </c>
      <c r="AS143" s="30">
        <f t="shared" si="127"/>
        <v>3.9695240850116726</v>
      </c>
      <c r="AT143" s="33">
        <f t="shared" si="128"/>
        <v>7177.7957999999999</v>
      </c>
      <c r="AU143" s="32">
        <v>1</v>
      </c>
      <c r="AV143" s="33">
        <f t="shared" si="110"/>
        <v>53009.545347467472</v>
      </c>
      <c r="AW143" s="33">
        <f t="shared" si="111"/>
        <v>13354.131178501617</v>
      </c>
      <c r="AX143" s="30">
        <f t="shared" si="88"/>
        <v>3.9695240850116722</v>
      </c>
      <c r="AY143" s="29">
        <f t="shared" si="112"/>
        <v>46118.304452296703</v>
      </c>
      <c r="AZ143" s="29">
        <f t="shared" si="113"/>
        <v>11618.094125296406</v>
      </c>
      <c r="BA143" s="30">
        <f t="shared" si="87"/>
        <v>3.9695240850116726</v>
      </c>
      <c r="BB143" s="34">
        <f t="shared" si="114"/>
        <v>1</v>
      </c>
      <c r="BC143" s="35">
        <f t="shared" si="115"/>
        <v>1</v>
      </c>
      <c r="BD143" s="27">
        <v>1</v>
      </c>
      <c r="BE143" s="36">
        <f t="shared" si="116"/>
        <v>0</v>
      </c>
      <c r="BF143" s="36">
        <f t="shared" si="117"/>
        <v>13354.131178501617</v>
      </c>
      <c r="BG143" s="30">
        <f t="shared" si="118"/>
        <v>0</v>
      </c>
      <c r="BH143" s="33">
        <f t="shared" si="119"/>
        <v>8250.34</v>
      </c>
      <c r="BI143" s="27">
        <v>1</v>
      </c>
      <c r="BJ143" s="36">
        <f t="shared" si="120"/>
        <v>53009.545347467472</v>
      </c>
      <c r="BK143" s="37">
        <f t="shared" si="121"/>
        <v>13354.131178501617</v>
      </c>
      <c r="BL143" s="30">
        <f t="shared" si="122"/>
        <v>3.9695240850116722</v>
      </c>
      <c r="BM143" s="26">
        <f t="shared" si="123"/>
        <v>8250.34</v>
      </c>
      <c r="BO143" s="50">
        <f t="shared" si="124"/>
        <v>53009.545347467472</v>
      </c>
      <c r="BP143" s="50">
        <f t="shared" si="125"/>
        <v>0</v>
      </c>
    </row>
    <row r="144" spans="1:68">
      <c r="A144" s="40" t="s">
        <v>207</v>
      </c>
      <c r="B144" s="1" t="s">
        <v>205</v>
      </c>
      <c r="C144" s="24">
        <v>21370</v>
      </c>
      <c r="D144" s="24" t="s">
        <v>432</v>
      </c>
      <c r="E144" s="24">
        <v>25</v>
      </c>
      <c r="F144" s="24">
        <v>21370</v>
      </c>
      <c r="G144" s="24" t="s">
        <v>206</v>
      </c>
      <c r="H144" s="24">
        <v>0.65</v>
      </c>
      <c r="I144" s="24">
        <v>0</v>
      </c>
      <c r="J144" s="24">
        <v>0</v>
      </c>
      <c r="K144" s="24">
        <v>0</v>
      </c>
      <c r="L144" s="24">
        <v>0</v>
      </c>
      <c r="M144" s="24">
        <v>0</v>
      </c>
      <c r="N144" s="24">
        <v>0</v>
      </c>
      <c r="O144" s="24">
        <v>0.36</v>
      </c>
      <c r="P144" s="24">
        <v>1</v>
      </c>
      <c r="Q144" s="24">
        <v>0.39</v>
      </c>
      <c r="R144" s="24">
        <v>0.35</v>
      </c>
      <c r="S144" s="24">
        <v>0</v>
      </c>
      <c r="T144" s="28">
        <f t="shared" si="89"/>
        <v>0.96434417765148439</v>
      </c>
      <c r="U144" s="28">
        <f t="shared" si="90"/>
        <v>0.87345809601855384</v>
      </c>
      <c r="V144" s="29">
        <f>IF(O144&gt;0,((VLOOKUP(E144,ACs!G$4:P$53,7)*P144)+(VLOOKUP(E144,ACs!G$4:P$53,6)*(1-P144)))*O144*F144,0)</f>
        <v>49429.845832673163</v>
      </c>
      <c r="W144" s="29">
        <f>IF(E144&gt;0,VLOOKUP(E144,ACs!G$4:P$53,10)*Q144*F144,0)</f>
        <v>7161.1298054107729</v>
      </c>
      <c r="X144" s="29">
        <f t="shared" si="91"/>
        <v>0</v>
      </c>
      <c r="Y144" s="29">
        <f t="shared" si="92"/>
        <v>13890.5</v>
      </c>
      <c r="Z144" s="29">
        <f t="shared" si="129"/>
        <v>0</v>
      </c>
      <c r="AA144" s="29">
        <f t="shared" si="93"/>
        <v>7479.4999999999991</v>
      </c>
      <c r="AB144" s="30">
        <f t="shared" si="94"/>
        <v>4.074077652934303</v>
      </c>
      <c r="AC144" s="30">
        <f t="shared" si="95"/>
        <v>4.074077652934303</v>
      </c>
      <c r="AD144" s="31">
        <f t="shared" si="96"/>
        <v>7.5661442125922784</v>
      </c>
      <c r="AE144" s="29">
        <f t="shared" si="97"/>
        <v>49429.845832673163</v>
      </c>
      <c r="AF144" s="29">
        <f t="shared" si="98"/>
        <v>0</v>
      </c>
      <c r="AG144" s="29">
        <f t="shared" si="99"/>
        <v>12132.769682745724</v>
      </c>
      <c r="AH144" s="29">
        <f t="shared" si="100"/>
        <v>0</v>
      </c>
      <c r="AI144" s="29">
        <f t="shared" si="101"/>
        <v>6533.0298291707722</v>
      </c>
      <c r="AJ144" s="30">
        <f t="shared" si="102"/>
        <v>4.074077652934303</v>
      </c>
      <c r="AK144" s="30">
        <f t="shared" si="103"/>
        <v>4.074077652934303</v>
      </c>
      <c r="AL144" s="30">
        <f t="shared" si="104"/>
        <v>7.5661442125922793</v>
      </c>
      <c r="AM144" s="32">
        <f t="shared" si="105"/>
        <v>1</v>
      </c>
      <c r="AN144" s="32">
        <f t="shared" si="106"/>
        <v>1</v>
      </c>
      <c r="AO144" s="32">
        <f t="shared" si="107"/>
        <v>0.13216771606543096</v>
      </c>
      <c r="AP144" s="32">
        <f t="shared" si="108"/>
        <v>0.13216771606543096</v>
      </c>
      <c r="AQ144" s="33">
        <f t="shared" si="109"/>
        <v>7693.2</v>
      </c>
      <c r="AR144" s="27">
        <v>0.87</v>
      </c>
      <c r="AS144" s="30">
        <f t="shared" si="127"/>
        <v>4.074077652934303</v>
      </c>
      <c r="AT144" s="33">
        <f t="shared" si="128"/>
        <v>6693.0839999999998</v>
      </c>
      <c r="AU144" s="32">
        <v>1</v>
      </c>
      <c r="AV144" s="33">
        <f t="shared" si="110"/>
        <v>49429.845832673163</v>
      </c>
      <c r="AW144" s="33">
        <f t="shared" si="111"/>
        <v>12132.769682745724</v>
      </c>
      <c r="AX144" s="30">
        <f t="shared" si="88"/>
        <v>4.074077652934303</v>
      </c>
      <c r="AY144" s="29">
        <f t="shared" si="112"/>
        <v>43003.965874425652</v>
      </c>
      <c r="AZ144" s="29">
        <f t="shared" si="113"/>
        <v>10555.509623988779</v>
      </c>
      <c r="BA144" s="30">
        <f t="shared" si="87"/>
        <v>4.074077652934303</v>
      </c>
      <c r="BB144" s="34">
        <f t="shared" si="114"/>
        <v>1</v>
      </c>
      <c r="BC144" s="35">
        <f t="shared" si="115"/>
        <v>1</v>
      </c>
      <c r="BD144" s="27">
        <v>1</v>
      </c>
      <c r="BE144" s="36">
        <f t="shared" si="116"/>
        <v>0</v>
      </c>
      <c r="BF144" s="36">
        <f t="shared" si="117"/>
        <v>12132.769682745724</v>
      </c>
      <c r="BG144" s="30">
        <f t="shared" si="118"/>
        <v>0</v>
      </c>
      <c r="BH144" s="33">
        <f t="shared" si="119"/>
        <v>7693.2</v>
      </c>
      <c r="BI144" s="27">
        <v>1</v>
      </c>
      <c r="BJ144" s="36">
        <f t="shared" si="120"/>
        <v>49429.845832673163</v>
      </c>
      <c r="BK144" s="37">
        <f t="shared" si="121"/>
        <v>12132.769682745724</v>
      </c>
      <c r="BL144" s="30">
        <f t="shared" si="122"/>
        <v>4.074077652934303</v>
      </c>
      <c r="BM144" s="26">
        <f t="shared" si="123"/>
        <v>7693.2</v>
      </c>
      <c r="BO144" s="50">
        <f t="shared" si="124"/>
        <v>49429.845832673163</v>
      </c>
      <c r="BP144" s="50">
        <f t="shared" si="125"/>
        <v>0</v>
      </c>
    </row>
    <row r="145" spans="1:68">
      <c r="A145" s="40" t="s">
        <v>208</v>
      </c>
      <c r="B145" s="1" t="s">
        <v>205</v>
      </c>
      <c r="C145" s="24">
        <v>24212</v>
      </c>
      <c r="D145" s="24" t="s">
        <v>432</v>
      </c>
      <c r="E145" s="24">
        <v>25</v>
      </c>
      <c r="F145" s="24">
        <v>24212</v>
      </c>
      <c r="G145" s="24" t="s">
        <v>206</v>
      </c>
      <c r="H145" s="24">
        <v>0.76</v>
      </c>
      <c r="I145" s="24">
        <v>0</v>
      </c>
      <c r="J145" s="24">
        <v>0</v>
      </c>
      <c r="K145" s="24">
        <v>0</v>
      </c>
      <c r="L145" s="24">
        <v>0</v>
      </c>
      <c r="M145" s="24">
        <v>0</v>
      </c>
      <c r="N145" s="24">
        <v>0</v>
      </c>
      <c r="O145" s="24">
        <v>0.1</v>
      </c>
      <c r="P145" s="24">
        <v>1</v>
      </c>
      <c r="Q145" s="24">
        <v>0.15</v>
      </c>
      <c r="R145" s="24">
        <v>0.28000000000000003</v>
      </c>
      <c r="S145" s="24">
        <v>0</v>
      </c>
      <c r="T145" s="28">
        <f t="shared" si="89"/>
        <v>0.95129828433354413</v>
      </c>
      <c r="U145" s="28">
        <f t="shared" si="90"/>
        <v>0.83291991453790393</v>
      </c>
      <c r="V145" s="29">
        <f>IF(O145&gt;0,((VLOOKUP(E145,ACs!G$4:P$53,7)*P145)+(VLOOKUP(E145,ACs!G$4:P$53,6)*(1-P145)))*O145*F145,0)</f>
        <v>15556.535996733255</v>
      </c>
      <c r="W145" s="29">
        <f>IF(E145&gt;0,VLOOKUP(E145,ACs!G$4:P$53,10)*Q145*F145,0)</f>
        <v>3120.5729608114475</v>
      </c>
      <c r="X145" s="29">
        <f t="shared" si="91"/>
        <v>0</v>
      </c>
      <c r="Y145" s="29">
        <f t="shared" si="92"/>
        <v>18401.12</v>
      </c>
      <c r="Z145" s="29">
        <f t="shared" si="129"/>
        <v>0</v>
      </c>
      <c r="AA145" s="29">
        <f t="shared" si="93"/>
        <v>6779.3600000000006</v>
      </c>
      <c r="AB145" s="30">
        <f t="shared" si="94"/>
        <v>1.0149984869151827</v>
      </c>
      <c r="AC145" s="30">
        <f t="shared" si="95"/>
        <v>1.0149984869151827</v>
      </c>
      <c r="AD145" s="31">
        <f t="shared" si="96"/>
        <v>2.7549958930554954</v>
      </c>
      <c r="AE145" s="29">
        <f t="shared" si="97"/>
        <v>15556.535996733255</v>
      </c>
      <c r="AF145" s="29">
        <f t="shared" si="98"/>
        <v>0</v>
      </c>
      <c r="AG145" s="29">
        <f t="shared" si="99"/>
        <v>15326.659297801716</v>
      </c>
      <c r="AH145" s="29">
        <f t="shared" si="100"/>
        <v>0</v>
      </c>
      <c r="AI145" s="29">
        <f t="shared" si="101"/>
        <v>5646.6639518216853</v>
      </c>
      <c r="AJ145" s="30">
        <f t="shared" si="102"/>
        <v>1.0149984869151825</v>
      </c>
      <c r="AK145" s="30">
        <f t="shared" si="103"/>
        <v>1.0149984869151825</v>
      </c>
      <c r="AL145" s="30">
        <f t="shared" si="104"/>
        <v>2.754995893055495</v>
      </c>
      <c r="AM145" s="32">
        <f t="shared" si="105"/>
        <v>1</v>
      </c>
      <c r="AN145" s="32">
        <f t="shared" si="106"/>
        <v>1</v>
      </c>
      <c r="AO145" s="32">
        <f t="shared" si="107"/>
        <v>0.36297694763200744</v>
      </c>
      <c r="AP145" s="32">
        <f t="shared" si="108"/>
        <v>0.36297694763200739</v>
      </c>
      <c r="AQ145" s="33">
        <f t="shared" si="109"/>
        <v>2421.2000000000003</v>
      </c>
      <c r="AR145" s="27">
        <v>0.87</v>
      </c>
      <c r="AS145" s="30">
        <f t="shared" si="127"/>
        <v>1.0149984869151825</v>
      </c>
      <c r="AT145" s="33">
        <f t="shared" si="128"/>
        <v>2106.4440000000004</v>
      </c>
      <c r="AU145" s="32">
        <v>1</v>
      </c>
      <c r="AV145" s="33">
        <f t="shared" si="110"/>
        <v>15556.535996733255</v>
      </c>
      <c r="AW145" s="33">
        <f t="shared" si="111"/>
        <v>15326.659297801716</v>
      </c>
      <c r="AX145" s="30">
        <f t="shared" si="88"/>
        <v>1.0149984869151825</v>
      </c>
      <c r="AY145" s="29">
        <f t="shared" si="112"/>
        <v>13534.186317157932</v>
      </c>
      <c r="AZ145" s="29">
        <f t="shared" si="113"/>
        <v>13334.193589087494</v>
      </c>
      <c r="BA145" s="30">
        <f t="shared" si="87"/>
        <v>1.0149984869151825</v>
      </c>
      <c r="BB145" s="34">
        <f t="shared" si="114"/>
        <v>1</v>
      </c>
      <c r="BC145" s="35">
        <f t="shared" si="115"/>
        <v>1</v>
      </c>
      <c r="BD145" s="27">
        <v>1</v>
      </c>
      <c r="BE145" s="36">
        <f t="shared" si="116"/>
        <v>0</v>
      </c>
      <c r="BF145" s="36">
        <f t="shared" si="117"/>
        <v>15326.659297801716</v>
      </c>
      <c r="BG145" s="30">
        <f t="shared" si="118"/>
        <v>0</v>
      </c>
      <c r="BH145" s="33">
        <f t="shared" si="119"/>
        <v>2421.2000000000003</v>
      </c>
      <c r="BI145" s="27">
        <v>1</v>
      </c>
      <c r="BJ145" s="36">
        <f t="shared" si="120"/>
        <v>15556.535996733255</v>
      </c>
      <c r="BK145" s="37">
        <f t="shared" si="121"/>
        <v>15326.659297801716</v>
      </c>
      <c r="BL145" s="30">
        <f t="shared" si="122"/>
        <v>1.0149984869151825</v>
      </c>
      <c r="BM145" s="26">
        <f t="shared" si="123"/>
        <v>2421.2000000000003</v>
      </c>
      <c r="BO145" s="50">
        <f t="shared" si="124"/>
        <v>15556.535996733255</v>
      </c>
      <c r="BP145" s="50">
        <f t="shared" si="125"/>
        <v>0</v>
      </c>
    </row>
    <row r="146" spans="1:68">
      <c r="A146" s="40" t="s">
        <v>209</v>
      </c>
      <c r="B146" s="1" t="s">
        <v>205</v>
      </c>
      <c r="C146" s="24">
        <v>10000</v>
      </c>
      <c r="D146" s="24" t="s">
        <v>432</v>
      </c>
      <c r="E146" s="24">
        <v>25</v>
      </c>
      <c r="F146" s="24">
        <v>10000</v>
      </c>
      <c r="G146" s="24" t="s">
        <v>206</v>
      </c>
      <c r="H146" s="24">
        <v>0.86</v>
      </c>
      <c r="I146" s="24">
        <v>0</v>
      </c>
      <c r="J146" s="24">
        <v>0</v>
      </c>
      <c r="K146" s="24">
        <v>0</v>
      </c>
      <c r="L146" s="24">
        <v>0</v>
      </c>
      <c r="M146" s="24">
        <v>0</v>
      </c>
      <c r="N146" s="24">
        <v>0</v>
      </c>
      <c r="O146" s="24">
        <v>0.13</v>
      </c>
      <c r="P146" s="24">
        <v>1</v>
      </c>
      <c r="Q146" s="24">
        <v>0.13</v>
      </c>
      <c r="R146" s="24">
        <v>0.35</v>
      </c>
      <c r="S146" s="24">
        <v>0</v>
      </c>
      <c r="T146" s="28">
        <f t="shared" si="89"/>
        <v>0.96699641244330981</v>
      </c>
      <c r="U146" s="28">
        <f t="shared" si="90"/>
        <v>0.88204390487378148</v>
      </c>
      <c r="V146" s="29">
        <f>IF(O146&gt;0,((VLOOKUP(E146,ACs!G$4:P$53,7)*P146)+(VLOOKUP(E146,ACs!G$4:P$53,6)*(1-P146)))*O146*F146,0)</f>
        <v>8352.6750354176565</v>
      </c>
      <c r="W146" s="29">
        <f>IF(E146&gt;0,VLOOKUP(E146,ACs!G$4:P$53,10)*Q146*F146,0)</f>
        <v>1117.0066768695638</v>
      </c>
      <c r="X146" s="29">
        <f t="shared" si="91"/>
        <v>0</v>
      </c>
      <c r="Y146" s="29">
        <f t="shared" si="92"/>
        <v>8600</v>
      </c>
      <c r="Z146" s="29">
        <f t="shared" si="129"/>
        <v>0</v>
      </c>
      <c r="AA146" s="29">
        <f t="shared" si="93"/>
        <v>3500</v>
      </c>
      <c r="AB146" s="30">
        <f t="shared" si="94"/>
        <v>1.101125780498514</v>
      </c>
      <c r="AC146" s="30">
        <f t="shared" si="95"/>
        <v>1.101125780498514</v>
      </c>
      <c r="AD146" s="31">
        <f t="shared" si="96"/>
        <v>2.7056233463677772</v>
      </c>
      <c r="AE146" s="29">
        <f t="shared" si="97"/>
        <v>8352.6750354176565</v>
      </c>
      <c r="AF146" s="29">
        <f t="shared" si="98"/>
        <v>0</v>
      </c>
      <c r="AG146" s="29">
        <f t="shared" si="99"/>
        <v>7585.577581914521</v>
      </c>
      <c r="AH146" s="29">
        <f t="shared" si="100"/>
        <v>0</v>
      </c>
      <c r="AI146" s="29">
        <f t="shared" si="101"/>
        <v>3087.153667058235</v>
      </c>
      <c r="AJ146" s="30">
        <f t="shared" si="102"/>
        <v>1.101125780498514</v>
      </c>
      <c r="AK146" s="30">
        <f t="shared" si="103"/>
        <v>1.101125780498514</v>
      </c>
      <c r="AL146" s="30">
        <f t="shared" si="104"/>
        <v>2.7056233463677772</v>
      </c>
      <c r="AM146" s="32">
        <f t="shared" si="105"/>
        <v>1</v>
      </c>
      <c r="AN146" s="32">
        <f t="shared" si="106"/>
        <v>1</v>
      </c>
      <c r="AO146" s="32">
        <f t="shared" si="107"/>
        <v>0.36960059549400021</v>
      </c>
      <c r="AP146" s="32">
        <f t="shared" si="108"/>
        <v>0.36960059549400021</v>
      </c>
      <c r="AQ146" s="33">
        <f t="shared" si="109"/>
        <v>1300</v>
      </c>
      <c r="AR146" s="27">
        <v>0.87</v>
      </c>
      <c r="AS146" s="30">
        <f t="shared" si="127"/>
        <v>1.101125780498514</v>
      </c>
      <c r="AT146" s="33">
        <f t="shared" si="128"/>
        <v>1131</v>
      </c>
      <c r="AU146" s="32">
        <v>1</v>
      </c>
      <c r="AV146" s="33">
        <f t="shared" si="110"/>
        <v>8352.6750354176565</v>
      </c>
      <c r="AW146" s="33">
        <f t="shared" si="111"/>
        <v>7585.577581914521</v>
      </c>
      <c r="AX146" s="30">
        <f t="shared" si="88"/>
        <v>1.101125780498514</v>
      </c>
      <c r="AY146" s="29">
        <f t="shared" si="112"/>
        <v>7266.8272808133615</v>
      </c>
      <c r="AZ146" s="29">
        <f t="shared" si="113"/>
        <v>6599.4524962656333</v>
      </c>
      <c r="BA146" s="30">
        <f t="shared" si="87"/>
        <v>1.101125780498514</v>
      </c>
      <c r="BB146" s="34">
        <f t="shared" si="114"/>
        <v>1</v>
      </c>
      <c r="BC146" s="35">
        <f t="shared" si="115"/>
        <v>1</v>
      </c>
      <c r="BD146" s="27">
        <v>1</v>
      </c>
      <c r="BE146" s="36">
        <f t="shared" si="116"/>
        <v>0</v>
      </c>
      <c r="BF146" s="36">
        <f t="shared" si="117"/>
        <v>7585.577581914521</v>
      </c>
      <c r="BG146" s="30">
        <f t="shared" si="118"/>
        <v>0</v>
      </c>
      <c r="BH146" s="33">
        <f t="shared" si="119"/>
        <v>1300</v>
      </c>
      <c r="BI146" s="27">
        <v>1</v>
      </c>
      <c r="BJ146" s="36">
        <f t="shared" si="120"/>
        <v>8352.6750354176565</v>
      </c>
      <c r="BK146" s="37">
        <f t="shared" si="121"/>
        <v>7585.577581914521</v>
      </c>
      <c r="BL146" s="30">
        <f t="shared" si="122"/>
        <v>1.101125780498514</v>
      </c>
      <c r="BM146" s="26">
        <f t="shared" si="123"/>
        <v>1300</v>
      </c>
      <c r="BO146" s="50">
        <f t="shared" si="124"/>
        <v>8352.6750354176565</v>
      </c>
      <c r="BP146" s="50">
        <f t="shared" si="125"/>
        <v>0</v>
      </c>
    </row>
    <row r="147" spans="1:68">
      <c r="A147" s="40" t="s">
        <v>210</v>
      </c>
      <c r="B147" s="1" t="s">
        <v>205</v>
      </c>
      <c r="C147" s="24">
        <v>200590</v>
      </c>
      <c r="D147" s="24" t="s">
        <v>432</v>
      </c>
      <c r="E147" s="24">
        <v>25</v>
      </c>
      <c r="F147" s="24">
        <v>200590</v>
      </c>
      <c r="G147" s="24" t="s">
        <v>206</v>
      </c>
      <c r="H147" s="24">
        <v>0.62</v>
      </c>
      <c r="I147" s="24">
        <v>0</v>
      </c>
      <c r="J147" s="24">
        <v>0</v>
      </c>
      <c r="K147" s="24">
        <v>0</v>
      </c>
      <c r="L147" s="24">
        <v>0</v>
      </c>
      <c r="M147" s="24">
        <v>0</v>
      </c>
      <c r="N147" s="24">
        <v>0</v>
      </c>
      <c r="O147" s="24">
        <v>0.12</v>
      </c>
      <c r="P147" s="24">
        <v>1</v>
      </c>
      <c r="Q147" s="24">
        <v>0.13</v>
      </c>
      <c r="R147" s="24">
        <v>0.28000000000000003</v>
      </c>
      <c r="S147" s="24">
        <v>0</v>
      </c>
      <c r="T147" s="28">
        <f t="shared" si="89"/>
        <v>0.96434417765148439</v>
      </c>
      <c r="U147" s="28">
        <f t="shared" si="90"/>
        <v>0.87345809601855384</v>
      </c>
      <c r="V147" s="29">
        <f>IF(O147&gt;0,((VLOOKUP(E147,ACs!G$4:P$53,7)*P147)+(VLOOKUP(E147,ACs!G$4:P$53,6)*(1-P147)))*O147*F147,0)</f>
        <v>154658.13095579334</v>
      </c>
      <c r="W147" s="29">
        <f>IF(E147&gt;0,VLOOKUP(E147,ACs!G$4:P$53,10)*Q147*F147,0)</f>
        <v>22406.03693132658</v>
      </c>
      <c r="X147" s="29">
        <f t="shared" si="91"/>
        <v>0</v>
      </c>
      <c r="Y147" s="29">
        <f t="shared" si="92"/>
        <v>124365.8</v>
      </c>
      <c r="Z147" s="29">
        <f t="shared" si="129"/>
        <v>0</v>
      </c>
      <c r="AA147" s="29">
        <f t="shared" si="93"/>
        <v>56165.200000000004</v>
      </c>
      <c r="AB147" s="30">
        <f t="shared" si="94"/>
        <v>1.4237368141974716</v>
      </c>
      <c r="AC147" s="30">
        <f t="shared" si="95"/>
        <v>1.4237368141974716</v>
      </c>
      <c r="AD147" s="31">
        <f t="shared" si="96"/>
        <v>3.1525600885801155</v>
      </c>
      <c r="AE147" s="29">
        <f t="shared" si="97"/>
        <v>154658.13095579334</v>
      </c>
      <c r="AF147" s="29">
        <f t="shared" si="98"/>
        <v>0</v>
      </c>
      <c r="AG147" s="29">
        <f t="shared" si="99"/>
        <v>108628.31487782425</v>
      </c>
      <c r="AH147" s="29">
        <f t="shared" si="100"/>
        <v>0</v>
      </c>
      <c r="AI147" s="29">
        <f t="shared" si="101"/>
        <v>49057.948654501284</v>
      </c>
      <c r="AJ147" s="30">
        <f t="shared" si="102"/>
        <v>1.423736814197472</v>
      </c>
      <c r="AK147" s="30">
        <f t="shared" si="103"/>
        <v>1.423736814197472</v>
      </c>
      <c r="AL147" s="30">
        <f t="shared" si="104"/>
        <v>3.1525600885801159</v>
      </c>
      <c r="AM147" s="32">
        <f t="shared" si="105"/>
        <v>1</v>
      </c>
      <c r="AN147" s="32">
        <f t="shared" si="106"/>
        <v>1</v>
      </c>
      <c r="AO147" s="32">
        <f t="shared" si="107"/>
        <v>0.31720251855703435</v>
      </c>
      <c r="AP147" s="32">
        <f t="shared" si="108"/>
        <v>0.31720251855703435</v>
      </c>
      <c r="AQ147" s="33">
        <f t="shared" si="109"/>
        <v>24070.799999999999</v>
      </c>
      <c r="AR147" s="27">
        <v>0.87</v>
      </c>
      <c r="AS147" s="30">
        <f t="shared" si="127"/>
        <v>1.423736814197472</v>
      </c>
      <c r="AT147" s="33">
        <f t="shared" si="128"/>
        <v>20941.595999999998</v>
      </c>
      <c r="AU147" s="32">
        <v>1</v>
      </c>
      <c r="AV147" s="33">
        <f t="shared" si="110"/>
        <v>154658.13095579334</v>
      </c>
      <c r="AW147" s="33">
        <f t="shared" si="111"/>
        <v>108628.31487782425</v>
      </c>
      <c r="AX147" s="30">
        <f t="shared" si="88"/>
        <v>1.423736814197472</v>
      </c>
      <c r="AY147" s="29">
        <f t="shared" si="112"/>
        <v>134552.57393154022</v>
      </c>
      <c r="AZ147" s="29">
        <f t="shared" si="113"/>
        <v>94506.6339437071</v>
      </c>
      <c r="BA147" s="30">
        <f t="shared" si="87"/>
        <v>1.423736814197472</v>
      </c>
      <c r="BB147" s="34">
        <f t="shared" si="114"/>
        <v>1</v>
      </c>
      <c r="BC147" s="35">
        <f t="shared" si="115"/>
        <v>1</v>
      </c>
      <c r="BD147" s="27">
        <v>1</v>
      </c>
      <c r="BE147" s="36">
        <f t="shared" si="116"/>
        <v>0</v>
      </c>
      <c r="BF147" s="36">
        <f t="shared" si="117"/>
        <v>108628.31487782425</v>
      </c>
      <c r="BG147" s="30">
        <f t="shared" si="118"/>
        <v>0</v>
      </c>
      <c r="BH147" s="33">
        <f t="shared" si="119"/>
        <v>24070.799999999999</v>
      </c>
      <c r="BI147" s="27">
        <v>1</v>
      </c>
      <c r="BJ147" s="36">
        <f t="shared" si="120"/>
        <v>154658.13095579334</v>
      </c>
      <c r="BK147" s="37">
        <f t="shared" si="121"/>
        <v>108628.31487782425</v>
      </c>
      <c r="BL147" s="30">
        <f t="shared" si="122"/>
        <v>1.423736814197472</v>
      </c>
      <c r="BM147" s="26">
        <f t="shared" si="123"/>
        <v>24070.799999999999</v>
      </c>
      <c r="BO147" s="50">
        <f t="shared" si="124"/>
        <v>154658.13095579334</v>
      </c>
      <c r="BP147" s="50">
        <f t="shared" si="125"/>
        <v>0</v>
      </c>
    </row>
    <row r="148" spans="1:68">
      <c r="A148" s="40" t="s">
        <v>211</v>
      </c>
      <c r="B148" s="1" t="s">
        <v>205</v>
      </c>
      <c r="C148" s="24">
        <v>5000</v>
      </c>
      <c r="D148" s="24" t="s">
        <v>432</v>
      </c>
      <c r="E148" s="24">
        <v>20</v>
      </c>
      <c r="F148" s="24">
        <v>5000</v>
      </c>
      <c r="G148" s="24" t="s">
        <v>206</v>
      </c>
      <c r="H148" s="24">
        <v>2.25</v>
      </c>
      <c r="I148" s="24">
        <v>0</v>
      </c>
      <c r="J148" s="24">
        <v>0</v>
      </c>
      <c r="K148" s="24">
        <v>0</v>
      </c>
      <c r="L148" s="24">
        <v>0</v>
      </c>
      <c r="M148" s="24">
        <v>0</v>
      </c>
      <c r="N148" s="24">
        <v>0</v>
      </c>
      <c r="O148" s="24">
        <v>0.74</v>
      </c>
      <c r="P148" s="24">
        <v>1</v>
      </c>
      <c r="Q148" s="24">
        <v>0.1</v>
      </c>
      <c r="R148" s="24">
        <v>1</v>
      </c>
      <c r="S148" s="24">
        <v>0</v>
      </c>
      <c r="T148" s="28">
        <f t="shared" si="89"/>
        <v>0.99540901221797307</v>
      </c>
      <c r="U148" s="28">
        <f t="shared" si="90"/>
        <v>0.98243304319251379</v>
      </c>
      <c r="V148" s="29">
        <f>IF(O148&gt;0,((VLOOKUP(E148,ACs!G$4:P$53,7)*P148)+(VLOOKUP(E148,ACs!G$4:P$53,6)*(1-P148)))*O148*F148,0)</f>
        <v>20658.661194008633</v>
      </c>
      <c r="W148" s="29">
        <f>IF(E148&gt;0,VLOOKUP(E148,ACs!G$4:P$53,10)*Q148*F148,0)</f>
        <v>369.39902562349658</v>
      </c>
      <c r="X148" s="29">
        <f t="shared" si="91"/>
        <v>0</v>
      </c>
      <c r="Y148" s="29">
        <f t="shared" si="92"/>
        <v>11250</v>
      </c>
      <c r="Z148" s="29">
        <f t="shared" si="129"/>
        <v>0</v>
      </c>
      <c r="AA148" s="29">
        <f t="shared" si="93"/>
        <v>5000</v>
      </c>
      <c r="AB148" s="30">
        <f t="shared" si="94"/>
        <v>1.8691609084117449</v>
      </c>
      <c r="AC148" s="30">
        <f t="shared" si="95"/>
        <v>1.8691609084117449</v>
      </c>
      <c r="AD148" s="31">
        <f t="shared" si="96"/>
        <v>4.2056120439264264</v>
      </c>
      <c r="AE148" s="29">
        <f t="shared" si="97"/>
        <v>20658.661194008633</v>
      </c>
      <c r="AF148" s="29">
        <f t="shared" si="98"/>
        <v>0</v>
      </c>
      <c r="AG148" s="29">
        <f t="shared" si="99"/>
        <v>11052.37173591578</v>
      </c>
      <c r="AH148" s="29">
        <f t="shared" si="100"/>
        <v>0</v>
      </c>
      <c r="AI148" s="29">
        <f t="shared" si="101"/>
        <v>4912.1652159625692</v>
      </c>
      <c r="AJ148" s="30">
        <f t="shared" si="102"/>
        <v>1.8691609084117449</v>
      </c>
      <c r="AK148" s="30">
        <f t="shared" si="103"/>
        <v>1.8691609084117449</v>
      </c>
      <c r="AL148" s="30">
        <f t="shared" si="104"/>
        <v>4.2056120439264255</v>
      </c>
      <c r="AM148" s="32">
        <f t="shared" si="105"/>
        <v>1</v>
      </c>
      <c r="AN148" s="32">
        <f t="shared" si="106"/>
        <v>1</v>
      </c>
      <c r="AO148" s="32">
        <f t="shared" si="107"/>
        <v>0.23777751955132415</v>
      </c>
      <c r="AP148" s="32">
        <f t="shared" si="108"/>
        <v>0.23777751955132412</v>
      </c>
      <c r="AQ148" s="33">
        <f t="shared" si="109"/>
        <v>3700</v>
      </c>
      <c r="AR148" s="27">
        <v>0.87</v>
      </c>
      <c r="AS148" s="30">
        <f t="shared" si="127"/>
        <v>1.8691609084117449</v>
      </c>
      <c r="AT148" s="33">
        <f t="shared" si="128"/>
        <v>3219</v>
      </c>
      <c r="AU148" s="32">
        <v>1</v>
      </c>
      <c r="AV148" s="33">
        <f t="shared" si="110"/>
        <v>20658.661194008633</v>
      </c>
      <c r="AW148" s="33">
        <f t="shared" si="111"/>
        <v>11052.37173591578</v>
      </c>
      <c r="AX148" s="30">
        <f t="shared" si="88"/>
        <v>1.8691609084117449</v>
      </c>
      <c r="AY148" s="29">
        <f t="shared" si="112"/>
        <v>17973.03523878751</v>
      </c>
      <c r="AZ148" s="29">
        <f t="shared" si="113"/>
        <v>9615.5634102467284</v>
      </c>
      <c r="BA148" s="30">
        <f t="shared" si="87"/>
        <v>1.8691609084117449</v>
      </c>
      <c r="BB148" s="34">
        <f t="shared" si="114"/>
        <v>1</v>
      </c>
      <c r="BC148" s="35">
        <f t="shared" si="115"/>
        <v>1</v>
      </c>
      <c r="BD148" s="27">
        <v>1</v>
      </c>
      <c r="BE148" s="36">
        <f t="shared" si="116"/>
        <v>0</v>
      </c>
      <c r="BF148" s="36">
        <f t="shared" si="117"/>
        <v>11052.37173591578</v>
      </c>
      <c r="BG148" s="30">
        <f t="shared" si="118"/>
        <v>0</v>
      </c>
      <c r="BH148" s="33">
        <f t="shared" si="119"/>
        <v>3700</v>
      </c>
      <c r="BI148" s="27">
        <v>1</v>
      </c>
      <c r="BJ148" s="36">
        <f>((AE148)+AF148)*BI148</f>
        <v>20658.661194008633</v>
      </c>
      <c r="BK148" s="37">
        <f t="shared" si="121"/>
        <v>11052.37173591578</v>
      </c>
      <c r="BL148" s="30">
        <f t="shared" si="122"/>
        <v>1.8691609084117449</v>
      </c>
      <c r="BM148" s="26">
        <f t="shared" si="123"/>
        <v>3700</v>
      </c>
      <c r="BO148" s="50">
        <f t="shared" si="124"/>
        <v>20658.661194008633</v>
      </c>
      <c r="BP148" s="50">
        <f t="shared" si="125"/>
        <v>0</v>
      </c>
    </row>
    <row r="149" spans="1:68">
      <c r="A149" s="41" t="s">
        <v>212</v>
      </c>
      <c r="B149" s="1" t="s">
        <v>205</v>
      </c>
      <c r="C149" s="24">
        <v>16000</v>
      </c>
      <c r="D149" s="24" t="s">
        <v>199</v>
      </c>
      <c r="E149" s="24">
        <v>20</v>
      </c>
      <c r="F149" s="24">
        <v>16000</v>
      </c>
      <c r="G149" s="24" t="s">
        <v>206</v>
      </c>
      <c r="H149" s="24">
        <v>19</v>
      </c>
      <c r="I149" s="24">
        <v>0</v>
      </c>
      <c r="J149" s="24">
        <v>0</v>
      </c>
      <c r="K149" s="24">
        <v>0</v>
      </c>
      <c r="L149" s="24">
        <v>0</v>
      </c>
      <c r="M149" s="24">
        <v>0</v>
      </c>
      <c r="N149" s="24">
        <v>0</v>
      </c>
      <c r="O149" s="24">
        <v>0.46</v>
      </c>
      <c r="P149" s="24">
        <v>1</v>
      </c>
      <c r="Q149" s="24">
        <v>8.15</v>
      </c>
      <c r="R149" s="24">
        <v>3.5</v>
      </c>
      <c r="S149" s="24">
        <v>0</v>
      </c>
      <c r="T149" s="28">
        <f t="shared" si="89"/>
        <v>0.62317155032211879</v>
      </c>
      <c r="U149" s="28">
        <f>IF(V149+W149=0,0,V149/(V149+W149))</f>
        <v>0.29901050214389019</v>
      </c>
      <c r="V149" s="29">
        <f>IF(O149&gt;0,((VLOOKUP(E149,ACs!G$4:P$53,7)*P149)+(VLOOKUP(E149,ACs!G$4:P$53,6)*(1-P149)))*O149*F149,0)</f>
        <v>41093.985510244202</v>
      </c>
      <c r="W149" s="29">
        <f>IF(E149&gt;0,VLOOKUP(E149,ACs!G$4:P$53,10)*Q149*F149,0)</f>
        <v>96339.265882607899</v>
      </c>
      <c r="X149" s="29">
        <f t="shared" si="91"/>
        <v>0</v>
      </c>
      <c r="Y149" s="29">
        <f t="shared" si="92"/>
        <v>304000</v>
      </c>
      <c r="Z149" s="29">
        <f t="shared" si="129"/>
        <v>0</v>
      </c>
      <c r="AA149" s="29">
        <f t="shared" si="93"/>
        <v>56000</v>
      </c>
      <c r="AB149" s="30">
        <f t="shared" si="94"/>
        <v>0.4520830637922767</v>
      </c>
      <c r="AC149" s="30">
        <f t="shared" si="95"/>
        <v>0.4520830637922767</v>
      </c>
      <c r="AD149" s="31">
        <f t="shared" si="96"/>
        <v>2.4541652034437877</v>
      </c>
      <c r="AE149" s="29">
        <f>U149*(V149+W149)</f>
        <v>41093.985510244202</v>
      </c>
      <c r="AF149" s="29">
        <f t="shared" si="98"/>
        <v>0</v>
      </c>
      <c r="AG149" s="29">
        <f>U149*H149*F149</f>
        <v>90899.192651742618</v>
      </c>
      <c r="AH149" s="29">
        <f t="shared" si="100"/>
        <v>0</v>
      </c>
      <c r="AI149" s="29">
        <f t="shared" si="101"/>
        <v>16744.588120057851</v>
      </c>
      <c r="AJ149" s="30">
        <f t="shared" si="102"/>
        <v>0.45208306379227664</v>
      </c>
      <c r="AK149" s="30">
        <f t="shared" si="103"/>
        <v>0.45208306379227664</v>
      </c>
      <c r="AL149" s="30">
        <f t="shared" si="104"/>
        <v>2.4541652034437873</v>
      </c>
      <c r="AM149" s="32">
        <f t="shared" si="105"/>
        <v>1</v>
      </c>
      <c r="AN149" s="32">
        <f t="shared" si="106"/>
        <v>1</v>
      </c>
      <c r="AO149" s="32">
        <f t="shared" si="107"/>
        <v>0.40747053156680657</v>
      </c>
      <c r="AP149" s="32">
        <f t="shared" si="108"/>
        <v>0.40747053156680652</v>
      </c>
      <c r="AQ149" s="33">
        <f t="shared" si="109"/>
        <v>7360</v>
      </c>
      <c r="AR149" s="27">
        <v>0.87</v>
      </c>
      <c r="AS149" s="30">
        <f t="shared" si="127"/>
        <v>0.45208306379227664</v>
      </c>
      <c r="AT149" s="33">
        <f t="shared" si="128"/>
        <v>6403.2</v>
      </c>
      <c r="AU149" s="32">
        <v>1</v>
      </c>
      <c r="AV149" s="33">
        <f t="shared" si="110"/>
        <v>41093.985510244202</v>
      </c>
      <c r="AW149" s="33">
        <f t="shared" si="111"/>
        <v>90899.192651742618</v>
      </c>
      <c r="AX149" s="30">
        <f t="shared" si="88"/>
        <v>0.45208306379227664</v>
      </c>
      <c r="AY149" s="29">
        <f t="shared" si="112"/>
        <v>35751.767393912458</v>
      </c>
      <c r="AZ149" s="29">
        <f t="shared" si="113"/>
        <v>79082.29760701608</v>
      </c>
      <c r="BA149" s="30">
        <f t="shared" si="87"/>
        <v>0.45208306379227664</v>
      </c>
      <c r="BB149" s="34">
        <f t="shared" si="114"/>
        <v>1</v>
      </c>
      <c r="BC149" s="35">
        <f t="shared" si="115"/>
        <v>1</v>
      </c>
      <c r="BD149" s="27">
        <f>11/12</f>
        <v>0.91666666666666663</v>
      </c>
      <c r="BE149" s="36">
        <f t="shared" si="116"/>
        <v>0</v>
      </c>
      <c r="BF149" s="36">
        <f t="shared" si="117"/>
        <v>83324.259930764063</v>
      </c>
      <c r="BG149" s="30">
        <f t="shared" si="118"/>
        <v>0</v>
      </c>
      <c r="BH149" s="33">
        <f t="shared" si="119"/>
        <v>6746.6666666666661</v>
      </c>
      <c r="BI149" s="27">
        <v>0</v>
      </c>
      <c r="BJ149" s="36">
        <f t="shared" si="120"/>
        <v>0</v>
      </c>
      <c r="BK149" s="37">
        <f t="shared" si="121"/>
        <v>0</v>
      </c>
      <c r="BL149" s="30" t="str">
        <f t="shared" si="122"/>
        <v xml:space="preserve"> </v>
      </c>
      <c r="BM149" s="26">
        <f t="shared" si="123"/>
        <v>0</v>
      </c>
      <c r="BO149" s="50">
        <f t="shared" si="124"/>
        <v>0</v>
      </c>
      <c r="BP149" s="50">
        <f t="shared" si="125"/>
        <v>0</v>
      </c>
    </row>
    <row r="150" spans="1:68">
      <c r="A150" s="16" t="s">
        <v>213</v>
      </c>
      <c r="B150" s="1" t="s">
        <v>214</v>
      </c>
      <c r="C150" s="24">
        <v>0</v>
      </c>
      <c r="D150" s="24" t="s">
        <v>432</v>
      </c>
      <c r="E150" s="24">
        <v>7</v>
      </c>
      <c r="F150" s="24">
        <v>0</v>
      </c>
      <c r="G150" s="24" t="s">
        <v>67</v>
      </c>
      <c r="H150" s="24">
        <v>370</v>
      </c>
      <c r="I150" s="24">
        <v>0</v>
      </c>
      <c r="J150" s="24">
        <v>0</v>
      </c>
      <c r="K150" s="24">
        <v>0</v>
      </c>
      <c r="L150" s="24">
        <v>39.211096256684492</v>
      </c>
      <c r="M150" s="24">
        <v>0</v>
      </c>
      <c r="N150" s="24">
        <v>0</v>
      </c>
      <c r="O150" s="24">
        <v>13.50541652571429</v>
      </c>
      <c r="P150" s="24">
        <v>0</v>
      </c>
      <c r="Q150" s="24">
        <v>629.43771428571438</v>
      </c>
      <c r="R150" s="24">
        <v>200</v>
      </c>
      <c r="S150" s="24">
        <v>0</v>
      </c>
      <c r="T150" s="28">
        <f t="shared" si="89"/>
        <v>0.38600000000000001</v>
      </c>
      <c r="U150" s="28">
        <f t="shared" si="90"/>
        <v>0</v>
      </c>
      <c r="V150" s="29">
        <f>IF(O150&gt;0,((VLOOKUP(E150,ACs!G$4:P$53,7)*P150)+(VLOOKUP(E150,ACs!G$4:P$53,6)*(1-P150)))*O150*F150,0)</f>
        <v>0</v>
      </c>
      <c r="W150" s="29">
        <f>IF(E150&gt;0,VLOOKUP(E150,ACs!G$4:P$53,10)*Q150*F150,0)</f>
        <v>0</v>
      </c>
      <c r="X150" s="29">
        <f t="shared" si="91"/>
        <v>0</v>
      </c>
      <c r="Y150" s="29">
        <f t="shared" si="92"/>
        <v>0</v>
      </c>
      <c r="Z150" s="29">
        <f t="shared" si="129"/>
        <v>0</v>
      </c>
      <c r="AA150" s="29">
        <f t="shared" si="93"/>
        <v>0</v>
      </c>
      <c r="AB150" s="30" t="str">
        <f t="shared" si="94"/>
        <v xml:space="preserve"> </v>
      </c>
      <c r="AC150" s="30" t="str">
        <f t="shared" si="95"/>
        <v xml:space="preserve"> </v>
      </c>
      <c r="AD150" s="31" t="str">
        <f t="shared" si="96"/>
        <v xml:space="preserve"> </v>
      </c>
      <c r="AE150" s="29">
        <f t="shared" si="97"/>
        <v>0</v>
      </c>
      <c r="AF150" s="29">
        <f t="shared" si="98"/>
        <v>0</v>
      </c>
      <c r="AG150" s="29">
        <f t="shared" si="99"/>
        <v>0</v>
      </c>
      <c r="AH150" s="29">
        <f t="shared" si="100"/>
        <v>0</v>
      </c>
      <c r="AI150" s="29">
        <f t="shared" si="101"/>
        <v>0</v>
      </c>
      <c r="AJ150" s="30" t="str">
        <f t="shared" si="102"/>
        <v xml:space="preserve"> </v>
      </c>
      <c r="AK150" s="30" t="str">
        <f t="shared" si="103"/>
        <v xml:space="preserve"> </v>
      </c>
      <c r="AL150" s="30" t="str">
        <f t="shared" si="104"/>
        <v xml:space="preserve"> </v>
      </c>
      <c r="AM150" s="32" t="str">
        <f t="shared" si="105"/>
        <v xml:space="preserve"> </v>
      </c>
      <c r="AN150" s="32" t="str">
        <f t="shared" si="106"/>
        <v xml:space="preserve"> </v>
      </c>
      <c r="AO150" s="32" t="str">
        <f t="shared" si="107"/>
        <v xml:space="preserve"> </v>
      </c>
      <c r="AP150" s="32" t="str">
        <f t="shared" si="108"/>
        <v xml:space="preserve"> </v>
      </c>
      <c r="AQ150" s="33">
        <f t="shared" si="109"/>
        <v>0</v>
      </c>
      <c r="AR150" s="27">
        <v>0.87</v>
      </c>
      <c r="AS150" s="30" t="str">
        <f t="shared" si="127"/>
        <v xml:space="preserve"> </v>
      </c>
      <c r="AT150" s="33">
        <f t="shared" si="128"/>
        <v>0</v>
      </c>
      <c r="AU150" s="32">
        <v>1</v>
      </c>
      <c r="AV150" s="33">
        <f t="shared" si="110"/>
        <v>0</v>
      </c>
      <c r="AW150" s="33">
        <f t="shared" si="111"/>
        <v>0</v>
      </c>
      <c r="AX150" s="30" t="str">
        <f t="shared" si="88"/>
        <v xml:space="preserve"> </v>
      </c>
      <c r="AY150" s="29">
        <f t="shared" si="112"/>
        <v>0</v>
      </c>
      <c r="AZ150" s="29">
        <f t="shared" si="113"/>
        <v>0</v>
      </c>
      <c r="BA150" s="30" t="str">
        <f t="shared" si="87"/>
        <v xml:space="preserve"> </v>
      </c>
      <c r="BB150" s="34">
        <f t="shared" si="114"/>
        <v>0</v>
      </c>
      <c r="BC150" s="35">
        <f t="shared" si="115"/>
        <v>1</v>
      </c>
      <c r="BD150" s="27">
        <v>1</v>
      </c>
      <c r="BE150" s="36">
        <f t="shared" si="116"/>
        <v>0</v>
      </c>
      <c r="BF150" s="36">
        <f t="shared" si="117"/>
        <v>0</v>
      </c>
      <c r="BG150" s="30" t="str">
        <f t="shared" si="118"/>
        <v xml:space="preserve"> </v>
      </c>
      <c r="BH150" s="33">
        <f t="shared" si="119"/>
        <v>0</v>
      </c>
      <c r="BI150" s="27">
        <v>1</v>
      </c>
      <c r="BJ150" s="36">
        <f t="shared" si="120"/>
        <v>0</v>
      </c>
      <c r="BK150" s="37">
        <f t="shared" si="121"/>
        <v>0</v>
      </c>
      <c r="BL150" s="30" t="str">
        <f t="shared" si="122"/>
        <v xml:space="preserve"> </v>
      </c>
      <c r="BM150" s="26">
        <f t="shared" si="123"/>
        <v>0</v>
      </c>
      <c r="BO150" s="50">
        <f t="shared" si="124"/>
        <v>0</v>
      </c>
      <c r="BP150" s="50">
        <f t="shared" si="125"/>
        <v>0</v>
      </c>
    </row>
    <row r="151" spans="1:68">
      <c r="A151" s="42" t="s">
        <v>215</v>
      </c>
      <c r="B151" s="1" t="s">
        <v>214</v>
      </c>
      <c r="C151" s="24">
        <v>1</v>
      </c>
      <c r="D151" s="24" t="s">
        <v>199</v>
      </c>
      <c r="E151" s="24">
        <v>7</v>
      </c>
      <c r="F151" s="24">
        <v>1</v>
      </c>
      <c r="G151" s="24" t="s">
        <v>67</v>
      </c>
      <c r="H151" s="24">
        <v>370</v>
      </c>
      <c r="I151" s="24">
        <v>0</v>
      </c>
      <c r="J151" s="24">
        <v>0</v>
      </c>
      <c r="K151" s="24">
        <v>0</v>
      </c>
      <c r="L151" s="24">
        <v>4.9465240641711228</v>
      </c>
      <c r="M151" s="24">
        <v>0</v>
      </c>
      <c r="N151" s="24">
        <v>0</v>
      </c>
      <c r="O151" s="24">
        <v>13.50541652571429</v>
      </c>
      <c r="P151" s="24">
        <v>0</v>
      </c>
      <c r="Q151" s="24">
        <v>629.43771428571438</v>
      </c>
      <c r="R151" s="24">
        <v>200</v>
      </c>
      <c r="S151" s="24">
        <v>0</v>
      </c>
      <c r="T151" s="28">
        <f t="shared" si="89"/>
        <v>0.38600000000000001</v>
      </c>
      <c r="U151" s="28">
        <f t="shared" si="90"/>
        <v>0.12973362628521762</v>
      </c>
      <c r="V151" s="29">
        <f>IF(O151&gt;0,((VLOOKUP(E151,ACs!G$4:P$53,7)*P151)+(VLOOKUP(E151,ACs!G$4:P$53,6)*(1-P151)))*O151*F151,0)</f>
        <v>29.75015494293373</v>
      </c>
      <c r="W151" s="29">
        <f>IF(E151&gt;0,VLOOKUP(E151,ACs!G$4:P$53,10)*Q151*F151,0)</f>
        <v>199.56706831519378</v>
      </c>
      <c r="X151" s="29">
        <f t="shared" si="91"/>
        <v>26.845140126163987</v>
      </c>
      <c r="Y151" s="29">
        <f t="shared" si="92"/>
        <v>370</v>
      </c>
      <c r="Z151" s="29">
        <f t="shared" si="129"/>
        <v>0</v>
      </c>
      <c r="AA151" s="29">
        <f t="shared" si="93"/>
        <v>200</v>
      </c>
      <c r="AB151" s="30">
        <f t="shared" si="94"/>
        <v>0.69233071184943651</v>
      </c>
      <c r="AC151" s="30">
        <f t="shared" si="95"/>
        <v>0.61977627907602029</v>
      </c>
      <c r="AD151" s="31">
        <f t="shared" si="96"/>
        <v>1.1465861162906377</v>
      </c>
      <c r="AE151" s="29">
        <f t="shared" si="97"/>
        <v>29.75015494293373</v>
      </c>
      <c r="AF151" s="29">
        <f t="shared" si="98"/>
        <v>3.4827173767020585</v>
      </c>
      <c r="AG151" s="29">
        <f t="shared" si="99"/>
        <v>48.001441725530519</v>
      </c>
      <c r="AH151" s="29">
        <f t="shared" si="100"/>
        <v>0</v>
      </c>
      <c r="AI151" s="29">
        <f t="shared" si="101"/>
        <v>25.946725257043525</v>
      </c>
      <c r="AJ151" s="30">
        <f t="shared" si="102"/>
        <v>0.69233071184943651</v>
      </c>
      <c r="AK151" s="30">
        <f t="shared" si="103"/>
        <v>0.61977627907602029</v>
      </c>
      <c r="AL151" s="30">
        <f t="shared" si="104"/>
        <v>1.1465861162906374</v>
      </c>
      <c r="AM151" s="32">
        <f>IF(AE151+AF151=0," ",(AE151/(AE151+AF151)))</f>
        <v>0.89520263722000704</v>
      </c>
      <c r="AN151" s="32">
        <f t="shared" si="106"/>
        <v>0.89520263722000704</v>
      </c>
      <c r="AO151" s="32">
        <f t="shared" si="107"/>
        <v>0.87215428984535093</v>
      </c>
      <c r="AP151" s="32">
        <f t="shared" si="108"/>
        <v>0.87215428984535093</v>
      </c>
      <c r="AQ151" s="33">
        <f t="shared" si="109"/>
        <v>13.50541652571429</v>
      </c>
      <c r="AR151" s="27">
        <v>0.87</v>
      </c>
      <c r="AS151" s="30">
        <f t="shared" si="127"/>
        <v>0.69233071184943651</v>
      </c>
      <c r="AT151" s="33">
        <f t="shared" si="128"/>
        <v>11.749712377371432</v>
      </c>
      <c r="AU151" s="32">
        <v>1</v>
      </c>
      <c r="AV151" s="33">
        <f t="shared" si="110"/>
        <v>33.232872319635788</v>
      </c>
      <c r="AW151" s="33">
        <f t="shared" si="111"/>
        <v>48.001441725530519</v>
      </c>
      <c r="AX151" s="30">
        <f t="shared" si="88"/>
        <v>0.69233071184943651</v>
      </c>
      <c r="AY151" s="29">
        <f t="shared" si="112"/>
        <v>28.912598918083138</v>
      </c>
      <c r="AZ151" s="29">
        <f t="shared" si="113"/>
        <v>41.761254301211551</v>
      </c>
      <c r="BA151" s="30">
        <f t="shared" si="87"/>
        <v>0.69233071184943651</v>
      </c>
      <c r="BB151" s="34">
        <f t="shared" si="114"/>
        <v>1</v>
      </c>
      <c r="BC151" s="35">
        <f t="shared" si="115"/>
        <v>1</v>
      </c>
      <c r="BD151" s="27">
        <f>11/12</f>
        <v>0.91666666666666663</v>
      </c>
      <c r="BE151" s="36">
        <f t="shared" si="116"/>
        <v>3.1924909286435534</v>
      </c>
      <c r="BF151" s="36">
        <f t="shared" si="117"/>
        <v>44.001321581736306</v>
      </c>
      <c r="BG151" s="30">
        <f t="shared" si="118"/>
        <v>7.255443277341618E-2</v>
      </c>
      <c r="BH151" s="33">
        <f t="shared" si="119"/>
        <v>12.379965148571433</v>
      </c>
      <c r="BI151" s="27">
        <v>0</v>
      </c>
      <c r="BJ151" s="36">
        <f t="shared" si="120"/>
        <v>0</v>
      </c>
      <c r="BK151" s="37">
        <f t="shared" si="121"/>
        <v>0</v>
      </c>
      <c r="BL151" s="30" t="str">
        <f t="shared" si="122"/>
        <v xml:space="preserve"> </v>
      </c>
      <c r="BM151" s="26">
        <f t="shared" si="123"/>
        <v>0</v>
      </c>
      <c r="BO151" s="50">
        <f t="shared" si="124"/>
        <v>0</v>
      </c>
      <c r="BP151" s="50">
        <f t="shared" si="125"/>
        <v>0</v>
      </c>
    </row>
    <row r="152" spans="1:68">
      <c r="A152" s="42" t="s">
        <v>216</v>
      </c>
      <c r="B152" s="1" t="s">
        <v>214</v>
      </c>
      <c r="C152" s="24">
        <v>2</v>
      </c>
      <c r="D152" s="24" t="s">
        <v>199</v>
      </c>
      <c r="E152" s="24">
        <v>7</v>
      </c>
      <c r="F152" s="24">
        <v>2</v>
      </c>
      <c r="G152" s="24" t="s">
        <v>67</v>
      </c>
      <c r="H152" s="24">
        <v>1120</v>
      </c>
      <c r="I152" s="24">
        <v>0</v>
      </c>
      <c r="J152" s="24">
        <v>0</v>
      </c>
      <c r="K152" s="24">
        <v>0</v>
      </c>
      <c r="L152" s="24">
        <v>4.9465240641711228</v>
      </c>
      <c r="M152" s="24">
        <v>0</v>
      </c>
      <c r="N152" s="24">
        <v>0</v>
      </c>
      <c r="O152" s="24">
        <v>16.656680381714288</v>
      </c>
      <c r="P152" s="24">
        <v>0</v>
      </c>
      <c r="Q152" s="24">
        <v>776.30651428571423</v>
      </c>
      <c r="R152" s="24">
        <v>200</v>
      </c>
      <c r="S152" s="24">
        <v>0</v>
      </c>
      <c r="T152" s="28">
        <f t="shared" si="89"/>
        <v>0.38600000000000001</v>
      </c>
      <c r="U152" s="28">
        <f t="shared" si="90"/>
        <v>0.12973362628521762</v>
      </c>
      <c r="V152" s="29">
        <f>IF(O152&gt;0,((VLOOKUP(E152,ACs!G$4:P$53,7)*P152)+(VLOOKUP(E152,ACs!G$4:P$53,6)*(1-P152)))*O152*F152,0)</f>
        <v>73.383715525903185</v>
      </c>
      <c r="W152" s="29">
        <f>IF(E152&gt;0,VLOOKUP(E152,ACs!G$4:P$53,10)*Q152*F152,0)</f>
        <v>492.26543517747791</v>
      </c>
      <c r="X152" s="29">
        <f t="shared" si="91"/>
        <v>53.690280252327973</v>
      </c>
      <c r="Y152" s="29">
        <f t="shared" si="92"/>
        <v>2240</v>
      </c>
      <c r="Z152" s="29">
        <f t="shared" si="129"/>
        <v>0</v>
      </c>
      <c r="AA152" s="29">
        <f t="shared" si="93"/>
        <v>400</v>
      </c>
      <c r="AB152" s="30">
        <f t="shared" si="94"/>
        <v>0.27649081739094156</v>
      </c>
      <c r="AC152" s="30">
        <f t="shared" si="95"/>
        <v>0.25252194227829516</v>
      </c>
      <c r="AD152" s="31">
        <f t="shared" si="96"/>
        <v>1.4141228767584528</v>
      </c>
      <c r="AE152" s="29">
        <f t="shared" si="97"/>
        <v>73.383715525903185</v>
      </c>
      <c r="AF152" s="29">
        <f t="shared" si="98"/>
        <v>6.965434753404117</v>
      </c>
      <c r="AG152" s="29">
        <f t="shared" si="99"/>
        <v>290.60332287888747</v>
      </c>
      <c r="AH152" s="29">
        <f t="shared" si="100"/>
        <v>0</v>
      </c>
      <c r="AI152" s="29">
        <f t="shared" si="101"/>
        <v>51.89345051408705</v>
      </c>
      <c r="AJ152" s="30">
        <f t="shared" si="102"/>
        <v>0.2764908173909415</v>
      </c>
      <c r="AK152" s="30">
        <f t="shared" si="103"/>
        <v>0.25252194227829511</v>
      </c>
      <c r="AL152" s="30">
        <f t="shared" si="104"/>
        <v>1.4141228767584526</v>
      </c>
      <c r="AM152" s="32">
        <f t="shared" si="105"/>
        <v>0.9133104117568005</v>
      </c>
      <c r="AN152" s="32">
        <f t="shared" si="106"/>
        <v>0.91331041175680039</v>
      </c>
      <c r="AO152" s="32">
        <f t="shared" si="107"/>
        <v>0.70715212690163609</v>
      </c>
      <c r="AP152" s="32">
        <f t="shared" si="108"/>
        <v>0.70715212690163598</v>
      </c>
      <c r="AQ152" s="33">
        <f t="shared" si="109"/>
        <v>33.313360763428577</v>
      </c>
      <c r="AR152" s="27">
        <v>0.87</v>
      </c>
      <c r="AS152" s="30">
        <f t="shared" si="127"/>
        <v>0.27649081739094156</v>
      </c>
      <c r="AT152" s="33">
        <f t="shared" si="128"/>
        <v>28.982623864182862</v>
      </c>
      <c r="AU152" s="32">
        <v>1</v>
      </c>
      <c r="AV152" s="33">
        <f t="shared" si="110"/>
        <v>80.349150279307295</v>
      </c>
      <c r="AW152" s="33">
        <f t="shared" si="111"/>
        <v>290.60332287888747</v>
      </c>
      <c r="AX152" s="30">
        <f t="shared" si="88"/>
        <v>0.2764908173909415</v>
      </c>
      <c r="AY152" s="29">
        <f t="shared" si="112"/>
        <v>69.903760742997349</v>
      </c>
      <c r="AZ152" s="29">
        <f t="shared" si="113"/>
        <v>252.8248909046321</v>
      </c>
      <c r="BA152" s="30">
        <f t="shared" si="87"/>
        <v>0.27649081739094156</v>
      </c>
      <c r="BB152" s="34">
        <f t="shared" si="114"/>
        <v>1</v>
      </c>
      <c r="BC152" s="35">
        <f t="shared" si="115"/>
        <v>1</v>
      </c>
      <c r="BD152" s="27">
        <f>11/12</f>
        <v>0.91666666666666663</v>
      </c>
      <c r="BE152" s="36">
        <f t="shared" si="116"/>
        <v>6.3849818572871069</v>
      </c>
      <c r="BF152" s="36">
        <f t="shared" si="117"/>
        <v>266.38637930564681</v>
      </c>
      <c r="BG152" s="30">
        <f t="shared" si="118"/>
        <v>2.3968875112646417E-2</v>
      </c>
      <c r="BH152" s="33">
        <f t="shared" si="119"/>
        <v>30.537247366476194</v>
      </c>
      <c r="BI152" s="27">
        <v>0</v>
      </c>
      <c r="BJ152" s="36">
        <f t="shared" si="120"/>
        <v>0</v>
      </c>
      <c r="BK152" s="37">
        <f t="shared" si="121"/>
        <v>0</v>
      </c>
      <c r="BL152" s="30" t="str">
        <f t="shared" si="122"/>
        <v xml:space="preserve"> </v>
      </c>
      <c r="BM152" s="26">
        <f t="shared" si="123"/>
        <v>0</v>
      </c>
      <c r="BO152" s="50">
        <f t="shared" si="124"/>
        <v>0</v>
      </c>
      <c r="BP152" s="50">
        <f t="shared" si="125"/>
        <v>0</v>
      </c>
    </row>
    <row r="153" spans="1:68">
      <c r="A153" s="42" t="s">
        <v>217</v>
      </c>
      <c r="B153" s="1" t="s">
        <v>214</v>
      </c>
      <c r="C153" s="24">
        <v>2</v>
      </c>
      <c r="D153" s="24" t="s">
        <v>199</v>
      </c>
      <c r="E153" s="24">
        <v>7</v>
      </c>
      <c r="F153" s="24">
        <v>2</v>
      </c>
      <c r="G153" s="24" t="s">
        <v>67</v>
      </c>
      <c r="H153" s="24">
        <v>1420</v>
      </c>
      <c r="I153" s="24">
        <v>0</v>
      </c>
      <c r="J153" s="24">
        <v>0</v>
      </c>
      <c r="K153" s="24">
        <v>0</v>
      </c>
      <c r="L153" s="24">
        <v>4.9465240641711228</v>
      </c>
      <c r="M153" s="24">
        <v>0</v>
      </c>
      <c r="N153" s="24">
        <v>0</v>
      </c>
      <c r="O153" s="24">
        <v>19.234987172987015</v>
      </c>
      <c r="P153" s="24">
        <v>0</v>
      </c>
      <c r="Q153" s="24">
        <v>896.47189610389614</v>
      </c>
      <c r="R153" s="24">
        <v>200</v>
      </c>
      <c r="S153" s="24">
        <v>0</v>
      </c>
      <c r="T153" s="28">
        <f t="shared" si="89"/>
        <v>0.38599999999999995</v>
      </c>
      <c r="U153" s="28">
        <f t="shared" si="90"/>
        <v>0.12973362628521762</v>
      </c>
      <c r="V153" s="29">
        <f>IF(O153&gt;0,((VLOOKUP(E153,ACs!G$4:P$53,7)*P153)+(VLOOKUP(E153,ACs!G$4:P$53,6)*(1-P153)))*O153*F153,0)</f>
        <v>84.742865595023332</v>
      </c>
      <c r="W153" s="29">
        <f>IF(E153&gt;0,VLOOKUP(E153,ACs!G$4:P$53,10)*Q153*F153,0)</f>
        <v>568.46377035237015</v>
      </c>
      <c r="X153" s="29">
        <f t="shared" si="91"/>
        <v>53.690280252327973</v>
      </c>
      <c r="Y153" s="29">
        <f t="shared" si="92"/>
        <v>2840</v>
      </c>
      <c r="Z153" s="29">
        <f t="shared" si="129"/>
        <v>0</v>
      </c>
      <c r="AA153" s="29">
        <f t="shared" si="93"/>
        <v>400</v>
      </c>
      <c r="AB153" s="30">
        <f t="shared" si="94"/>
        <v>0.24890736485905685</v>
      </c>
      <c r="AC153" s="30">
        <f t="shared" si="95"/>
        <v>0.23000233660119487</v>
      </c>
      <c r="AD153" s="31">
        <f t="shared" si="96"/>
        <v>1.6330165898684836</v>
      </c>
      <c r="AE153" s="29">
        <f t="shared" si="97"/>
        <v>84.742865595023346</v>
      </c>
      <c r="AF153" s="29">
        <f t="shared" si="98"/>
        <v>6.965434753404117</v>
      </c>
      <c r="AG153" s="29">
        <f t="shared" si="99"/>
        <v>368.44349865001806</v>
      </c>
      <c r="AH153" s="29">
        <f t="shared" si="100"/>
        <v>0</v>
      </c>
      <c r="AI153" s="29">
        <f t="shared" si="101"/>
        <v>51.89345051408705</v>
      </c>
      <c r="AJ153" s="30">
        <f t="shared" si="102"/>
        <v>0.24890736485905682</v>
      </c>
      <c r="AK153" s="30">
        <f t="shared" si="103"/>
        <v>0.23000233660119487</v>
      </c>
      <c r="AL153" s="30">
        <f t="shared" si="104"/>
        <v>1.6330165898684836</v>
      </c>
      <c r="AM153" s="32">
        <f t="shared" si="105"/>
        <v>0.92404793538926877</v>
      </c>
      <c r="AN153" s="32">
        <f t="shared" si="106"/>
        <v>0.92404793538926866</v>
      </c>
      <c r="AO153" s="32">
        <f t="shared" si="107"/>
        <v>0.61236365031694862</v>
      </c>
      <c r="AP153" s="32">
        <f t="shared" si="108"/>
        <v>0.61236365031694862</v>
      </c>
      <c r="AQ153" s="33">
        <f t="shared" si="109"/>
        <v>38.46997434597403</v>
      </c>
      <c r="AR153" s="27">
        <v>0.87</v>
      </c>
      <c r="AS153" s="30">
        <f t="shared" si="127"/>
        <v>0.24890736485905682</v>
      </c>
      <c r="AT153" s="33">
        <f t="shared" si="128"/>
        <v>33.468877680997409</v>
      </c>
      <c r="AU153" s="32">
        <v>1</v>
      </c>
      <c r="AV153" s="33">
        <f t="shared" si="110"/>
        <v>91.708300348427457</v>
      </c>
      <c r="AW153" s="33">
        <f t="shared" si="111"/>
        <v>368.44349865001806</v>
      </c>
      <c r="AX153" s="30">
        <f t="shared" si="88"/>
        <v>0.24890736485905682</v>
      </c>
      <c r="AY153" s="29">
        <f t="shared" si="112"/>
        <v>79.786221303131882</v>
      </c>
      <c r="AZ153" s="29">
        <f t="shared" si="113"/>
        <v>320.5458438255157</v>
      </c>
      <c r="BA153" s="30">
        <f t="shared" si="87"/>
        <v>0.24890736485905682</v>
      </c>
      <c r="BB153" s="34">
        <f t="shared" si="114"/>
        <v>1</v>
      </c>
      <c r="BC153" s="35">
        <f t="shared" si="115"/>
        <v>1</v>
      </c>
      <c r="BD153" s="27">
        <f>11/12</f>
        <v>0.91666666666666663</v>
      </c>
      <c r="BE153" s="36">
        <f t="shared" si="116"/>
        <v>6.3849818572871069</v>
      </c>
      <c r="BF153" s="36">
        <f t="shared" si="117"/>
        <v>337.73987376251654</v>
      </c>
      <c r="BG153" s="30">
        <f t="shared" si="118"/>
        <v>1.8905028257861962E-2</v>
      </c>
      <c r="BH153" s="33">
        <f t="shared" si="119"/>
        <v>35.264143150476194</v>
      </c>
      <c r="BI153" s="27">
        <v>0</v>
      </c>
      <c r="BJ153" s="36">
        <f t="shared" si="120"/>
        <v>0</v>
      </c>
      <c r="BK153" s="37">
        <f t="shared" si="121"/>
        <v>0</v>
      </c>
      <c r="BL153" s="30" t="str">
        <f t="shared" si="122"/>
        <v xml:space="preserve"> </v>
      </c>
      <c r="BM153" s="26">
        <f t="shared" si="123"/>
        <v>0</v>
      </c>
      <c r="BO153" s="50">
        <f t="shared" si="124"/>
        <v>0</v>
      </c>
      <c r="BP153" s="50">
        <f t="shared" si="125"/>
        <v>0</v>
      </c>
    </row>
    <row r="154" spans="1:68">
      <c r="A154" s="16" t="s">
        <v>218</v>
      </c>
      <c r="B154" s="1" t="s">
        <v>214</v>
      </c>
      <c r="C154" s="24">
        <v>15</v>
      </c>
      <c r="D154" s="24" t="s">
        <v>432</v>
      </c>
      <c r="E154" s="24">
        <v>7</v>
      </c>
      <c r="F154" s="24">
        <v>15</v>
      </c>
      <c r="G154" s="24" t="s">
        <v>67</v>
      </c>
      <c r="H154" s="24">
        <v>370</v>
      </c>
      <c r="I154" s="24">
        <v>0</v>
      </c>
      <c r="J154" s="24">
        <v>0</v>
      </c>
      <c r="K154" s="24">
        <v>0</v>
      </c>
      <c r="L154" s="24">
        <v>39.211096256684492</v>
      </c>
      <c r="M154" s="24">
        <v>0</v>
      </c>
      <c r="N154" s="24">
        <v>0</v>
      </c>
      <c r="O154" s="24">
        <v>11.619556549714291</v>
      </c>
      <c r="P154" s="24">
        <v>0</v>
      </c>
      <c r="Q154" s="24">
        <v>609.96</v>
      </c>
      <c r="R154" s="24">
        <v>200</v>
      </c>
      <c r="S154" s="24">
        <v>0</v>
      </c>
      <c r="T154" s="28">
        <f t="shared" si="89"/>
        <v>0.35821378492072059</v>
      </c>
      <c r="U154" s="28">
        <f t="shared" si="90"/>
        <v>0.11688305367431204</v>
      </c>
      <c r="V154" s="29">
        <f>IF(O154&gt;0,((VLOOKUP(E154,ACs!G$4:P$53,7)*P154)+(VLOOKUP(E154,ACs!G$4:P$53,6)*(1-P154)))*O154*F154,0)</f>
        <v>383.93885193840515</v>
      </c>
      <c r="W154" s="29">
        <f>IF(E154&gt;0,VLOOKUP(E154,ACs!G$4:P$53,10)*Q154*F154,0)</f>
        <v>2900.8731021386066</v>
      </c>
      <c r="X154" s="29">
        <f t="shared" si="91"/>
        <v>3192.0213867015286</v>
      </c>
      <c r="Y154" s="29">
        <f t="shared" si="92"/>
        <v>5550</v>
      </c>
      <c r="Z154" s="29">
        <f t="shared" si="129"/>
        <v>0</v>
      </c>
      <c r="AA154" s="29">
        <f t="shared" si="93"/>
        <v>3000</v>
      </c>
      <c r="AB154" s="30">
        <f t="shared" si="94"/>
        <v>1.1669969983384758</v>
      </c>
      <c r="AC154" s="30">
        <f t="shared" si="95"/>
        <v>0.5918580097436057</v>
      </c>
      <c r="AD154" s="31">
        <f t="shared" si="96"/>
        <v>1.0949373180256705</v>
      </c>
      <c r="AE154" s="29">
        <f t="shared" si="97"/>
        <v>383.93885193840515</v>
      </c>
      <c r="AF154" s="29">
        <f t="shared" si="98"/>
        <v>373.0932070713867</v>
      </c>
      <c r="AG154" s="29">
        <f t="shared" si="99"/>
        <v>648.70094789243183</v>
      </c>
      <c r="AH154" s="29">
        <f t="shared" si="100"/>
        <v>0</v>
      </c>
      <c r="AI154" s="29">
        <f t="shared" si="101"/>
        <v>350.64916102293608</v>
      </c>
      <c r="AJ154" s="30">
        <f t="shared" si="102"/>
        <v>1.1669969983384756</v>
      </c>
      <c r="AK154" s="30">
        <f t="shared" si="103"/>
        <v>0.5918580097436057</v>
      </c>
      <c r="AL154" s="30">
        <f t="shared" si="104"/>
        <v>1.0949373180256705</v>
      </c>
      <c r="AM154" s="32">
        <f t="shared" si="105"/>
        <v>0.50716326656047084</v>
      </c>
      <c r="AN154" s="32">
        <f t="shared" si="106"/>
        <v>0.50716326656047084</v>
      </c>
      <c r="AO154" s="32">
        <f t="shared" si="107"/>
        <v>0.91329428957919145</v>
      </c>
      <c r="AP154" s="32">
        <f t="shared" si="108"/>
        <v>0.91329428957919145</v>
      </c>
      <c r="AQ154" s="33">
        <f t="shared" si="109"/>
        <v>174.29334824571436</v>
      </c>
      <c r="AR154" s="27">
        <v>0.87</v>
      </c>
      <c r="AS154" s="30">
        <f t="shared" si="127"/>
        <v>1.1669969983384758</v>
      </c>
      <c r="AT154" s="33">
        <f t="shared" si="128"/>
        <v>151.6352129737715</v>
      </c>
      <c r="AU154" s="32">
        <v>1</v>
      </c>
      <c r="AV154" s="33">
        <f t="shared" si="110"/>
        <v>757.03205900979185</v>
      </c>
      <c r="AW154" s="33">
        <f t="shared" si="111"/>
        <v>648.70094789243183</v>
      </c>
      <c r="AX154" s="30">
        <f t="shared" si="88"/>
        <v>1.1669969983384756</v>
      </c>
      <c r="AY154" s="29">
        <f t="shared" si="112"/>
        <v>658.61789133851892</v>
      </c>
      <c r="AZ154" s="29">
        <f t="shared" si="113"/>
        <v>564.36982466641564</v>
      </c>
      <c r="BA154" s="30">
        <f>IF(AZ154=0," ",AY154/AZ154)</f>
        <v>1.1669969983384758</v>
      </c>
      <c r="BB154" s="34">
        <f t="shared" si="114"/>
        <v>1</v>
      </c>
      <c r="BC154" s="35">
        <f t="shared" si="115"/>
        <v>1</v>
      </c>
      <c r="BD154" s="27">
        <v>1</v>
      </c>
      <c r="BE154" s="36">
        <f t="shared" si="116"/>
        <v>373.0932070713867</v>
      </c>
      <c r="BF154" s="36">
        <f t="shared" si="117"/>
        <v>648.70094789243183</v>
      </c>
      <c r="BG154" s="30">
        <f t="shared" si="118"/>
        <v>0.57513898859487</v>
      </c>
      <c r="BH154" s="33">
        <f t="shared" si="119"/>
        <v>174.29334824571436</v>
      </c>
      <c r="BI154" s="27">
        <v>1</v>
      </c>
      <c r="BJ154" s="36">
        <f>((AE154)+AF154)*BI154</f>
        <v>757.03205900979185</v>
      </c>
      <c r="BK154" s="37">
        <f t="shared" si="121"/>
        <v>648.70094789243183</v>
      </c>
      <c r="BL154" s="30">
        <f t="shared" si="122"/>
        <v>1.1669969983384756</v>
      </c>
      <c r="BM154" s="26">
        <f t="shared" si="123"/>
        <v>174.29334824571436</v>
      </c>
      <c r="BO154" s="50">
        <f t="shared" si="124"/>
        <v>383.93885193840515</v>
      </c>
      <c r="BP154" s="50">
        <f t="shared" si="125"/>
        <v>373.0932070713867</v>
      </c>
    </row>
    <row r="155" spans="1:68">
      <c r="A155" s="42" t="s">
        <v>219</v>
      </c>
      <c r="B155" s="1" t="s">
        <v>214</v>
      </c>
      <c r="C155" s="24">
        <v>1</v>
      </c>
      <c r="D155" s="24" t="s">
        <v>199</v>
      </c>
      <c r="E155" s="24">
        <v>7</v>
      </c>
      <c r="F155" s="24">
        <v>1</v>
      </c>
      <c r="G155" s="24" t="s">
        <v>67</v>
      </c>
      <c r="H155" s="24">
        <v>370</v>
      </c>
      <c r="I155" s="24">
        <v>0</v>
      </c>
      <c r="J155" s="24">
        <v>0</v>
      </c>
      <c r="K155" s="24">
        <v>0</v>
      </c>
      <c r="L155" s="24">
        <v>4.9465240641711228</v>
      </c>
      <c r="M155" s="24">
        <v>0</v>
      </c>
      <c r="N155" s="24">
        <v>0</v>
      </c>
      <c r="O155" s="24">
        <v>11.619556549714291</v>
      </c>
      <c r="P155" s="24">
        <v>0</v>
      </c>
      <c r="Q155" s="24">
        <v>609.96</v>
      </c>
      <c r="R155" s="24">
        <v>200</v>
      </c>
      <c r="S155" s="24">
        <v>0</v>
      </c>
      <c r="T155" s="28">
        <f t="shared" si="89"/>
        <v>0.35821378492072059</v>
      </c>
      <c r="U155" s="28">
        <f t="shared" si="90"/>
        <v>0.11688305367431204</v>
      </c>
      <c r="V155" s="29">
        <f>IF(O155&gt;0,((VLOOKUP(E155,ACs!G$4:P$53,7)*P155)+(VLOOKUP(E155,ACs!G$4:P$53,6)*(1-P155)))*O155*F155,0)</f>
        <v>25.595923462560343</v>
      </c>
      <c r="W155" s="29">
        <f>IF(E155&gt;0,VLOOKUP(E155,ACs!G$4:P$53,10)*Q155*F155,0)</f>
        <v>193.39154014257377</v>
      </c>
      <c r="X155" s="29">
        <f t="shared" si="91"/>
        <v>26.845140126163987</v>
      </c>
      <c r="Y155" s="29">
        <f t="shared" si="92"/>
        <v>370</v>
      </c>
      <c r="Z155" s="29">
        <f t="shared" si="129"/>
        <v>0</v>
      </c>
      <c r="AA155" s="29">
        <f t="shared" si="93"/>
        <v>200</v>
      </c>
      <c r="AB155" s="30">
        <f t="shared" si="94"/>
        <v>0.66441244251702192</v>
      </c>
      <c r="AC155" s="30">
        <f t="shared" si="95"/>
        <v>0.5918580097436057</v>
      </c>
      <c r="AD155" s="31">
        <f t="shared" si="96"/>
        <v>1.0949373180256705</v>
      </c>
      <c r="AE155" s="29">
        <f t="shared" si="97"/>
        <v>25.595923462560343</v>
      </c>
      <c r="AF155" s="29">
        <f t="shared" si="98"/>
        <v>3.1377419542608531</v>
      </c>
      <c r="AG155" s="29">
        <f t="shared" si="99"/>
        <v>43.246729859495453</v>
      </c>
      <c r="AH155" s="29">
        <f t="shared" si="100"/>
        <v>0</v>
      </c>
      <c r="AI155" s="29">
        <f t="shared" si="101"/>
        <v>23.376610734862407</v>
      </c>
      <c r="AJ155" s="30">
        <f t="shared" si="102"/>
        <v>0.66441244251702192</v>
      </c>
      <c r="AK155" s="30">
        <f t="shared" si="103"/>
        <v>0.5918580097436057</v>
      </c>
      <c r="AL155" s="30">
        <f t="shared" si="104"/>
        <v>1.0949373180256705</v>
      </c>
      <c r="AM155" s="32">
        <f t="shared" si="105"/>
        <v>0.89079910590091427</v>
      </c>
      <c r="AN155" s="32">
        <f t="shared" si="106"/>
        <v>0.89079910590091427</v>
      </c>
      <c r="AO155" s="32">
        <f t="shared" si="107"/>
        <v>0.91329428957919145</v>
      </c>
      <c r="AP155" s="32">
        <f t="shared" si="108"/>
        <v>0.91329428957919145</v>
      </c>
      <c r="AQ155" s="33">
        <f t="shared" si="109"/>
        <v>11.619556549714291</v>
      </c>
      <c r="AR155" s="27">
        <v>0.87</v>
      </c>
      <c r="AS155" s="30">
        <f t="shared" si="127"/>
        <v>0.66441244251702181</v>
      </c>
      <c r="AT155" s="33">
        <f t="shared" si="128"/>
        <v>10.109014198251433</v>
      </c>
      <c r="AU155" s="32">
        <v>1</v>
      </c>
      <c r="AV155" s="33">
        <f t="shared" si="110"/>
        <v>28.733665416821196</v>
      </c>
      <c r="AW155" s="33">
        <f t="shared" si="111"/>
        <v>43.246729859495453</v>
      </c>
      <c r="AX155" s="30">
        <f t="shared" si="88"/>
        <v>0.66441244251702192</v>
      </c>
      <c r="AY155" s="29">
        <f t="shared" si="112"/>
        <v>24.99828891263444</v>
      </c>
      <c r="AZ155" s="29">
        <f t="shared" si="113"/>
        <v>37.624654977761047</v>
      </c>
      <c r="BA155" s="30">
        <f>IF(AZ155=0," ",AY155/AZ155)</f>
        <v>0.66441244251702181</v>
      </c>
      <c r="BB155" s="34">
        <f t="shared" si="114"/>
        <v>1</v>
      </c>
      <c r="BC155" s="35">
        <f t="shared" si="115"/>
        <v>1</v>
      </c>
      <c r="BD155" s="27">
        <f>11/12</f>
        <v>0.91666666666666663</v>
      </c>
      <c r="BE155" s="36">
        <f t="shared" si="116"/>
        <v>2.8762634580724487</v>
      </c>
      <c r="BF155" s="36">
        <f t="shared" si="117"/>
        <v>39.642835704537497</v>
      </c>
      <c r="BG155" s="30">
        <f t="shared" si="118"/>
        <v>7.255443277341618E-2</v>
      </c>
      <c r="BH155" s="33">
        <f t="shared" si="119"/>
        <v>10.651260170571433</v>
      </c>
      <c r="BI155" s="27">
        <v>0</v>
      </c>
      <c r="BJ155" s="36">
        <f t="shared" si="120"/>
        <v>0</v>
      </c>
      <c r="BK155" s="37">
        <f t="shared" si="121"/>
        <v>0</v>
      </c>
      <c r="BL155" s="30" t="str">
        <f t="shared" si="122"/>
        <v xml:space="preserve"> </v>
      </c>
      <c r="BM155" s="26">
        <f t="shared" si="123"/>
        <v>0</v>
      </c>
      <c r="BO155" s="50">
        <f t="shared" si="124"/>
        <v>0</v>
      </c>
      <c r="BP155" s="50">
        <f t="shared" si="125"/>
        <v>0</v>
      </c>
    </row>
    <row r="156" spans="1:68">
      <c r="A156" s="42" t="s">
        <v>220</v>
      </c>
      <c r="B156" s="1" t="s">
        <v>214</v>
      </c>
      <c r="C156" s="24">
        <v>2</v>
      </c>
      <c r="D156" s="24" t="s">
        <v>199</v>
      </c>
      <c r="E156" s="24">
        <v>7</v>
      </c>
      <c r="F156" s="24">
        <v>2</v>
      </c>
      <c r="G156" s="24" t="s">
        <v>67</v>
      </c>
      <c r="H156" s="24">
        <v>1120</v>
      </c>
      <c r="I156" s="24">
        <v>0</v>
      </c>
      <c r="J156" s="24">
        <v>0</v>
      </c>
      <c r="K156" s="24">
        <v>0</v>
      </c>
      <c r="L156" s="24">
        <v>4.9465240641711228</v>
      </c>
      <c r="M156" s="24">
        <v>0</v>
      </c>
      <c r="N156" s="24">
        <v>0</v>
      </c>
      <c r="O156" s="24">
        <v>14.330786411314287</v>
      </c>
      <c r="P156" s="24">
        <v>0</v>
      </c>
      <c r="Q156" s="24">
        <v>752.28399999999999</v>
      </c>
      <c r="R156" s="24">
        <v>200</v>
      </c>
      <c r="S156" s="24">
        <v>0</v>
      </c>
      <c r="T156" s="28">
        <f t="shared" si="89"/>
        <v>0.35821378492072059</v>
      </c>
      <c r="U156" s="28">
        <f t="shared" si="90"/>
        <v>0.11688305367431201</v>
      </c>
      <c r="V156" s="29">
        <f>IF(O156&gt;0,((VLOOKUP(E156,ACs!G$4:P$53,7)*P156)+(VLOOKUP(E156,ACs!G$4:P$53,6)*(1-P156)))*O156*F156,0)</f>
        <v>63.136611207648826</v>
      </c>
      <c r="W156" s="29">
        <f>IF(E156&gt;0,VLOOKUP(E156,ACs!G$4:P$53,10)*Q156*F156,0)</f>
        <v>477.03246568501527</v>
      </c>
      <c r="X156" s="29">
        <f t="shared" si="91"/>
        <v>53.690280252327973</v>
      </c>
      <c r="Y156" s="29">
        <f t="shared" si="92"/>
        <v>2240</v>
      </c>
      <c r="Z156" s="29">
        <f t="shared" si="129"/>
        <v>0</v>
      </c>
      <c r="AA156" s="29">
        <f t="shared" si="93"/>
        <v>400</v>
      </c>
      <c r="AB156" s="30">
        <f t="shared" si="94"/>
        <v>0.26511578443972861</v>
      </c>
      <c r="AC156" s="30">
        <f t="shared" si="95"/>
        <v>0.24114690932708216</v>
      </c>
      <c r="AD156" s="31">
        <f t="shared" si="96"/>
        <v>1.3504226922316602</v>
      </c>
      <c r="AE156" s="29">
        <f t="shared" si="97"/>
        <v>63.136611207648826</v>
      </c>
      <c r="AF156" s="29">
        <f t="shared" si="98"/>
        <v>6.2754839085217045</v>
      </c>
      <c r="AG156" s="29">
        <f t="shared" si="99"/>
        <v>261.81804023045891</v>
      </c>
      <c r="AH156" s="29">
        <f t="shared" si="100"/>
        <v>0</v>
      </c>
      <c r="AI156" s="29">
        <f t="shared" si="101"/>
        <v>46.753221469724807</v>
      </c>
      <c r="AJ156" s="30">
        <f t="shared" si="102"/>
        <v>0.26511578443972861</v>
      </c>
      <c r="AK156" s="30">
        <f t="shared" si="103"/>
        <v>0.24114690932708219</v>
      </c>
      <c r="AL156" s="30">
        <f t="shared" si="104"/>
        <v>1.35042269223166</v>
      </c>
      <c r="AM156" s="32">
        <f t="shared" si="105"/>
        <v>0.90959091642430856</v>
      </c>
      <c r="AN156" s="32">
        <f t="shared" si="106"/>
        <v>0.90959091642430856</v>
      </c>
      <c r="AO156" s="32">
        <f t="shared" si="107"/>
        <v>0.74050888344258781</v>
      </c>
      <c r="AP156" s="32">
        <f t="shared" si="108"/>
        <v>0.74050888344258781</v>
      </c>
      <c r="AQ156" s="33">
        <f t="shared" si="109"/>
        <v>28.661572822628575</v>
      </c>
      <c r="AR156" s="27">
        <v>0.87</v>
      </c>
      <c r="AS156" s="30">
        <f t="shared" si="127"/>
        <v>0.26511578443972861</v>
      </c>
      <c r="AT156" s="33">
        <f t="shared" si="128"/>
        <v>24.935568355686861</v>
      </c>
      <c r="AU156" s="32">
        <v>1</v>
      </c>
      <c r="AV156" s="33">
        <f t="shared" si="110"/>
        <v>69.412095116170534</v>
      </c>
      <c r="AW156" s="33">
        <f t="shared" si="111"/>
        <v>261.81804023045891</v>
      </c>
      <c r="AX156" s="30">
        <f t="shared" si="88"/>
        <v>0.26511578443972861</v>
      </c>
      <c r="AY156" s="29">
        <f t="shared" si="112"/>
        <v>60.388522751068365</v>
      </c>
      <c r="AZ156" s="29">
        <f t="shared" si="113"/>
        <v>227.78169500049924</v>
      </c>
      <c r="BA156" s="30">
        <f t="shared" ref="BA156:BA161" si="130">IF(AZ156=0," ",AY156/AZ156)</f>
        <v>0.26511578443972861</v>
      </c>
      <c r="BB156" s="34">
        <f t="shared" si="114"/>
        <v>1</v>
      </c>
      <c r="BC156" s="35">
        <f t="shared" si="115"/>
        <v>1</v>
      </c>
      <c r="BD156" s="27">
        <f>11/12</f>
        <v>0.91666666666666663</v>
      </c>
      <c r="BE156" s="36">
        <f t="shared" si="116"/>
        <v>5.7525269161448955</v>
      </c>
      <c r="BF156" s="36">
        <f t="shared" si="117"/>
        <v>239.99987021125398</v>
      </c>
      <c r="BG156" s="30">
        <f t="shared" si="118"/>
        <v>2.3968875112646417E-2</v>
      </c>
      <c r="BH156" s="33">
        <f t="shared" si="119"/>
        <v>26.273108420742858</v>
      </c>
      <c r="BI156" s="27">
        <v>0</v>
      </c>
      <c r="BJ156" s="36">
        <f t="shared" si="120"/>
        <v>0</v>
      </c>
      <c r="BK156" s="37">
        <f t="shared" si="121"/>
        <v>0</v>
      </c>
      <c r="BL156" s="30" t="str">
        <f t="shared" si="122"/>
        <v xml:space="preserve"> </v>
      </c>
      <c r="BM156" s="26">
        <f t="shared" si="123"/>
        <v>0</v>
      </c>
      <c r="BO156" s="50">
        <f t="shared" si="124"/>
        <v>0</v>
      </c>
      <c r="BP156" s="50">
        <f t="shared" si="125"/>
        <v>0</v>
      </c>
    </row>
    <row r="157" spans="1:68">
      <c r="A157" s="42" t="s">
        <v>221</v>
      </c>
      <c r="B157" s="1" t="s">
        <v>214</v>
      </c>
      <c r="C157" s="24">
        <v>2</v>
      </c>
      <c r="D157" s="24" t="s">
        <v>199</v>
      </c>
      <c r="E157" s="24">
        <v>7</v>
      </c>
      <c r="F157" s="24">
        <v>2</v>
      </c>
      <c r="G157" s="24" t="s">
        <v>67</v>
      </c>
      <c r="H157" s="24">
        <v>1420</v>
      </c>
      <c r="I157" s="24">
        <v>0</v>
      </c>
      <c r="J157" s="24">
        <v>0</v>
      </c>
      <c r="K157" s="24">
        <v>0</v>
      </c>
      <c r="L157" s="24">
        <v>4.9465240641711228</v>
      </c>
      <c r="M157" s="24">
        <v>0</v>
      </c>
      <c r="N157" s="24">
        <v>0</v>
      </c>
      <c r="O157" s="24">
        <v>16.549065388987014</v>
      </c>
      <c r="P157" s="24">
        <v>0</v>
      </c>
      <c r="Q157" s="24">
        <v>868.73090909090911</v>
      </c>
      <c r="R157" s="24">
        <v>200</v>
      </c>
      <c r="S157" s="24">
        <v>0</v>
      </c>
      <c r="T157" s="28">
        <f t="shared" si="89"/>
        <v>0.35821378492072048</v>
      </c>
      <c r="U157" s="28">
        <f t="shared" si="90"/>
        <v>0.11688305367431201</v>
      </c>
      <c r="V157" s="29">
        <f>IF(O157&gt;0,((VLOOKUP(E157,ACs!G$4:P$53,7)*P157)+(VLOOKUP(E157,ACs!G$4:P$53,6)*(1-P157)))*O157*F157,0)</f>
        <v>72.909600166080949</v>
      </c>
      <c r="W157" s="29">
        <f>IF(E157&gt;0,VLOOKUP(E157,ACs!G$4:P$53,10)*Q157*F157,0)</f>
        <v>550.87287192127064</v>
      </c>
      <c r="X157" s="29">
        <f t="shared" si="91"/>
        <v>53.690280252327973</v>
      </c>
      <c r="Y157" s="29">
        <f t="shared" si="92"/>
        <v>2840</v>
      </c>
      <c r="Z157" s="29">
        <f t="shared" si="129"/>
        <v>0</v>
      </c>
      <c r="AA157" s="29">
        <f t="shared" si="93"/>
        <v>400</v>
      </c>
      <c r="AB157" s="30">
        <f t="shared" si="94"/>
        <v>0.23854674378157731</v>
      </c>
      <c r="AC157" s="30">
        <f t="shared" si="95"/>
        <v>0.21964171552371536</v>
      </c>
      <c r="AD157" s="31">
        <f t="shared" si="96"/>
        <v>1.5594561802183791</v>
      </c>
      <c r="AE157" s="29">
        <f t="shared" si="97"/>
        <v>72.909600166080949</v>
      </c>
      <c r="AF157" s="29">
        <f t="shared" si="98"/>
        <v>6.2754839085217045</v>
      </c>
      <c r="AG157" s="29">
        <f t="shared" si="99"/>
        <v>331.94787243504612</v>
      </c>
      <c r="AH157" s="29">
        <f t="shared" si="100"/>
        <v>0</v>
      </c>
      <c r="AI157" s="29">
        <f t="shared" si="101"/>
        <v>46.753221469724807</v>
      </c>
      <c r="AJ157" s="30">
        <f t="shared" si="102"/>
        <v>0.23854674378157731</v>
      </c>
      <c r="AK157" s="30">
        <f t="shared" si="103"/>
        <v>0.21964171552371534</v>
      </c>
      <c r="AL157" s="30">
        <f t="shared" si="104"/>
        <v>1.5594561802183788</v>
      </c>
      <c r="AM157" s="32">
        <f t="shared" si="105"/>
        <v>0.92074916656514016</v>
      </c>
      <c r="AN157" s="32">
        <f t="shared" si="106"/>
        <v>0.92074916656514016</v>
      </c>
      <c r="AO157" s="32">
        <f t="shared" si="107"/>
        <v>0.64124918204496439</v>
      </c>
      <c r="AP157" s="32">
        <f t="shared" si="108"/>
        <v>0.64124918204496428</v>
      </c>
      <c r="AQ157" s="33">
        <f t="shared" si="109"/>
        <v>33.098130777974028</v>
      </c>
      <c r="AR157" s="27">
        <v>0.87</v>
      </c>
      <c r="AS157" s="30">
        <f t="shared" si="127"/>
        <v>0.23854674378157731</v>
      </c>
      <c r="AT157" s="33">
        <f t="shared" si="128"/>
        <v>28.795373776837405</v>
      </c>
      <c r="AU157" s="32">
        <v>1</v>
      </c>
      <c r="AV157" s="33">
        <f t="shared" si="110"/>
        <v>79.185084074602656</v>
      </c>
      <c r="AW157" s="33">
        <f t="shared" si="111"/>
        <v>331.94787243504612</v>
      </c>
      <c r="AX157" s="30">
        <f t="shared" si="88"/>
        <v>0.23854674378157731</v>
      </c>
      <c r="AY157" s="29">
        <f t="shared" si="112"/>
        <v>68.89102314490431</v>
      </c>
      <c r="AZ157" s="29">
        <f t="shared" si="113"/>
        <v>288.79464901849013</v>
      </c>
      <c r="BA157" s="30">
        <f t="shared" si="130"/>
        <v>0.23854674378157731</v>
      </c>
      <c r="BB157" s="34">
        <f t="shared" si="114"/>
        <v>1</v>
      </c>
      <c r="BC157" s="35">
        <f t="shared" si="115"/>
        <v>1</v>
      </c>
      <c r="BD157" s="27">
        <f>11/12</f>
        <v>0.91666666666666663</v>
      </c>
      <c r="BE157" s="36">
        <f t="shared" si="116"/>
        <v>5.7525269161448955</v>
      </c>
      <c r="BF157" s="36">
        <f t="shared" si="117"/>
        <v>304.28554973212562</v>
      </c>
      <c r="BG157" s="30">
        <f t="shared" si="118"/>
        <v>1.8905028257861958E-2</v>
      </c>
      <c r="BH157" s="33">
        <f t="shared" si="119"/>
        <v>30.339953213142856</v>
      </c>
      <c r="BI157" s="27">
        <v>0</v>
      </c>
      <c r="BJ157" s="36">
        <f t="shared" si="120"/>
        <v>0</v>
      </c>
      <c r="BK157" s="37">
        <f t="shared" si="121"/>
        <v>0</v>
      </c>
      <c r="BL157" s="30" t="str">
        <f t="shared" si="122"/>
        <v xml:space="preserve"> </v>
      </c>
      <c r="BM157" s="26">
        <f t="shared" si="123"/>
        <v>0</v>
      </c>
      <c r="BO157" s="50">
        <f t="shared" si="124"/>
        <v>0</v>
      </c>
      <c r="BP157" s="50">
        <f t="shared" si="125"/>
        <v>0</v>
      </c>
    </row>
    <row r="158" spans="1:68">
      <c r="A158" s="16" t="s">
        <v>222</v>
      </c>
      <c r="B158" s="1" t="s">
        <v>214</v>
      </c>
      <c r="C158" s="24">
        <v>5</v>
      </c>
      <c r="D158" s="24" t="s">
        <v>432</v>
      </c>
      <c r="E158" s="24">
        <v>7</v>
      </c>
      <c r="F158" s="24">
        <v>5</v>
      </c>
      <c r="G158" s="24" t="s">
        <v>67</v>
      </c>
      <c r="H158" s="24">
        <v>370</v>
      </c>
      <c r="I158" s="24">
        <v>0</v>
      </c>
      <c r="J158" s="24">
        <v>0</v>
      </c>
      <c r="K158" s="24">
        <v>0</v>
      </c>
      <c r="L158" s="24">
        <v>39.211096256684492</v>
      </c>
      <c r="M158" s="24">
        <v>0</v>
      </c>
      <c r="N158" s="24">
        <v>0</v>
      </c>
      <c r="O158" s="24">
        <v>25.124973075428581</v>
      </c>
      <c r="P158" s="24">
        <v>0</v>
      </c>
      <c r="Q158" s="24">
        <v>214.25485714285716</v>
      </c>
      <c r="R158" s="24">
        <v>200</v>
      </c>
      <c r="S158" s="24">
        <v>0</v>
      </c>
      <c r="T158" s="28">
        <f t="shared" si="89"/>
        <v>0.77456585050156412</v>
      </c>
      <c r="U158" s="28">
        <f t="shared" si="90"/>
        <v>0.44895745801816461</v>
      </c>
      <c r="V158" s="29">
        <f>IF(O158&gt;0,((VLOOKUP(E158,ACs!G$4:P$53,7)*P158)+(VLOOKUP(E158,ACs!G$4:P$53,6)*(1-P158)))*O158*F158,0)</f>
        <v>276.73039202747032</v>
      </c>
      <c r="W158" s="29">
        <f>IF(E158&gt;0,VLOOKUP(E158,ACs!G$4:P$53,10)*Q158*F158,0)</f>
        <v>339.65404949410015</v>
      </c>
      <c r="X158" s="29">
        <f t="shared" si="91"/>
        <v>1064.0071289005095</v>
      </c>
      <c r="Y158" s="29">
        <f t="shared" si="92"/>
        <v>1850</v>
      </c>
      <c r="Z158" s="29">
        <f t="shared" si="129"/>
        <v>0</v>
      </c>
      <c r="AA158" s="29">
        <f t="shared" si="93"/>
        <v>1000</v>
      </c>
      <c r="AB158" s="30">
        <f t="shared" si="94"/>
        <v>0.90831976779571888</v>
      </c>
      <c r="AC158" s="30">
        <f t="shared" si="95"/>
        <v>0.33318077920084888</v>
      </c>
      <c r="AD158" s="31">
        <f t="shared" si="96"/>
        <v>0.61638444152157046</v>
      </c>
      <c r="AE158" s="29">
        <f t="shared" si="97"/>
        <v>276.73039202747032</v>
      </c>
      <c r="AF158" s="29">
        <f t="shared" si="98"/>
        <v>477.69393590437835</v>
      </c>
      <c r="AG158" s="29">
        <f t="shared" si="99"/>
        <v>830.57129733360455</v>
      </c>
      <c r="AH158" s="29">
        <f t="shared" si="100"/>
        <v>0</v>
      </c>
      <c r="AI158" s="29">
        <f t="shared" si="101"/>
        <v>448.95745801816463</v>
      </c>
      <c r="AJ158" s="30">
        <f t="shared" si="102"/>
        <v>0.90831976779571888</v>
      </c>
      <c r="AK158" s="30">
        <f t="shared" si="103"/>
        <v>0.33318077920084888</v>
      </c>
      <c r="AL158" s="30">
        <f t="shared" si="104"/>
        <v>0.61638444152157046</v>
      </c>
      <c r="AM158" s="32">
        <f t="shared" si="105"/>
        <v>0.36681000569810485</v>
      </c>
      <c r="AN158" s="32">
        <f t="shared" si="106"/>
        <v>0.36681000569810485</v>
      </c>
      <c r="AO158" s="32">
        <f t="shared" si="107"/>
        <v>1.6223641166728004</v>
      </c>
      <c r="AP158" s="32">
        <f t="shared" si="108"/>
        <v>1.6223641166728002</v>
      </c>
      <c r="AQ158" s="33">
        <f t="shared" si="109"/>
        <v>125.62486537714291</v>
      </c>
      <c r="AR158" s="27">
        <v>0.87</v>
      </c>
      <c r="AS158" s="30">
        <f t="shared" si="127"/>
        <v>0.90831976779571888</v>
      </c>
      <c r="AT158" s="33">
        <f t="shared" si="128"/>
        <v>109.29363287811434</v>
      </c>
      <c r="AU158" s="32">
        <v>1</v>
      </c>
      <c r="AV158" s="33">
        <f t="shared" si="110"/>
        <v>754.42432793184867</v>
      </c>
      <c r="AW158" s="33">
        <f t="shared" si="111"/>
        <v>830.57129733360455</v>
      </c>
      <c r="AX158" s="30">
        <f t="shared" si="88"/>
        <v>0.90831976779571888</v>
      </c>
      <c r="AY158" s="29">
        <f t="shared" si="112"/>
        <v>656.34916530070836</v>
      </c>
      <c r="AZ158" s="29">
        <f t="shared" si="113"/>
        <v>722.59702868023601</v>
      </c>
      <c r="BA158" s="30">
        <f t="shared" si="130"/>
        <v>0.90831976779571888</v>
      </c>
      <c r="BB158" s="34">
        <f t="shared" si="114"/>
        <v>1</v>
      </c>
      <c r="BC158" s="35">
        <f t="shared" si="115"/>
        <v>1</v>
      </c>
      <c r="BD158" s="27">
        <v>1</v>
      </c>
      <c r="BE158" s="36">
        <f t="shared" si="116"/>
        <v>477.69393590437835</v>
      </c>
      <c r="BF158" s="36">
        <f t="shared" si="117"/>
        <v>830.57129733360455</v>
      </c>
      <c r="BG158" s="30">
        <f t="shared" si="118"/>
        <v>0.57513898859487</v>
      </c>
      <c r="BH158" s="33">
        <f t="shared" si="119"/>
        <v>125.62486537714291</v>
      </c>
      <c r="BI158" s="27">
        <v>1</v>
      </c>
      <c r="BJ158" s="36">
        <f t="shared" si="120"/>
        <v>754.42432793184867</v>
      </c>
      <c r="BK158" s="37">
        <f t="shared" si="121"/>
        <v>830.57129733360455</v>
      </c>
      <c r="BL158" s="30">
        <f t="shared" si="122"/>
        <v>0.90831976779571888</v>
      </c>
      <c r="BM158" s="26">
        <f t="shared" si="123"/>
        <v>125.62486537714291</v>
      </c>
      <c r="BO158" s="50">
        <f t="shared" si="124"/>
        <v>276.73039202747032</v>
      </c>
      <c r="BP158" s="50">
        <f t="shared" si="125"/>
        <v>477.69393590437835</v>
      </c>
    </row>
    <row r="159" spans="1:68">
      <c r="A159" s="42" t="s">
        <v>223</v>
      </c>
      <c r="B159" s="1" t="s">
        <v>214</v>
      </c>
      <c r="C159" s="24">
        <v>1</v>
      </c>
      <c r="D159" s="24" t="s">
        <v>199</v>
      </c>
      <c r="E159" s="24">
        <v>7</v>
      </c>
      <c r="F159" s="24">
        <v>1</v>
      </c>
      <c r="G159" s="24" t="s">
        <v>67</v>
      </c>
      <c r="H159" s="24">
        <v>370</v>
      </c>
      <c r="I159" s="24">
        <v>0</v>
      </c>
      <c r="J159" s="24">
        <v>0</v>
      </c>
      <c r="K159" s="24">
        <v>0</v>
      </c>
      <c r="L159" s="24">
        <v>4.9465240641711228</v>
      </c>
      <c r="M159" s="24">
        <v>0</v>
      </c>
      <c r="N159" s="24">
        <v>0</v>
      </c>
      <c r="O159" s="24">
        <v>25.124973075428581</v>
      </c>
      <c r="P159" s="24">
        <v>0</v>
      </c>
      <c r="Q159" s="24">
        <v>214.25485714285716</v>
      </c>
      <c r="R159" s="24">
        <v>200</v>
      </c>
      <c r="S159" s="24">
        <v>0</v>
      </c>
      <c r="T159" s="28">
        <f t="shared" si="89"/>
        <v>0.77456585050156412</v>
      </c>
      <c r="U159" s="28">
        <f t="shared" si="90"/>
        <v>0.44895745801816467</v>
      </c>
      <c r="V159" s="29">
        <f>IF(O159&gt;0,((VLOOKUP(E159,ACs!G$4:P$53,7)*P159)+(VLOOKUP(E159,ACs!G$4:P$53,6)*(1-P159)))*O159*F159,0)</f>
        <v>55.346078405494069</v>
      </c>
      <c r="W159" s="29">
        <f>IF(E159&gt;0,VLOOKUP(E159,ACs!G$4:P$53,10)*Q159*F159,0)</f>
        <v>67.93080989882003</v>
      </c>
      <c r="X159" s="29">
        <f t="shared" si="91"/>
        <v>26.845140126163987</v>
      </c>
      <c r="Y159" s="29">
        <f t="shared" si="92"/>
        <v>370</v>
      </c>
      <c r="Z159" s="29">
        <f t="shared" si="129"/>
        <v>0</v>
      </c>
      <c r="AA159" s="29">
        <f t="shared" si="93"/>
        <v>200</v>
      </c>
      <c r="AB159" s="30">
        <f t="shared" si="94"/>
        <v>0.4057352119742651</v>
      </c>
      <c r="AC159" s="30">
        <f t="shared" si="95"/>
        <v>0.33318077920084893</v>
      </c>
      <c r="AD159" s="31">
        <f t="shared" si="96"/>
        <v>0.61638444152157046</v>
      </c>
      <c r="AE159" s="29">
        <f t="shared" si="97"/>
        <v>55.346078405494069</v>
      </c>
      <c r="AF159" s="29">
        <f t="shared" si="98"/>
        <v>12.052325871184015</v>
      </c>
      <c r="AG159" s="29">
        <f t="shared" si="99"/>
        <v>166.11425946672094</v>
      </c>
      <c r="AH159" s="29">
        <f t="shared" si="100"/>
        <v>0</v>
      </c>
      <c r="AI159" s="29">
        <f t="shared" si="101"/>
        <v>89.791491603632934</v>
      </c>
      <c r="AJ159" s="30">
        <f t="shared" si="102"/>
        <v>0.40573521197426504</v>
      </c>
      <c r="AK159" s="30">
        <f t="shared" si="103"/>
        <v>0.33318077920084888</v>
      </c>
      <c r="AL159" s="30">
        <f t="shared" si="104"/>
        <v>0.61638444152157046</v>
      </c>
      <c r="AM159" s="32">
        <f t="shared" si="105"/>
        <v>0.82117787504719175</v>
      </c>
      <c r="AN159" s="32">
        <f t="shared" si="106"/>
        <v>0.82117787504719175</v>
      </c>
      <c r="AO159" s="32">
        <f t="shared" si="107"/>
        <v>1.6223641166728002</v>
      </c>
      <c r="AP159" s="32">
        <f t="shared" si="108"/>
        <v>1.6223641166728002</v>
      </c>
      <c r="AQ159" s="33">
        <f t="shared" si="109"/>
        <v>25.124973075428581</v>
      </c>
      <c r="AR159" s="27">
        <v>0.87</v>
      </c>
      <c r="AS159" s="30">
        <f t="shared" si="127"/>
        <v>0.40573521197426499</v>
      </c>
      <c r="AT159" s="33">
        <f t="shared" si="128"/>
        <v>21.858726575622864</v>
      </c>
      <c r="AU159" s="32">
        <v>1</v>
      </c>
      <c r="AV159" s="33">
        <f t="shared" si="110"/>
        <v>67.398404276678079</v>
      </c>
      <c r="AW159" s="33">
        <f t="shared" si="111"/>
        <v>166.11425946672094</v>
      </c>
      <c r="AX159" s="30">
        <f t="shared" si="88"/>
        <v>0.40573521197426504</v>
      </c>
      <c r="AY159" s="29">
        <f t="shared" si="112"/>
        <v>58.636611720709929</v>
      </c>
      <c r="AZ159" s="29">
        <f t="shared" si="113"/>
        <v>144.51940573604722</v>
      </c>
      <c r="BA159" s="30">
        <f t="shared" si="130"/>
        <v>0.40573521197426499</v>
      </c>
      <c r="BB159" s="34">
        <f t="shared" si="114"/>
        <v>1</v>
      </c>
      <c r="BC159" s="35">
        <f t="shared" si="115"/>
        <v>1</v>
      </c>
      <c r="BD159" s="27">
        <f>11/12</f>
        <v>0.91666666666666663</v>
      </c>
      <c r="BE159" s="36">
        <f t="shared" si="116"/>
        <v>11.047965381918679</v>
      </c>
      <c r="BF159" s="36">
        <f t="shared" si="117"/>
        <v>152.27140451116085</v>
      </c>
      <c r="BG159" s="30">
        <f t="shared" si="118"/>
        <v>7.2554432773416166E-2</v>
      </c>
      <c r="BH159" s="33">
        <f t="shared" si="119"/>
        <v>23.031225319142866</v>
      </c>
      <c r="BI159" s="27">
        <v>0</v>
      </c>
      <c r="BJ159" s="36">
        <f t="shared" si="120"/>
        <v>0</v>
      </c>
      <c r="BK159" s="37">
        <f t="shared" si="121"/>
        <v>0</v>
      </c>
      <c r="BL159" s="30" t="str">
        <f t="shared" si="122"/>
        <v xml:space="preserve"> </v>
      </c>
      <c r="BM159" s="26">
        <f t="shared" si="123"/>
        <v>0</v>
      </c>
      <c r="BO159" s="50">
        <f t="shared" si="124"/>
        <v>0</v>
      </c>
      <c r="BP159" s="50">
        <f t="shared" si="125"/>
        <v>0</v>
      </c>
    </row>
    <row r="160" spans="1:68">
      <c r="A160" s="42" t="s">
        <v>224</v>
      </c>
      <c r="B160" s="1" t="s">
        <v>214</v>
      </c>
      <c r="C160" s="24">
        <v>15</v>
      </c>
      <c r="D160" s="24" t="s">
        <v>199</v>
      </c>
      <c r="E160" s="24">
        <v>7</v>
      </c>
      <c r="F160" s="24">
        <v>15</v>
      </c>
      <c r="G160" s="24" t="s">
        <v>67</v>
      </c>
      <c r="H160" s="24">
        <v>1120</v>
      </c>
      <c r="I160" s="24">
        <v>0</v>
      </c>
      <c r="J160" s="24">
        <v>0</v>
      </c>
      <c r="K160" s="24">
        <v>0</v>
      </c>
      <c r="L160" s="24">
        <v>4.9465240641711228</v>
      </c>
      <c r="M160" s="24">
        <v>0</v>
      </c>
      <c r="N160" s="24">
        <v>0</v>
      </c>
      <c r="O160" s="24">
        <v>30.987466793028574</v>
      </c>
      <c r="P160" s="24">
        <v>0</v>
      </c>
      <c r="Q160" s="24">
        <v>264.24765714285712</v>
      </c>
      <c r="R160" s="24">
        <v>200</v>
      </c>
      <c r="S160" s="24">
        <v>0</v>
      </c>
      <c r="T160" s="28">
        <f t="shared" si="89"/>
        <v>0.77456585050156412</v>
      </c>
      <c r="U160" s="28">
        <f t="shared" si="90"/>
        <v>0.44895745801816467</v>
      </c>
      <c r="V160" s="29">
        <f>IF(O160&gt;0,((VLOOKUP(E160,ACs!G$4:P$53,7)*P160)+(VLOOKUP(E160,ACs!G$4:P$53,6)*(1-P160)))*O160*F160,0)</f>
        <v>1023.90245050164</v>
      </c>
      <c r="W160" s="29">
        <f>IF(E160&gt;0,VLOOKUP(E160,ACs!G$4:P$53,10)*Q160*F160,0)</f>
        <v>1256.7199831281703</v>
      </c>
      <c r="X160" s="29">
        <f t="shared" si="91"/>
        <v>402.6771018924598</v>
      </c>
      <c r="Y160" s="29">
        <f t="shared" si="92"/>
        <v>16800</v>
      </c>
      <c r="Z160" s="29">
        <f t="shared" si="129"/>
        <v>0</v>
      </c>
      <c r="AA160" s="29">
        <f t="shared" si="93"/>
        <v>3000</v>
      </c>
      <c r="AB160" s="30">
        <f t="shared" si="94"/>
        <v>0.15972021044775414</v>
      </c>
      <c r="AC160" s="30">
        <f t="shared" si="95"/>
        <v>0.13575133533510775</v>
      </c>
      <c r="AD160" s="31">
        <f t="shared" si="96"/>
        <v>0.76020747787660337</v>
      </c>
      <c r="AE160" s="29">
        <f t="shared" si="97"/>
        <v>1023.90245050164</v>
      </c>
      <c r="AF160" s="29">
        <f t="shared" si="98"/>
        <v>180.78488806776025</v>
      </c>
      <c r="AG160" s="29">
        <f t="shared" si="99"/>
        <v>7542.4852947051659</v>
      </c>
      <c r="AH160" s="29">
        <f t="shared" si="100"/>
        <v>0</v>
      </c>
      <c r="AI160" s="29">
        <f t="shared" si="101"/>
        <v>1346.872374054494</v>
      </c>
      <c r="AJ160" s="30">
        <f>IF(AG160=0," ",(AE160+AF160)/AG160)</f>
        <v>0.15972021044775417</v>
      </c>
      <c r="AK160" s="30">
        <f>IF(AG160=0," ",(AE160)/AG160)</f>
        <v>0.13575133533510775</v>
      </c>
      <c r="AL160" s="30">
        <f>IF(AI160=0," ",(AE160/AI160))</f>
        <v>0.76020747787660337</v>
      </c>
      <c r="AM160" s="32">
        <f t="shared" si="105"/>
        <v>0.84993210912098793</v>
      </c>
      <c r="AN160" s="32">
        <f t="shared" si="106"/>
        <v>0.84993210912098793</v>
      </c>
      <c r="AO160" s="32">
        <f t="shared" si="107"/>
        <v>1.3154303648698384</v>
      </c>
      <c r="AP160" s="32">
        <f t="shared" si="108"/>
        <v>1.3154303648698384</v>
      </c>
      <c r="AQ160" s="33">
        <f t="shared" si="109"/>
        <v>464.81200189542858</v>
      </c>
      <c r="AR160" s="27">
        <v>0.87</v>
      </c>
      <c r="AS160" s="30">
        <f t="shared" si="127"/>
        <v>0.15972021044775417</v>
      </c>
      <c r="AT160" s="33">
        <f t="shared" si="128"/>
        <v>404.38644164902286</v>
      </c>
      <c r="AU160" s="32">
        <v>1</v>
      </c>
      <c r="AV160" s="33">
        <f t="shared" si="110"/>
        <v>1204.6873385694003</v>
      </c>
      <c r="AW160" s="33">
        <f t="shared" si="111"/>
        <v>7542.4852947051659</v>
      </c>
      <c r="AX160" s="30">
        <f t="shared" si="88"/>
        <v>0.15972021044775417</v>
      </c>
      <c r="AY160" s="29">
        <f t="shared" si="112"/>
        <v>1048.0779845553782</v>
      </c>
      <c r="AZ160" s="29">
        <f t="shared" si="113"/>
        <v>6561.9622063934939</v>
      </c>
      <c r="BA160" s="30">
        <f t="shared" si="130"/>
        <v>0.15972021044775417</v>
      </c>
      <c r="BB160" s="34">
        <f t="shared" si="114"/>
        <v>1</v>
      </c>
      <c r="BC160" s="35">
        <f t="shared" si="115"/>
        <v>1</v>
      </c>
      <c r="BD160" s="27">
        <f>11/12</f>
        <v>0.91666666666666663</v>
      </c>
      <c r="BE160" s="36">
        <f t="shared" si="116"/>
        <v>165.71948072878021</v>
      </c>
      <c r="BF160" s="36">
        <f t="shared" si="117"/>
        <v>6913.9448534797348</v>
      </c>
      <c r="BG160" s="30">
        <f t="shared" si="118"/>
        <v>2.3968875112646421E-2</v>
      </c>
      <c r="BH160" s="33">
        <f t="shared" si="119"/>
        <v>426.07766840414286</v>
      </c>
      <c r="BI160" s="27">
        <v>0</v>
      </c>
      <c r="BJ160" s="36">
        <f t="shared" si="120"/>
        <v>0</v>
      </c>
      <c r="BK160" s="37">
        <f t="shared" si="121"/>
        <v>0</v>
      </c>
      <c r="BL160" s="30" t="str">
        <f t="shared" si="122"/>
        <v xml:space="preserve"> </v>
      </c>
      <c r="BM160" s="26">
        <f t="shared" si="123"/>
        <v>0</v>
      </c>
      <c r="BO160" s="50">
        <f t="shared" si="124"/>
        <v>0</v>
      </c>
      <c r="BP160" s="50">
        <f t="shared" si="125"/>
        <v>0</v>
      </c>
    </row>
    <row r="161" spans="1:68">
      <c r="A161" s="42" t="s">
        <v>225</v>
      </c>
      <c r="B161" s="1" t="s">
        <v>214</v>
      </c>
      <c r="C161" s="24">
        <v>1</v>
      </c>
      <c r="D161" s="24" t="s">
        <v>199</v>
      </c>
      <c r="E161" s="24">
        <v>7</v>
      </c>
      <c r="F161" s="24">
        <v>1</v>
      </c>
      <c r="G161" s="24" t="s">
        <v>67</v>
      </c>
      <c r="H161" s="24">
        <v>1420</v>
      </c>
      <c r="I161" s="24">
        <v>0</v>
      </c>
      <c r="J161" s="24">
        <v>0</v>
      </c>
      <c r="K161" s="24">
        <v>0</v>
      </c>
      <c r="L161" s="24">
        <v>4.9465240641711228</v>
      </c>
      <c r="M161" s="24">
        <v>0</v>
      </c>
      <c r="N161" s="24">
        <v>0</v>
      </c>
      <c r="O161" s="24">
        <v>35.784052561974029</v>
      </c>
      <c r="P161" s="24">
        <v>0</v>
      </c>
      <c r="Q161" s="24">
        <v>305.15085714285715</v>
      </c>
      <c r="R161" s="24">
        <v>200</v>
      </c>
      <c r="S161" s="24">
        <v>0</v>
      </c>
      <c r="T161" s="28">
        <f t="shared" si="89"/>
        <v>0.7745658505015639</v>
      </c>
      <c r="U161" s="28">
        <f t="shared" si="90"/>
        <v>0.44895745801816461</v>
      </c>
      <c r="V161" s="29">
        <f>IF(O161&gt;0,((VLOOKUP(E161,ACs!G$4:P$53,7)*P161)+(VLOOKUP(E161,ACs!G$4:P$53,6)*(1-P161)))*O161*F161,0)</f>
        <v>78.826232880552141</v>
      </c>
      <c r="W161" s="29">
        <f>IF(E161&gt;0,VLOOKUP(E161,ACs!G$4:P$53,10)*Q161*F161,0)</f>
        <v>96.749941371046702</v>
      </c>
      <c r="X161" s="29">
        <f t="shared" si="91"/>
        <v>26.845140126163987</v>
      </c>
      <c r="Y161" s="29">
        <f t="shared" si="92"/>
        <v>1420</v>
      </c>
      <c r="Z161" s="29">
        <f t="shared" si="129"/>
        <v>0</v>
      </c>
      <c r="AA161" s="29">
        <f t="shared" si="93"/>
        <v>200</v>
      </c>
      <c r="AB161" s="30">
        <f t="shared" si="94"/>
        <v>0.14255022139279072</v>
      </c>
      <c r="AC161" s="30">
        <f t="shared" si="95"/>
        <v>0.12364519313492876</v>
      </c>
      <c r="AD161" s="31">
        <f t="shared" si="96"/>
        <v>0.87788087125799419</v>
      </c>
      <c r="AE161" s="29">
        <f>U161*(V161+W161)</f>
        <v>78.826232880552141</v>
      </c>
      <c r="AF161" s="29">
        <f t="shared" si="98"/>
        <v>12.052325871184014</v>
      </c>
      <c r="AG161" s="29">
        <f t="shared" si="99"/>
        <v>637.51959038579378</v>
      </c>
      <c r="AH161" s="29">
        <f t="shared" si="100"/>
        <v>0</v>
      </c>
      <c r="AI161" s="29">
        <f t="shared" si="101"/>
        <v>89.79149160363292</v>
      </c>
      <c r="AJ161" s="30">
        <f>IF(AG161=0," ",(AE161+AF161)/AG161)</f>
        <v>0.14255022139279072</v>
      </c>
      <c r="AK161" s="30">
        <f>IF(AG161=0," ",(AE161)/AG161)</f>
        <v>0.12364519313492875</v>
      </c>
      <c r="AL161" s="30">
        <f>IF(AI161=0," ",(AE161/AI161))</f>
        <v>0.87788087125799419</v>
      </c>
      <c r="AM161" s="32">
        <f t="shared" si="105"/>
        <v>0.86737987445301823</v>
      </c>
      <c r="AN161" s="32">
        <f t="shared" si="106"/>
        <v>0.86737987445301823</v>
      </c>
      <c r="AO161" s="32">
        <f t="shared" si="107"/>
        <v>1.1391067202170726</v>
      </c>
      <c r="AP161" s="32">
        <f t="shared" si="108"/>
        <v>1.1391067202170726</v>
      </c>
      <c r="AQ161" s="33">
        <f t="shared" si="109"/>
        <v>35.784052561974029</v>
      </c>
      <c r="AR161" s="27">
        <v>0.87</v>
      </c>
      <c r="AS161" s="30">
        <f t="shared" si="127"/>
        <v>0.14255022139279072</v>
      </c>
      <c r="AT161" s="33">
        <f t="shared" si="128"/>
        <v>31.132125728917405</v>
      </c>
      <c r="AU161" s="32">
        <v>1</v>
      </c>
      <c r="AV161" s="33">
        <f t="shared" si="110"/>
        <v>90.878558751736151</v>
      </c>
      <c r="AW161" s="33">
        <f t="shared" si="111"/>
        <v>637.51959038579378</v>
      </c>
      <c r="AX161" s="30">
        <f t="shared" si="88"/>
        <v>0.14255022139279072</v>
      </c>
      <c r="AY161" s="29">
        <f t="shared" si="112"/>
        <v>79.064346114010448</v>
      </c>
      <c r="AZ161" s="29">
        <f t="shared" si="113"/>
        <v>554.64204363564056</v>
      </c>
      <c r="BA161" s="30">
        <f t="shared" si="130"/>
        <v>0.14255022139279072</v>
      </c>
      <c r="BB161" s="34">
        <f t="shared" si="114"/>
        <v>1</v>
      </c>
      <c r="BC161" s="35">
        <f t="shared" si="115"/>
        <v>1</v>
      </c>
      <c r="BD161" s="27">
        <f>11/12</f>
        <v>0.91666666666666663</v>
      </c>
      <c r="BE161" s="36">
        <f t="shared" si="116"/>
        <v>11.047965381918679</v>
      </c>
      <c r="BF161" s="36">
        <f t="shared" si="117"/>
        <v>584.39295785364425</v>
      </c>
      <c r="BG161" s="30">
        <f t="shared" si="118"/>
        <v>1.8905028257861962E-2</v>
      </c>
      <c r="BH161" s="33">
        <f t="shared" si="119"/>
        <v>32.802048181809525</v>
      </c>
      <c r="BI161" s="27">
        <v>0</v>
      </c>
      <c r="BJ161" s="36">
        <f t="shared" si="120"/>
        <v>0</v>
      </c>
      <c r="BK161" s="37">
        <f t="shared" si="121"/>
        <v>0</v>
      </c>
      <c r="BL161" s="30" t="str">
        <f t="shared" si="122"/>
        <v xml:space="preserve"> </v>
      </c>
      <c r="BM161" s="26">
        <f t="shared" si="123"/>
        <v>0</v>
      </c>
      <c r="BO161" s="50">
        <f t="shared" si="124"/>
        <v>0</v>
      </c>
      <c r="BP161" s="50">
        <f t="shared" si="125"/>
        <v>0</v>
      </c>
    </row>
    <row r="162" spans="1:68">
      <c r="A162" s="16"/>
      <c r="B162" s="16"/>
      <c r="C162" s="43"/>
      <c r="D162" s="39"/>
      <c r="E162" s="44"/>
      <c r="F162" s="26"/>
      <c r="G162" s="26"/>
      <c r="H162" s="26"/>
      <c r="I162" s="26"/>
      <c r="J162" s="26"/>
      <c r="K162" s="26"/>
      <c r="L162" s="26"/>
      <c r="M162" s="26"/>
      <c r="N162" s="26"/>
      <c r="O162" s="26"/>
      <c r="P162" s="28"/>
      <c r="Q162" s="26"/>
      <c r="R162" s="26"/>
      <c r="S162" s="26"/>
      <c r="T162" s="28"/>
      <c r="U162" s="28"/>
      <c r="V162" s="36"/>
      <c r="W162" s="36"/>
      <c r="X162" s="36"/>
      <c r="Y162" s="36"/>
      <c r="Z162" s="36"/>
      <c r="AA162" s="36"/>
      <c r="AB162" s="37"/>
      <c r="AC162" s="37"/>
      <c r="AD162" s="45"/>
      <c r="AE162" s="36"/>
      <c r="AF162" s="36"/>
      <c r="AG162" s="36"/>
      <c r="AH162" s="36"/>
      <c r="AI162" s="36"/>
      <c r="AJ162" s="37"/>
      <c r="AK162" s="37"/>
      <c r="AL162" s="37"/>
      <c r="AM162" s="28"/>
      <c r="AN162" s="28"/>
      <c r="AO162" s="28"/>
      <c r="AP162" s="28"/>
      <c r="AQ162" s="26"/>
      <c r="AR162" s="28"/>
      <c r="AS162" s="37"/>
      <c r="AT162" s="26"/>
      <c r="AU162" s="26"/>
      <c r="AV162" s="26"/>
      <c r="AW162" s="26"/>
      <c r="AX162" s="26"/>
      <c r="AY162" s="26"/>
      <c r="AZ162" s="26"/>
      <c r="BA162" s="26"/>
      <c r="BB162" s="46"/>
      <c r="BC162" s="47"/>
      <c r="BD162" s="36"/>
      <c r="BE162" s="36"/>
      <c r="BF162" s="37"/>
      <c r="BG162" s="37"/>
      <c r="BH162" s="37"/>
      <c r="BI162" s="37"/>
      <c r="BJ162" s="37"/>
      <c r="BK162" s="37"/>
      <c r="BL162" s="37"/>
      <c r="BM162" s="37"/>
    </row>
    <row r="163" spans="1:68">
      <c r="G163" s="16"/>
      <c r="P163" s="16"/>
      <c r="R163" s="16"/>
      <c r="S163" s="16"/>
      <c r="T163" s="16"/>
      <c r="U163" s="16"/>
      <c r="AD163" s="48"/>
      <c r="AR163" s="32"/>
      <c r="AS163" s="30"/>
      <c r="AT163" s="33"/>
      <c r="AU163" s="33"/>
      <c r="AV163" s="33"/>
      <c r="AW163" s="33"/>
      <c r="AX163" s="33"/>
      <c r="AY163" s="33"/>
      <c r="AZ163" s="33"/>
      <c r="BA163" s="33"/>
      <c r="BC163" s="47"/>
      <c r="BD163" s="16"/>
      <c r="BE163" s="16"/>
      <c r="BF163" s="16"/>
      <c r="BG163" s="16"/>
      <c r="BH163" s="16"/>
      <c r="BI163" s="16"/>
      <c r="BJ163" s="16"/>
      <c r="BK163" s="16"/>
      <c r="BL163" s="16"/>
      <c r="BM163" s="16"/>
    </row>
    <row r="164" spans="1:68">
      <c r="A164" s="1" t="s">
        <v>214</v>
      </c>
      <c r="B164" s="1" t="s">
        <v>214</v>
      </c>
      <c r="E164" s="49"/>
      <c r="F164" s="49"/>
      <c r="G164" s="16"/>
      <c r="H164" s="49"/>
      <c r="I164" s="49"/>
      <c r="J164" s="49"/>
      <c r="K164" s="49"/>
      <c r="L164" s="49"/>
      <c r="M164" s="49"/>
      <c r="N164" s="49"/>
      <c r="O164" s="49"/>
      <c r="P164" s="16"/>
      <c r="Q164" s="49"/>
      <c r="R164" s="16"/>
      <c r="S164" s="16"/>
      <c r="T164" s="16"/>
      <c r="U164" s="16"/>
      <c r="V164" s="50">
        <f t="array" ref="V164">SUM(IF($B$5:$B$162=$B164,V$5:V$162,0))</f>
        <v>2168.2628766537118</v>
      </c>
      <c r="W164" s="50">
        <f t="array" ref="W164">SUM(IF($B$5:$B$162=$B164,W$5:W$162,0))</f>
        <v>7143.5210376246459</v>
      </c>
      <c r="X164" s="50">
        <f t="array" ref="X164">SUM(IF($B$5:$B$162=$B164,X$5:X$162,0))</f>
        <v>4980.8472990084656</v>
      </c>
      <c r="Y164" s="50">
        <f t="array" ref="Y164">SUM(IF($B$5:$B$162=$B164,Y$5:Y$162,0))</f>
        <v>36890</v>
      </c>
      <c r="Z164" s="50"/>
      <c r="AA164" s="50">
        <f t="array" ref="AA164">SUM(IF($B$5:$B$162=$B164,AA$5:AA$162,0))</f>
        <v>9400</v>
      </c>
      <c r="AB164" s="30">
        <f>IF(Y164=0," ",(V164+W164+X164)/(Y164+Z164))</f>
        <v>0.38743917628860997</v>
      </c>
      <c r="AC164" s="30">
        <f>IF(Y164=0," ",(V164+W164)/(Y164+Z164))</f>
        <v>0.25242027417398638</v>
      </c>
      <c r="AD164" s="31">
        <f>IF(AA164=0," ",(V164+W164)/(Z164+AA164))</f>
        <v>0.99061531002961256</v>
      </c>
      <c r="AE164" s="50">
        <f t="array" ref="AE164">SUM(IF($B$5:$B$162=$B164,AE$5:AE$162,0))</f>
        <v>2168.2628766537123</v>
      </c>
      <c r="AF164" s="50">
        <f t="array" ref="AF164">SUM(IF($B$5:$B$162=$B164,AF$5:AF$162,0))</f>
        <v>1088.7789794407079</v>
      </c>
      <c r="AG164" s="50">
        <f t="array" ref="AG164">SUM(IF($B$5:$B$162=$B164,AG$5:AG$162,0))</f>
        <v>11169.452295563153</v>
      </c>
      <c r="AH164" s="50">
        <f t="array" ref="AH164">SUM(IF($B$5:$B$162=$B164,AH$5:AH$162,0))</f>
        <v>0</v>
      </c>
      <c r="AI164" s="50">
        <f t="array" ref="AI164">SUM(IF($B$5:$B$162=$B164,AI$5:AI$162,0))</f>
        <v>2572.6786562623906</v>
      </c>
      <c r="AJ164" s="30">
        <f>IF(AG164=0," ",(AE164+AF164)/(AG164+AH164))</f>
        <v>0.29160264710456896</v>
      </c>
      <c r="AK164" s="30">
        <f>IF(AG164=0," ",(AE164)/(AG164+AH164))</f>
        <v>0.19412436879425254</v>
      </c>
      <c r="AL164" s="30">
        <f>IF(AI164=0," ",(AE164/(AH164+AI164)))</f>
        <v>0.84280361691334704</v>
      </c>
      <c r="AM164" s="32">
        <f>IF(AE164+AF164=0," ",(AE164/(AE164+AF164)))</f>
        <v>0.66571538606314296</v>
      </c>
      <c r="AN164" s="32">
        <f>IF(V164+W164+X164=0," ",(V164+W164)/(V164+W164+X164))</f>
        <v>0.65150942295508663</v>
      </c>
      <c r="AO164" s="32">
        <f>IF(AE164=0," ",AI164/AE164)</f>
        <v>1.1865160280901061</v>
      </c>
      <c r="AP164" s="32">
        <f>IF(V164+W164=0," ",AA164/(V164+W164))</f>
        <v>1.0094735967386845</v>
      </c>
      <c r="AQ164" s="33">
        <f t="array" ref="AQ164">SUM(IF($B$5:$B$162=$B164,AQ$5:AQ$162,0))</f>
        <v>984.30725294112221</v>
      </c>
      <c r="AR164" s="32">
        <f>AT164/AQ164</f>
        <v>0.87000000000000011</v>
      </c>
      <c r="AS164" s="30">
        <f t="shared" ref="AS164:AS167" si="131">IF(SUM(AG164:AH164)=0," ",(AR164*SUM(AE164:AF164))/((AR164*AG164)+AH164))</f>
        <v>0.29160264710456896</v>
      </c>
      <c r="AT164" s="33">
        <f t="array" ref="AT164">SUM(IF($B$5:$B$162=$B164,AT$5:AT$162,0))</f>
        <v>856.34731005877643</v>
      </c>
      <c r="AU164" s="33"/>
      <c r="AV164" s="33">
        <f t="array" ref="AV164">SUM(IF($B$5:$B$162=$B164,AV$5:AV$162,0))</f>
        <v>3257.0418560944204</v>
      </c>
      <c r="AW164" s="33">
        <f t="array" ref="AW164">SUM(IF($B$5:$B$162=$B164,AW$5:AW$162,0))</f>
        <v>11169.452295563153</v>
      </c>
      <c r="AX164" s="30">
        <f t="shared" ref="AX164:AX168" si="132">IF(AW164=0," ",AV164/AW164)</f>
        <v>0.29160264710456901</v>
      </c>
      <c r="AY164" s="33">
        <f t="array" ref="AY164">SUM(IF($B$5:$B$162=$B164,AY$5:AY$162,0))</f>
        <v>2833.6264148021451</v>
      </c>
      <c r="AZ164" s="33">
        <f t="array" ref="AZ164">SUM(IF($B$5:$B$162=$B164,AZ$5:AZ$162,0))</f>
        <v>9717.4234971399437</v>
      </c>
      <c r="BA164" s="30">
        <f t="shared" ref="BA164:BA168" si="133">IF(AZ164=0," ",AY164/AZ164)</f>
        <v>0.2916026471045689</v>
      </c>
      <c r="BB164" s="34">
        <f t="array" ref="BB164">SUM(IF($B$5:$B$162=$B164,BB$5:BB$162,0))</f>
        <v>11</v>
      </c>
      <c r="BC164" s="51">
        <f t="array" ref="BC164">SUM(IF($B$5:$B$162=$B164,BC$5:BC$162,0))</f>
        <v>12</v>
      </c>
      <c r="BD164" s="52"/>
      <c r="BE164" s="33">
        <f t="array" ref="BE164">SUM(IF($B$5:$B$162=$B164,BE$5:BE$162,0))</f>
        <v>1068.9463264019626</v>
      </c>
      <c r="BF164" s="33">
        <f t="array" ref="BF164">SUM(IF($B$5:$B$162=$B164,BF$5:BF$162,0))</f>
        <v>10361.937291368393</v>
      </c>
      <c r="BG164" s="30">
        <f t="shared" ref="BG164:BG168" si="134">IF(BF164=0," ",BE164/BF164)</f>
        <v>0.10316085654102602</v>
      </c>
      <c r="BH164" s="33">
        <f t="array" ref="BH164">SUM(IF($B$5:$B$162=$B164,BH$5:BH$162,0))</f>
        <v>927.27483299793346</v>
      </c>
      <c r="BI164" s="52"/>
      <c r="BJ164" s="33">
        <f t="array" ref="BJ164">SUM(IF($B$5:$B$162=$B164,BJ$5:BJ$162,0))</f>
        <v>1511.4563869416406</v>
      </c>
      <c r="BK164" s="33">
        <f t="array" ref="BK164">SUM(IF($B$5:$B$162=$B164,BK$5:BK$162,0))</f>
        <v>1479.2722452260364</v>
      </c>
      <c r="BL164" s="30">
        <f t="shared" ref="BL164:BL168" si="135">IF(BK164=0," ",BJ164/BK164)</f>
        <v>1.0217567400588161</v>
      </c>
      <c r="BM164" s="33">
        <f t="array" ref="BM164">SUM(IF($B$5:$B$162=$B164,BM$5:BM$162,0))</f>
        <v>299.91821362285725</v>
      </c>
      <c r="BO164" s="29">
        <f t="array" ref="BO164">SUM(IF($B$5:$B$162=$B164,BO$5:BO$162,0))</f>
        <v>660.66924396587547</v>
      </c>
      <c r="BP164" s="29">
        <f t="array" ref="BP164">SUM(IF($B$5:$B$162=$B164,BP$5:BP$162,0))</f>
        <v>850.78714297576505</v>
      </c>
    </row>
    <row r="165" spans="1:68">
      <c r="A165" s="1" t="s">
        <v>66</v>
      </c>
      <c r="B165" s="1" t="s">
        <v>66</v>
      </c>
      <c r="E165" s="49"/>
      <c r="F165" s="49"/>
      <c r="G165" s="16"/>
      <c r="H165" s="49"/>
      <c r="I165" s="49"/>
      <c r="J165" s="49"/>
      <c r="K165" s="49"/>
      <c r="L165" s="49"/>
      <c r="M165" s="49"/>
      <c r="N165" s="49"/>
      <c r="O165" s="49"/>
      <c r="P165" s="16"/>
      <c r="Q165" s="49"/>
      <c r="R165" s="16"/>
      <c r="S165" s="16"/>
      <c r="T165" s="16"/>
      <c r="U165" s="16"/>
      <c r="V165" s="50">
        <f t="array" ref="V165">SUM(IF($B$5:$B$162=$B165,V$5:V$162,0))</f>
        <v>128461.26608334103</v>
      </c>
      <c r="W165" s="50">
        <f t="array" ref="W165">SUM(IF($B$5:$B$162=$B165,W$5:W$162,0))</f>
        <v>65430.930734605645</v>
      </c>
      <c r="X165" s="50">
        <f t="array" ref="X165">SUM(IF($B$5:$B$162=$B165,X$5:X$162,0))</f>
        <v>44880.430765994053</v>
      </c>
      <c r="Y165" s="50">
        <f t="array" ref="Y165">SUM(IF($B$5:$B$162=$B165,Y$5:Y$162,0))</f>
        <v>187416.16633266534</v>
      </c>
      <c r="Z165" s="50"/>
      <c r="AA165" s="50">
        <f t="array" ref="AA165">SUM(IF($B$5:$B$162=$B165,AA$5:AA$162,0))</f>
        <v>69240</v>
      </c>
      <c r="AB165" s="30">
        <f>IF(Y165=0," ",(V165+W165+X165)/(Y165+Z165))</f>
        <v>1.2740236461785119</v>
      </c>
      <c r="AC165" s="30">
        <f>IF(Y165=0," ",(V165+W165)/(Y165+Z165))</f>
        <v>1.0345542789184277</v>
      </c>
      <c r="AD165" s="31">
        <f>IF(AA165=0," ",(V165+W165)/(Z165+AA165))</f>
        <v>2.8002916929223955</v>
      </c>
      <c r="AE165" s="50">
        <f t="array" ref="AE165">SUM(IF($B$5:$B$162=$B165,AE$5:AE$162,0))</f>
        <v>128461.26608334103</v>
      </c>
      <c r="AF165" s="50">
        <f t="array" ref="AF165">SUM(IF($B$5:$B$162=$B165,AF$5:AF$162,0))</f>
        <v>30753.320676274183</v>
      </c>
      <c r="AG165" s="50">
        <f t="array" ref="AG165">SUM(IF($B$5:$B$162=$B165,AG$5:AG$162,0))</f>
        <v>155994.13608017567</v>
      </c>
      <c r="AH165" s="50">
        <f t="array" ref="AH165">SUM(IF($B$5:$B$162=$B165,AH$5:AH$162,0))</f>
        <v>0</v>
      </c>
      <c r="AI165" s="50">
        <f t="array" ref="AI165">SUM(IF($B$5:$B$162=$B165,AI$5:AI$162,0))</f>
        <v>54267.504093447489</v>
      </c>
      <c r="AJ165" s="30">
        <f>IF(AG165=0," ",(AE165+AF165)/(AG165+AH165))</f>
        <v>1.020644690629809</v>
      </c>
      <c r="AK165" s="30">
        <f>IF(AG165=0," ",(AE165)/(AG165+AH165))</f>
        <v>0.82350060913389922</v>
      </c>
      <c r="AL165" s="30">
        <f>IF(AI165=0," ",(AE165/(AH165+AI165)))</f>
        <v>2.3671858182777941</v>
      </c>
      <c r="AM165" s="32">
        <f>IF(AE165+AF165=0," ",(AE165/(AE165+AF165)))</f>
        <v>0.80684357317896971</v>
      </c>
      <c r="AN165" s="32">
        <f>IF(V165+W165+X165=0," ",(V165+W165)/(V165+W165+X165))</f>
        <v>0.81203695239222384</v>
      </c>
      <c r="AO165" s="32">
        <f>IF(AE165=0," ",AI165/AE165)</f>
        <v>0.42244254434049161</v>
      </c>
      <c r="AP165" s="32">
        <f>IF(V165+W165=0," ",AA165/(V165+W165))</f>
        <v>0.35710565528850174</v>
      </c>
      <c r="AQ165" s="33">
        <f t="array" ref="AQ165">SUM(IF($B$5:$B$162=$B165,AQ$5:AQ$162,0))</f>
        <v>41148.813796791437</v>
      </c>
      <c r="AR165" s="32">
        <f>AT165/AQ165</f>
        <v>0.86999999999999988</v>
      </c>
      <c r="AS165" s="30">
        <f t="shared" si="131"/>
        <v>1.020644690629809</v>
      </c>
      <c r="AT165" s="33">
        <f t="array" ref="AT165">SUM(IF($B$5:$B$162=$B165,AT$5:AT$162,0))</f>
        <v>35799.468003208545</v>
      </c>
      <c r="AU165" s="33"/>
      <c r="AV165" s="33">
        <f t="array" ref="AV165">SUM(IF($B$5:$B$162=$B165,AV$5:AV$162,0))</f>
        <v>159214.58675961517</v>
      </c>
      <c r="AW165" s="33">
        <f t="array" ref="AW165">SUM(IF($B$5:$B$162=$B165,AW$5:AW$162,0))</f>
        <v>155994.13608017567</v>
      </c>
      <c r="AX165" s="30">
        <f t="shared" si="132"/>
        <v>1.0206446906298086</v>
      </c>
      <c r="AY165" s="33">
        <f t="array" ref="AY165">SUM(IF($B$5:$B$162=$B165,AY$5:AY$162,0))</f>
        <v>138516.69048086525</v>
      </c>
      <c r="AZ165" s="33">
        <f t="array" ref="AZ165">SUM(IF($B$5:$B$162=$B165,AZ$5:AZ$162,0))</f>
        <v>135714.89838975278</v>
      </c>
      <c r="BA165" s="30">
        <f t="shared" si="133"/>
        <v>1.0206446906298094</v>
      </c>
      <c r="BB165" s="34">
        <f t="array" ref="BB165">SUM(IF($B$5:$B$162=$B165,BB$5:BB$162,0))</f>
        <v>28</v>
      </c>
      <c r="BC165" s="51">
        <f t="array" ref="BC165">SUM(IF($B$5:$B$162=$B165,BC$5:BC$162,0))</f>
        <v>30</v>
      </c>
      <c r="BD165" s="52"/>
      <c r="BE165" s="33">
        <f t="array" ref="BE165">SUM(IF($B$5:$B$162=$B165,BE$5:BE$162,0))</f>
        <v>30625.330523748911</v>
      </c>
      <c r="BF165" s="33">
        <f t="array" ref="BF165">SUM(IF($B$5:$B$162=$B165,BF$5:BF$162,0))</f>
        <v>149587.20555245352</v>
      </c>
      <c r="BG165" s="30">
        <f t="shared" si="134"/>
        <v>0.20473228583048822</v>
      </c>
      <c r="BH165" s="33">
        <f t="array" ref="BH165">SUM(IF($B$5:$B$162=$B165,BH$5:BH$162,0))</f>
        <v>40082.333796791434</v>
      </c>
      <c r="BI165" s="52"/>
      <c r="BJ165" s="33">
        <f t="array" ref="BJ165">SUM(IF($B$5:$B$162=$B165,BJ$5:BJ$162,0))</f>
        <v>117725.75608491703</v>
      </c>
      <c r="BK165" s="33">
        <f t="array" ref="BK165">SUM(IF($B$5:$B$162=$B165,BK$5:BK$162,0))</f>
        <v>79110.969747510302</v>
      </c>
      <c r="BL165" s="30">
        <f t="shared" si="135"/>
        <v>1.4881091264669015</v>
      </c>
      <c r="BM165" s="33">
        <f t="array" ref="BM165">SUM(IF($B$5:$B$162=$B165,BM$5:BM$162,0))</f>
        <v>28351.053796791435</v>
      </c>
      <c r="BO165" s="29">
        <f t="array" ref="BO165">SUM(IF($B$5:$B$162=$B165,BO$5:BO$162,0))</f>
        <v>88508.31723894614</v>
      </c>
      <c r="BP165" s="29">
        <f t="array" ref="BP165">SUM(IF($B$5:$B$162=$B165,BP$5:BP$162,0))</f>
        <v>29217.438845970893</v>
      </c>
    </row>
    <row r="166" spans="1:68">
      <c r="A166" s="1" t="s">
        <v>205</v>
      </c>
      <c r="B166" s="1" t="s">
        <v>205</v>
      </c>
      <c r="E166" s="49"/>
      <c r="F166" s="49"/>
      <c r="G166" s="16"/>
      <c r="H166" s="49"/>
      <c r="I166" s="49"/>
      <c r="J166" s="49"/>
      <c r="K166" s="49"/>
      <c r="L166" s="49"/>
      <c r="M166" s="49"/>
      <c r="N166" s="49"/>
      <c r="O166" s="49"/>
      <c r="P166" s="16"/>
      <c r="Q166" s="49"/>
      <c r="R166" s="16"/>
      <c r="S166" s="16"/>
      <c r="T166" s="16"/>
      <c r="U166" s="16"/>
      <c r="V166" s="50">
        <f t="array" ref="V166">SUM(IF($B$5:$B$162=$B166,V$5:V$162,0))</f>
        <v>342759.37987233774</v>
      </c>
      <c r="W166" s="50">
        <f t="array" ref="W166">SUM(IF($B$5:$B$162=$B166,W$5:W$162,0))</f>
        <v>141947.26347426767</v>
      </c>
      <c r="X166" s="50">
        <f t="array" ref="X166">SUM(IF($B$5:$B$162=$B166,X$5:X$162,0))</f>
        <v>0</v>
      </c>
      <c r="Y166" s="50">
        <f t="array" ref="Y166">SUM(IF($B$5:$B$162=$B166,Y$5:Y$162,0))</f>
        <v>496741.96</v>
      </c>
      <c r="Z166" s="50"/>
      <c r="AA166" s="50">
        <f t="array" ref="AA166">SUM(IF($B$5:$B$162=$B166,AA$5:AA$162,0))</f>
        <v>142908.26</v>
      </c>
      <c r="AB166" s="30">
        <f>IF(Y166=0," ",(V166+W166+X166)/(Y166+Z166))</f>
        <v>0.9757714917954694</v>
      </c>
      <c r="AC166" s="30">
        <f>IF(Y166=0," ",(V166+W166)/(Y166+Z166))</f>
        <v>0.9757714917954694</v>
      </c>
      <c r="AD166" s="31">
        <f>IF(AA166=0," ",(V166+W166)/(Z166+AA166))</f>
        <v>3.391732873569417</v>
      </c>
      <c r="AE166" s="50">
        <f t="array" ref="AE166">SUM(IF($B$5:$B$162=$B166,AE$5:AE$162,0))</f>
        <v>342759.37987233774</v>
      </c>
      <c r="AF166" s="50">
        <f t="array" ref="AF166">SUM(IF($B$5:$B$162=$B166,AF$5:AF$162,0))</f>
        <v>0</v>
      </c>
      <c r="AG166" s="50">
        <f t="array" ref="AG166">SUM(IF($B$5:$B$162=$B166,AG$5:AG$162,0))</f>
        <v>258979.0170064462</v>
      </c>
      <c r="AH166" s="50">
        <f t="array" ref="AH166">SUM(IF($B$5:$B$162=$B166,AH$5:AH$162,0))</f>
        <v>0</v>
      </c>
      <c r="AI166" s="50">
        <f t="array" ref="AI166">SUM(IF($B$5:$B$162=$B166,AI$5:AI$162,0))</f>
        <v>92549.154936196137</v>
      </c>
      <c r="AJ166" s="30">
        <f>IF(AG166=0," ",(AE166+AF166)/(AG166+AH166))</f>
        <v>1.3235025131932066</v>
      </c>
      <c r="AK166" s="30">
        <f>IF(AG166=0," ",(AE166)/(AG166+AH166))</f>
        <v>1.3235025131932066</v>
      </c>
      <c r="AL166" s="30">
        <f>IF(AI166=0," ",(AE166/(AH166+AI166)))</f>
        <v>3.7035387314842345</v>
      </c>
      <c r="AM166" s="32">
        <f>IF(AE166+AF166=0," ",(AE166/(AE166+AF166)))</f>
        <v>1</v>
      </c>
      <c r="AN166" s="32">
        <f>IF(V166+W166+X166=0," ",(V166+W166)/(V166+W166+X166))</f>
        <v>1</v>
      </c>
      <c r="AO166" s="32">
        <f>IF(AE166=0," ",AI166/AE166)</f>
        <v>0.27001202701051241</v>
      </c>
      <c r="AP166" s="32">
        <f>IF(V166+W166=0," ",AA166/(V166+W166))</f>
        <v>0.29483453953365513</v>
      </c>
      <c r="AQ166" s="33">
        <f t="array" ref="AQ166">SUM(IF($B$5:$B$162=$B166,AQ$5:AQ$162,0))</f>
        <v>54795.54</v>
      </c>
      <c r="AR166" s="32">
        <f>AT166/AQ166</f>
        <v>0.86999999999999988</v>
      </c>
      <c r="AS166" s="30">
        <f t="shared" si="131"/>
        <v>1.3235025131932066</v>
      </c>
      <c r="AT166" s="33">
        <f t="array" ref="AT166">SUM(IF($B$5:$B$162=$B166,AT$5:AT$162,0))</f>
        <v>47672.119799999993</v>
      </c>
      <c r="AU166" s="33"/>
      <c r="AV166" s="33">
        <f t="array" ref="AV166">SUM(IF($B$5:$B$162=$B166,AV$5:AV$162,0))</f>
        <v>342759.37987233774</v>
      </c>
      <c r="AW166" s="33">
        <f t="array" ref="AW166">SUM(IF($B$5:$B$162=$B166,AW$5:AW$162,0))</f>
        <v>258979.0170064462</v>
      </c>
      <c r="AX166" s="30">
        <f t="shared" si="132"/>
        <v>1.3235025131932066</v>
      </c>
      <c r="AY166" s="33">
        <f t="array" ref="AY166">SUM(IF($B$5:$B$162=$B166,AY$5:AY$162,0))</f>
        <v>298200.66048893385</v>
      </c>
      <c r="AZ166" s="33">
        <f t="array" ref="AZ166">SUM(IF($B$5:$B$162=$B166,AZ$5:AZ$162,0))</f>
        <v>225311.74479560822</v>
      </c>
      <c r="BA166" s="30">
        <f t="shared" si="133"/>
        <v>1.3235025131932066</v>
      </c>
      <c r="BB166" s="34">
        <f t="array" ref="BB166">SUM(IF($B$5:$B$162=$B166,BB$5:BB$162,0))</f>
        <v>7</v>
      </c>
      <c r="BC166" s="51">
        <f t="array" ref="BC166">SUM(IF($B$5:$B$162=$B166,BC$5:BC$162,0))</f>
        <v>7</v>
      </c>
      <c r="BD166" s="52"/>
      <c r="BE166" s="33">
        <f t="array" ref="BE166">SUM(IF($B$5:$B$162=$B166,BE$5:BE$162,0))</f>
        <v>0</v>
      </c>
      <c r="BF166" s="33">
        <f t="array" ref="BF166">SUM(IF($B$5:$B$162=$B166,BF$5:BF$162,0))</f>
        <v>251404.08428546766</v>
      </c>
      <c r="BG166" s="30">
        <f t="shared" si="134"/>
        <v>0</v>
      </c>
      <c r="BH166" s="33">
        <f t="array" ref="BH166">SUM(IF($B$5:$B$162=$B166,BH$5:BH$162,0))</f>
        <v>54182.206666666665</v>
      </c>
      <c r="BI166" s="52"/>
      <c r="BJ166" s="33">
        <f t="array" ref="BJ166">SUM(IF($B$5:$B$162=$B166,BJ$5:BJ$162,0))</f>
        <v>301665.39436209353</v>
      </c>
      <c r="BK166" s="33">
        <f t="array" ref="BK166">SUM(IF($B$5:$B$162=$B166,BK$5:BK$162,0))</f>
        <v>168079.8243547036</v>
      </c>
      <c r="BL166" s="30">
        <f t="shared" si="135"/>
        <v>1.7947745692872723</v>
      </c>
      <c r="BM166" s="33">
        <f t="array" ref="BM166">SUM(IF($B$5:$B$162=$B166,BM$5:BM$162,0))</f>
        <v>47435.54</v>
      </c>
      <c r="BO166" s="29">
        <f t="array" ref="BO166">SUM(IF($B$5:$B$162=$B166,BO$5:BO$162,0))</f>
        <v>301665.39436209353</v>
      </c>
      <c r="BP166" s="29">
        <f t="array" ref="BP166">SUM(IF($B$5:$B$162=$B166,BP$5:BP$162,0))</f>
        <v>0</v>
      </c>
    </row>
    <row r="167" spans="1:68" ht="12.75" thickBot="1">
      <c r="A167" s="1" t="s">
        <v>198</v>
      </c>
      <c r="B167" s="1" t="s">
        <v>198</v>
      </c>
      <c r="E167" s="49"/>
      <c r="F167" s="49"/>
      <c r="G167" s="16"/>
      <c r="H167" s="49"/>
      <c r="I167" s="49"/>
      <c r="J167" s="49"/>
      <c r="K167" s="49"/>
      <c r="L167" s="49"/>
      <c r="M167" s="49"/>
      <c r="N167" s="49"/>
      <c r="O167" s="49"/>
      <c r="P167" s="16"/>
      <c r="Q167" s="49"/>
      <c r="R167" s="16"/>
      <c r="S167" s="16"/>
      <c r="T167" s="16"/>
      <c r="U167" s="16"/>
      <c r="V167" s="53">
        <f t="array" ref="V167">SUM(IF($B$5:$B$162=$B167,V$5:V$162,0))</f>
        <v>1115.8468755736824</v>
      </c>
      <c r="W167" s="53">
        <f t="array" ref="W167">SUM(IF($B$5:$B$162=$B167,W$5:W$162,0))</f>
        <v>0</v>
      </c>
      <c r="X167" s="53">
        <f t="array" ref="X167">SUM(IF($B$5:$B$162=$B167,X$5:X$162,0))</f>
        <v>0</v>
      </c>
      <c r="Y167" s="53">
        <f t="array" ref="Y167">SUM(IF($B$5:$B$162=$B167,Y$5:Y$162,0))</f>
        <v>575.875</v>
      </c>
      <c r="Z167" s="53"/>
      <c r="AA167" s="53">
        <f t="array" ref="AA167">SUM(IF($B$5:$B$162=$B167,AA$5:AA$162,0))</f>
        <v>293</v>
      </c>
      <c r="AB167" s="54">
        <f>IF(Y167=0," ",(V167+W167+X167)/(Y167+Z167))</f>
        <v>1.9376546569545168</v>
      </c>
      <c r="AC167" s="54">
        <f>IF(Y167=0," ",(V167+W167)/(Y167+Z167))</f>
        <v>1.9376546569545168</v>
      </c>
      <c r="AD167" s="55">
        <f>IF(AA167=0," ",(V167+W167)/(Z167+AA167))</f>
        <v>3.8083511111729775</v>
      </c>
      <c r="AE167" s="53">
        <f t="array" ref="AE167">SUM(IF($B$5:$B$162=$B167,AE$5:AE$162,0))</f>
        <v>1115.8468755736824</v>
      </c>
      <c r="AF167" s="53">
        <f t="array" ref="AF167">SUM(IF($B$5:$B$162=$B167,AF$5:AF$162,0))</f>
        <v>0</v>
      </c>
      <c r="AG167" s="53">
        <f t="array" ref="AG167">SUM(IF($B$5:$B$162=$B167,AG$5:AG$162,0))</f>
        <v>575.875</v>
      </c>
      <c r="AH167" s="53">
        <f t="array" ref="AH167">SUM(IF($B$5:$B$162=$B167,AH$5:AH$162,0))</f>
        <v>0</v>
      </c>
      <c r="AI167" s="53">
        <f t="array" ref="AI167">SUM(IF($B$5:$B$162=$B167,AI$5:AI$162,0))</f>
        <v>293</v>
      </c>
      <c r="AJ167" s="54">
        <f>IF(AG167=0," ",(AE167+AF167)/(AG167+AH167))</f>
        <v>1.9376546569545168</v>
      </c>
      <c r="AK167" s="54">
        <f>IF(AG167=0," ",(AE167)/(AG167+AH167))</f>
        <v>1.9376546569545168</v>
      </c>
      <c r="AL167" s="54">
        <f>IF(AI167=0," ",(AE167/(AH167+AI167)))</f>
        <v>3.8083511111729775</v>
      </c>
      <c r="AM167" s="56">
        <f>IF(AE167+AF167=0," ",(AE167/(AE167+AF167)))</f>
        <v>1</v>
      </c>
      <c r="AN167" s="56">
        <f>IF(V167+W167+X167=0," ",(V167+W167)/(V167+W167+X167))</f>
        <v>1</v>
      </c>
      <c r="AO167" s="56">
        <f>IF(AE167=0," ",AI167/AE167)</f>
        <v>0.26258083112825137</v>
      </c>
      <c r="AP167" s="56">
        <f>IF(V167+W167=0," ",AA167/(V167+W167))</f>
        <v>0.26258083112825137</v>
      </c>
      <c r="AQ167" s="57">
        <f t="array" ref="AQ167">SUM(IF($B$5:$B$162=$B167,AQ$5:AQ$162,0))</f>
        <v>199.85000000000002</v>
      </c>
      <c r="AR167" s="56">
        <f>AT167/AQ167</f>
        <v>0.86999999999999988</v>
      </c>
      <c r="AS167" s="54">
        <f t="shared" si="131"/>
        <v>1.9376546569545166</v>
      </c>
      <c r="AT167" s="57">
        <f t="array" ref="AT167">SUM(IF($B$5:$B$162=$B167,AT$5:AT$162,0))</f>
        <v>173.86949999999999</v>
      </c>
      <c r="AU167" s="57"/>
      <c r="AV167" s="57">
        <f t="array" ref="AV167">SUM(IF($B$5:$B$162=$B167,AV$5:AV$162,0))</f>
        <v>1115.8468755736824</v>
      </c>
      <c r="AW167" s="57">
        <f t="array" ref="AW167">SUM(IF($B$5:$B$162=$B167,AW$5:AW$162,0))</f>
        <v>575.875</v>
      </c>
      <c r="AX167" s="54">
        <f t="shared" si="132"/>
        <v>1.9376546569545168</v>
      </c>
      <c r="AY167" s="57">
        <f t="array" ref="AY167">SUM(IF($B$5:$B$162=$B167,AY$5:AY$162,0))</f>
        <v>970.78678174910385</v>
      </c>
      <c r="AZ167" s="57">
        <f t="array" ref="AZ167">SUM(IF($B$5:$B$162=$B167,AZ$5:AZ$162,0))</f>
        <v>501.01125000000002</v>
      </c>
      <c r="BA167" s="54">
        <f t="shared" si="133"/>
        <v>1.9376546569545172</v>
      </c>
      <c r="BB167" s="58">
        <f t="array" ref="BB167">SUM(IF($B$5:$B$162=$B167,BB$5:BB$162,0))</f>
        <v>5</v>
      </c>
      <c r="BC167" s="59">
        <f t="array" ref="BC167">SUM(IF($B$5:$B$162=$B167,BC$5:BC$162,0))</f>
        <v>5</v>
      </c>
      <c r="BD167" s="52"/>
      <c r="BE167" s="57">
        <f t="array" ref="BE167">SUM(IF($B$5:$B$162=$B167,BE$5:BE$162,0))</f>
        <v>0</v>
      </c>
      <c r="BF167" s="57">
        <f t="array" ref="BF167">SUM(IF($B$5:$B$162=$B167,BF$5:BF$162,0))</f>
        <v>575.875</v>
      </c>
      <c r="BG167" s="54">
        <f t="shared" si="134"/>
        <v>0</v>
      </c>
      <c r="BH167" s="57">
        <f t="array" ref="BH167">SUM(IF($B$5:$B$162=$B167,BH$5:BH$162,0))</f>
        <v>199.85000000000002</v>
      </c>
      <c r="BI167" s="52"/>
      <c r="BJ167" s="57">
        <f t="array" ref="BJ167">SUM(IF($B$5:$B$162=$B167,BJ$5:BJ$162,0))</f>
        <v>1115.8468755736824</v>
      </c>
      <c r="BK167" s="57">
        <f t="array" ref="BK167">SUM(IF($B$5:$B$162=$B167,BK$5:BK$162,0))</f>
        <v>575.875</v>
      </c>
      <c r="BL167" s="54">
        <f t="shared" si="135"/>
        <v>1.9376546569545168</v>
      </c>
      <c r="BM167" s="57">
        <f t="array" ref="BM167">SUM(IF($B$5:$B$162=$B167,BM$5:BM$162,0))</f>
        <v>199.85000000000002</v>
      </c>
      <c r="BO167" s="234">
        <f t="array" ref="BO167">SUM(IF($B$5:$B$162=$B167,BO$5:BO$162,0))</f>
        <v>1115.8468755736824</v>
      </c>
      <c r="BP167" s="234">
        <f t="array" ref="BP167">SUM(IF($B$5:$B$162=$B167,BP$5:BP$162,0))</f>
        <v>0</v>
      </c>
    </row>
    <row r="168" spans="1:68" ht="12.75" thickTop="1">
      <c r="G168" s="16"/>
      <c r="P168" s="16"/>
      <c r="R168" s="16"/>
      <c r="S168" s="16"/>
      <c r="T168" s="16"/>
      <c r="U168" s="16"/>
      <c r="V168" s="50">
        <f t="shared" ref="V168:AA168" si="136">SUM(V164:V167)</f>
        <v>474504.75570790615</v>
      </c>
      <c r="W168" s="50">
        <f t="shared" si="136"/>
        <v>214521.71524649794</v>
      </c>
      <c r="X168" s="50">
        <f t="shared" si="136"/>
        <v>49861.278065002516</v>
      </c>
      <c r="Y168" s="50">
        <f t="shared" si="136"/>
        <v>721624.00133266533</v>
      </c>
      <c r="Z168" s="50">
        <f t="shared" si="136"/>
        <v>0</v>
      </c>
      <c r="AA168" s="50">
        <f t="shared" si="136"/>
        <v>221841.26</v>
      </c>
      <c r="AB168" s="30">
        <f>IF(Y168=0," ",(V168+W168+X168)/(Y168+Z168))</f>
        <v>1.0239234665904395</v>
      </c>
      <c r="AC168" s="30">
        <f>IF(Y168=0," ",(V168+W168)/(Y168+Z168))</f>
        <v>0.95482754132614567</v>
      </c>
      <c r="AD168" s="31">
        <f>IF(AA168=0," ",(V168+W168)/(Z168+AA168))</f>
        <v>3.1059437318125767</v>
      </c>
      <c r="AE168" s="50">
        <f>SUM(AE164:AE167)</f>
        <v>474504.75570790615</v>
      </c>
      <c r="AF168" s="50">
        <f>SUM(AF164:AF167)</f>
        <v>31842.09965571489</v>
      </c>
      <c r="AG168" s="50">
        <f>SUM(AG164:AG167)</f>
        <v>426718.48038218502</v>
      </c>
      <c r="AH168" s="50">
        <f>SUM(AH164:AH167)</f>
        <v>0</v>
      </c>
      <c r="AI168" s="50">
        <f>SUM(AI164:AI167)</f>
        <v>149682.33768590601</v>
      </c>
      <c r="AJ168" s="30">
        <f>IF(AG168=0," ",(AE168+AF168)/(AG168+AH168))</f>
        <v>1.1866063426878486</v>
      </c>
      <c r="AK168" s="30">
        <f>IF(AG168=0," ",(AE168)/(AG168+AH168))</f>
        <v>1.1119854834572009</v>
      </c>
      <c r="AL168" s="30">
        <f>IF(AI168=0," ",(AE168/(AH168+AI168)))</f>
        <v>3.170078467798978</v>
      </c>
      <c r="AM168" s="32">
        <f>IF(AE168+AF168=0," ",(AE168/(AE168+AF168)))</f>
        <v>0.93711405666211112</v>
      </c>
      <c r="AN168" s="32">
        <f>IF(V168+W168+X168=0," ",(V168+W168)/(V168+W168+X168))</f>
        <v>0.93251846693740092</v>
      </c>
      <c r="AO168" s="32">
        <f>IF(AE168=0," ",AI168/AE168)</f>
        <v>0.31544960484663065</v>
      </c>
      <c r="AP168" s="32">
        <f>IF(V168+W168=0," ",AA168/(V168+W168))</f>
        <v>0.32196333428629653</v>
      </c>
      <c r="AQ168" s="24">
        <f>SUM(AQ164:AQ167)</f>
        <v>97128.511049732566</v>
      </c>
      <c r="AR168" s="24"/>
      <c r="AS168" s="24"/>
      <c r="AT168" s="24">
        <f>SUM(AT164:AT167)</f>
        <v>84501.804613267319</v>
      </c>
      <c r="AU168" s="24"/>
      <c r="AV168" s="24">
        <f>SUM(AV164:AV167)</f>
        <v>506346.85536362097</v>
      </c>
      <c r="AW168" s="24">
        <f>SUM(AW164:AW167)</f>
        <v>426718.48038218502</v>
      </c>
      <c r="AX168" s="30">
        <f t="shared" si="132"/>
        <v>1.1866063426878484</v>
      </c>
      <c r="AY168" s="24">
        <f>SUM(AY164:AY167)</f>
        <v>440521.76416635036</v>
      </c>
      <c r="AZ168" s="24">
        <f>SUM(AZ164:AZ167)</f>
        <v>371245.07793250092</v>
      </c>
      <c r="BA168" s="30">
        <f t="shared" si="133"/>
        <v>1.1866063426878488</v>
      </c>
      <c r="BB168" s="60">
        <f>SUM(BB164:BB167)</f>
        <v>51</v>
      </c>
      <c r="BC168" s="61">
        <f>SUM(BC164:BC167)</f>
        <v>54</v>
      </c>
      <c r="BD168" s="16"/>
      <c r="BE168" s="24">
        <f>SUM(BE164:BE167)</f>
        <v>31694.276850150873</v>
      </c>
      <c r="BF168" s="24">
        <f>SUM(BF164:BF167)</f>
        <v>411929.10212928959</v>
      </c>
      <c r="BG168" s="30">
        <f t="shared" si="134"/>
        <v>7.6941096626387886E-2</v>
      </c>
      <c r="BH168" s="24">
        <f>SUM(BH164:BH167)</f>
        <v>95391.665296456049</v>
      </c>
      <c r="BI168" s="16"/>
      <c r="BJ168" s="24">
        <f>SUM(BJ164:BJ167)</f>
        <v>422018.45370952587</v>
      </c>
      <c r="BK168" s="24">
        <f>SUM(BK164:BK167)</f>
        <v>249245.94134743995</v>
      </c>
      <c r="BL168" s="30">
        <f t="shared" si="135"/>
        <v>1.6931808455057136</v>
      </c>
      <c r="BM168" s="24">
        <f>SUM(BM164:BM167)</f>
        <v>76286.362010414305</v>
      </c>
      <c r="BO168" s="29">
        <f>SUM(BO164:BO167)</f>
        <v>391950.22772057925</v>
      </c>
      <c r="BP168" s="29">
        <f>SUM(BP164:BP167)</f>
        <v>30068.225988946659</v>
      </c>
    </row>
    <row r="169" spans="1:68">
      <c r="G169" s="16"/>
      <c r="K169" s="62" t="s">
        <v>226</v>
      </c>
      <c r="P169" s="16"/>
      <c r="R169" s="16"/>
      <c r="S169" s="16"/>
      <c r="T169" s="16"/>
      <c r="U169" s="16"/>
      <c r="BC169" s="16"/>
      <c r="BD169" s="16"/>
      <c r="BE169" s="16"/>
      <c r="BF169" s="16"/>
      <c r="BG169" s="16"/>
      <c r="BH169" s="16"/>
      <c r="BI169" s="16"/>
      <c r="BJ169" s="16"/>
      <c r="BK169" s="16"/>
      <c r="BL169" s="16"/>
      <c r="BM169" s="16"/>
    </row>
  </sheetData>
  <conditionalFormatting sqref="AJ164:AL168 AB4:AD161 AB164:AD168 AJ4:AL161 AS164:AS167 AS4:AS161 AX4:AX161 AX164:AX168 BA164:BA168 BA4:BA161 BG4:BG161 BG164:BG168 BL4:BL161 BL164:BL168">
    <cfRule type="cellIs" dxfId="29" priority="12" stopIfTrue="1" operator="equal">
      <formula>" "</formula>
    </cfRule>
    <cfRule type="cellIs" dxfId="28" priority="13" operator="greaterThan">
      <formula>1.25</formula>
    </cfRule>
    <cfRule type="cellIs" dxfId="27" priority="14" operator="between">
      <formula>0.9</formula>
      <formula>1.1</formula>
    </cfRule>
    <cfRule type="cellIs" dxfId="26" priority="15" operator="lessThan">
      <formula>0.75</formula>
    </cfRule>
  </conditionalFormatting>
  <conditionalFormatting sqref="AO164:AP168 AO4:AP161">
    <cfRule type="cellIs" dxfId="25" priority="7" stopIfTrue="1" operator="equal">
      <formula>" "</formula>
    </cfRule>
    <cfRule type="cellIs" dxfId="24" priority="8" operator="lessThan">
      <formula>0.5</formula>
    </cfRule>
    <cfRule type="cellIs" dxfId="23" priority="9" operator="between">
      <formula>0.5</formula>
      <formula>0.75</formula>
    </cfRule>
    <cfRule type="cellIs" dxfId="22" priority="10" operator="between">
      <formula>0.75</formula>
      <formula>1</formula>
    </cfRule>
    <cfRule type="cellIs" dxfId="21" priority="11" operator="greaterThan">
      <formula>1</formula>
    </cfRule>
  </conditionalFormatting>
  <conditionalFormatting sqref="AJ4:AL159 AJ164:AL168 AS4:AS161 AS164:AS167">
    <cfRule type="cellIs" dxfId="20" priority="5" operator="between">
      <formula>1.1</formula>
      <formula>1.25</formula>
    </cfRule>
    <cfRule type="cellIs" dxfId="19" priority="6" operator="between">
      <formula>0.75</formula>
      <formula>0.9</formula>
    </cfRule>
  </conditionalFormatting>
  <conditionalFormatting sqref="AB164:AD168 AB4:AD161">
    <cfRule type="cellIs" dxfId="18" priority="3" operator="between">
      <formula>1.1</formula>
      <formula>1.25</formula>
    </cfRule>
    <cfRule type="cellIs" dxfId="17" priority="4" operator="between">
      <formula>0.75</formula>
      <formula>0.9</formula>
    </cfRule>
  </conditionalFormatting>
  <conditionalFormatting sqref="AX4:AX161 AX164:AX168 BA164:BA168 BA4:BA161 BG4:BG161 BG164:BG168 BL4:BL161 BL164:BL168">
    <cfRule type="cellIs" dxfId="16" priority="1" operator="between">
      <formula>1.1</formula>
      <formula>1.25</formula>
    </cfRule>
    <cfRule type="cellIs" dxfId="15" priority="2" operator="between">
      <formula>0.75</formula>
      <formula>0.9</formula>
    </cfRule>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sheetPr>
    <tabColor theme="6" tint="-0.499984740745262"/>
  </sheetPr>
  <dimension ref="A1:BE36"/>
  <sheetViews>
    <sheetView workbookViewId="0">
      <pane xSplit="4380" topLeftCell="AR1" activePane="topRight"/>
      <selection activeCell="H31" sqref="H31"/>
      <selection pane="topRight" activeCell="BD28" sqref="BD28"/>
    </sheetView>
  </sheetViews>
  <sheetFormatPr defaultRowHeight="12"/>
  <cols>
    <col min="1" max="1" width="27.85546875" style="1" customWidth="1"/>
    <col min="2" max="2" width="10.140625" style="1" customWidth="1"/>
    <col min="3" max="7" width="9.140625" style="1"/>
    <col min="8" max="8" width="10.42578125" style="1" customWidth="1"/>
    <col min="9" max="12" width="9.140625" style="1"/>
    <col min="13" max="13" width="10.42578125" style="1" customWidth="1"/>
    <col min="14" max="17" width="9.140625" style="1"/>
    <col min="18" max="21" width="12.140625" style="1" customWidth="1"/>
    <col min="22" max="22" width="9.140625" style="1"/>
    <col min="23" max="23" width="11.140625" style="1" customWidth="1"/>
    <col min="24" max="26" width="9.140625" style="1"/>
    <col min="27" max="27" width="12" style="1" bestFit="1" customWidth="1"/>
    <col min="28" max="28" width="9.140625" style="1"/>
    <col min="29" max="29" width="12" style="1" bestFit="1" customWidth="1"/>
    <col min="30" max="30" width="9.140625" style="1"/>
    <col min="31" max="31" width="10.42578125" style="1" customWidth="1"/>
    <col min="32" max="43" width="9.140625" style="1"/>
    <col min="44" max="46" width="10.5703125" style="1" customWidth="1"/>
    <col min="47" max="48" width="9.140625" style="1"/>
    <col min="49" max="50" width="10.42578125" style="1" customWidth="1"/>
    <col min="51" max="53" width="9.140625" style="1"/>
    <col min="54" max="54" width="12" style="1" bestFit="1" customWidth="1"/>
    <col min="55" max="55" width="9.140625" style="1"/>
    <col min="56" max="56" width="10.7109375" style="1" bestFit="1" customWidth="1"/>
    <col min="57" max="16384" width="9.140625" style="1"/>
  </cols>
  <sheetData>
    <row r="1" spans="1:57">
      <c r="D1" s="25" t="s">
        <v>199</v>
      </c>
      <c r="N1" s="1" t="s">
        <v>437</v>
      </c>
    </row>
    <row r="2" spans="1:57">
      <c r="A2" s="10" t="s">
        <v>10</v>
      </c>
      <c r="B2" s="10" t="s">
        <v>10</v>
      </c>
      <c r="C2" s="10" t="s">
        <v>10</v>
      </c>
      <c r="D2" s="10" t="s">
        <v>10</v>
      </c>
      <c r="E2" s="10" t="s">
        <v>10</v>
      </c>
      <c r="F2" s="10"/>
      <c r="G2" s="10" t="s">
        <v>10</v>
      </c>
      <c r="H2" s="10" t="s">
        <v>10</v>
      </c>
      <c r="I2" s="10" t="s">
        <v>10</v>
      </c>
      <c r="J2" s="10" t="s">
        <v>10</v>
      </c>
      <c r="K2" s="10" t="s">
        <v>10</v>
      </c>
      <c r="L2" s="10" t="s">
        <v>10</v>
      </c>
      <c r="M2" s="10" t="s">
        <v>10</v>
      </c>
      <c r="N2" s="10" t="s">
        <v>10</v>
      </c>
      <c r="O2" s="10" t="s">
        <v>10</v>
      </c>
      <c r="P2" s="11" t="s">
        <v>11</v>
      </c>
      <c r="Q2" s="11" t="s">
        <v>11</v>
      </c>
      <c r="R2" s="12" t="s">
        <v>12</v>
      </c>
      <c r="S2" s="13" t="s">
        <v>12</v>
      </c>
      <c r="T2" s="14" t="s">
        <v>12</v>
      </c>
      <c r="U2" s="14" t="s">
        <v>12</v>
      </c>
      <c r="V2" s="14" t="s">
        <v>12</v>
      </c>
      <c r="W2" s="14" t="s">
        <v>12</v>
      </c>
      <c r="X2" s="14" t="s">
        <v>12</v>
      </c>
      <c r="Y2" s="14" t="s">
        <v>12</v>
      </c>
      <c r="Z2" s="14" t="s">
        <v>12</v>
      </c>
      <c r="AA2" s="15" t="s">
        <v>13</v>
      </c>
      <c r="AB2" s="15" t="s">
        <v>13</v>
      </c>
      <c r="AC2" s="15" t="s">
        <v>13</v>
      </c>
      <c r="AD2" s="15"/>
      <c r="AE2" s="15" t="s">
        <v>13</v>
      </c>
      <c r="AF2" s="15" t="s">
        <v>13</v>
      </c>
      <c r="AG2" s="15" t="s">
        <v>13</v>
      </c>
      <c r="AH2" s="15" t="s">
        <v>13</v>
      </c>
      <c r="AI2" s="15" t="s">
        <v>13</v>
      </c>
      <c r="AJ2" s="14" t="s">
        <v>12</v>
      </c>
      <c r="AK2" s="15" t="s">
        <v>13</v>
      </c>
      <c r="AL2" s="14" t="s">
        <v>12</v>
      </c>
      <c r="AR2" s="63" t="s">
        <v>230</v>
      </c>
    </row>
    <row r="3" spans="1:57" ht="72">
      <c r="A3" s="18" t="s">
        <v>14</v>
      </c>
      <c r="B3" s="18" t="s">
        <v>15</v>
      </c>
      <c r="C3" s="18" t="s">
        <v>0</v>
      </c>
      <c r="D3" s="18" t="s">
        <v>231</v>
      </c>
      <c r="E3" s="18" t="s">
        <v>232</v>
      </c>
      <c r="F3" s="18" t="s">
        <v>233</v>
      </c>
      <c r="G3" s="18" t="s">
        <v>18</v>
      </c>
      <c r="H3" s="18" t="s">
        <v>19</v>
      </c>
      <c r="I3" s="18" t="s">
        <v>22</v>
      </c>
      <c r="J3" s="18" t="s">
        <v>23</v>
      </c>
      <c r="K3" s="18" t="s">
        <v>26</v>
      </c>
      <c r="L3" s="18" t="s">
        <v>27</v>
      </c>
      <c r="M3" s="18" t="s">
        <v>28</v>
      </c>
      <c r="N3" s="18" t="s">
        <v>234</v>
      </c>
      <c r="O3" s="18" t="s">
        <v>29</v>
      </c>
      <c r="P3" s="18" t="s">
        <v>228</v>
      </c>
      <c r="Q3" s="18" t="s">
        <v>229</v>
      </c>
      <c r="R3" s="64" t="s">
        <v>31</v>
      </c>
      <c r="S3" s="65" t="s">
        <v>32</v>
      </c>
      <c r="T3" s="66" t="s">
        <v>33</v>
      </c>
      <c r="U3" s="65" t="s">
        <v>34</v>
      </c>
      <c r="V3" s="65" t="s">
        <v>235</v>
      </c>
      <c r="W3" s="65" t="s">
        <v>36</v>
      </c>
      <c r="X3" s="21" t="s">
        <v>37</v>
      </c>
      <c r="Y3" s="21" t="s">
        <v>38</v>
      </c>
      <c r="Z3" s="21" t="s">
        <v>39</v>
      </c>
      <c r="AA3" s="17" t="s">
        <v>40</v>
      </c>
      <c r="AB3" s="22" t="s">
        <v>33</v>
      </c>
      <c r="AC3" s="21" t="s">
        <v>34</v>
      </c>
      <c r="AD3" s="21" t="s">
        <v>235</v>
      </c>
      <c r="AE3" s="21" t="s">
        <v>36</v>
      </c>
      <c r="AF3" s="17" t="s">
        <v>37</v>
      </c>
      <c r="AG3" s="17" t="s">
        <v>38</v>
      </c>
      <c r="AH3" s="21" t="s">
        <v>39</v>
      </c>
      <c r="AI3" s="17" t="s">
        <v>41</v>
      </c>
      <c r="AJ3" s="17" t="s">
        <v>42</v>
      </c>
      <c r="AK3" s="17" t="s">
        <v>43</v>
      </c>
      <c r="AL3" s="17" t="s">
        <v>44</v>
      </c>
      <c r="AM3" s="17" t="s">
        <v>236</v>
      </c>
      <c r="AN3" s="17" t="s">
        <v>237</v>
      </c>
      <c r="AO3" s="17" t="s">
        <v>46</v>
      </c>
      <c r="AP3" s="17" t="s">
        <v>238</v>
      </c>
      <c r="AQ3" s="17" t="s">
        <v>48</v>
      </c>
      <c r="AR3" s="17" t="s">
        <v>239</v>
      </c>
      <c r="AS3" s="17" t="s">
        <v>240</v>
      </c>
      <c r="AT3" s="17" t="s">
        <v>241</v>
      </c>
      <c r="AU3" s="17" t="s">
        <v>242</v>
      </c>
      <c r="AV3" s="17" t="s">
        <v>243</v>
      </c>
      <c r="AW3" s="17" t="s">
        <v>244</v>
      </c>
      <c r="AX3" s="17" t="s">
        <v>245</v>
      </c>
      <c r="AY3" s="17" t="s">
        <v>246</v>
      </c>
      <c r="AZ3" s="17" t="s">
        <v>247</v>
      </c>
      <c r="BB3" s="17" t="s">
        <v>469</v>
      </c>
      <c r="BD3" s="1" t="s">
        <v>505</v>
      </c>
      <c r="BE3" s="1" t="s">
        <v>506</v>
      </c>
    </row>
    <row r="4" spans="1:57">
      <c r="A4" s="67" t="s">
        <v>248</v>
      </c>
      <c r="B4" s="68" t="s">
        <v>249</v>
      </c>
      <c r="C4" s="67">
        <v>30</v>
      </c>
      <c r="D4" s="67" t="s">
        <v>199</v>
      </c>
      <c r="E4" s="69">
        <v>108</v>
      </c>
      <c r="F4" s="69">
        <f>IF(D4="y",E4,0)</f>
        <v>108</v>
      </c>
      <c r="G4" s="70" t="s">
        <v>67</v>
      </c>
      <c r="H4" s="71">
        <v>3000</v>
      </c>
      <c r="I4" s="72">
        <v>0</v>
      </c>
      <c r="J4" s="72">
        <v>0</v>
      </c>
      <c r="K4" s="73">
        <v>197</v>
      </c>
      <c r="L4" s="74">
        <v>0.75</v>
      </c>
      <c r="M4" s="73">
        <v>1068</v>
      </c>
      <c r="N4" s="75">
        <v>0</v>
      </c>
      <c r="O4" s="72">
        <v>900</v>
      </c>
      <c r="P4" s="28">
        <f>IF(K4=0,0,(K4*100000)/((K4*100000)+(M4*3413)))</f>
        <v>0.84386074601402161</v>
      </c>
      <c r="Q4" s="28">
        <f>IF(R4+S4=0,0,R4/(R4+S4))</f>
        <v>0.60173298299121103</v>
      </c>
      <c r="R4" s="36">
        <f>(VLOOKUP(C4,ACs!G$4:P$53,8)*(1-L4)*K4*F4)+(VLOOKUP(C4,ACs!G$4:P$53,9)*(L4)*K4*F4)</f>
        <v>167387.69936732412</v>
      </c>
      <c r="S4" s="36">
        <f>VLOOKUP(C4,ACs!G$4:P$53,10)*Residential!F4*Residential!M4</f>
        <v>110788.3423301758</v>
      </c>
      <c r="T4" s="36">
        <f t="shared" ref="T4:T19" si="0">(PV(BA$2,C4,-J4)+I4)*F4</f>
        <v>0</v>
      </c>
      <c r="U4" s="36">
        <f>F4*H4</f>
        <v>324000</v>
      </c>
      <c r="V4" s="36">
        <f>N4*F4</f>
        <v>0</v>
      </c>
      <c r="W4" s="36">
        <f>F4*O4</f>
        <v>97200</v>
      </c>
      <c r="X4" s="30">
        <f>IF(U4=0," ",(R4+S4+T4)/(U4+V4))</f>
        <v>0.85856802993055537</v>
      </c>
      <c r="Y4" s="30">
        <f>IF(U4=0," ",(R4+S4)/(U4+V4))</f>
        <v>0.85856802993055537</v>
      </c>
      <c r="Z4" s="31">
        <f>IF(W4=0," ",(R4+S4)/(W4+V4))</f>
        <v>2.8618934331018511</v>
      </c>
      <c r="AA4" s="29">
        <f>Q4*(R4+S4)</f>
        <v>167387.69936732412</v>
      </c>
      <c r="AB4" s="29">
        <f>Q4*T4</f>
        <v>0</v>
      </c>
      <c r="AC4" s="29">
        <f>Q4*H4*F4</f>
        <v>194961.48648915239</v>
      </c>
      <c r="AD4" s="29">
        <f>V4*Q4</f>
        <v>0</v>
      </c>
      <c r="AE4" s="29">
        <f>F4*O4*Q4</f>
        <v>58488.445946745713</v>
      </c>
      <c r="AF4" s="30">
        <f>IF(AC4=0," ",(AA4+AB4)/(AC4+AD4))</f>
        <v>0.85856802993055525</v>
      </c>
      <c r="AG4" s="30">
        <f>IF(AC4=0," ",(AA4)/(AC4+AD4))</f>
        <v>0.85856802993055525</v>
      </c>
      <c r="AH4" s="30">
        <f>IF(AE4=0," ",(AA4/(AE4+AD4)))</f>
        <v>2.8618934331018511</v>
      </c>
      <c r="AI4" s="32">
        <f>IF(AA4+AB4=0," ",(AA4/(AA4+AB4)))</f>
        <v>1</v>
      </c>
      <c r="AJ4" s="32">
        <f>IF(R4+S4+T4=0," ",(R4+S4)/(R4+S4+T4))</f>
        <v>1</v>
      </c>
      <c r="AK4" s="32">
        <f>IF(AA4=0," ",AE4/AA4)</f>
        <v>0.34941902044065781</v>
      </c>
      <c r="AL4" s="32">
        <f>IF(R4+S4=0," ",W4/(R4+S4))</f>
        <v>0.34941902044065781</v>
      </c>
      <c r="AM4" s="33">
        <f>F4*K4</f>
        <v>21276</v>
      </c>
      <c r="AN4" s="32">
        <f t="shared" ref="AN4:AN19" si="1">AM4/AM$34</f>
        <v>4.0954025788819598E-2</v>
      </c>
      <c r="AO4" s="27">
        <v>0.73599999999999999</v>
      </c>
      <c r="AP4" s="30">
        <f>IF(AC4+AD4=0," ",((AO4*(AA4+AB4)/((AO4*AC4)+AD4))))</f>
        <v>0.85856802993055514</v>
      </c>
      <c r="AQ4" s="33">
        <f>AO4*AM4</f>
        <v>15659.136</v>
      </c>
      <c r="AR4" s="27">
        <v>1</v>
      </c>
      <c r="AS4" s="33">
        <f>((AA4)+AB4)*AR4</f>
        <v>167387.69936732412</v>
      </c>
      <c r="AT4" s="33">
        <f t="shared" ref="AT4:AT19" si="2">SUM(AC4:AD4)*AR4</f>
        <v>194961.48648915239</v>
      </c>
      <c r="AU4" s="30">
        <f>IF(AT4=0," ",AS4/AT4)</f>
        <v>0.85856802993055525</v>
      </c>
      <c r="AV4" s="33">
        <f t="shared" ref="AV4:AV19" si="3">AR4*AM4</f>
        <v>21276</v>
      </c>
      <c r="AW4" s="33">
        <f t="shared" ref="AW4:AW19" si="4">SUM(AA4:AB4)*AR4*AO4</f>
        <v>123197.34673435055</v>
      </c>
      <c r="AX4" s="33">
        <f t="shared" ref="AX4:AX19" si="5">SUM(AC4:AD4)*AR4*AO4</f>
        <v>143491.65405601615</v>
      </c>
      <c r="AY4" s="30">
        <f>IF(AX4=0," ",AW4/AX4)</f>
        <v>0.85856802993055514</v>
      </c>
      <c r="AZ4" s="33">
        <f t="shared" ref="AZ4:AZ19" si="6">AR4*AQ4</f>
        <v>15659.136</v>
      </c>
      <c r="BB4" s="50">
        <f>AR4*AA4</f>
        <v>167387.69936732412</v>
      </c>
      <c r="BD4" s="50">
        <f>AA4*AR4</f>
        <v>167387.69936732412</v>
      </c>
      <c r="BE4" s="50">
        <f>AR4*AB4</f>
        <v>0</v>
      </c>
    </row>
    <row r="5" spans="1:57">
      <c r="A5" s="67" t="s">
        <v>250</v>
      </c>
      <c r="B5" s="68" t="s">
        <v>249</v>
      </c>
      <c r="C5" s="67">
        <v>30</v>
      </c>
      <c r="D5" s="67" t="s">
        <v>199</v>
      </c>
      <c r="E5" s="69">
        <v>15</v>
      </c>
      <c r="F5" s="69">
        <f t="shared" ref="F5:F19" si="7">IF(D5="y",E5,0)</f>
        <v>15</v>
      </c>
      <c r="G5" s="70" t="s">
        <v>67</v>
      </c>
      <c r="H5" s="71">
        <v>1500</v>
      </c>
      <c r="I5" s="72">
        <v>0</v>
      </c>
      <c r="J5" s="72">
        <v>0</v>
      </c>
      <c r="K5" s="73">
        <v>197</v>
      </c>
      <c r="L5" s="74">
        <v>0.75</v>
      </c>
      <c r="M5" s="75">
        <v>0</v>
      </c>
      <c r="N5" s="75">
        <v>0</v>
      </c>
      <c r="O5" s="72">
        <v>650</v>
      </c>
      <c r="P5" s="28">
        <f t="shared" ref="P5:P19" si="8">IF(K5=0,0,(K5*100000)/((K5*100000)+(M5*3413)))</f>
        <v>1</v>
      </c>
      <c r="Q5" s="28">
        <f t="shared" ref="Q5:Q19" si="9">IF(R5+S5=0,0,R5/(R5+S5))</f>
        <v>1</v>
      </c>
      <c r="R5" s="36">
        <f>(VLOOKUP(C5,ACs!G$4:P$53,8)*(1-L5)*K5*F5)+(VLOOKUP(C5,ACs!G$4:P$53,9)*(L5)*K5*F5)</f>
        <v>23248.291578795019</v>
      </c>
      <c r="S5" s="36">
        <f>VLOOKUP(C5,ACs!G$4:P$53,10)*Residential!F5*Residential!M5</f>
        <v>0</v>
      </c>
      <c r="T5" s="36">
        <f t="shared" si="0"/>
        <v>0</v>
      </c>
      <c r="U5" s="36">
        <f t="shared" ref="U5:U19" si="10">F5*H5</f>
        <v>22500</v>
      </c>
      <c r="V5" s="36">
        <f t="shared" ref="V5:V19" si="11">N5*F5</f>
        <v>0</v>
      </c>
      <c r="W5" s="36">
        <f t="shared" ref="W5:W19" si="12">F5*O5</f>
        <v>9750</v>
      </c>
      <c r="X5" s="30">
        <f t="shared" ref="X5:X19" si="13">IF(U5=0," ",(R5+S5+T5)/(U5+V5))</f>
        <v>1.0332574035020008</v>
      </c>
      <c r="Y5" s="30">
        <f t="shared" ref="Y5:Y19" si="14">IF(U5=0," ",(R5+S5)/(U5+V5))</f>
        <v>1.0332574035020008</v>
      </c>
      <c r="Z5" s="31">
        <f t="shared" ref="Z5:Z19" si="15">IF(W5=0," ",(R5+S5)/(W5+V5))</f>
        <v>2.384440161927694</v>
      </c>
      <c r="AA5" s="29">
        <f t="shared" ref="AA5:AA19" si="16">Q5*(R5+S5)</f>
        <v>23248.291578795019</v>
      </c>
      <c r="AB5" s="29">
        <f t="shared" ref="AB5:AB19" si="17">Q5*T5</f>
        <v>0</v>
      </c>
      <c r="AC5" s="29">
        <f t="shared" ref="AC5:AC19" si="18">Q5*H5*F5</f>
        <v>22500</v>
      </c>
      <c r="AD5" s="29">
        <f t="shared" ref="AD5:AD19" si="19">V5*Q5</f>
        <v>0</v>
      </c>
      <c r="AE5" s="29">
        <f t="shared" ref="AE5:AE19" si="20">F5*O5*Q5</f>
        <v>9750</v>
      </c>
      <c r="AF5" s="30">
        <f t="shared" ref="AF5:AF19" si="21">IF(AC5=0," ",(AA5+AB5)/(AC5+AD5))</f>
        <v>1.0332574035020008</v>
      </c>
      <c r="AG5" s="30">
        <f t="shared" ref="AG5:AG19" si="22">IF(AC5=0," ",(AA5)/(AC5+AD5))</f>
        <v>1.0332574035020008</v>
      </c>
      <c r="AH5" s="30">
        <f t="shared" ref="AH5:AH19" si="23">IF(AE5=0," ",(AA5/(AE5+AD5)))</f>
        <v>2.384440161927694</v>
      </c>
      <c r="AI5" s="32">
        <f t="shared" ref="AI5:AI19" si="24">IF(AA5+AB5=0," ",(AA5/(AA5+AB5)))</f>
        <v>1</v>
      </c>
      <c r="AJ5" s="32">
        <f t="shared" ref="AJ5:AJ19" si="25">IF(R5+S5+T5=0," ",(R5+S5)/(R5+S5+T5))</f>
        <v>1</v>
      </c>
      <c r="AK5" s="32">
        <f t="shared" ref="AK5:AK19" si="26">IF(AA5=0," ",AE5/AA5)</f>
        <v>0.41938565536975048</v>
      </c>
      <c r="AL5" s="32">
        <f t="shared" ref="AL5:AL19" si="27">IF(R5+S5=0," ",W5/(R5+S5))</f>
        <v>0.41938565536975048</v>
      </c>
      <c r="AM5" s="33">
        <f t="shared" ref="AM5:AM19" si="28">F5*K5</f>
        <v>2955</v>
      </c>
      <c r="AN5" s="32">
        <f t="shared" si="1"/>
        <v>5.6880591373360554E-3</v>
      </c>
      <c r="AO5" s="27">
        <v>0.73599999999999999</v>
      </c>
      <c r="AP5" s="30">
        <f t="shared" ref="AP5:AP19" si="29">IF(AC5+AD5=0," ",((AO5*(AA5+AB5)/((AO5*AC5)+AD5))))</f>
        <v>1.0332574035020008</v>
      </c>
      <c r="AQ5" s="33">
        <f t="shared" ref="AQ5:AQ19" si="30">AO5*AM5</f>
        <v>2174.88</v>
      </c>
      <c r="AR5" s="27">
        <v>1</v>
      </c>
      <c r="AS5" s="33">
        <f t="shared" ref="AS5:AS19" si="31">((AA5)+AB5)*AR5</f>
        <v>23248.291578795019</v>
      </c>
      <c r="AT5" s="33">
        <f t="shared" si="2"/>
        <v>22500</v>
      </c>
      <c r="AU5" s="30">
        <f t="shared" ref="AU5:AU19" si="32">IF(AT5=0," ",AS5/AT5)</f>
        <v>1.0332574035020008</v>
      </c>
      <c r="AV5" s="33">
        <f t="shared" si="3"/>
        <v>2955</v>
      </c>
      <c r="AW5" s="33">
        <f t="shared" si="4"/>
        <v>17110.742601993134</v>
      </c>
      <c r="AX5" s="33">
        <f t="shared" si="5"/>
        <v>16560</v>
      </c>
      <c r="AY5" s="30">
        <f t="shared" ref="AY5:AY19" si="33">IF(AX5=0," ",AW5/AX5)</f>
        <v>1.0332574035020008</v>
      </c>
      <c r="AZ5" s="33">
        <f t="shared" si="6"/>
        <v>2174.88</v>
      </c>
      <c r="BB5" s="50">
        <f t="shared" ref="BB5:BB19" si="34">AR5*AA5</f>
        <v>23248.291578795019</v>
      </c>
      <c r="BD5" s="50">
        <f t="shared" ref="BD5:BD19" si="35">AA5*AR5</f>
        <v>23248.291578795019</v>
      </c>
      <c r="BE5" s="50">
        <f t="shared" ref="BE5:BE19" si="36">AR5*AB5</f>
        <v>0</v>
      </c>
    </row>
    <row r="6" spans="1:57">
      <c r="A6" s="67" t="s">
        <v>251</v>
      </c>
      <c r="B6" s="68" t="s">
        <v>198</v>
      </c>
      <c r="C6" s="67">
        <v>20</v>
      </c>
      <c r="D6" s="67" t="s">
        <v>199</v>
      </c>
      <c r="E6" s="69">
        <v>2931</v>
      </c>
      <c r="F6" s="69">
        <f t="shared" si="7"/>
        <v>2931</v>
      </c>
      <c r="G6" s="70" t="s">
        <v>67</v>
      </c>
      <c r="H6" s="71">
        <v>700</v>
      </c>
      <c r="I6" s="72">
        <v>0</v>
      </c>
      <c r="J6" s="72">
        <v>0</v>
      </c>
      <c r="K6" s="73">
        <v>104</v>
      </c>
      <c r="L6" s="74">
        <v>1</v>
      </c>
      <c r="M6" s="75">
        <v>0</v>
      </c>
      <c r="N6" s="75">
        <v>0</v>
      </c>
      <c r="O6" s="72">
        <v>400</v>
      </c>
      <c r="P6" s="28">
        <f t="shared" si="8"/>
        <v>1</v>
      </c>
      <c r="Q6" s="28">
        <f t="shared" si="9"/>
        <v>1</v>
      </c>
      <c r="R6" s="36">
        <f>(VLOOKUP(C6,ACs!G$4:P$53,8)*(1-L6)*K6*F6)+(VLOOKUP(C6,ACs!G$4:P$53,9)*(L6)*K6*F6)</f>
        <v>1905070.517221703</v>
      </c>
      <c r="S6" s="36">
        <f>VLOOKUP(C6,ACs!G$4:P$53,10)*Residential!F6*Residential!M6</f>
        <v>0</v>
      </c>
      <c r="T6" s="36">
        <f t="shared" si="0"/>
        <v>0</v>
      </c>
      <c r="U6" s="36">
        <f t="shared" si="10"/>
        <v>2051700</v>
      </c>
      <c r="V6" s="36">
        <f t="shared" si="11"/>
        <v>0</v>
      </c>
      <c r="W6" s="36">
        <f t="shared" si="12"/>
        <v>1172400</v>
      </c>
      <c r="X6" s="30">
        <f t="shared" si="13"/>
        <v>0.92853268861027582</v>
      </c>
      <c r="Y6" s="30">
        <f t="shared" si="14"/>
        <v>0.92853268861027582</v>
      </c>
      <c r="Z6" s="31">
        <f t="shared" si="15"/>
        <v>1.6249322050679826</v>
      </c>
      <c r="AA6" s="29">
        <f t="shared" si="16"/>
        <v>1905070.517221703</v>
      </c>
      <c r="AB6" s="29">
        <f t="shared" si="17"/>
        <v>0</v>
      </c>
      <c r="AC6" s="29">
        <f t="shared" si="18"/>
        <v>2051700</v>
      </c>
      <c r="AD6" s="29">
        <f t="shared" si="19"/>
        <v>0</v>
      </c>
      <c r="AE6" s="29">
        <f t="shared" si="20"/>
        <v>1172400</v>
      </c>
      <c r="AF6" s="30">
        <f t="shared" si="21"/>
        <v>0.92853268861027582</v>
      </c>
      <c r="AG6" s="30">
        <f t="shared" si="22"/>
        <v>0.92853268861027582</v>
      </c>
      <c r="AH6" s="30">
        <f t="shared" si="23"/>
        <v>1.6249322050679826</v>
      </c>
      <c r="AI6" s="32">
        <f t="shared" si="24"/>
        <v>1</v>
      </c>
      <c r="AJ6" s="32">
        <f t="shared" si="25"/>
        <v>1</v>
      </c>
      <c r="AK6" s="32">
        <f t="shared" si="26"/>
        <v>0.61541029027617966</v>
      </c>
      <c r="AL6" s="32">
        <f t="shared" si="27"/>
        <v>0.61541029027617966</v>
      </c>
      <c r="AM6" s="33">
        <f t="shared" si="28"/>
        <v>304824</v>
      </c>
      <c r="AN6" s="32">
        <f t="shared" si="1"/>
        <v>0.58675361708268214</v>
      </c>
      <c r="AO6" s="27">
        <v>0.61</v>
      </c>
      <c r="AP6" s="30">
        <f t="shared" si="29"/>
        <v>0.92853268861027571</v>
      </c>
      <c r="AQ6" s="33">
        <f t="shared" si="30"/>
        <v>185942.63999999998</v>
      </c>
      <c r="AR6" s="27">
        <v>1</v>
      </c>
      <c r="AS6" s="33">
        <f t="shared" si="31"/>
        <v>1905070.517221703</v>
      </c>
      <c r="AT6" s="33">
        <f t="shared" si="2"/>
        <v>2051700</v>
      </c>
      <c r="AU6" s="30">
        <f t="shared" si="32"/>
        <v>0.92853268861027582</v>
      </c>
      <c r="AV6" s="33">
        <f t="shared" si="3"/>
        <v>304824</v>
      </c>
      <c r="AW6" s="33">
        <f t="shared" si="4"/>
        <v>1162093.0155052387</v>
      </c>
      <c r="AX6" s="33">
        <f t="shared" si="5"/>
        <v>1251537</v>
      </c>
      <c r="AY6" s="30">
        <f t="shared" si="33"/>
        <v>0.92853268861027571</v>
      </c>
      <c r="AZ6" s="33">
        <f t="shared" si="6"/>
        <v>185942.63999999998</v>
      </c>
      <c r="BB6" s="50">
        <f t="shared" si="34"/>
        <v>1905070.517221703</v>
      </c>
      <c r="BD6" s="50">
        <f t="shared" si="35"/>
        <v>1905070.517221703</v>
      </c>
      <c r="BE6" s="50">
        <f t="shared" si="36"/>
        <v>0</v>
      </c>
    </row>
    <row r="7" spans="1:57">
      <c r="A7" s="67" t="s">
        <v>252</v>
      </c>
      <c r="B7" s="68" t="s">
        <v>198</v>
      </c>
      <c r="C7" s="67">
        <v>20</v>
      </c>
      <c r="D7" s="67" t="s">
        <v>199</v>
      </c>
      <c r="E7" s="69">
        <v>43</v>
      </c>
      <c r="F7" s="69">
        <f t="shared" si="7"/>
        <v>43</v>
      </c>
      <c r="G7" s="70" t="s">
        <v>67</v>
      </c>
      <c r="H7" s="71">
        <v>800</v>
      </c>
      <c r="I7" s="72">
        <v>0</v>
      </c>
      <c r="J7" s="72">
        <v>0</v>
      </c>
      <c r="K7" s="73">
        <v>141</v>
      </c>
      <c r="L7" s="74">
        <v>1</v>
      </c>
      <c r="M7" s="75">
        <v>0</v>
      </c>
      <c r="N7" s="75">
        <v>0</v>
      </c>
      <c r="O7" s="72">
        <v>400</v>
      </c>
      <c r="P7" s="28">
        <f t="shared" si="8"/>
        <v>1</v>
      </c>
      <c r="Q7" s="28">
        <f t="shared" si="9"/>
        <v>1</v>
      </c>
      <c r="R7" s="36">
        <f>(VLOOKUP(C7,ACs!G$4:P$53,8)*(1-L7)*K7*F7)+(VLOOKUP(C7,ACs!G$4:P$53,9)*(L7)*K7*F7)</f>
        <v>37892.16907433531</v>
      </c>
      <c r="S7" s="36">
        <f>VLOOKUP(C7,ACs!G$4:P$53,10)*Residential!F7*Residential!M7</f>
        <v>0</v>
      </c>
      <c r="T7" s="36">
        <f t="shared" si="0"/>
        <v>0</v>
      </c>
      <c r="U7" s="36">
        <f t="shared" si="10"/>
        <v>34400</v>
      </c>
      <c r="V7" s="36">
        <f t="shared" si="11"/>
        <v>0</v>
      </c>
      <c r="W7" s="36">
        <f t="shared" si="12"/>
        <v>17200</v>
      </c>
      <c r="X7" s="30">
        <f t="shared" si="13"/>
        <v>1.1015165428585847</v>
      </c>
      <c r="Y7" s="30">
        <f t="shared" si="14"/>
        <v>1.1015165428585847</v>
      </c>
      <c r="Z7" s="31">
        <f t="shared" si="15"/>
        <v>2.2030330857171694</v>
      </c>
      <c r="AA7" s="29">
        <f t="shared" si="16"/>
        <v>37892.16907433531</v>
      </c>
      <c r="AB7" s="29">
        <f t="shared" si="17"/>
        <v>0</v>
      </c>
      <c r="AC7" s="29">
        <f t="shared" si="18"/>
        <v>34400</v>
      </c>
      <c r="AD7" s="29">
        <f t="shared" si="19"/>
        <v>0</v>
      </c>
      <c r="AE7" s="29">
        <f t="shared" si="20"/>
        <v>17200</v>
      </c>
      <c r="AF7" s="30">
        <f t="shared" si="21"/>
        <v>1.1015165428585847</v>
      </c>
      <c r="AG7" s="30">
        <f t="shared" si="22"/>
        <v>1.1015165428585847</v>
      </c>
      <c r="AH7" s="30">
        <f t="shared" si="23"/>
        <v>2.2030330857171694</v>
      </c>
      <c r="AI7" s="32">
        <f t="shared" si="24"/>
        <v>1</v>
      </c>
      <c r="AJ7" s="32">
        <f t="shared" si="25"/>
        <v>1</v>
      </c>
      <c r="AK7" s="32">
        <f t="shared" si="26"/>
        <v>0.45391964672852964</v>
      </c>
      <c r="AL7" s="32">
        <f t="shared" si="27"/>
        <v>0.45391964672852964</v>
      </c>
      <c r="AM7" s="33">
        <f t="shared" si="28"/>
        <v>6063</v>
      </c>
      <c r="AN7" s="32">
        <f t="shared" si="1"/>
        <v>1.1670626920361592E-2</v>
      </c>
      <c r="AO7" s="27">
        <v>0.61</v>
      </c>
      <c r="AP7" s="30">
        <f t="shared" si="29"/>
        <v>1.1015165428585845</v>
      </c>
      <c r="AQ7" s="33">
        <f t="shared" si="30"/>
        <v>3698.43</v>
      </c>
      <c r="AR7" s="27">
        <v>1</v>
      </c>
      <c r="AS7" s="33">
        <f t="shared" si="31"/>
        <v>37892.16907433531</v>
      </c>
      <c r="AT7" s="33">
        <f t="shared" si="2"/>
        <v>34400</v>
      </c>
      <c r="AU7" s="30">
        <f t="shared" si="32"/>
        <v>1.1015165428585847</v>
      </c>
      <c r="AV7" s="33">
        <f t="shared" si="3"/>
        <v>6063</v>
      </c>
      <c r="AW7" s="33">
        <f t="shared" si="4"/>
        <v>23114.223135344539</v>
      </c>
      <c r="AX7" s="33">
        <f t="shared" si="5"/>
        <v>20984</v>
      </c>
      <c r="AY7" s="30">
        <f t="shared" si="33"/>
        <v>1.1015165428585845</v>
      </c>
      <c r="AZ7" s="33">
        <f t="shared" si="6"/>
        <v>3698.43</v>
      </c>
      <c r="BB7" s="50">
        <f t="shared" si="34"/>
        <v>37892.16907433531</v>
      </c>
      <c r="BD7" s="50">
        <f t="shared" si="35"/>
        <v>37892.16907433531</v>
      </c>
      <c r="BE7" s="50">
        <f t="shared" si="36"/>
        <v>0</v>
      </c>
    </row>
    <row r="8" spans="1:57">
      <c r="A8" s="77" t="s">
        <v>253</v>
      </c>
      <c r="B8" s="68" t="s">
        <v>254</v>
      </c>
      <c r="C8" s="67">
        <v>12</v>
      </c>
      <c r="D8" s="78" t="str">
        <f>D$1</f>
        <v>y</v>
      </c>
      <c r="E8" s="69">
        <v>90</v>
      </c>
      <c r="F8" s="69">
        <f t="shared" si="7"/>
        <v>90</v>
      </c>
      <c r="G8" s="70" t="s">
        <v>67</v>
      </c>
      <c r="H8" s="71">
        <v>50</v>
      </c>
      <c r="I8" s="72">
        <v>0</v>
      </c>
      <c r="J8" s="72">
        <v>0</v>
      </c>
      <c r="K8" s="73">
        <v>8.1999999999999993</v>
      </c>
      <c r="L8" s="74">
        <v>0</v>
      </c>
      <c r="M8" s="75">
        <v>0</v>
      </c>
      <c r="N8" s="75">
        <v>0</v>
      </c>
      <c r="O8" s="72">
        <v>0</v>
      </c>
      <c r="P8" s="28">
        <f t="shared" si="8"/>
        <v>1</v>
      </c>
      <c r="Q8" s="28">
        <f t="shared" si="9"/>
        <v>1</v>
      </c>
      <c r="R8" s="36">
        <f>(VLOOKUP(C8,ACs!G$4:P$53,8)*(1-L8)*K8*F8)+(VLOOKUP(C8,ACs!G$4:P$53,9)*(L8)*K8*F8)</f>
        <v>3038.9214190651187</v>
      </c>
      <c r="S8" s="36">
        <f>VLOOKUP(C8,ACs!G$4:P$53,10)*Residential!F8*Residential!M8</f>
        <v>0</v>
      </c>
      <c r="T8" s="36">
        <f t="shared" si="0"/>
        <v>0</v>
      </c>
      <c r="U8" s="36">
        <f t="shared" si="10"/>
        <v>4500</v>
      </c>
      <c r="V8" s="36">
        <f t="shared" si="11"/>
        <v>0</v>
      </c>
      <c r="W8" s="36">
        <f t="shared" si="12"/>
        <v>0</v>
      </c>
      <c r="X8" s="30">
        <f t="shared" si="13"/>
        <v>0.67531587090335976</v>
      </c>
      <c r="Y8" s="30">
        <f t="shared" si="14"/>
        <v>0.67531587090335976</v>
      </c>
      <c r="Z8" s="31" t="str">
        <f t="shared" si="15"/>
        <v xml:space="preserve"> </v>
      </c>
      <c r="AA8" s="29">
        <f t="shared" si="16"/>
        <v>3038.9214190651187</v>
      </c>
      <c r="AB8" s="29">
        <f t="shared" si="17"/>
        <v>0</v>
      </c>
      <c r="AC8" s="29">
        <f t="shared" si="18"/>
        <v>4500</v>
      </c>
      <c r="AD8" s="29">
        <f t="shared" si="19"/>
        <v>0</v>
      </c>
      <c r="AE8" s="29">
        <f t="shared" si="20"/>
        <v>0</v>
      </c>
      <c r="AF8" s="30">
        <f t="shared" si="21"/>
        <v>0.67531587090335976</v>
      </c>
      <c r="AG8" s="30">
        <f t="shared" si="22"/>
        <v>0.67531587090335976</v>
      </c>
      <c r="AH8" s="30" t="str">
        <f t="shared" si="23"/>
        <v xml:space="preserve"> </v>
      </c>
      <c r="AI8" s="32">
        <f t="shared" si="24"/>
        <v>1</v>
      </c>
      <c r="AJ8" s="32">
        <f t="shared" si="25"/>
        <v>1</v>
      </c>
      <c r="AK8" s="32">
        <f t="shared" si="26"/>
        <v>0</v>
      </c>
      <c r="AL8" s="32">
        <f t="shared" si="27"/>
        <v>0</v>
      </c>
      <c r="AM8" s="33">
        <f t="shared" si="28"/>
        <v>737.99999999999989</v>
      </c>
      <c r="AN8" s="32">
        <f t="shared" si="1"/>
        <v>1.4205711145022025E-3</v>
      </c>
      <c r="AO8" s="27">
        <v>0.52</v>
      </c>
      <c r="AP8" s="30">
        <f t="shared" si="29"/>
        <v>0.67531587090335965</v>
      </c>
      <c r="AQ8" s="33">
        <f t="shared" si="30"/>
        <v>383.75999999999993</v>
      </c>
      <c r="AR8" s="27">
        <v>0</v>
      </c>
      <c r="AS8" s="33">
        <f t="shared" si="31"/>
        <v>0</v>
      </c>
      <c r="AT8" s="33">
        <f t="shared" si="2"/>
        <v>0</v>
      </c>
      <c r="AU8" s="30" t="str">
        <f t="shared" si="32"/>
        <v xml:space="preserve"> </v>
      </c>
      <c r="AV8" s="33">
        <f t="shared" si="3"/>
        <v>0</v>
      </c>
      <c r="AW8" s="33">
        <f t="shared" si="4"/>
        <v>0</v>
      </c>
      <c r="AX8" s="33">
        <f t="shared" si="5"/>
        <v>0</v>
      </c>
      <c r="AY8" s="30" t="str">
        <f t="shared" si="33"/>
        <v xml:space="preserve"> </v>
      </c>
      <c r="AZ8" s="33">
        <f t="shared" si="6"/>
        <v>0</v>
      </c>
      <c r="BB8" s="50">
        <f t="shared" si="34"/>
        <v>0</v>
      </c>
      <c r="BD8" s="50">
        <f t="shared" si="35"/>
        <v>0</v>
      </c>
      <c r="BE8" s="50">
        <f t="shared" si="36"/>
        <v>0</v>
      </c>
    </row>
    <row r="9" spans="1:57">
      <c r="A9" s="77" t="s">
        <v>255</v>
      </c>
      <c r="B9" s="68" t="s">
        <v>254</v>
      </c>
      <c r="C9" s="67">
        <v>12</v>
      </c>
      <c r="D9" s="78" t="str">
        <f>D$1</f>
        <v>y</v>
      </c>
      <c r="E9" s="69">
        <v>379</v>
      </c>
      <c r="F9" s="69">
        <f t="shared" si="7"/>
        <v>379</v>
      </c>
      <c r="G9" s="70" t="s">
        <v>67</v>
      </c>
      <c r="H9" s="71">
        <v>50</v>
      </c>
      <c r="I9" s="72">
        <v>0</v>
      </c>
      <c r="J9" s="72">
        <v>0</v>
      </c>
      <c r="K9" s="73">
        <v>6.4</v>
      </c>
      <c r="L9" s="74">
        <v>0</v>
      </c>
      <c r="M9" s="75">
        <v>0</v>
      </c>
      <c r="N9" s="75">
        <v>0</v>
      </c>
      <c r="O9" s="72">
        <v>0</v>
      </c>
      <c r="P9" s="28">
        <f t="shared" si="8"/>
        <v>1</v>
      </c>
      <c r="Q9" s="28">
        <f t="shared" si="9"/>
        <v>1</v>
      </c>
      <c r="R9" s="36">
        <f>(VLOOKUP(C9,ACs!G$4:P$53,8)*(1-L9)*K9*F9)+(VLOOKUP(C9,ACs!G$4:P$53,9)*(L9)*K9*F9)</f>
        <v>9988.0864418487163</v>
      </c>
      <c r="S9" s="36">
        <f>VLOOKUP(C9,ACs!G$4:P$53,10)*Residential!F9*Residential!M9</f>
        <v>0</v>
      </c>
      <c r="T9" s="36">
        <f t="shared" si="0"/>
        <v>0</v>
      </c>
      <c r="U9" s="36">
        <f t="shared" si="10"/>
        <v>18950</v>
      </c>
      <c r="V9" s="36">
        <f t="shared" si="11"/>
        <v>0</v>
      </c>
      <c r="W9" s="36">
        <f t="shared" si="12"/>
        <v>0</v>
      </c>
      <c r="X9" s="30">
        <f t="shared" si="13"/>
        <v>0.52707580168067103</v>
      </c>
      <c r="Y9" s="30">
        <f t="shared" si="14"/>
        <v>0.52707580168067103</v>
      </c>
      <c r="Z9" s="31" t="str">
        <f t="shared" si="15"/>
        <v xml:space="preserve"> </v>
      </c>
      <c r="AA9" s="29">
        <f t="shared" si="16"/>
        <v>9988.0864418487163</v>
      </c>
      <c r="AB9" s="29">
        <f t="shared" si="17"/>
        <v>0</v>
      </c>
      <c r="AC9" s="29">
        <f t="shared" si="18"/>
        <v>18950</v>
      </c>
      <c r="AD9" s="29">
        <f t="shared" si="19"/>
        <v>0</v>
      </c>
      <c r="AE9" s="29">
        <f t="shared" si="20"/>
        <v>0</v>
      </c>
      <c r="AF9" s="30">
        <f t="shared" si="21"/>
        <v>0.52707580168067103</v>
      </c>
      <c r="AG9" s="30">
        <f t="shared" si="22"/>
        <v>0.52707580168067103</v>
      </c>
      <c r="AH9" s="30" t="str">
        <f t="shared" si="23"/>
        <v xml:space="preserve"> </v>
      </c>
      <c r="AI9" s="32">
        <f t="shared" si="24"/>
        <v>1</v>
      </c>
      <c r="AJ9" s="32">
        <f t="shared" si="25"/>
        <v>1</v>
      </c>
      <c r="AK9" s="32">
        <f t="shared" si="26"/>
        <v>0</v>
      </c>
      <c r="AL9" s="32">
        <f t="shared" si="27"/>
        <v>0</v>
      </c>
      <c r="AM9" s="33">
        <f t="shared" si="28"/>
        <v>2425.6</v>
      </c>
      <c r="AN9" s="32">
        <f t="shared" si="1"/>
        <v>4.6690207253882688E-3</v>
      </c>
      <c r="AO9" s="27">
        <v>0.52</v>
      </c>
      <c r="AP9" s="30">
        <f t="shared" si="29"/>
        <v>0.52707580168067103</v>
      </c>
      <c r="AQ9" s="33">
        <f t="shared" si="30"/>
        <v>1261.3119999999999</v>
      </c>
      <c r="AR9" s="27">
        <v>0</v>
      </c>
      <c r="AS9" s="33">
        <f t="shared" si="31"/>
        <v>0</v>
      </c>
      <c r="AT9" s="33">
        <f t="shared" si="2"/>
        <v>0</v>
      </c>
      <c r="AU9" s="30" t="str">
        <f t="shared" si="32"/>
        <v xml:space="preserve"> </v>
      </c>
      <c r="AV9" s="33">
        <f t="shared" si="3"/>
        <v>0</v>
      </c>
      <c r="AW9" s="33">
        <f t="shared" si="4"/>
        <v>0</v>
      </c>
      <c r="AX9" s="33">
        <f t="shared" si="5"/>
        <v>0</v>
      </c>
      <c r="AY9" s="30" t="str">
        <f t="shared" si="33"/>
        <v xml:space="preserve"> </v>
      </c>
      <c r="AZ9" s="33">
        <f t="shared" si="6"/>
        <v>0</v>
      </c>
      <c r="BB9" s="50">
        <f t="shared" si="34"/>
        <v>0</v>
      </c>
      <c r="BD9" s="50">
        <f t="shared" si="35"/>
        <v>0</v>
      </c>
      <c r="BE9" s="50">
        <f t="shared" si="36"/>
        <v>0</v>
      </c>
    </row>
    <row r="10" spans="1:57">
      <c r="A10" s="77" t="s">
        <v>256</v>
      </c>
      <c r="B10" s="68" t="s">
        <v>257</v>
      </c>
      <c r="C10" s="67">
        <v>20</v>
      </c>
      <c r="D10" s="78" t="str">
        <f>D$1</f>
        <v>y</v>
      </c>
      <c r="E10" s="69">
        <f>1265000*(2/3)</f>
        <v>843333.33333333326</v>
      </c>
      <c r="F10" s="69">
        <f t="shared" si="7"/>
        <v>843333.33333333326</v>
      </c>
      <c r="G10" s="70" t="s">
        <v>206</v>
      </c>
      <c r="H10" s="71">
        <v>0.75</v>
      </c>
      <c r="I10" s="72">
        <v>0</v>
      </c>
      <c r="J10" s="72">
        <v>0</v>
      </c>
      <c r="K10" s="73">
        <v>0.06</v>
      </c>
      <c r="L10" s="74">
        <v>1</v>
      </c>
      <c r="M10" s="73">
        <v>0.1</v>
      </c>
      <c r="N10" s="75">
        <v>0</v>
      </c>
      <c r="O10" s="72">
        <v>0</v>
      </c>
      <c r="P10" s="28">
        <f t="shared" si="8"/>
        <v>0.9461782284389636</v>
      </c>
      <c r="Q10" s="28">
        <f t="shared" si="9"/>
        <v>0.83540720849356176</v>
      </c>
      <c r="R10" s="36">
        <f>(VLOOKUP(C10,ACs!G$4:P$53,8)*(1-L10)*K10*F10)+(VLOOKUP(C10,ACs!G$4:P$53,9)*(L10)*K10*F10)</f>
        <v>316236.80606323044</v>
      </c>
      <c r="S10" s="36">
        <f>VLOOKUP(C10,ACs!G$4:P$53,10)*Residential!F10*Residential!M10</f>
        <v>62305.302321829746</v>
      </c>
      <c r="T10" s="36">
        <f t="shared" si="0"/>
        <v>0</v>
      </c>
      <c r="U10" s="36">
        <f t="shared" si="10"/>
        <v>632500</v>
      </c>
      <c r="V10" s="36">
        <f t="shared" si="11"/>
        <v>0</v>
      </c>
      <c r="W10" s="36">
        <f t="shared" si="12"/>
        <v>0</v>
      </c>
      <c r="X10" s="30">
        <f t="shared" si="13"/>
        <v>0.59848554685385014</v>
      </c>
      <c r="Y10" s="30">
        <f t="shared" si="14"/>
        <v>0.59848554685385014</v>
      </c>
      <c r="Z10" s="31" t="str">
        <f t="shared" si="15"/>
        <v xml:space="preserve"> </v>
      </c>
      <c r="AA10" s="29">
        <f t="shared" si="16"/>
        <v>316236.80606323044</v>
      </c>
      <c r="AB10" s="29">
        <f t="shared" si="17"/>
        <v>0</v>
      </c>
      <c r="AC10" s="29">
        <f t="shared" si="18"/>
        <v>528395.0593721777</v>
      </c>
      <c r="AD10" s="29">
        <f t="shared" si="19"/>
        <v>0</v>
      </c>
      <c r="AE10" s="29">
        <f t="shared" si="20"/>
        <v>0</v>
      </c>
      <c r="AF10" s="30">
        <f t="shared" si="21"/>
        <v>0.59848554685385025</v>
      </c>
      <c r="AG10" s="30">
        <f t="shared" si="22"/>
        <v>0.59848554685385025</v>
      </c>
      <c r="AH10" s="30" t="str">
        <f t="shared" si="23"/>
        <v xml:space="preserve"> </v>
      </c>
      <c r="AI10" s="32">
        <f t="shared" si="24"/>
        <v>1</v>
      </c>
      <c r="AJ10" s="32">
        <f t="shared" si="25"/>
        <v>1</v>
      </c>
      <c r="AK10" s="32">
        <f t="shared" si="26"/>
        <v>0</v>
      </c>
      <c r="AL10" s="32">
        <f t="shared" si="27"/>
        <v>0</v>
      </c>
      <c r="AM10" s="33">
        <f t="shared" si="28"/>
        <v>50599.999999999993</v>
      </c>
      <c r="AN10" s="32">
        <f t="shared" si="1"/>
        <v>9.7399591319527704E-2</v>
      </c>
      <c r="AO10" s="27">
        <v>0.63800000000000001</v>
      </c>
      <c r="AP10" s="30">
        <f t="shared" si="29"/>
        <v>0.59848554685385025</v>
      </c>
      <c r="AQ10" s="33">
        <f t="shared" si="30"/>
        <v>32282.799999999996</v>
      </c>
      <c r="AR10" s="27">
        <v>0</v>
      </c>
      <c r="AS10" s="33">
        <f t="shared" si="31"/>
        <v>0</v>
      </c>
      <c r="AT10" s="33">
        <f t="shared" si="2"/>
        <v>0</v>
      </c>
      <c r="AU10" s="30" t="str">
        <f t="shared" si="32"/>
        <v xml:space="preserve"> </v>
      </c>
      <c r="AV10" s="33">
        <f t="shared" si="3"/>
        <v>0</v>
      </c>
      <c r="AW10" s="33">
        <f t="shared" si="4"/>
        <v>0</v>
      </c>
      <c r="AX10" s="33">
        <f t="shared" si="5"/>
        <v>0</v>
      </c>
      <c r="AY10" s="30" t="str">
        <f t="shared" si="33"/>
        <v xml:space="preserve"> </v>
      </c>
      <c r="AZ10" s="33">
        <f t="shared" si="6"/>
        <v>0</v>
      </c>
      <c r="BB10" s="50">
        <f t="shared" si="34"/>
        <v>0</v>
      </c>
      <c r="BD10" s="50">
        <f t="shared" si="35"/>
        <v>0</v>
      </c>
      <c r="BE10" s="50">
        <f t="shared" si="36"/>
        <v>0</v>
      </c>
    </row>
    <row r="11" spans="1:57">
      <c r="A11" s="79" t="s">
        <v>258</v>
      </c>
      <c r="B11" s="80" t="s">
        <v>257</v>
      </c>
      <c r="C11" s="79">
        <v>20</v>
      </c>
      <c r="D11" s="79" t="s">
        <v>199</v>
      </c>
      <c r="E11" s="81">
        <f>1265000*((1/3)*0.5)</f>
        <v>210833.33333333331</v>
      </c>
      <c r="F11" s="81">
        <f t="shared" si="7"/>
        <v>210833.33333333331</v>
      </c>
      <c r="G11" s="82" t="s">
        <v>206</v>
      </c>
      <c r="H11" s="83">
        <v>0.75</v>
      </c>
      <c r="I11" s="84">
        <v>0</v>
      </c>
      <c r="J11" s="84">
        <v>0</v>
      </c>
      <c r="K11" s="85">
        <v>0.09</v>
      </c>
      <c r="L11" s="86">
        <v>1</v>
      </c>
      <c r="M11" s="85">
        <v>0.1</v>
      </c>
      <c r="N11" s="75">
        <v>0</v>
      </c>
      <c r="O11" s="72">
        <v>0.25</v>
      </c>
      <c r="P11" s="28">
        <f>IF(K11=0,0,(K11*100000)/((K11*100000)+(M11*3413)))</f>
        <v>0.96346332951516389</v>
      </c>
      <c r="Q11" s="28">
        <f>IF(R11+S11=0,0,R11/(R11+S11))</f>
        <v>0.8839018317979902</v>
      </c>
      <c r="R11" s="36">
        <f>(VLOOKUP(C11,ACs!G$4:P$53,8)*(1-L11)*K11*F11)+(VLOOKUP(C11,ACs!G$4:P$53,9)*(L11)*K11*F11)</f>
        <v>118588.80227371144</v>
      </c>
      <c r="S11" s="36">
        <f>VLOOKUP(C11,ACs!G$4:P$53,10)*Residential!F11*Residential!M11</f>
        <v>15576.325580457436</v>
      </c>
      <c r="T11" s="36">
        <f t="shared" si="0"/>
        <v>0</v>
      </c>
      <c r="U11" s="36">
        <f>F11*H11</f>
        <v>158125</v>
      </c>
      <c r="V11" s="36">
        <f>N11*F11</f>
        <v>0</v>
      </c>
      <c r="W11" s="36">
        <f>F11*O11</f>
        <v>52708.333333333328</v>
      </c>
      <c r="X11" s="30">
        <f>IF(U11=0," ",(R11+S11+T11)/(U11+V11))</f>
        <v>0.8484751168643091</v>
      </c>
      <c r="Y11" s="30">
        <f>IF(U11=0," ",(R11+S11)/(U11+V11))</f>
        <v>0.8484751168643091</v>
      </c>
      <c r="Z11" s="31">
        <f>IF(W11=0," ",(R11+S11)/(W11+V11))</f>
        <v>2.5454253505929274</v>
      </c>
      <c r="AA11" s="29">
        <f t="shared" si="16"/>
        <v>118588.80227371144</v>
      </c>
      <c r="AB11" s="29">
        <f>Q11*T11</f>
        <v>0</v>
      </c>
      <c r="AC11" s="29">
        <f>Q11*H11*F11</f>
        <v>139766.97715305717</v>
      </c>
      <c r="AD11" s="29">
        <f>V11*Q11</f>
        <v>0</v>
      </c>
      <c r="AE11" s="29">
        <f>F11*O11*Q11</f>
        <v>46588.992384352394</v>
      </c>
      <c r="AF11" s="30">
        <f>IF(AC11=0," ",(AA11+AB11)/(AC11+AD11))</f>
        <v>0.84847511686430932</v>
      </c>
      <c r="AG11" s="30">
        <f>IF(AC11=0," ",(AA11)/(AC11+AD11))</f>
        <v>0.84847511686430932</v>
      </c>
      <c r="AH11" s="30">
        <f>IF(AE11=0," ",(AA11/(AE11+AD11)))</f>
        <v>2.5454253505929278</v>
      </c>
      <c r="AI11" s="32">
        <f>IF(AA11+AB11=0," ",(AA11/(AA11+AB11)))</f>
        <v>1</v>
      </c>
      <c r="AJ11" s="32">
        <f>IF(R11+S11+T11=0," ",(R11+S11)/(R11+S11+T11))</f>
        <v>1</v>
      </c>
      <c r="AK11" s="32">
        <f>IF(AA11=0," ",AE11/AA11)</f>
        <v>0.39286164874843466</v>
      </c>
      <c r="AL11" s="32">
        <f>IF(R11+S11=0," ",W11/(R11+S11))</f>
        <v>0.39286164874843471</v>
      </c>
      <c r="AM11" s="33">
        <f>F11*K11</f>
        <v>18974.999999999996</v>
      </c>
      <c r="AN11" s="32">
        <f t="shared" si="1"/>
        <v>3.6524846744822884E-2</v>
      </c>
      <c r="AO11" s="27">
        <v>0.63800000000000001</v>
      </c>
      <c r="AP11" s="30">
        <f t="shared" si="29"/>
        <v>0.84847511686430932</v>
      </c>
      <c r="AQ11" s="33">
        <f t="shared" si="30"/>
        <v>12106.049999999997</v>
      </c>
      <c r="AR11" s="27">
        <v>1</v>
      </c>
      <c r="AS11" s="33">
        <f>((AA11)+AB11)*AR11</f>
        <v>118588.80227371144</v>
      </c>
      <c r="AT11" s="33">
        <f t="shared" si="2"/>
        <v>139766.97715305717</v>
      </c>
      <c r="AU11" s="30">
        <f t="shared" si="32"/>
        <v>0.84847511686430932</v>
      </c>
      <c r="AV11" s="33">
        <f t="shared" si="3"/>
        <v>18974.999999999996</v>
      </c>
      <c r="AW11" s="33">
        <f t="shared" si="4"/>
        <v>75659.655850627896</v>
      </c>
      <c r="AX11" s="33">
        <f t="shared" si="5"/>
        <v>89171.331423650481</v>
      </c>
      <c r="AY11" s="30">
        <f t="shared" si="33"/>
        <v>0.84847511686430932</v>
      </c>
      <c r="AZ11" s="33">
        <f t="shared" si="6"/>
        <v>12106.049999999997</v>
      </c>
      <c r="BB11" s="50">
        <f t="shared" si="34"/>
        <v>118588.80227371144</v>
      </c>
      <c r="BD11" s="50">
        <f t="shared" si="35"/>
        <v>118588.80227371144</v>
      </c>
      <c r="BE11" s="50">
        <f t="shared" si="36"/>
        <v>0</v>
      </c>
    </row>
    <row r="12" spans="1:57">
      <c r="A12" s="67" t="s">
        <v>259</v>
      </c>
      <c r="B12" s="68" t="s">
        <v>257</v>
      </c>
      <c r="C12" s="67">
        <v>20</v>
      </c>
      <c r="D12" s="67" t="s">
        <v>199</v>
      </c>
      <c r="E12" s="69">
        <f>137500*((0.8*(1/3)+2/3))</f>
        <v>128333.33333333333</v>
      </c>
      <c r="F12" s="69">
        <f t="shared" si="7"/>
        <v>128333.33333333333</v>
      </c>
      <c r="G12" s="70" t="s">
        <v>206</v>
      </c>
      <c r="H12" s="71">
        <v>0.65</v>
      </c>
      <c r="I12" s="72">
        <v>0</v>
      </c>
      <c r="J12" s="72">
        <v>0</v>
      </c>
      <c r="K12" s="73">
        <v>0.31</v>
      </c>
      <c r="L12" s="74">
        <v>1</v>
      </c>
      <c r="M12" s="73">
        <v>0.5</v>
      </c>
      <c r="N12" s="75">
        <v>0</v>
      </c>
      <c r="O12" s="72">
        <v>0.5</v>
      </c>
      <c r="P12" s="28">
        <f t="shared" si="8"/>
        <v>0.94782382706801405</v>
      </c>
      <c r="Q12" s="28">
        <f t="shared" si="9"/>
        <v>0.83986643303244457</v>
      </c>
      <c r="R12" s="36">
        <f>(VLOOKUP(C12,ACs!G$4:P$53,8)*(1-L12)*K12*F12)+(VLOOKUP(C12,ACs!G$4:P$53,9)*(L12)*K12*F12)</f>
        <v>248635.45983956891</v>
      </c>
      <c r="S12" s="36">
        <f>VLOOKUP(C12,ACs!G$4:P$53,10)*Residential!F12*Residential!M12</f>
        <v>47406.208288348716</v>
      </c>
      <c r="T12" s="36">
        <f t="shared" si="0"/>
        <v>0</v>
      </c>
      <c r="U12" s="36">
        <f t="shared" si="10"/>
        <v>83416.666666666672</v>
      </c>
      <c r="V12" s="36">
        <f t="shared" si="11"/>
        <v>0</v>
      </c>
      <c r="W12" s="36">
        <f t="shared" si="12"/>
        <v>64166.666666666664</v>
      </c>
      <c r="X12" s="30">
        <f t="shared" si="13"/>
        <v>3.5489510664685429</v>
      </c>
      <c r="Y12" s="30">
        <f t="shared" si="14"/>
        <v>3.5489510664685429</v>
      </c>
      <c r="Z12" s="31">
        <f t="shared" si="15"/>
        <v>4.6136363864091061</v>
      </c>
      <c r="AA12" s="29">
        <f t="shared" si="16"/>
        <v>248635.45983956891</v>
      </c>
      <c r="AB12" s="29">
        <f t="shared" si="17"/>
        <v>0</v>
      </c>
      <c r="AC12" s="29">
        <f t="shared" si="18"/>
        <v>70058.85828878975</v>
      </c>
      <c r="AD12" s="29">
        <f t="shared" si="19"/>
        <v>0</v>
      </c>
      <c r="AE12" s="29">
        <f t="shared" si="20"/>
        <v>53891.429452915188</v>
      </c>
      <c r="AF12" s="30">
        <f t="shared" si="21"/>
        <v>3.5489510664685429</v>
      </c>
      <c r="AG12" s="30">
        <f t="shared" si="22"/>
        <v>3.5489510664685429</v>
      </c>
      <c r="AH12" s="30">
        <f t="shared" si="23"/>
        <v>4.6136363864091061</v>
      </c>
      <c r="AI12" s="32">
        <f t="shared" si="24"/>
        <v>1</v>
      </c>
      <c r="AJ12" s="32">
        <f t="shared" si="25"/>
        <v>1</v>
      </c>
      <c r="AK12" s="32">
        <f t="shared" si="26"/>
        <v>0.2167487674030423</v>
      </c>
      <c r="AL12" s="32">
        <f t="shared" si="27"/>
        <v>0.21674876740304233</v>
      </c>
      <c r="AM12" s="33">
        <f t="shared" si="28"/>
        <v>39783.333333333328</v>
      </c>
      <c r="AN12" s="32">
        <f t="shared" si="1"/>
        <v>7.6578664189628665E-2</v>
      </c>
      <c r="AO12" s="27">
        <v>0.63800000000000001</v>
      </c>
      <c r="AP12" s="30">
        <f t="shared" si="29"/>
        <v>3.5489510664685429</v>
      </c>
      <c r="AQ12" s="33">
        <f t="shared" si="30"/>
        <v>25381.766666666663</v>
      </c>
      <c r="AR12" s="27">
        <v>0.75</v>
      </c>
      <c r="AS12" s="33">
        <f t="shared" si="31"/>
        <v>186476.59487967668</v>
      </c>
      <c r="AT12" s="33">
        <f t="shared" si="2"/>
        <v>52544.143716592313</v>
      </c>
      <c r="AU12" s="30">
        <f t="shared" si="32"/>
        <v>3.5489510664685429</v>
      </c>
      <c r="AV12" s="33">
        <f t="shared" si="3"/>
        <v>29837.499999999996</v>
      </c>
      <c r="AW12" s="33">
        <f t="shared" si="4"/>
        <v>118972.06753323373</v>
      </c>
      <c r="AX12" s="33">
        <f t="shared" si="5"/>
        <v>33523.163691185895</v>
      </c>
      <c r="AY12" s="30">
        <f t="shared" si="33"/>
        <v>3.5489510664685433</v>
      </c>
      <c r="AZ12" s="33">
        <f t="shared" si="6"/>
        <v>19036.324999999997</v>
      </c>
      <c r="BB12" s="50">
        <f t="shared" si="34"/>
        <v>186476.59487967668</v>
      </c>
      <c r="BD12" s="50">
        <f t="shared" si="35"/>
        <v>186476.59487967668</v>
      </c>
      <c r="BE12" s="50">
        <f t="shared" si="36"/>
        <v>0</v>
      </c>
    </row>
    <row r="13" spans="1:57">
      <c r="A13" s="67" t="s">
        <v>260</v>
      </c>
      <c r="B13" s="68" t="s">
        <v>257</v>
      </c>
      <c r="C13" s="67">
        <v>20</v>
      </c>
      <c r="D13" s="67" t="s">
        <v>199</v>
      </c>
      <c r="E13" s="69">
        <f>76000*((0.8*(1/3)+2/3))</f>
        <v>70933.333333333328</v>
      </c>
      <c r="F13" s="69">
        <f t="shared" si="7"/>
        <v>70933.333333333328</v>
      </c>
      <c r="G13" s="70" t="s">
        <v>206</v>
      </c>
      <c r="H13" s="71">
        <v>1</v>
      </c>
      <c r="I13" s="72">
        <v>0</v>
      </c>
      <c r="J13" s="72">
        <v>0</v>
      </c>
      <c r="K13" s="73">
        <v>0.31</v>
      </c>
      <c r="L13" s="74">
        <v>1</v>
      </c>
      <c r="M13" s="73">
        <v>0.5</v>
      </c>
      <c r="N13" s="75">
        <v>0</v>
      </c>
      <c r="O13" s="72">
        <v>0.5</v>
      </c>
      <c r="P13" s="28">
        <f t="shared" si="8"/>
        <v>0.94782382706801405</v>
      </c>
      <c r="Q13" s="28">
        <f t="shared" si="9"/>
        <v>0.83986643303244457</v>
      </c>
      <c r="R13" s="36">
        <f>(VLOOKUP(C13,ACs!G$4:P$53,8)*(1-L13)*K13*F13)+(VLOOKUP(C13,ACs!G$4:P$53,9)*(L13)*K13*F13)</f>
        <v>137427.59962041627</v>
      </c>
      <c r="S13" s="36">
        <f>VLOOKUP(C13,ACs!G$4:P$53,10)*Residential!F13*Residential!M13</f>
        <v>26202.704217560018</v>
      </c>
      <c r="T13" s="36">
        <f t="shared" si="0"/>
        <v>0</v>
      </c>
      <c r="U13" s="36">
        <f t="shared" si="10"/>
        <v>70933.333333333328</v>
      </c>
      <c r="V13" s="36">
        <f t="shared" si="11"/>
        <v>0</v>
      </c>
      <c r="W13" s="36">
        <f t="shared" si="12"/>
        <v>35466.666666666664</v>
      </c>
      <c r="X13" s="30">
        <f t="shared" si="13"/>
        <v>2.3068181932045531</v>
      </c>
      <c r="Y13" s="30">
        <f t="shared" si="14"/>
        <v>2.3068181932045531</v>
      </c>
      <c r="Z13" s="31">
        <f t="shared" si="15"/>
        <v>4.6136363864091061</v>
      </c>
      <c r="AA13" s="29">
        <f t="shared" si="16"/>
        <v>137427.59962041627</v>
      </c>
      <c r="AB13" s="29">
        <f t="shared" si="17"/>
        <v>0</v>
      </c>
      <c r="AC13" s="29">
        <f t="shared" si="18"/>
        <v>59574.525649768068</v>
      </c>
      <c r="AD13" s="29">
        <f t="shared" si="19"/>
        <v>0</v>
      </c>
      <c r="AE13" s="29">
        <f t="shared" si="20"/>
        <v>29787.262824884034</v>
      </c>
      <c r="AF13" s="30">
        <f t="shared" si="21"/>
        <v>2.3068181932045531</v>
      </c>
      <c r="AG13" s="30">
        <f t="shared" si="22"/>
        <v>2.3068181932045531</v>
      </c>
      <c r="AH13" s="30">
        <f t="shared" si="23"/>
        <v>4.6136363864091061</v>
      </c>
      <c r="AI13" s="32">
        <f t="shared" si="24"/>
        <v>1</v>
      </c>
      <c r="AJ13" s="32">
        <f t="shared" si="25"/>
        <v>1</v>
      </c>
      <c r="AK13" s="32">
        <f t="shared" si="26"/>
        <v>0.21674876740304233</v>
      </c>
      <c r="AL13" s="32">
        <f t="shared" si="27"/>
        <v>0.21674876740304233</v>
      </c>
      <c r="AM13" s="33">
        <f t="shared" si="28"/>
        <v>21989.333333333332</v>
      </c>
      <c r="AN13" s="32">
        <f t="shared" si="1"/>
        <v>4.232711620663112E-2</v>
      </c>
      <c r="AO13" s="27">
        <v>0.63800000000000001</v>
      </c>
      <c r="AP13" s="30">
        <f t="shared" si="29"/>
        <v>2.3068181932045531</v>
      </c>
      <c r="AQ13" s="33">
        <f t="shared" si="30"/>
        <v>14029.194666666666</v>
      </c>
      <c r="AR13" s="27">
        <v>0.75</v>
      </c>
      <c r="AS13" s="33">
        <f t="shared" si="31"/>
        <v>103070.69971531219</v>
      </c>
      <c r="AT13" s="33">
        <f t="shared" si="2"/>
        <v>44680.894237326051</v>
      </c>
      <c r="AU13" s="30">
        <f t="shared" si="32"/>
        <v>2.3068181932045526</v>
      </c>
      <c r="AV13" s="33">
        <f t="shared" si="3"/>
        <v>16492</v>
      </c>
      <c r="AW13" s="33">
        <f t="shared" si="4"/>
        <v>65759.106418369178</v>
      </c>
      <c r="AX13" s="33">
        <f t="shared" si="5"/>
        <v>28506.410523414022</v>
      </c>
      <c r="AY13" s="30">
        <f t="shared" si="33"/>
        <v>2.3068181932045526</v>
      </c>
      <c r="AZ13" s="33">
        <f t="shared" si="6"/>
        <v>10521.896000000001</v>
      </c>
      <c r="BB13" s="50">
        <f t="shared" si="34"/>
        <v>103070.69971531219</v>
      </c>
      <c r="BD13" s="50">
        <f t="shared" si="35"/>
        <v>103070.69971531219</v>
      </c>
      <c r="BE13" s="50">
        <f t="shared" si="36"/>
        <v>0</v>
      </c>
    </row>
    <row r="14" spans="1:57">
      <c r="A14" s="67" t="s">
        <v>261</v>
      </c>
      <c r="B14" s="68" t="s">
        <v>262</v>
      </c>
      <c r="C14" s="67">
        <v>14</v>
      </c>
      <c r="D14" s="67" t="s">
        <v>199</v>
      </c>
      <c r="E14" s="69">
        <v>1767</v>
      </c>
      <c r="F14" s="69">
        <f t="shared" si="7"/>
        <v>1767</v>
      </c>
      <c r="G14" s="70" t="s">
        <v>67</v>
      </c>
      <c r="H14" s="71">
        <v>33</v>
      </c>
      <c r="I14" s="72">
        <v>0</v>
      </c>
      <c r="J14" s="87">
        <f>G39+H39</f>
        <v>0</v>
      </c>
      <c r="K14" s="73">
        <v>14.8</v>
      </c>
      <c r="L14" s="74">
        <v>0</v>
      </c>
      <c r="M14" s="88">
        <v>0</v>
      </c>
      <c r="N14" s="75">
        <v>0</v>
      </c>
      <c r="O14" s="72">
        <v>25</v>
      </c>
      <c r="P14" s="28">
        <f t="shared" si="8"/>
        <v>1</v>
      </c>
      <c r="Q14" s="28">
        <f t="shared" si="9"/>
        <v>1</v>
      </c>
      <c r="R14" s="36">
        <f>(VLOOKUP(C14,ACs!G$4:P$53,8)*(1-L14)*K14*F14)+(VLOOKUP(C14,ACs!G$4:P$53,9)*(L14)*K14*F14)</f>
        <v>122125.00997708745</v>
      </c>
      <c r="S14" s="36">
        <f>VLOOKUP(C14,ACs!G$4:P$53,10)*Residential!F14*Residential!M14</f>
        <v>0</v>
      </c>
      <c r="T14" s="298">
        <f t="shared" si="0"/>
        <v>0</v>
      </c>
      <c r="U14" s="36">
        <f t="shared" si="10"/>
        <v>58311</v>
      </c>
      <c r="V14" s="36">
        <f t="shared" si="11"/>
        <v>0</v>
      </c>
      <c r="W14" s="36">
        <f t="shared" si="12"/>
        <v>44175</v>
      </c>
      <c r="X14" s="30">
        <f t="shared" si="13"/>
        <v>2.0943734454406107</v>
      </c>
      <c r="Y14" s="30">
        <f t="shared" si="14"/>
        <v>2.0943734454406107</v>
      </c>
      <c r="Z14" s="31">
        <f t="shared" si="15"/>
        <v>2.7645729479816064</v>
      </c>
      <c r="AA14" s="29">
        <f t="shared" si="16"/>
        <v>122125.00997708745</v>
      </c>
      <c r="AB14" s="29">
        <f t="shared" si="17"/>
        <v>0</v>
      </c>
      <c r="AC14" s="29">
        <f t="shared" si="18"/>
        <v>58311</v>
      </c>
      <c r="AD14" s="29">
        <f t="shared" si="19"/>
        <v>0</v>
      </c>
      <c r="AE14" s="29">
        <f t="shared" si="20"/>
        <v>44175</v>
      </c>
      <c r="AF14" s="30">
        <f t="shared" si="21"/>
        <v>2.0943734454406107</v>
      </c>
      <c r="AG14" s="30">
        <f t="shared" si="22"/>
        <v>2.0943734454406107</v>
      </c>
      <c r="AH14" s="30">
        <f t="shared" si="23"/>
        <v>2.7645729479816064</v>
      </c>
      <c r="AI14" s="32">
        <f t="shared" si="24"/>
        <v>1</v>
      </c>
      <c r="AJ14" s="32">
        <f t="shared" si="25"/>
        <v>1</v>
      </c>
      <c r="AK14" s="32">
        <f t="shared" si="26"/>
        <v>0.3617195200908308</v>
      </c>
      <c r="AL14" s="32">
        <f t="shared" si="27"/>
        <v>0.3617195200908308</v>
      </c>
      <c r="AM14" s="33">
        <f t="shared" si="28"/>
        <v>26151.600000000002</v>
      </c>
      <c r="AN14" s="32">
        <f t="shared" si="1"/>
        <v>5.0339034631457731E-2</v>
      </c>
      <c r="AO14" s="27">
        <v>0.35</v>
      </c>
      <c r="AP14" s="30">
        <f t="shared" si="29"/>
        <v>2.0943734454406107</v>
      </c>
      <c r="AQ14" s="33">
        <f t="shared" si="30"/>
        <v>9153.06</v>
      </c>
      <c r="AR14" s="27">
        <v>1</v>
      </c>
      <c r="AS14" s="33">
        <f t="shared" si="31"/>
        <v>122125.00997708745</v>
      </c>
      <c r="AT14" s="33">
        <f t="shared" si="2"/>
        <v>58311</v>
      </c>
      <c r="AU14" s="30">
        <f t="shared" si="32"/>
        <v>2.0943734454406107</v>
      </c>
      <c r="AV14" s="33">
        <f t="shared" si="3"/>
        <v>26151.600000000002</v>
      </c>
      <c r="AW14" s="33">
        <f t="shared" si="4"/>
        <v>42743.753491980606</v>
      </c>
      <c r="AX14" s="33">
        <f t="shared" si="5"/>
        <v>20408.849999999999</v>
      </c>
      <c r="AY14" s="30">
        <f t="shared" si="33"/>
        <v>2.0943734454406107</v>
      </c>
      <c r="AZ14" s="33">
        <f t="shared" si="6"/>
        <v>9153.06</v>
      </c>
      <c r="BB14" s="50">
        <f t="shared" si="34"/>
        <v>122125.00997708745</v>
      </c>
      <c r="BD14" s="50">
        <f t="shared" si="35"/>
        <v>122125.00997708745</v>
      </c>
      <c r="BE14" s="50">
        <f t="shared" si="36"/>
        <v>0</v>
      </c>
    </row>
    <row r="15" spans="1:57">
      <c r="A15" s="89" t="s">
        <v>263</v>
      </c>
      <c r="B15" s="68" t="s">
        <v>262</v>
      </c>
      <c r="C15" s="67">
        <v>9</v>
      </c>
      <c r="D15" s="67" t="s">
        <v>199</v>
      </c>
      <c r="E15" s="69">
        <v>1233</v>
      </c>
      <c r="F15" s="69">
        <f t="shared" si="7"/>
        <v>1233</v>
      </c>
      <c r="G15" s="70" t="s">
        <v>67</v>
      </c>
      <c r="H15" s="71">
        <v>12</v>
      </c>
      <c r="I15" s="72">
        <v>0</v>
      </c>
      <c r="J15" s="87">
        <f>G40+H40</f>
        <v>0</v>
      </c>
      <c r="K15" s="73">
        <v>2.5</v>
      </c>
      <c r="L15" s="74">
        <v>0</v>
      </c>
      <c r="M15" s="75">
        <v>0</v>
      </c>
      <c r="N15" s="75">
        <v>0</v>
      </c>
      <c r="O15" s="72">
        <f>'[2]2012 Non-res prescriptive'!$N14</f>
        <v>0</v>
      </c>
      <c r="P15" s="28">
        <f t="shared" si="8"/>
        <v>1</v>
      </c>
      <c r="Q15" s="28">
        <f t="shared" si="9"/>
        <v>1</v>
      </c>
      <c r="R15" s="36">
        <f>(VLOOKUP(C15,ACs!G$4:P$53,8)*(1-L15)*K15*F15)+(VLOOKUP(C15,ACs!G$4:P$53,9)*(L15)*K15*F15)</f>
        <v>9782.6285823706639</v>
      </c>
      <c r="S15" s="36">
        <f>VLOOKUP(C15,ACs!G$4:P$53,10)*Residential!F15*Residential!M15</f>
        <v>0</v>
      </c>
      <c r="T15" s="36">
        <f t="shared" si="0"/>
        <v>0</v>
      </c>
      <c r="U15" s="36">
        <f t="shared" si="10"/>
        <v>14796</v>
      </c>
      <c r="V15" s="36">
        <f t="shared" si="11"/>
        <v>0</v>
      </c>
      <c r="W15" s="36">
        <f t="shared" si="12"/>
        <v>0</v>
      </c>
      <c r="X15" s="30">
        <f t="shared" si="13"/>
        <v>0.66116711154167773</v>
      </c>
      <c r="Y15" s="30">
        <f t="shared" si="14"/>
        <v>0.66116711154167773</v>
      </c>
      <c r="Z15" s="31" t="str">
        <f t="shared" si="15"/>
        <v xml:space="preserve"> </v>
      </c>
      <c r="AA15" s="29">
        <f t="shared" si="16"/>
        <v>9782.6285823706639</v>
      </c>
      <c r="AB15" s="29">
        <f t="shared" si="17"/>
        <v>0</v>
      </c>
      <c r="AC15" s="29">
        <f t="shared" si="18"/>
        <v>14796</v>
      </c>
      <c r="AD15" s="29">
        <f t="shared" si="19"/>
        <v>0</v>
      </c>
      <c r="AE15" s="29">
        <f t="shared" si="20"/>
        <v>0</v>
      </c>
      <c r="AF15" s="30">
        <f t="shared" si="21"/>
        <v>0.66116711154167773</v>
      </c>
      <c r="AG15" s="30">
        <f t="shared" si="22"/>
        <v>0.66116711154167773</v>
      </c>
      <c r="AH15" s="30" t="str">
        <f t="shared" si="23"/>
        <v xml:space="preserve"> </v>
      </c>
      <c r="AI15" s="32">
        <f t="shared" si="24"/>
        <v>1</v>
      </c>
      <c r="AJ15" s="32">
        <f t="shared" si="25"/>
        <v>1</v>
      </c>
      <c r="AK15" s="32">
        <f t="shared" si="26"/>
        <v>0</v>
      </c>
      <c r="AL15" s="32">
        <f t="shared" si="27"/>
        <v>0</v>
      </c>
      <c r="AM15" s="33">
        <f t="shared" si="28"/>
        <v>3082.5</v>
      </c>
      <c r="AN15" s="32">
        <f t="shared" si="1"/>
        <v>5.9334830087439559E-3</v>
      </c>
      <c r="AO15" s="27">
        <v>1</v>
      </c>
      <c r="AP15" s="30">
        <f t="shared" si="29"/>
        <v>0.66116711154167773</v>
      </c>
      <c r="AQ15" s="33">
        <f t="shared" si="30"/>
        <v>3082.5</v>
      </c>
      <c r="AR15" s="27">
        <v>0</v>
      </c>
      <c r="AS15" s="33">
        <f t="shared" si="31"/>
        <v>0</v>
      </c>
      <c r="AT15" s="33">
        <f t="shared" si="2"/>
        <v>0</v>
      </c>
      <c r="AU15" s="30" t="str">
        <f t="shared" si="32"/>
        <v xml:space="preserve"> </v>
      </c>
      <c r="AV15" s="33">
        <f t="shared" si="3"/>
        <v>0</v>
      </c>
      <c r="AW15" s="33">
        <f t="shared" si="4"/>
        <v>0</v>
      </c>
      <c r="AX15" s="33">
        <f t="shared" si="5"/>
        <v>0</v>
      </c>
      <c r="AY15" s="30" t="str">
        <f t="shared" si="33"/>
        <v xml:space="preserve"> </v>
      </c>
      <c r="AZ15" s="33">
        <f t="shared" si="6"/>
        <v>0</v>
      </c>
      <c r="BB15" s="50">
        <f t="shared" si="34"/>
        <v>0</v>
      </c>
      <c r="BD15" s="50">
        <f t="shared" si="35"/>
        <v>0</v>
      </c>
      <c r="BE15" s="50">
        <f t="shared" si="36"/>
        <v>0</v>
      </c>
    </row>
    <row r="16" spans="1:57">
      <c r="A16" s="79" t="s">
        <v>264</v>
      </c>
      <c r="B16" s="68" t="s">
        <v>254</v>
      </c>
      <c r="C16" s="79">
        <v>5</v>
      </c>
      <c r="D16" s="79" t="s">
        <v>199</v>
      </c>
      <c r="E16" s="81">
        <v>3441</v>
      </c>
      <c r="F16" s="81">
        <f t="shared" si="7"/>
        <v>3441</v>
      </c>
      <c r="G16" s="82" t="s">
        <v>67</v>
      </c>
      <c r="H16" s="83">
        <v>7</v>
      </c>
      <c r="I16" s="84">
        <v>0</v>
      </c>
      <c r="J16" s="84">
        <f>G41+H41</f>
        <v>0</v>
      </c>
      <c r="K16" s="85">
        <v>6</v>
      </c>
      <c r="L16" s="86">
        <v>0</v>
      </c>
      <c r="M16" s="90">
        <v>0</v>
      </c>
      <c r="N16" s="90">
        <v>0.35</v>
      </c>
      <c r="O16" s="84">
        <v>7</v>
      </c>
      <c r="P16" s="28">
        <f t="shared" si="8"/>
        <v>1</v>
      </c>
      <c r="Q16" s="28">
        <f t="shared" si="9"/>
        <v>1</v>
      </c>
      <c r="R16" s="36">
        <f>(VLOOKUP(C16,ACs!G$4:P$53,8)*(1-L16)*K16*F16)+(VLOOKUP(C16,ACs!G$4:P$53,9)*(L16)*K16*F16)</f>
        <v>36282.551461339892</v>
      </c>
      <c r="S16" s="36">
        <f>VLOOKUP(C16,ACs!G$4:P$53,10)*Residential!F16*Residential!M16</f>
        <v>0</v>
      </c>
      <c r="T16" s="298">
        <f t="shared" si="0"/>
        <v>0</v>
      </c>
      <c r="U16" s="36">
        <f t="shared" si="10"/>
        <v>24087</v>
      </c>
      <c r="V16" s="36">
        <f t="shared" si="11"/>
        <v>1204.3499999999999</v>
      </c>
      <c r="W16" s="36">
        <f t="shared" si="12"/>
        <v>24087</v>
      </c>
      <c r="X16" s="30">
        <f t="shared" si="13"/>
        <v>1.4345834232391665</v>
      </c>
      <c r="Y16" s="30">
        <f t="shared" si="14"/>
        <v>1.4345834232391665</v>
      </c>
      <c r="Z16" s="31">
        <f t="shared" si="15"/>
        <v>1.4345834232391665</v>
      </c>
      <c r="AA16" s="29">
        <f t="shared" si="16"/>
        <v>36282.551461339892</v>
      </c>
      <c r="AB16" s="29">
        <f t="shared" si="17"/>
        <v>0</v>
      </c>
      <c r="AC16" s="29">
        <f t="shared" si="18"/>
        <v>24087</v>
      </c>
      <c r="AD16" s="29">
        <f t="shared" si="19"/>
        <v>1204.3499999999999</v>
      </c>
      <c r="AE16" s="29">
        <f t="shared" si="20"/>
        <v>24087</v>
      </c>
      <c r="AF16" s="30">
        <f t="shared" si="21"/>
        <v>1.4345834232391665</v>
      </c>
      <c r="AG16" s="30">
        <f t="shared" si="22"/>
        <v>1.4345834232391665</v>
      </c>
      <c r="AH16" s="30">
        <f t="shared" si="23"/>
        <v>1.4345834232391665</v>
      </c>
      <c r="AI16" s="32">
        <f t="shared" si="24"/>
        <v>1</v>
      </c>
      <c r="AJ16" s="32">
        <f t="shared" si="25"/>
        <v>1</v>
      </c>
      <c r="AK16" s="32">
        <f t="shared" si="26"/>
        <v>0.66387282674057235</v>
      </c>
      <c r="AL16" s="32">
        <f t="shared" si="27"/>
        <v>0.66387282674057235</v>
      </c>
      <c r="AM16" s="33">
        <f t="shared" si="28"/>
        <v>20646</v>
      </c>
      <c r="AN16" s="32">
        <f t="shared" si="1"/>
        <v>3.9741343130098208E-2</v>
      </c>
      <c r="AO16" s="91">
        <v>0.6</v>
      </c>
      <c r="AP16" s="30">
        <f t="shared" si="29"/>
        <v>1.3904423948318076</v>
      </c>
      <c r="AQ16" s="33">
        <f t="shared" si="30"/>
        <v>12387.6</v>
      </c>
      <c r="AR16" s="27">
        <v>1</v>
      </c>
      <c r="AS16" s="33">
        <f t="shared" si="31"/>
        <v>36282.551461339892</v>
      </c>
      <c r="AT16" s="33">
        <f t="shared" si="2"/>
        <v>25291.35</v>
      </c>
      <c r="AU16" s="30">
        <f t="shared" si="32"/>
        <v>1.4345834232391665</v>
      </c>
      <c r="AV16" s="33">
        <f t="shared" si="3"/>
        <v>20646</v>
      </c>
      <c r="AW16" s="33">
        <f t="shared" si="4"/>
        <v>21769.530876803936</v>
      </c>
      <c r="AX16" s="33">
        <f t="shared" si="5"/>
        <v>15174.809999999998</v>
      </c>
      <c r="AY16" s="30">
        <f t="shared" si="33"/>
        <v>1.4345834232391668</v>
      </c>
      <c r="AZ16" s="33">
        <f t="shared" si="6"/>
        <v>12387.6</v>
      </c>
      <c r="BB16" s="50">
        <f t="shared" si="34"/>
        <v>36282.551461339892</v>
      </c>
      <c r="BD16" s="50">
        <f t="shared" si="35"/>
        <v>36282.551461339892</v>
      </c>
      <c r="BE16" s="50">
        <f t="shared" si="36"/>
        <v>0</v>
      </c>
    </row>
    <row r="17" spans="1:57">
      <c r="A17" s="92" t="s">
        <v>265</v>
      </c>
      <c r="B17" s="80" t="s">
        <v>257</v>
      </c>
      <c r="C17" s="79">
        <v>18</v>
      </c>
      <c r="D17" s="79" t="s">
        <v>266</v>
      </c>
      <c r="E17" s="81">
        <v>0</v>
      </c>
      <c r="F17" s="81">
        <f t="shared" si="7"/>
        <v>0</v>
      </c>
      <c r="G17" s="82" t="s">
        <v>67</v>
      </c>
      <c r="H17" s="83">
        <v>500</v>
      </c>
      <c r="I17" s="84">
        <v>0</v>
      </c>
      <c r="J17" s="84">
        <v>0</v>
      </c>
      <c r="K17" s="85">
        <v>93.2</v>
      </c>
      <c r="L17" s="86">
        <v>1</v>
      </c>
      <c r="M17" s="93">
        <v>0</v>
      </c>
      <c r="N17" s="90">
        <v>0</v>
      </c>
      <c r="O17" s="84">
        <f>'[2]2012 Non-res prescriptive'!$N16</f>
        <v>0</v>
      </c>
      <c r="P17" s="28">
        <f t="shared" si="8"/>
        <v>1</v>
      </c>
      <c r="Q17" s="28">
        <f t="shared" si="9"/>
        <v>0</v>
      </c>
      <c r="R17" s="36">
        <f>(VLOOKUP(C17,ACs!G$4:P$53,8)*(1-L17)*K17*F17)+(VLOOKUP(C17,ACs!G$4:P$53,9)*(L17)*K17*F17)</f>
        <v>0</v>
      </c>
      <c r="S17" s="36">
        <f>VLOOKUP(C17,ACs!G$4:P$53,10)*Residential!F17*Residential!M17</f>
        <v>0</v>
      </c>
      <c r="T17" s="36">
        <f t="shared" si="0"/>
        <v>0</v>
      </c>
      <c r="U17" s="36">
        <f t="shared" si="10"/>
        <v>0</v>
      </c>
      <c r="V17" s="36">
        <f t="shared" si="11"/>
        <v>0</v>
      </c>
      <c r="W17" s="36">
        <f t="shared" si="12"/>
        <v>0</v>
      </c>
      <c r="X17" s="30" t="str">
        <f t="shared" si="13"/>
        <v xml:space="preserve"> </v>
      </c>
      <c r="Y17" s="30" t="str">
        <f t="shared" si="14"/>
        <v xml:space="preserve"> </v>
      </c>
      <c r="Z17" s="31" t="str">
        <f t="shared" si="15"/>
        <v xml:space="preserve"> </v>
      </c>
      <c r="AA17" s="29">
        <f t="shared" si="16"/>
        <v>0</v>
      </c>
      <c r="AB17" s="29">
        <f t="shared" si="17"/>
        <v>0</v>
      </c>
      <c r="AC17" s="29">
        <f t="shared" si="18"/>
        <v>0</v>
      </c>
      <c r="AD17" s="29">
        <f t="shared" si="19"/>
        <v>0</v>
      </c>
      <c r="AE17" s="29">
        <f t="shared" si="20"/>
        <v>0</v>
      </c>
      <c r="AF17" s="30" t="str">
        <f t="shared" si="21"/>
        <v xml:space="preserve"> </v>
      </c>
      <c r="AG17" s="30" t="str">
        <f t="shared" si="22"/>
        <v xml:space="preserve"> </v>
      </c>
      <c r="AH17" s="30" t="str">
        <f t="shared" si="23"/>
        <v xml:space="preserve"> </v>
      </c>
      <c r="AI17" s="32" t="str">
        <f t="shared" si="24"/>
        <v xml:space="preserve"> </v>
      </c>
      <c r="AJ17" s="32" t="str">
        <f t="shared" si="25"/>
        <v xml:space="preserve"> </v>
      </c>
      <c r="AK17" s="32" t="str">
        <f t="shared" si="26"/>
        <v xml:space="preserve"> </v>
      </c>
      <c r="AL17" s="32" t="str">
        <f t="shared" si="27"/>
        <v xml:space="preserve"> </v>
      </c>
      <c r="AM17" s="33">
        <f t="shared" si="28"/>
        <v>0</v>
      </c>
      <c r="AN17" s="32">
        <f t="shared" si="1"/>
        <v>0</v>
      </c>
      <c r="AO17" s="27">
        <v>0.63800000000000001</v>
      </c>
      <c r="AP17" s="30" t="str">
        <f t="shared" si="29"/>
        <v xml:space="preserve"> </v>
      </c>
      <c r="AQ17" s="33">
        <f t="shared" si="30"/>
        <v>0</v>
      </c>
      <c r="AR17" s="27">
        <v>1</v>
      </c>
      <c r="AS17" s="33">
        <f t="shared" si="31"/>
        <v>0</v>
      </c>
      <c r="AT17" s="33">
        <f t="shared" si="2"/>
        <v>0</v>
      </c>
      <c r="AU17" s="30" t="str">
        <f t="shared" si="32"/>
        <v xml:space="preserve"> </v>
      </c>
      <c r="AV17" s="33">
        <f t="shared" si="3"/>
        <v>0</v>
      </c>
      <c r="AW17" s="33">
        <f t="shared" si="4"/>
        <v>0</v>
      </c>
      <c r="AX17" s="33">
        <f t="shared" si="5"/>
        <v>0</v>
      </c>
      <c r="AY17" s="30" t="str">
        <f t="shared" si="33"/>
        <v xml:space="preserve"> </v>
      </c>
      <c r="AZ17" s="33">
        <f t="shared" si="6"/>
        <v>0</v>
      </c>
      <c r="BB17" s="50">
        <f t="shared" si="34"/>
        <v>0</v>
      </c>
      <c r="BD17" s="50">
        <f t="shared" si="35"/>
        <v>0</v>
      </c>
      <c r="BE17" s="50">
        <f t="shared" si="36"/>
        <v>0</v>
      </c>
    </row>
    <row r="18" spans="1:57">
      <c r="A18" s="92" t="s">
        <v>267</v>
      </c>
      <c r="B18" s="80" t="s">
        <v>198</v>
      </c>
      <c r="C18" s="79">
        <v>12</v>
      </c>
      <c r="D18" s="79" t="s">
        <v>266</v>
      </c>
      <c r="E18" s="81">
        <v>0</v>
      </c>
      <c r="F18" s="69">
        <f t="shared" si="7"/>
        <v>0</v>
      </c>
      <c r="G18" s="82" t="s">
        <v>67</v>
      </c>
      <c r="H18" s="83">
        <v>125</v>
      </c>
      <c r="I18" s="84">
        <v>0</v>
      </c>
      <c r="J18" s="84">
        <v>0</v>
      </c>
      <c r="K18" s="85">
        <v>27</v>
      </c>
      <c r="L18" s="86">
        <v>1</v>
      </c>
      <c r="M18" s="93">
        <v>0</v>
      </c>
      <c r="N18" s="90">
        <v>0</v>
      </c>
      <c r="O18" s="84">
        <f>'[2]2012 Non-res prescriptive'!$N17</f>
        <v>0</v>
      </c>
      <c r="P18" s="28">
        <f t="shared" si="8"/>
        <v>1</v>
      </c>
      <c r="Q18" s="28">
        <f t="shared" si="9"/>
        <v>0</v>
      </c>
      <c r="R18" s="36">
        <f>(VLOOKUP(C18,ACs!G$4:P$53,8)*(1-L18)*K18*F18)+(VLOOKUP(C18,ACs!G$4:P$53,9)*(L18)*K18*F18)</f>
        <v>0</v>
      </c>
      <c r="S18" s="36">
        <f>VLOOKUP(C18,ACs!G$4:P$53,10)*Residential!F18*Residential!M18</f>
        <v>0</v>
      </c>
      <c r="T18" s="36">
        <f t="shared" si="0"/>
        <v>0</v>
      </c>
      <c r="U18" s="36">
        <f t="shared" si="10"/>
        <v>0</v>
      </c>
      <c r="V18" s="36">
        <f t="shared" si="11"/>
        <v>0</v>
      </c>
      <c r="W18" s="36">
        <f t="shared" si="12"/>
        <v>0</v>
      </c>
      <c r="X18" s="30" t="str">
        <f t="shared" si="13"/>
        <v xml:space="preserve"> </v>
      </c>
      <c r="Y18" s="30" t="str">
        <f t="shared" si="14"/>
        <v xml:space="preserve"> </v>
      </c>
      <c r="Z18" s="31" t="str">
        <f t="shared" si="15"/>
        <v xml:space="preserve"> </v>
      </c>
      <c r="AA18" s="29">
        <f t="shared" si="16"/>
        <v>0</v>
      </c>
      <c r="AB18" s="29">
        <f t="shared" si="17"/>
        <v>0</v>
      </c>
      <c r="AC18" s="29">
        <f t="shared" si="18"/>
        <v>0</v>
      </c>
      <c r="AD18" s="29">
        <f t="shared" si="19"/>
        <v>0</v>
      </c>
      <c r="AE18" s="29">
        <f t="shared" si="20"/>
        <v>0</v>
      </c>
      <c r="AF18" s="30" t="str">
        <f t="shared" si="21"/>
        <v xml:space="preserve"> </v>
      </c>
      <c r="AG18" s="30" t="str">
        <f t="shared" si="22"/>
        <v xml:space="preserve"> </v>
      </c>
      <c r="AH18" s="30" t="str">
        <f t="shared" si="23"/>
        <v xml:space="preserve"> </v>
      </c>
      <c r="AI18" s="32" t="str">
        <f t="shared" si="24"/>
        <v xml:space="preserve"> </v>
      </c>
      <c r="AJ18" s="32" t="str">
        <f t="shared" si="25"/>
        <v xml:space="preserve"> </v>
      </c>
      <c r="AK18" s="32" t="str">
        <f t="shared" si="26"/>
        <v xml:space="preserve"> </v>
      </c>
      <c r="AL18" s="32" t="str">
        <f t="shared" si="27"/>
        <v xml:space="preserve"> </v>
      </c>
      <c r="AM18" s="33">
        <f t="shared" si="28"/>
        <v>0</v>
      </c>
      <c r="AN18" s="32">
        <f t="shared" si="1"/>
        <v>0</v>
      </c>
      <c r="AO18" s="91">
        <v>0.6</v>
      </c>
      <c r="AP18" s="30" t="str">
        <f t="shared" si="29"/>
        <v xml:space="preserve"> </v>
      </c>
      <c r="AQ18" s="33">
        <f t="shared" si="30"/>
        <v>0</v>
      </c>
      <c r="AR18" s="27">
        <v>1</v>
      </c>
      <c r="AS18" s="33">
        <f t="shared" si="31"/>
        <v>0</v>
      </c>
      <c r="AT18" s="33">
        <f t="shared" si="2"/>
        <v>0</v>
      </c>
      <c r="AU18" s="30" t="str">
        <f t="shared" si="32"/>
        <v xml:space="preserve"> </v>
      </c>
      <c r="AV18" s="33">
        <f t="shared" si="3"/>
        <v>0</v>
      </c>
      <c r="AW18" s="33">
        <f t="shared" si="4"/>
        <v>0</v>
      </c>
      <c r="AX18" s="33">
        <f t="shared" si="5"/>
        <v>0</v>
      </c>
      <c r="AY18" s="30" t="str">
        <f t="shared" si="33"/>
        <v xml:space="preserve"> </v>
      </c>
      <c r="AZ18" s="33">
        <f t="shared" si="6"/>
        <v>0</v>
      </c>
      <c r="BB18" s="50">
        <f t="shared" si="34"/>
        <v>0</v>
      </c>
      <c r="BD18" s="50">
        <f t="shared" si="35"/>
        <v>0</v>
      </c>
      <c r="BE18" s="50">
        <f t="shared" si="36"/>
        <v>0</v>
      </c>
    </row>
    <row r="19" spans="1:57">
      <c r="A19" s="92" t="s">
        <v>268</v>
      </c>
      <c r="B19" s="80" t="s">
        <v>198</v>
      </c>
      <c r="C19" s="79">
        <v>3</v>
      </c>
      <c r="D19" s="79" t="s">
        <v>266</v>
      </c>
      <c r="E19" s="81">
        <v>0</v>
      </c>
      <c r="F19" s="69">
        <f t="shared" si="7"/>
        <v>0</v>
      </c>
      <c r="G19" s="82" t="s">
        <v>67</v>
      </c>
      <c r="H19" s="83">
        <v>120</v>
      </c>
      <c r="I19" s="84">
        <v>0</v>
      </c>
      <c r="J19" s="84">
        <v>0</v>
      </c>
      <c r="K19" s="85">
        <v>25</v>
      </c>
      <c r="L19" s="86">
        <v>1</v>
      </c>
      <c r="M19" s="93">
        <v>0</v>
      </c>
      <c r="N19" s="90">
        <v>0</v>
      </c>
      <c r="O19" s="84">
        <f>'[2]2012 Non-res prescriptive'!$N18</f>
        <v>0</v>
      </c>
      <c r="P19" s="28">
        <f t="shared" si="8"/>
        <v>1</v>
      </c>
      <c r="Q19" s="28">
        <f t="shared" si="9"/>
        <v>0</v>
      </c>
      <c r="R19" s="36">
        <f>(VLOOKUP(C19,ACs!G$4:P$53,8)*(1-L19)*K19*F19)+(VLOOKUP(C19,ACs!G$4:P$53,9)*(L19)*K19*F19)</f>
        <v>0</v>
      </c>
      <c r="S19" s="36">
        <f>VLOOKUP(C19,ACs!G$4:P$53,10)*Residential!F19*Residential!M19</f>
        <v>0</v>
      </c>
      <c r="T19" s="36">
        <f t="shared" si="0"/>
        <v>0</v>
      </c>
      <c r="U19" s="36">
        <f t="shared" si="10"/>
        <v>0</v>
      </c>
      <c r="V19" s="36">
        <f t="shared" si="11"/>
        <v>0</v>
      </c>
      <c r="W19" s="36">
        <f t="shared" si="12"/>
        <v>0</v>
      </c>
      <c r="X19" s="30" t="str">
        <f t="shared" si="13"/>
        <v xml:space="preserve"> </v>
      </c>
      <c r="Y19" s="30" t="str">
        <f t="shared" si="14"/>
        <v xml:space="preserve"> </v>
      </c>
      <c r="Z19" s="31" t="str">
        <f t="shared" si="15"/>
        <v xml:space="preserve"> </v>
      </c>
      <c r="AA19" s="29">
        <f t="shared" si="16"/>
        <v>0</v>
      </c>
      <c r="AB19" s="29">
        <f t="shared" si="17"/>
        <v>0</v>
      </c>
      <c r="AC19" s="29">
        <f t="shared" si="18"/>
        <v>0</v>
      </c>
      <c r="AD19" s="29">
        <f t="shared" si="19"/>
        <v>0</v>
      </c>
      <c r="AE19" s="29">
        <f t="shared" si="20"/>
        <v>0</v>
      </c>
      <c r="AF19" s="30" t="str">
        <f t="shared" si="21"/>
        <v xml:space="preserve"> </v>
      </c>
      <c r="AG19" s="30" t="str">
        <f t="shared" si="22"/>
        <v xml:space="preserve"> </v>
      </c>
      <c r="AH19" s="30" t="str">
        <f t="shared" si="23"/>
        <v xml:space="preserve"> </v>
      </c>
      <c r="AI19" s="32" t="str">
        <f t="shared" si="24"/>
        <v xml:space="preserve"> </v>
      </c>
      <c r="AJ19" s="32" t="str">
        <f t="shared" si="25"/>
        <v xml:space="preserve"> </v>
      </c>
      <c r="AK19" s="32" t="str">
        <f t="shared" si="26"/>
        <v xml:space="preserve"> </v>
      </c>
      <c r="AL19" s="32" t="str">
        <f t="shared" si="27"/>
        <v xml:space="preserve"> </v>
      </c>
      <c r="AM19" s="33">
        <f t="shared" si="28"/>
        <v>0</v>
      </c>
      <c r="AN19" s="32">
        <f t="shared" si="1"/>
        <v>0</v>
      </c>
      <c r="AO19" s="91">
        <v>0.6</v>
      </c>
      <c r="AP19" s="30" t="str">
        <f t="shared" si="29"/>
        <v xml:space="preserve"> </v>
      </c>
      <c r="AQ19" s="33">
        <f t="shared" si="30"/>
        <v>0</v>
      </c>
      <c r="AR19" s="27">
        <v>1</v>
      </c>
      <c r="AS19" s="33">
        <f t="shared" si="31"/>
        <v>0</v>
      </c>
      <c r="AT19" s="33">
        <f t="shared" si="2"/>
        <v>0</v>
      </c>
      <c r="AU19" s="30" t="str">
        <f t="shared" si="32"/>
        <v xml:space="preserve"> </v>
      </c>
      <c r="AV19" s="33">
        <f t="shared" si="3"/>
        <v>0</v>
      </c>
      <c r="AW19" s="33">
        <f t="shared" si="4"/>
        <v>0</v>
      </c>
      <c r="AX19" s="33">
        <f t="shared" si="5"/>
        <v>0</v>
      </c>
      <c r="AY19" s="30" t="str">
        <f t="shared" si="33"/>
        <v xml:space="preserve"> </v>
      </c>
      <c r="AZ19" s="33">
        <f t="shared" si="6"/>
        <v>0</v>
      </c>
      <c r="BB19" s="50">
        <f t="shared" si="34"/>
        <v>0</v>
      </c>
      <c r="BD19" s="50">
        <f t="shared" si="35"/>
        <v>0</v>
      </c>
      <c r="BE19" s="50">
        <f t="shared" si="36"/>
        <v>0</v>
      </c>
    </row>
    <row r="20" spans="1:57">
      <c r="A20" s="68"/>
      <c r="B20" s="68"/>
      <c r="C20" s="67"/>
      <c r="D20" s="67"/>
      <c r="E20" s="69"/>
      <c r="F20" s="69"/>
      <c r="G20" s="69"/>
      <c r="H20" s="72"/>
      <c r="I20" s="72"/>
      <c r="J20" s="87"/>
      <c r="K20" s="75"/>
      <c r="L20" s="74"/>
      <c r="M20" s="75"/>
      <c r="N20" s="75"/>
      <c r="O20" s="72"/>
      <c r="P20" s="28"/>
      <c r="Q20" s="28"/>
      <c r="R20" s="76"/>
      <c r="S20" s="76"/>
      <c r="T20" s="76"/>
      <c r="U20" s="76"/>
      <c r="V20" s="76"/>
      <c r="W20" s="76"/>
      <c r="X20" s="76"/>
      <c r="Y20" s="76"/>
      <c r="Z20" s="76"/>
      <c r="AA20" s="29"/>
      <c r="AB20" s="29"/>
      <c r="AC20" s="29"/>
      <c r="AD20" s="29"/>
      <c r="AE20" s="29"/>
      <c r="AF20" s="30"/>
      <c r="AG20" s="30"/>
      <c r="AH20" s="30"/>
      <c r="AI20" s="32"/>
      <c r="AJ20" s="32"/>
      <c r="AK20" s="32"/>
      <c r="AL20" s="32"/>
      <c r="AM20" s="24"/>
    </row>
    <row r="21" spans="1:57">
      <c r="A21" s="68"/>
      <c r="B21" s="68"/>
      <c r="C21" s="67"/>
      <c r="D21" s="67"/>
      <c r="E21" s="69"/>
      <c r="F21" s="69"/>
      <c r="G21" s="69"/>
      <c r="H21" s="72"/>
      <c r="I21" s="72"/>
      <c r="J21" s="87"/>
      <c r="K21" s="75"/>
      <c r="L21" s="74"/>
      <c r="M21" s="75"/>
      <c r="N21" s="75"/>
      <c r="O21" s="72"/>
      <c r="P21" s="28"/>
      <c r="Q21" s="28"/>
      <c r="R21" s="76"/>
      <c r="S21" s="76"/>
      <c r="T21" s="76"/>
      <c r="U21" s="76"/>
      <c r="V21" s="76"/>
      <c r="W21" s="76"/>
      <c r="X21" s="76"/>
      <c r="Y21" s="76"/>
      <c r="Z21" s="76"/>
      <c r="AA21" s="29"/>
      <c r="AB21" s="29"/>
      <c r="AC21" s="29"/>
      <c r="AD21" s="29"/>
      <c r="AE21" s="29"/>
      <c r="AF21" s="30"/>
      <c r="AG21" s="30"/>
      <c r="AH21" s="30"/>
      <c r="AI21" s="32"/>
      <c r="AJ21" s="32"/>
      <c r="AK21" s="32"/>
      <c r="AL21" s="32"/>
      <c r="AM21" s="24"/>
    </row>
    <row r="22" spans="1:57">
      <c r="A22" s="68"/>
      <c r="B22" s="68"/>
      <c r="C22" s="67"/>
      <c r="D22" s="67"/>
      <c r="E22" s="69"/>
      <c r="F22" s="69"/>
      <c r="G22" s="69"/>
      <c r="H22" s="72"/>
      <c r="I22" s="72"/>
      <c r="J22" s="87"/>
      <c r="K22" s="75"/>
      <c r="L22" s="74"/>
      <c r="M22" s="75"/>
      <c r="N22" s="75"/>
      <c r="O22" s="72"/>
      <c r="P22" s="28"/>
      <c r="Q22" s="28"/>
      <c r="R22" s="76"/>
      <c r="S22" s="76"/>
      <c r="T22" s="76"/>
      <c r="U22" s="76"/>
      <c r="V22" s="76"/>
      <c r="W22" s="76"/>
      <c r="X22" s="76"/>
      <c r="Y22" s="76"/>
      <c r="Z22" s="76"/>
      <c r="AA22" s="29"/>
      <c r="AB22" s="29"/>
      <c r="AC22" s="29"/>
      <c r="AD22" s="29"/>
      <c r="AE22" s="29"/>
      <c r="AF22" s="30"/>
      <c r="AG22" s="30"/>
      <c r="AH22" s="30"/>
      <c r="AI22" s="32"/>
      <c r="AJ22" s="32"/>
      <c r="AK22" s="32"/>
      <c r="AL22" s="32"/>
      <c r="AM22" s="24"/>
    </row>
    <row r="23" spans="1:57">
      <c r="A23" s="68"/>
      <c r="B23" s="68"/>
      <c r="C23" s="67"/>
      <c r="D23" s="67"/>
      <c r="E23" s="69"/>
      <c r="F23" s="69"/>
      <c r="G23" s="69"/>
      <c r="H23" s="72"/>
      <c r="I23" s="72"/>
      <c r="J23" s="87"/>
      <c r="K23" s="75"/>
      <c r="L23" s="74"/>
      <c r="M23" s="75"/>
      <c r="N23" s="75"/>
      <c r="O23" s="72"/>
      <c r="P23" s="28"/>
      <c r="Q23" s="28"/>
      <c r="R23" s="76"/>
      <c r="S23" s="76"/>
      <c r="T23" s="76"/>
      <c r="U23" s="76"/>
      <c r="V23" s="76"/>
      <c r="W23" s="76"/>
      <c r="X23" s="76"/>
      <c r="Y23" s="76"/>
      <c r="Z23" s="76"/>
      <c r="AA23" s="29"/>
      <c r="AB23" s="29"/>
      <c r="AC23" s="29"/>
      <c r="AD23" s="29"/>
      <c r="AE23" s="29"/>
      <c r="AF23" s="30"/>
      <c r="AG23" s="30"/>
      <c r="AH23" s="30"/>
      <c r="AI23" s="32"/>
      <c r="AJ23" s="32"/>
      <c r="AK23" s="32"/>
      <c r="AL23" s="32"/>
      <c r="AM23" s="24"/>
    </row>
    <row r="24" spans="1:57">
      <c r="A24" s="68"/>
      <c r="B24" s="68"/>
      <c r="C24" s="67"/>
      <c r="D24" s="67"/>
      <c r="E24" s="69"/>
      <c r="F24" s="69"/>
      <c r="G24" s="69"/>
      <c r="H24" s="72"/>
      <c r="I24" s="72"/>
      <c r="J24" s="87"/>
      <c r="K24" s="75"/>
      <c r="L24" s="74"/>
      <c r="M24" s="75"/>
      <c r="N24" s="75"/>
      <c r="O24" s="72"/>
      <c r="P24" s="28"/>
      <c r="Q24" s="28"/>
      <c r="R24" s="76"/>
      <c r="S24" s="76"/>
      <c r="T24" s="76"/>
      <c r="U24" s="76"/>
      <c r="V24" s="76"/>
      <c r="W24" s="76"/>
      <c r="X24" s="76"/>
      <c r="Y24" s="76"/>
      <c r="Z24" s="76"/>
      <c r="AA24" s="29"/>
      <c r="AB24" s="29"/>
      <c r="AC24" s="29"/>
      <c r="AD24" s="29"/>
      <c r="AE24" s="29"/>
      <c r="AF24" s="30"/>
      <c r="AG24" s="30"/>
      <c r="AH24" s="30"/>
      <c r="AI24" s="32"/>
      <c r="AJ24" s="32"/>
      <c r="AK24" s="32"/>
      <c r="AL24" s="32"/>
      <c r="AM24" s="24"/>
    </row>
    <row r="25" spans="1:57" ht="4.5" customHeight="1">
      <c r="A25" s="94"/>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101"/>
      <c r="AB25" s="101"/>
      <c r="AC25" s="101"/>
      <c r="AD25" s="101"/>
      <c r="AE25" s="101"/>
      <c r="AF25" s="94"/>
      <c r="AG25" s="94"/>
      <c r="AH25" s="94"/>
      <c r="AI25" s="94"/>
      <c r="AJ25" s="94"/>
      <c r="AK25" s="94"/>
      <c r="AL25" s="94"/>
      <c r="AM25" s="24"/>
    </row>
    <row r="26" spans="1:57" ht="4.5" customHeight="1">
      <c r="A26" s="95"/>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102"/>
      <c r="AB26" s="102"/>
      <c r="AC26" s="102"/>
      <c r="AD26" s="102"/>
      <c r="AE26" s="102"/>
      <c r="AF26" s="95"/>
      <c r="AG26" s="95"/>
      <c r="AH26" s="95"/>
      <c r="AI26" s="95"/>
      <c r="AJ26" s="95"/>
      <c r="AK26" s="95"/>
      <c r="AL26" s="95"/>
      <c r="AM26" s="24"/>
    </row>
    <row r="27" spans="1:57" ht="4.5"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103"/>
      <c r="AB27" s="103"/>
      <c r="AC27" s="103"/>
      <c r="AD27" s="103"/>
      <c r="AE27" s="103"/>
      <c r="AF27" s="96"/>
      <c r="AG27" s="96"/>
      <c r="AH27" s="96"/>
      <c r="AI27" s="96"/>
      <c r="AJ27" s="96"/>
      <c r="AK27" s="96"/>
      <c r="AL27" s="96"/>
      <c r="AM27" s="24"/>
    </row>
    <row r="28" spans="1:57">
      <c r="A28" s="68" t="s">
        <v>428</v>
      </c>
      <c r="N28" s="32">
        <f>SUM(T4:T5)/SUM(R4:T5)</f>
        <v>0</v>
      </c>
      <c r="O28" s="48">
        <f>((AM4*C4)+(AM5*C5))/(AM4+AM5)</f>
        <v>30</v>
      </c>
      <c r="Q28" s="97" t="s">
        <v>249</v>
      </c>
      <c r="R28" s="50">
        <f t="array" ref="R28">SUM(IF($B$4:$B$24=$Q28,R$4:R$24,0))</f>
        <v>190635.99094611913</v>
      </c>
      <c r="S28" s="50">
        <f t="array" ref="S28">SUM(IF($B$4:$B$24=$Q28,S$4:S$24,0))</f>
        <v>110788.3423301758</v>
      </c>
      <c r="T28" s="50">
        <f t="array" ref="T28">SUM(IF($B$4:$B$24=$Q28,T$4:T$24,0))</f>
        <v>0</v>
      </c>
      <c r="U28" s="50">
        <f t="array" ref="U28">SUM(IF($B$4:$B$24=$Q28,U$4:U$24,0))</f>
        <v>346500</v>
      </c>
      <c r="V28" s="50">
        <f t="array" ref="V28">SUM(IF($B$4:$B$24=$Q28,V$4:V$24,0))</f>
        <v>0</v>
      </c>
      <c r="W28" s="50">
        <f t="array" ref="W28">SUM(IF($B$4:$B$24=$Q28,W$4:W$24,0))</f>
        <v>106950</v>
      </c>
      <c r="X28" s="30">
        <f t="shared" ref="X28:X32" si="37">IF(U28=0," ",(R28+S28+T28)/(U28+V28))</f>
        <v>0.86991149574688287</v>
      </c>
      <c r="Y28" s="30">
        <f t="shared" ref="Y28:Y32" si="38">IF(U28=0," ",(R28+S28)/(U28+V28))</f>
        <v>0.86991149574688287</v>
      </c>
      <c r="Z28" s="31">
        <f t="shared" ref="Z28:Z32" si="39">IF(W28=0," ",(R28+S28)/(W28+V28))</f>
        <v>2.8183668375530146</v>
      </c>
      <c r="AA28" s="50">
        <f t="array" ref="AA28">SUM(IF($B$4:$B$24=$Q28,AA$4:AA$24,0))</f>
        <v>190635.99094611913</v>
      </c>
      <c r="AB28" s="50">
        <f t="array" ref="AB28">SUM(IF($B$4:$B$24=$Q28,AB$4:AB$24,0))</f>
        <v>0</v>
      </c>
      <c r="AC28" s="50">
        <f t="array" ref="AC28">SUM(IF($B$4:$B$24=$Q28,AC$4:AC$24,0))</f>
        <v>217461.48648915239</v>
      </c>
      <c r="AD28" s="50">
        <f t="array" ref="AD28">SUM(IF($B$4:$B$24=$Q28,AD$4:AD$24,0))</f>
        <v>0</v>
      </c>
      <c r="AE28" s="50">
        <f t="array" ref="AE28">SUM(IF($B$4:$B$24=$Q28,AE$4:AE$24,0))</f>
        <v>68238.44594674572</v>
      </c>
      <c r="AF28" s="30">
        <f t="shared" ref="AF28:AF32" si="40">IF(AC28=0," ",(AA28+AB28)/(AC28+AD28))</f>
        <v>0.87664254495762683</v>
      </c>
      <c r="AG28" s="30">
        <f t="shared" ref="AG28:AG32" si="41">IF(AC28=0," ",(AA28)/(AC28+AD28))</f>
        <v>0.87664254495762683</v>
      </c>
      <c r="AH28" s="30">
        <f t="shared" ref="AH28:AH32" si="42">IF(AE28=0," ",(AA28/(AE28+AD28)))</f>
        <v>2.7936742741019374</v>
      </c>
      <c r="AI28" s="32">
        <f t="shared" ref="AI28:AI32" si="43">IF(AA28+AB28=0," ",(AA28/(AA28+AB28)))</f>
        <v>1</v>
      </c>
      <c r="AJ28" s="32">
        <f t="shared" ref="AJ28:AJ32" si="44">IF(R28+S28+T28=0," ",(R28+S28)/(R28+S28+T28))</f>
        <v>1</v>
      </c>
      <c r="AK28" s="32">
        <f t="shared" ref="AK28:AK32" si="45">IF(AA28=0," ",AE28/AA28)</f>
        <v>0.3579515368954253</v>
      </c>
      <c r="AL28" s="32">
        <f t="shared" ref="AL28:AL32" si="46">IF(R28+S28=0," ",W28/(R28+S28))</f>
        <v>0.35481541532337502</v>
      </c>
      <c r="AM28" s="33">
        <f t="array" ref="AM28">SUM(IF($B$4:$B$24=$Q28,AM$4:AM$24,0))</f>
        <v>24231</v>
      </c>
      <c r="AN28" s="32">
        <f>AM28/AM$34</f>
        <v>4.6642084926155652E-2</v>
      </c>
      <c r="AO28" s="32">
        <f>AQ28/AM28</f>
        <v>0.73599999999999999</v>
      </c>
      <c r="AP28" s="30">
        <f t="shared" ref="AP28:AP32" si="47">IF(AC28+AD28=0," ",((AO28*(AA28+AB28)/((AO28*AC28)+AD28))))</f>
        <v>0.87664254495762672</v>
      </c>
      <c r="AQ28" s="33">
        <f t="array" ref="AQ28">SUM(IF($B$4:$B$24=$Q28,AQ$4:AQ$24,0))</f>
        <v>17834.016</v>
      </c>
      <c r="AR28" s="30"/>
      <c r="AS28" s="29">
        <f t="array" ref="AS28">SUM(IF($B$4:$B$24=$Q28,AS$4:AS$24,0))</f>
        <v>190635.99094611913</v>
      </c>
      <c r="AT28" s="29">
        <f t="array" ref="AT28">SUM(IF($B$4:$B$24=$Q28,AT$4:AT$24,0))</f>
        <v>217461.48648915239</v>
      </c>
      <c r="AU28" s="30">
        <f t="shared" ref="AU28:AU32" si="48">IF(AT28=0," ",AS28/AT28)</f>
        <v>0.87664254495762683</v>
      </c>
      <c r="AV28" s="33">
        <f t="array" ref="AV28">SUM(IF($B$4:$B$24=$Q28,AV$4:AV$24,0))</f>
        <v>24231</v>
      </c>
      <c r="AW28" s="29">
        <f t="array" ref="AW28">SUM(IF($B$4:$B$24=$Q28,AW$4:AW$24,0))</f>
        <v>140308.08933634369</v>
      </c>
      <c r="AX28" s="29">
        <f t="array" ref="AX28">SUM(IF($B$4:$B$24=$Q28,AX$4:AX$24,0))</f>
        <v>160051.65405601615</v>
      </c>
      <c r="AY28" s="30">
        <f t="shared" ref="AY28:AY32" si="49">IF(AX28=0," ",AW28/AX28)</f>
        <v>0.87664254495762695</v>
      </c>
      <c r="AZ28" s="33">
        <f t="array" ref="AZ28">SUM(IF($B$4:$B$24=$Q28,AZ$4:AZ$24,0))</f>
        <v>17834.016</v>
      </c>
      <c r="BB28" s="29">
        <f t="array" ref="BB28">SUM(IF($B$4:$B$24=$Q28,BB$4:BB$24,0))</f>
        <v>190635.99094611913</v>
      </c>
      <c r="BD28" s="29">
        <f t="array" ref="BD28">SUM(IF($B$4:$B$24=$Q28,BD$4:BD$24,0))</f>
        <v>190635.99094611913</v>
      </c>
      <c r="BE28" s="29">
        <f t="array" ref="BE28">SUM(IF($B$4:$B$24=$Q28,BE$4:BE$24,0))</f>
        <v>0</v>
      </c>
    </row>
    <row r="29" spans="1:57">
      <c r="A29" s="68" t="s">
        <v>429</v>
      </c>
      <c r="F29" s="1" t="s">
        <v>269</v>
      </c>
      <c r="G29" s="1" t="s">
        <v>270</v>
      </c>
      <c r="H29" s="1" t="s">
        <v>271</v>
      </c>
      <c r="N29" s="32">
        <f>SUM(T6:T7,T18:T19)/SUM(R6:T7,R18:T19)</f>
        <v>0</v>
      </c>
      <c r="O29" s="98">
        <f>((AM6*C6)+(AM7*C7)+(AM18*C18)+(AM19*C19))/(AM6+AM7+AM18+AM19)</f>
        <v>20</v>
      </c>
      <c r="Q29" s="97" t="s">
        <v>198</v>
      </c>
      <c r="R29" s="50">
        <f t="array" ref="R29">SUM(IF($B$4:$B$24=$Q29,R$4:R$24,0))</f>
        <v>1942962.6862960383</v>
      </c>
      <c r="S29" s="50">
        <f t="array" ref="S29">SUM(IF($B$4:$B$24=$Q29,S$4:S$24,0))</f>
        <v>0</v>
      </c>
      <c r="T29" s="50">
        <f t="array" ref="T29">SUM(IF($B$4:$B$24=$Q29,T$4:T$24,0))</f>
        <v>0</v>
      </c>
      <c r="U29" s="50">
        <f t="array" ref="U29">SUM(IF($B$4:$B$24=$Q29,U$4:U$24,0))</f>
        <v>2086100</v>
      </c>
      <c r="V29" s="50">
        <f t="array" ref="V29">SUM(IF($B$4:$B$24=$Q29,V$4:V$24,0))</f>
        <v>0</v>
      </c>
      <c r="W29" s="50">
        <f t="array" ref="W29">SUM(IF($B$4:$B$24=$Q29,W$4:W$24,0))</f>
        <v>1189600</v>
      </c>
      <c r="X29" s="30">
        <f t="shared" si="37"/>
        <v>0.93138520986339979</v>
      </c>
      <c r="Y29" s="30">
        <f t="shared" si="38"/>
        <v>0.93138520986339979</v>
      </c>
      <c r="Z29" s="31">
        <f t="shared" si="39"/>
        <v>1.6332907584869185</v>
      </c>
      <c r="AA29" s="50">
        <f t="array" ref="AA29">SUM(IF($B$4:$B$24=$Q29,AA$4:AA$24,0))</f>
        <v>1942962.6862960383</v>
      </c>
      <c r="AB29" s="50">
        <f t="array" ref="AB29">SUM(IF($B$4:$B$24=$Q29,AB$4:AB$24,0))</f>
        <v>0</v>
      </c>
      <c r="AC29" s="50">
        <f t="array" ref="AC29">SUM(IF($B$4:$B$24=$Q29,AC$4:AC$24,0))</f>
        <v>2086100</v>
      </c>
      <c r="AD29" s="50">
        <f t="array" ref="AD29">SUM(IF($B$4:$B$24=$Q29,AD$4:AD$24,0))</f>
        <v>0</v>
      </c>
      <c r="AE29" s="50">
        <f t="array" ref="AE29">SUM(IF($B$4:$B$24=$Q29,AE$4:AE$24,0))</f>
        <v>1189600</v>
      </c>
      <c r="AF29" s="30">
        <f t="shared" si="40"/>
        <v>0.93138520986339979</v>
      </c>
      <c r="AG29" s="30">
        <f t="shared" si="41"/>
        <v>0.93138520986339979</v>
      </c>
      <c r="AH29" s="30">
        <f t="shared" si="42"/>
        <v>1.6332907584869185</v>
      </c>
      <c r="AI29" s="32">
        <f t="shared" si="43"/>
        <v>1</v>
      </c>
      <c r="AJ29" s="32">
        <f t="shared" si="44"/>
        <v>1</v>
      </c>
      <c r="AK29" s="32">
        <f t="shared" si="45"/>
        <v>0.61226085729303981</v>
      </c>
      <c r="AL29" s="32">
        <f t="shared" si="46"/>
        <v>0.61226085729303981</v>
      </c>
      <c r="AM29" s="33">
        <f t="array" ref="AM29">SUM(IF($B$4:$B$24=$Q29,AM$4:AM$24,0))</f>
        <v>310887</v>
      </c>
      <c r="AN29" s="32">
        <f>AM29/AM$34</f>
        <v>0.59842424400304373</v>
      </c>
      <c r="AO29" s="32">
        <f t="shared" ref="AO29:AO32" si="50">AQ29/AM29</f>
        <v>0.60999999999999988</v>
      </c>
      <c r="AP29" s="30">
        <f t="shared" si="47"/>
        <v>0.93138520986339979</v>
      </c>
      <c r="AQ29" s="33">
        <f t="array" ref="AQ29">SUM(IF($B$4:$B$24=$Q29,AQ$4:AQ$24,0))</f>
        <v>189641.06999999998</v>
      </c>
      <c r="AR29" s="30"/>
      <c r="AS29" s="29">
        <f t="array" ref="AS29">SUM(IF($B$4:$B$24=$Q29,AS$4:AS$24,0))</f>
        <v>1942962.6862960383</v>
      </c>
      <c r="AT29" s="29">
        <f t="array" ref="AT29">SUM(IF($B$4:$B$24=$Q29,AT$4:AT$24,0))</f>
        <v>2086100</v>
      </c>
      <c r="AU29" s="30">
        <f t="shared" si="48"/>
        <v>0.93138520986339979</v>
      </c>
      <c r="AV29" s="33">
        <f t="array" ref="AV29">SUM(IF($B$4:$B$24=$Q29,AV$4:AV$24,0))</f>
        <v>310887</v>
      </c>
      <c r="AW29" s="29">
        <f t="array" ref="AW29">SUM(IF($B$4:$B$24=$Q29,AW$4:AW$24,0))</f>
        <v>1185207.2386405831</v>
      </c>
      <c r="AX29" s="29">
        <f t="array" ref="AX29">SUM(IF($B$4:$B$24=$Q29,AX$4:AX$24,0))</f>
        <v>1272521</v>
      </c>
      <c r="AY29" s="30">
        <f t="shared" si="49"/>
        <v>0.93138520986339957</v>
      </c>
      <c r="AZ29" s="33">
        <f t="array" ref="AZ29">SUM(IF($B$4:$B$24=$Q29,AZ$4:AZ$24,0))</f>
        <v>189641.06999999998</v>
      </c>
      <c r="BB29" s="29">
        <f t="array" ref="BB29">SUM(IF($B$4:$B$24=$Q29,BB$4:BB$24,0))</f>
        <v>1942962.6862960383</v>
      </c>
      <c r="BD29" s="29">
        <f t="array" ref="BD29">SUM(IF($B$4:$B$24=$Q29,BD$4:BD$24,0))</f>
        <v>1942962.6862960383</v>
      </c>
      <c r="BE29" s="29">
        <f t="array" ref="BE29">SUM(IF($B$4:$B$24=$Q29,BE$4:BE$24,0))</f>
        <v>0</v>
      </c>
    </row>
    <row r="30" spans="1:57">
      <c r="A30" s="68" t="s">
        <v>424</v>
      </c>
      <c r="E30" s="97" t="s">
        <v>272</v>
      </c>
      <c r="F30" s="24">
        <v>1408</v>
      </c>
      <c r="G30" s="33">
        <v>1265000</v>
      </c>
      <c r="H30" s="98">
        <f>G30/F30</f>
        <v>898.4375</v>
      </c>
      <c r="N30" s="32">
        <f>SUM(T8:T9,T16)/SUM(R8:T9,R16:T16)</f>
        <v>0</v>
      </c>
      <c r="O30" s="98">
        <f>((AM8*C8)+(AM9*C9)+(AM16*C16))/(AM8+AM9+AM16)</f>
        <v>5.9300954236946453</v>
      </c>
      <c r="Q30" s="97" t="s">
        <v>254</v>
      </c>
      <c r="R30" s="50">
        <f t="array" ref="R30">SUM(IF($B$4:$B$24=$Q30,R$4:R$24,0))</f>
        <v>49309.559322253728</v>
      </c>
      <c r="S30" s="50">
        <f t="array" ref="S30">SUM(IF($B$4:$B$24=$Q30,S$4:S$24,0))</f>
        <v>0</v>
      </c>
      <c r="T30" s="50">
        <f t="array" ref="T30">SUM(IF($B$4:$B$24=$Q30,T$4:T$24,0))</f>
        <v>0</v>
      </c>
      <c r="U30" s="50">
        <f t="array" ref="U30">SUM(IF($B$4:$B$24=$Q30,U$4:U$24,0))</f>
        <v>47537</v>
      </c>
      <c r="V30" s="50">
        <f t="array" ref="V30">SUM(IF($B$4:$B$24=$Q30,V$4:V$24,0))</f>
        <v>1204.3499999999999</v>
      </c>
      <c r="W30" s="50">
        <f t="array" ref="W30">SUM(IF($B$4:$B$24=$Q30,W$4:W$24,0))</f>
        <v>24087</v>
      </c>
      <c r="X30" s="30">
        <f t="shared" si="37"/>
        <v>1.0116576443256851</v>
      </c>
      <c r="Y30" s="30">
        <f t="shared" si="38"/>
        <v>1.0116576443256851</v>
      </c>
      <c r="Z30" s="31">
        <f t="shared" si="39"/>
        <v>1.9496610233243274</v>
      </c>
      <c r="AA30" s="50">
        <f t="array" ref="AA30">SUM(IF($B$4:$B$24=$Q30,AA$4:AA$24,0))</f>
        <v>49309.559322253728</v>
      </c>
      <c r="AB30" s="50">
        <f t="array" ref="AB30">SUM(IF($B$4:$B$24=$Q30,AB$4:AB$24,0))</f>
        <v>0</v>
      </c>
      <c r="AC30" s="50">
        <f t="array" ref="AC30">SUM(IF($B$4:$B$24=$Q30,AC$4:AC$24,0))</f>
        <v>47537</v>
      </c>
      <c r="AD30" s="50">
        <f t="array" ref="AD30">SUM(IF($B$4:$B$24=$Q30,AD$4:AD$24,0))</f>
        <v>1204.3499999999999</v>
      </c>
      <c r="AE30" s="50">
        <f t="array" ref="AE30">SUM(IF($B$4:$B$24=$Q30,AE$4:AE$24,0))</f>
        <v>24087</v>
      </c>
      <c r="AF30" s="30">
        <f t="shared" si="40"/>
        <v>1.0116576443256851</v>
      </c>
      <c r="AG30" s="30">
        <f t="shared" si="41"/>
        <v>1.0116576443256851</v>
      </c>
      <c r="AH30" s="30">
        <f t="shared" si="42"/>
        <v>1.9496610233243274</v>
      </c>
      <c r="AI30" s="32">
        <f t="shared" si="43"/>
        <v>1</v>
      </c>
      <c r="AJ30" s="32">
        <f t="shared" si="44"/>
        <v>1</v>
      </c>
      <c r="AK30" s="32">
        <f t="shared" si="45"/>
        <v>0.48848540386629208</v>
      </c>
      <c r="AL30" s="32">
        <f t="shared" si="46"/>
        <v>0.48848540386629208</v>
      </c>
      <c r="AM30" s="33">
        <f t="array" ref="AM30">SUM(IF($B$4:$B$24=$Q30,AM$4:AM$24,0))</f>
        <v>23809.599999999999</v>
      </c>
      <c r="AN30" s="32">
        <f>AM30/AM$34</f>
        <v>4.5830934969988676E-2</v>
      </c>
      <c r="AO30" s="32">
        <f t="shared" si="50"/>
        <v>0.58937033801491845</v>
      </c>
      <c r="AP30" s="30">
        <f t="shared" si="47"/>
        <v>0.99453630062573428</v>
      </c>
      <c r="AQ30" s="33">
        <f t="array" ref="AQ30">SUM(IF($B$4:$B$24=$Q30,AQ$4:AQ$24,0))</f>
        <v>14032.672</v>
      </c>
      <c r="AR30" s="30"/>
      <c r="AS30" s="29">
        <f t="array" ref="AS30">SUM(IF($B$4:$B$24=$Q30,AS$4:AS$24,0))</f>
        <v>36282.551461339892</v>
      </c>
      <c r="AT30" s="29">
        <f t="array" ref="AT30">SUM(IF($B$4:$B$24=$Q30,AT$4:AT$24,0))</f>
        <v>25291.35</v>
      </c>
      <c r="AU30" s="30">
        <f t="shared" si="48"/>
        <v>1.4345834232391665</v>
      </c>
      <c r="AV30" s="33">
        <f t="array" ref="AV30">SUM(IF($B$4:$B$24=$Q30,AV$4:AV$24,0))</f>
        <v>20646</v>
      </c>
      <c r="AW30" s="29">
        <f t="array" ref="AW30">SUM(IF($B$4:$B$24=$Q30,AW$4:AW$24,0))</f>
        <v>21769.530876803936</v>
      </c>
      <c r="AX30" s="29">
        <f t="array" ref="AX30">SUM(IF($B$4:$B$24=$Q30,AX$4:AX$24,0))</f>
        <v>15174.809999999998</v>
      </c>
      <c r="AY30" s="30">
        <f t="shared" si="49"/>
        <v>1.4345834232391668</v>
      </c>
      <c r="AZ30" s="33">
        <f t="array" ref="AZ30">SUM(IF($B$4:$B$24=$Q30,AZ$4:AZ$24,0))</f>
        <v>12387.6</v>
      </c>
      <c r="BB30" s="29">
        <f t="array" ref="BB30">SUM(IF($B$4:$B$24=$Q30,BB$4:BB$24,0))</f>
        <v>36282.551461339892</v>
      </c>
      <c r="BD30" s="29">
        <f t="array" ref="BD30">SUM(IF($B$4:$B$24=$Q30,BD$4:BD$24,0))</f>
        <v>36282.551461339892</v>
      </c>
      <c r="BE30" s="29">
        <f t="array" ref="BE30">SUM(IF($B$4:$B$24=$Q30,BE$4:BE$24,0))</f>
        <v>0</v>
      </c>
    </row>
    <row r="31" spans="1:57">
      <c r="A31" s="68" t="s">
        <v>425</v>
      </c>
      <c r="E31" s="97" t="s">
        <v>259</v>
      </c>
      <c r="F31" s="24">
        <v>264</v>
      </c>
      <c r="G31" s="33">
        <v>137500</v>
      </c>
      <c r="H31" s="98">
        <f>G31/F31</f>
        <v>520.83333333333337</v>
      </c>
      <c r="N31" s="32">
        <f>SUM(T10:T11,T17)/SUM(R10:T11,R17:T17)</f>
        <v>0</v>
      </c>
      <c r="O31" s="98">
        <f>((AM10*C10)+(AM11*C11)+(AM12*C12))/(AM10+AM11+AM12)</f>
        <v>19.999999999999996</v>
      </c>
      <c r="Q31" s="97" t="s">
        <v>257</v>
      </c>
      <c r="R31" s="50">
        <f t="array" ref="R31">SUM(IF($B$4:$B$24=$Q31,R$4:R$24,0))</f>
        <v>820888.66779692704</v>
      </c>
      <c r="S31" s="50">
        <f t="array" ref="S31">SUM(IF($B$4:$B$24=$Q31,S$4:S$24,0))</f>
        <v>151490.5404081959</v>
      </c>
      <c r="T31" s="50">
        <f t="array" ref="T31">SUM(IF($B$4:$B$24=$Q31,T$4:T$24,0))</f>
        <v>0</v>
      </c>
      <c r="U31" s="50">
        <f t="array" ref="U31">SUM(IF($B$4:$B$24=$Q31,U$4:U$24,0))</f>
        <v>944975</v>
      </c>
      <c r="V31" s="50">
        <f t="array" ref="V31">SUM(IF($B$4:$B$24=$Q31,V$4:V$24,0))</f>
        <v>0</v>
      </c>
      <c r="W31" s="50">
        <f t="array" ref="W31">SUM(IF($B$4:$B$24=$Q31,W$4:W$24,0))</f>
        <v>152341.66666666666</v>
      </c>
      <c r="X31" s="30">
        <f t="shared" si="37"/>
        <v>1.0289999293157206</v>
      </c>
      <c r="Y31" s="30">
        <f t="shared" si="38"/>
        <v>1.0289999293157206</v>
      </c>
      <c r="Z31" s="31">
        <f t="shared" si="39"/>
        <v>6.382884141163764</v>
      </c>
      <c r="AA31" s="50">
        <f t="array" ref="AA31">SUM(IF($B$4:$B$24=$Q31,AA$4:AA$24,0))</f>
        <v>820888.66779692704</v>
      </c>
      <c r="AB31" s="50">
        <f t="array" ref="AB31">SUM(IF($B$4:$B$24=$Q31,AB$4:AB$24,0))</f>
        <v>0</v>
      </c>
      <c r="AC31" s="50">
        <f t="array" ref="AC31">SUM(IF($B$4:$B$24=$Q31,AC$4:AC$24,0))</f>
        <v>797795.42046379263</v>
      </c>
      <c r="AD31" s="50">
        <f t="array" ref="AD31">SUM(IF($B$4:$B$24=$Q31,AD$4:AD$24,0))</f>
        <v>0</v>
      </c>
      <c r="AE31" s="50">
        <f t="array" ref="AE31">SUM(IF($B$4:$B$24=$Q31,AE$4:AE$24,0))</f>
        <v>130267.68466215162</v>
      </c>
      <c r="AF31" s="30">
        <f t="shared" si="40"/>
        <v>1.0289463272673454</v>
      </c>
      <c r="AG31" s="30">
        <f t="shared" si="41"/>
        <v>1.0289463272673454</v>
      </c>
      <c r="AH31" s="30">
        <f t="shared" si="42"/>
        <v>6.3015526062806471</v>
      </c>
      <c r="AI31" s="32">
        <f t="shared" si="43"/>
        <v>1</v>
      </c>
      <c r="AJ31" s="32">
        <f t="shared" si="44"/>
        <v>1</v>
      </c>
      <c r="AK31" s="32">
        <f t="shared" si="45"/>
        <v>0.15869105004428868</v>
      </c>
      <c r="AL31" s="32">
        <f t="shared" si="46"/>
        <v>0.15666898816961361</v>
      </c>
      <c r="AM31" s="33">
        <f t="array" ref="AM31">SUM(IF($B$4:$B$24=$Q31,AM$4:AM$24,0))</f>
        <v>131347.66666666666</v>
      </c>
      <c r="AN31" s="32">
        <f>AM31/AM$34</f>
        <v>0.25283021846061038</v>
      </c>
      <c r="AO31" s="32">
        <f t="shared" si="50"/>
        <v>0.6379999999999999</v>
      </c>
      <c r="AP31" s="30">
        <f t="shared" si="47"/>
        <v>1.0289463272673456</v>
      </c>
      <c r="AQ31" s="33">
        <f t="array" ref="AQ31">SUM(IF($B$4:$B$24=$Q31,AQ$4:AQ$24,0))</f>
        <v>83799.811333333317</v>
      </c>
      <c r="AR31" s="30"/>
      <c r="AS31" s="29">
        <f t="array" ref="AS31">SUM(IF($B$4:$B$24=$Q31,AS$4:AS$24,0))</f>
        <v>408136.09686870035</v>
      </c>
      <c r="AT31" s="29">
        <f t="array" ref="AT31">SUM(IF($B$4:$B$24=$Q31,AT$4:AT$24,0))</f>
        <v>236992.01510697554</v>
      </c>
      <c r="AU31" s="30">
        <f t="shared" si="48"/>
        <v>1.722151257646686</v>
      </c>
      <c r="AV31" s="33">
        <f t="array" ref="AV31">SUM(IF($B$4:$B$24=$Q31,AV$4:AV$24,0))</f>
        <v>65304.499999999993</v>
      </c>
      <c r="AW31" s="29">
        <f t="array" ref="AW31">SUM(IF($B$4:$B$24=$Q31,AW$4:AW$24,0))</f>
        <v>260390.82980223082</v>
      </c>
      <c r="AX31" s="29">
        <f t="array" ref="AX31">SUM(IF($B$4:$B$24=$Q31,AX$4:AX$24,0))</f>
        <v>151200.90563825041</v>
      </c>
      <c r="AY31" s="30">
        <f t="shared" si="49"/>
        <v>1.722151257646686</v>
      </c>
      <c r="AZ31" s="33">
        <f t="array" ref="AZ31">SUM(IF($B$4:$B$24=$Q31,AZ$4:AZ$24,0))</f>
        <v>41664.270999999993</v>
      </c>
      <c r="BB31" s="29">
        <f t="array" ref="BB31">SUM(IF($B$4:$B$24=$Q31,BB$4:BB$24,0))</f>
        <v>408136.09686870035</v>
      </c>
      <c r="BD31" s="29">
        <f t="array" ref="BD31">SUM(IF($B$4:$B$24=$Q31,BD$4:BD$24,0))</f>
        <v>408136.09686870035</v>
      </c>
      <c r="BE31" s="29">
        <f t="array" ref="BE31">SUM(IF($B$4:$B$24=$Q31,BE$4:BE$24,0))</f>
        <v>0</v>
      </c>
    </row>
    <row r="32" spans="1:57">
      <c r="A32" s="68" t="s">
        <v>426</v>
      </c>
      <c r="E32" s="97" t="s">
        <v>260</v>
      </c>
      <c r="F32" s="24">
        <v>152</v>
      </c>
      <c r="G32" s="33">
        <v>76000</v>
      </c>
      <c r="H32" s="98">
        <f>G32/F32</f>
        <v>500</v>
      </c>
      <c r="N32" s="32">
        <f>SUM(T14:T15)/SUM(R14:T15)</f>
        <v>0</v>
      </c>
      <c r="O32" s="48">
        <f>((AM4*C4)+(AM5*C5))/(AM4+AM5)</f>
        <v>30</v>
      </c>
      <c r="Q32" s="97" t="s">
        <v>262</v>
      </c>
      <c r="R32" s="50">
        <f t="array" ref="R32">SUM(IF($B$4:$B$24=$Q32,R$4:R$24,0))</f>
        <v>131907.63855945811</v>
      </c>
      <c r="S32" s="50">
        <f t="array" ref="S32">SUM(IF($B$4:$B$24=$Q32,S$4:S$24,0))</f>
        <v>0</v>
      </c>
      <c r="T32" s="50">
        <f t="array" ref="T32">SUM(IF($B$4:$B$24=$Q32,T$4:T$24,0))</f>
        <v>0</v>
      </c>
      <c r="U32" s="50">
        <f t="array" ref="U32">SUM(IF($B$4:$B$24=$Q32,U$4:U$24,0))</f>
        <v>73107</v>
      </c>
      <c r="V32" s="50">
        <f t="array" ref="V32">SUM(IF($B$4:$B$24=$Q32,V$4:V$24,0))</f>
        <v>0</v>
      </c>
      <c r="W32" s="50">
        <f t="array" ref="W32">SUM(IF($B$4:$B$24=$Q32,W$4:W$24,0))</f>
        <v>44175</v>
      </c>
      <c r="X32" s="30">
        <f t="shared" si="37"/>
        <v>1.8043092803624565</v>
      </c>
      <c r="Y32" s="30">
        <f t="shared" si="38"/>
        <v>1.8043092803624565</v>
      </c>
      <c r="Z32" s="31">
        <f t="shared" si="39"/>
        <v>2.9860246419798102</v>
      </c>
      <c r="AA32" s="50">
        <f t="array" ref="AA32">SUM(IF($B$4:$B$24=$Q32,AA$4:AA$24,0))</f>
        <v>131907.63855945811</v>
      </c>
      <c r="AB32" s="50">
        <f t="array" ref="AB32">SUM(IF($B$4:$B$24=$Q32,AB$4:AB$24,0))</f>
        <v>0</v>
      </c>
      <c r="AC32" s="50">
        <f t="array" ref="AC32">SUM(IF($B$4:$B$24=$Q32,AC$4:AC$24,0))</f>
        <v>73107</v>
      </c>
      <c r="AD32" s="50">
        <f t="array" ref="AD32">SUM(IF($B$4:$B$24=$Q32,AD$4:AD$24,0))</f>
        <v>0</v>
      </c>
      <c r="AE32" s="50">
        <f t="array" ref="AE32">SUM(IF($B$4:$B$24=$Q32,AE$4:AE$24,0))</f>
        <v>44175</v>
      </c>
      <c r="AF32" s="30">
        <f t="shared" si="40"/>
        <v>1.8043092803624565</v>
      </c>
      <c r="AG32" s="30">
        <f t="shared" si="41"/>
        <v>1.8043092803624565</v>
      </c>
      <c r="AH32" s="30">
        <f t="shared" si="42"/>
        <v>2.9860246419798102</v>
      </c>
      <c r="AI32" s="32">
        <f t="shared" si="43"/>
        <v>1</v>
      </c>
      <c r="AJ32" s="32">
        <f t="shared" si="44"/>
        <v>1</v>
      </c>
      <c r="AK32" s="32">
        <f t="shared" si="45"/>
        <v>0.33489341847392612</v>
      </c>
      <c r="AL32" s="32">
        <f t="shared" si="46"/>
        <v>0.33489341847392612</v>
      </c>
      <c r="AM32" s="33">
        <f t="array" ref="AM32">SUM(IF($B$4:$B$24=$Q32,AM$4:AM$24,0))</f>
        <v>29234.100000000002</v>
      </c>
      <c r="AN32" s="32">
        <f>AM32/AM$34</f>
        <v>5.6272517640201691E-2</v>
      </c>
      <c r="AO32" s="32">
        <f t="shared" si="50"/>
        <v>0.41853725614949661</v>
      </c>
      <c r="AP32" s="30">
        <f t="shared" si="47"/>
        <v>1.8043092803624565</v>
      </c>
      <c r="AQ32" s="33">
        <f t="array" ref="AQ32">SUM(IF($B$4:$B$24=$Q32,AQ$4:AQ$24,0))</f>
        <v>12235.56</v>
      </c>
      <c r="AR32" s="30"/>
      <c r="AS32" s="29">
        <f t="array" ref="AS32">SUM(IF($B$4:$B$24=$Q32,AS$4:AS$24,0))</f>
        <v>122125.00997708745</v>
      </c>
      <c r="AT32" s="29">
        <f t="array" ref="AT32">SUM(IF($B$4:$B$24=$Q32,AT$4:AT$24,0))</f>
        <v>58311</v>
      </c>
      <c r="AU32" s="30">
        <f t="shared" si="48"/>
        <v>2.0943734454406107</v>
      </c>
      <c r="AV32" s="33">
        <f t="array" ref="AV32">SUM(IF($B$4:$B$24=$Q32,AV$4:AV$24,0))</f>
        <v>26151.600000000002</v>
      </c>
      <c r="AW32" s="29">
        <f t="array" ref="AW32">SUM(IF($B$4:$B$24=$Q32,AW$4:AW$24,0))</f>
        <v>42743.753491980606</v>
      </c>
      <c r="AX32" s="29">
        <f t="array" ref="AX32">SUM(IF($B$4:$B$24=$Q32,AX$4:AX$24,0))</f>
        <v>20408.849999999999</v>
      </c>
      <c r="AY32" s="30">
        <f t="shared" si="49"/>
        <v>2.0943734454406107</v>
      </c>
      <c r="AZ32" s="33">
        <f t="array" ref="AZ32">SUM(IF($B$4:$B$24=$Q32,AZ$4:AZ$24,0))</f>
        <v>9153.06</v>
      </c>
      <c r="BB32" s="29">
        <f t="array" ref="BB32">SUM(IF($B$4:$B$24=$Q32,BB$4:BB$24,0))</f>
        <v>122125.00997708745</v>
      </c>
      <c r="BD32" s="29">
        <f t="array" ref="BD32">SUM(IF($B$4:$B$24=$Q32,BD$4:BD$24,0))</f>
        <v>122125.00997708745</v>
      </c>
      <c r="BE32" s="29">
        <f t="array" ref="BE32">SUM(IF($B$4:$B$24=$Q32,BE$4:BE$24,0))</f>
        <v>0</v>
      </c>
    </row>
    <row r="33" spans="1:57">
      <c r="N33" s="25" t="s">
        <v>273</v>
      </c>
      <c r="O33" s="25" t="s">
        <v>274</v>
      </c>
      <c r="R33" s="50"/>
      <c r="S33" s="50"/>
      <c r="T33" s="50"/>
      <c r="U33" s="50"/>
      <c r="V33" s="50"/>
      <c r="W33" s="50"/>
      <c r="AA33" s="50"/>
      <c r="AB33" s="50"/>
      <c r="AC33" s="50"/>
      <c r="AD33" s="50"/>
      <c r="AE33" s="50"/>
      <c r="AM33" s="24"/>
      <c r="AQ33" s="24"/>
      <c r="AR33" s="24"/>
      <c r="AS33" s="29"/>
      <c r="AT33" s="29"/>
      <c r="AU33" s="24"/>
      <c r="AV33" s="24"/>
      <c r="AW33" s="29"/>
      <c r="AX33" s="29"/>
      <c r="AY33" s="24"/>
      <c r="AZ33" s="24"/>
      <c r="BB33" s="29"/>
      <c r="BD33" s="29"/>
      <c r="BE33" s="29"/>
    </row>
    <row r="34" spans="1:57">
      <c r="A34" s="99" t="s">
        <v>427</v>
      </c>
      <c r="Q34" s="97" t="s">
        <v>275</v>
      </c>
      <c r="R34" s="50">
        <f t="shared" ref="R34:W34" si="51">SUM(R28:R33)</f>
        <v>3135704.5429207967</v>
      </c>
      <c r="S34" s="50">
        <f t="shared" si="51"/>
        <v>262278.88273837173</v>
      </c>
      <c r="T34" s="50">
        <f t="shared" si="51"/>
        <v>0</v>
      </c>
      <c r="U34" s="50">
        <f t="shared" si="51"/>
        <v>3498219</v>
      </c>
      <c r="V34" s="50">
        <f t="shared" si="51"/>
        <v>1204.3499999999999</v>
      </c>
      <c r="W34" s="50">
        <f t="shared" si="51"/>
        <v>1517153.6666666667</v>
      </c>
      <c r="X34" s="30">
        <f>IF(U34=0," ",(R34+S34+T34)/(U34+V34))</f>
        <v>0.97101238855800864</v>
      </c>
      <c r="Y34" s="30">
        <f>IF(U34=0," ",(R34+S34)/(U34+V34))</f>
        <v>0.97101238855800864</v>
      </c>
      <c r="Z34" s="31">
        <f>IF(W34=0," ",(R34+S34)/(W34+V34))</f>
        <v>2.2379329435879325</v>
      </c>
      <c r="AA34" s="50">
        <f>SUM(AA28:AA33)</f>
        <v>3135704.5429207967</v>
      </c>
      <c r="AB34" s="50">
        <f>SUM(AB28:AB33)</f>
        <v>0</v>
      </c>
      <c r="AC34" s="50">
        <f>SUM(AC28:AC33)</f>
        <v>3222000.906952945</v>
      </c>
      <c r="AD34" s="50">
        <f>SUM(AD28:AD33)</f>
        <v>1204.3499999999999</v>
      </c>
      <c r="AE34" s="50">
        <f>SUM(AE28:AE33)</f>
        <v>1456368.1306088974</v>
      </c>
      <c r="AF34" s="30">
        <f>IF(AC34=0," ",(AA34+AB34)/(AC34+AD34))</f>
        <v>0.97285288802399539</v>
      </c>
      <c r="AG34" s="30">
        <f>IF(AC34=0," ",(AA34)/(AC34+AD34))</f>
        <v>0.97285288802399539</v>
      </c>
      <c r="AH34" s="30">
        <f>IF(AE34=0," ",(AA34/(AE34+AD34)))</f>
        <v>2.1513198037403005</v>
      </c>
      <c r="AI34" s="32">
        <f>IF(AA34+AB34=0," ",(AA34/(AA34+AB34)))</f>
        <v>1</v>
      </c>
      <c r="AJ34" s="32">
        <f>IF(R34+S34+T34=0," ",(R34+S34)/(R34+S34+T34))</f>
        <v>1</v>
      </c>
      <c r="AK34" s="32">
        <f>IF(AA34=0," ",AE34/AA34)</f>
        <v>0.46444686056178702</v>
      </c>
      <c r="AL34" s="32">
        <f>IF(R34+S34=0," ",W34/(R34+S34))</f>
        <v>0.44648648230894677</v>
      </c>
      <c r="AM34" s="33">
        <f>SUM(AM28:AM33)</f>
        <v>519509.36666666658</v>
      </c>
      <c r="AN34" s="32">
        <f>AM34/AM$34</f>
        <v>1</v>
      </c>
      <c r="AO34" s="32">
        <f t="shared" ref="AO34" si="52">AQ34/AM34</f>
        <v>0.61123658148993276</v>
      </c>
      <c r="AP34" s="30">
        <f>IF(AC34+AD34=0," ",((AO34*(AA34+AB34)/((AO34*AC34)+AD34))))</f>
        <v>0.97262174287551961</v>
      </c>
      <c r="AQ34" s="33">
        <f>SUM(AQ28:AQ33)</f>
        <v>317543.12933333329</v>
      </c>
      <c r="AR34" s="30"/>
      <c r="AS34" s="29">
        <f>SUM(AS28:AS33)</f>
        <v>2700142.3355492852</v>
      </c>
      <c r="AT34" s="29">
        <f>SUM(AT28:AT33)</f>
        <v>2624155.8515961282</v>
      </c>
      <c r="AU34" s="30">
        <f t="shared" ref="AU34" si="53">IF(AT34=0," ",AS34/AT34)</f>
        <v>1.028956543837493</v>
      </c>
      <c r="AV34" s="33">
        <f>SUM(AV28:AV33)</f>
        <v>447220.1</v>
      </c>
      <c r="AW34" s="29">
        <f>SUM(AW28:AW33)</f>
        <v>1650419.4421479418</v>
      </c>
      <c r="AX34" s="29">
        <f>SUM(AX28:AX33)</f>
        <v>1619357.2196942666</v>
      </c>
      <c r="AY34" s="30">
        <f t="shared" ref="AY34" si="54">IF(AX34=0," ",AW34/AX34)</f>
        <v>1.0191818223156097</v>
      </c>
      <c r="AZ34" s="33">
        <f>SUM(AZ28:AZ33)</f>
        <v>270680.01699999999</v>
      </c>
      <c r="BB34" s="29">
        <f>SUM(BB28:BB33)</f>
        <v>2700142.3355492852</v>
      </c>
      <c r="BD34" s="29">
        <f>SUM(BD28:BD33)</f>
        <v>2700142.3355492852</v>
      </c>
      <c r="BE34" s="29">
        <f>SUM(BE28:BE33)</f>
        <v>0</v>
      </c>
    </row>
    <row r="35" spans="1:57">
      <c r="AA35" s="50"/>
      <c r="AB35" s="50"/>
      <c r="AC35" s="50"/>
      <c r="AD35" s="50"/>
      <c r="AE35" s="50"/>
    </row>
    <row r="36" spans="1:57">
      <c r="AB36" s="50"/>
      <c r="AC36" s="50"/>
      <c r="AD36" s="50"/>
      <c r="AE36" s="50"/>
    </row>
  </sheetData>
  <conditionalFormatting sqref="AU4:AU19 AY4:AY19 AY28:AY32 AU34 AY34 AU28:AU32 AF28:AH32 X28:Z32 X4:Z19 AF4:AH24 AP4:AP19 AP28:AP32 AP34">
    <cfRule type="cellIs" dxfId="14" priority="12" stopIfTrue="1" operator="equal">
      <formula>" "</formula>
    </cfRule>
    <cfRule type="cellIs" dxfId="13" priority="13" operator="greaterThan">
      <formula>1.25</formula>
    </cfRule>
    <cfRule type="cellIs" dxfId="12" priority="14" operator="between">
      <formula>0.9</formula>
      <formula>1.1</formula>
    </cfRule>
    <cfRule type="cellIs" dxfId="11" priority="15" operator="lessThan">
      <formula>0.75</formula>
    </cfRule>
  </conditionalFormatting>
  <conditionalFormatting sqref="AK34:AL34 AK28:AL32 AK4:AL24">
    <cfRule type="cellIs" dxfId="10" priority="7" stopIfTrue="1" operator="equal">
      <formula>" "</formula>
    </cfRule>
    <cfRule type="cellIs" dxfId="9" priority="8" operator="lessThan">
      <formula>0.5</formula>
    </cfRule>
    <cfRule type="cellIs" dxfId="8" priority="9" operator="between">
      <formula>0.5</formula>
      <formula>0.75</formula>
    </cfRule>
    <cfRule type="cellIs" dxfId="7" priority="10" operator="between">
      <formula>0.75</formula>
      <formula>1</formula>
    </cfRule>
    <cfRule type="cellIs" dxfId="6" priority="11" operator="greaterThan">
      <formula>1</formula>
    </cfRule>
  </conditionalFormatting>
  <conditionalFormatting sqref="X34:Z34 AF34:AH34">
    <cfRule type="cellIs" dxfId="5" priority="3" stopIfTrue="1" operator="equal">
      <formula>" "</formula>
    </cfRule>
    <cfRule type="cellIs" dxfId="4" priority="4" operator="greaterThan">
      <formula>1.25</formula>
    </cfRule>
    <cfRule type="cellIs" dxfId="3" priority="5" operator="between">
      <formula>0.75</formula>
      <formula>1.25</formula>
    </cfRule>
    <cfRule type="cellIs" dxfId="2" priority="6" operator="lessThan">
      <formula>0.75</formula>
    </cfRule>
  </conditionalFormatting>
  <conditionalFormatting sqref="AU4:AU19 AY4:AY19 AY28:AY32 AU34 AY34 AU28:AU32 AF28:AH32 X28:Z32 X4:Z19 AF4:AH24 AP4:AP19 AP28:AP32 AP34">
    <cfRule type="cellIs" dxfId="1" priority="1" operator="between">
      <formula>1.1</formula>
      <formula>1.25</formula>
    </cfRule>
    <cfRule type="cellIs" dxfId="0" priority="2" operator="between">
      <formula>0.75</formula>
      <formula>0.9</formula>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sheetPr>
    <tabColor theme="6" tint="-0.499984740745262"/>
  </sheetPr>
  <dimension ref="B1:AK118"/>
  <sheetViews>
    <sheetView tabSelected="1" topLeftCell="A16" workbookViewId="0">
      <selection activeCell="W19" sqref="W19"/>
    </sheetView>
  </sheetViews>
  <sheetFormatPr defaultRowHeight="15"/>
  <cols>
    <col min="1" max="1" width="5.85546875" customWidth="1"/>
    <col min="3" max="3" width="32.42578125" customWidth="1"/>
    <col min="4" max="4" width="14.28515625" customWidth="1"/>
    <col min="5" max="5" width="12.140625" customWidth="1"/>
    <col min="6" max="8" width="12.85546875" customWidth="1"/>
    <col min="9" max="11" width="12" customWidth="1"/>
    <col min="12" max="12" width="13.28515625" customWidth="1"/>
    <col min="13" max="15" width="12" customWidth="1"/>
    <col min="18" max="18" width="12.7109375" customWidth="1"/>
    <col min="19" max="22" width="11.85546875" customWidth="1"/>
    <col min="23" max="23" width="11.5703125" bestFit="1" customWidth="1"/>
    <col min="24" max="24" width="12.28515625" bestFit="1" customWidth="1"/>
    <col min="25" max="25" width="12.7109375" customWidth="1"/>
    <col min="26" max="26" width="12.28515625" customWidth="1"/>
    <col min="35" max="35" width="41.7109375" bestFit="1" customWidth="1"/>
    <col min="36" max="37" width="16.42578125" customWidth="1"/>
  </cols>
  <sheetData>
    <row r="1" spans="2:37" ht="15.75" thickBot="1">
      <c r="B1" s="104"/>
      <c r="C1" s="104"/>
      <c r="D1" s="104"/>
      <c r="E1" s="104"/>
      <c r="F1" s="104"/>
      <c r="G1" s="104"/>
      <c r="H1" s="104"/>
      <c r="I1" s="104"/>
      <c r="J1" s="104"/>
      <c r="K1" s="104"/>
      <c r="L1" s="104"/>
      <c r="M1" s="104"/>
      <c r="N1" s="104"/>
      <c r="O1" s="104"/>
      <c r="P1" s="104"/>
      <c r="R1" s="296"/>
    </row>
    <row r="2" spans="2:37">
      <c r="B2" s="105"/>
      <c r="C2" s="106"/>
      <c r="D2" s="106"/>
      <c r="E2" s="106"/>
      <c r="F2" s="107"/>
      <c r="G2" s="107"/>
      <c r="H2" s="107"/>
      <c r="I2" s="107"/>
      <c r="J2" s="107"/>
      <c r="K2" s="107"/>
      <c r="L2" s="107"/>
      <c r="M2" s="107"/>
      <c r="N2" s="107"/>
      <c r="O2" s="107"/>
      <c r="P2" s="108"/>
    </row>
    <row r="3" spans="2:37">
      <c r="B3" s="105"/>
      <c r="C3" s="109" t="s">
        <v>375</v>
      </c>
      <c r="D3" s="109"/>
      <c r="E3" s="109"/>
      <c r="F3" s="107"/>
      <c r="G3" s="107"/>
      <c r="H3" s="107"/>
      <c r="I3" s="107" t="s">
        <v>382</v>
      </c>
      <c r="J3" s="107"/>
      <c r="K3" s="107"/>
      <c r="L3" s="107"/>
      <c r="M3" s="107"/>
      <c r="N3" s="107"/>
      <c r="O3" s="107"/>
      <c r="P3" s="108"/>
      <c r="R3" s="297"/>
    </row>
    <row r="4" spans="2:37">
      <c r="B4" s="110"/>
      <c r="C4" s="111"/>
      <c r="D4" s="111"/>
      <c r="E4" s="111"/>
      <c r="F4" s="109"/>
      <c r="G4" s="109"/>
      <c r="H4" s="109"/>
      <c r="I4" s="107"/>
      <c r="J4" s="107"/>
      <c r="K4" s="107"/>
      <c r="L4" s="107"/>
      <c r="M4" s="107"/>
      <c r="N4" s="107"/>
      <c r="O4" s="107"/>
      <c r="P4" s="108"/>
      <c r="AI4" s="302"/>
      <c r="AJ4" s="302"/>
      <c r="AK4" s="302"/>
    </row>
    <row r="5" spans="2:37" ht="52.5" customHeight="1">
      <c r="B5" s="112"/>
      <c r="C5" s="113"/>
      <c r="D5" s="113" t="s">
        <v>291</v>
      </c>
      <c r="E5" s="113" t="s">
        <v>46</v>
      </c>
      <c r="F5" s="151" t="s">
        <v>376</v>
      </c>
      <c r="G5" s="151" t="s">
        <v>388</v>
      </c>
      <c r="H5" s="151" t="s">
        <v>389</v>
      </c>
      <c r="I5" s="114" t="s">
        <v>377</v>
      </c>
      <c r="J5" s="113" t="s">
        <v>378</v>
      </c>
      <c r="K5" s="113" t="s">
        <v>379</v>
      </c>
      <c r="L5" s="113" t="s">
        <v>380</v>
      </c>
      <c r="M5" s="113" t="s">
        <v>406</v>
      </c>
      <c r="N5" s="113" t="s">
        <v>381</v>
      </c>
      <c r="O5" s="113" t="s">
        <v>276</v>
      </c>
      <c r="P5" s="115"/>
      <c r="R5" s="206"/>
      <c r="S5" s="206"/>
      <c r="T5" s="206"/>
      <c r="U5" s="206"/>
      <c r="V5" s="206"/>
      <c r="W5" s="151"/>
      <c r="X5" s="151"/>
      <c r="Y5" s="151"/>
      <c r="AJ5" s="233"/>
      <c r="AK5" s="233"/>
    </row>
    <row r="6" spans="2:37">
      <c r="B6" s="116"/>
      <c r="C6" s="117"/>
      <c r="D6" s="117"/>
      <c r="E6" s="117"/>
      <c r="F6" s="117"/>
      <c r="G6" s="117"/>
      <c r="H6" s="117"/>
      <c r="I6" s="117"/>
      <c r="J6" s="117"/>
      <c r="K6" s="117"/>
      <c r="L6" s="117"/>
      <c r="M6" s="117"/>
      <c r="N6" s="117"/>
      <c r="O6" s="107"/>
      <c r="P6" s="118"/>
      <c r="AI6" s="304"/>
      <c r="AJ6" s="303"/>
      <c r="AK6" s="303"/>
    </row>
    <row r="7" spans="2:37">
      <c r="B7" s="116"/>
      <c r="C7" s="119" t="s">
        <v>277</v>
      </c>
      <c r="D7" s="117">
        <f>'Site Specific'!I36*Calculations!C7</f>
        <v>368360.47741935489</v>
      </c>
      <c r="E7" s="128">
        <f>'[3]2012 gas portfolio'!$N7</f>
        <v>0.75</v>
      </c>
      <c r="F7" s="5">
        <f>D7*E7</f>
        <v>276270.35806451616</v>
      </c>
      <c r="G7" s="6">
        <f>'Site Specific'!J36</f>
        <v>433258.83870967739</v>
      </c>
      <c r="H7" s="6">
        <f>'Site Specific'!K36</f>
        <v>1394146.4516129033</v>
      </c>
      <c r="I7" s="177">
        <f>SUM('Site Specific'!AK36:AM36)*Calculations!C6*Portfolio!E7</f>
        <v>1503095.8166988296</v>
      </c>
      <c r="J7" s="177">
        <f>'Site Specific'!AN36*Portfolio!E7</f>
        <v>1298722.3690286062</v>
      </c>
      <c r="K7" s="120">
        <f>I7/J7</f>
        <v>1.1573650015923624</v>
      </c>
      <c r="L7" s="177">
        <f>(F7/F$21)*SUM(J$18:J$19)</f>
        <v>686594.81702039484</v>
      </c>
      <c r="M7" s="177">
        <f>J7+L7</f>
        <v>1985317.1860490011</v>
      </c>
      <c r="N7" s="120">
        <f>I7/M7</f>
        <v>0.75710613259242221</v>
      </c>
      <c r="O7" s="177">
        <f t="shared" ref="O7:O16" si="0">I7-M7</f>
        <v>-482221.36935017142</v>
      </c>
      <c r="P7" s="108"/>
      <c r="R7" s="6"/>
      <c r="S7" s="6"/>
      <c r="T7" s="6"/>
      <c r="U7" s="6"/>
      <c r="V7" s="9"/>
      <c r="W7" s="9"/>
      <c r="X7" s="8"/>
      <c r="Y7" s="5"/>
      <c r="Z7" s="300"/>
      <c r="AA7" s="286"/>
      <c r="AB7" s="286"/>
      <c r="AI7" s="304"/>
      <c r="AJ7" s="303"/>
      <c r="AK7" s="303"/>
    </row>
    <row r="8" spans="2:37">
      <c r="B8" s="116"/>
      <c r="C8" s="119" t="s">
        <v>278</v>
      </c>
      <c r="D8" s="117">
        <f>'Non res psc'!BM164*Calculations!C$7</f>
        <v>197.94602099108579</v>
      </c>
      <c r="E8" s="128">
        <f>'[3]2012 gas portfolio'!$N8</f>
        <v>0.87000000000000011</v>
      </c>
      <c r="F8" s="5">
        <f t="shared" ref="F8:F16" si="1">D8*E8</f>
        <v>172.21303826224465</v>
      </c>
      <c r="G8" s="50">
        <f>'Non res psc'!AA164-'Non res psc'!AI164</f>
        <v>6827.3213437376089</v>
      </c>
      <c r="H8" s="50">
        <f>'Non res psc'!AI164</f>
        <v>2572.6786562623906</v>
      </c>
      <c r="I8" s="177">
        <f>'Non res psc'!BJ164*Calculations!C$6*Portfolio!E8</f>
        <v>1144.0213392761279</v>
      </c>
      <c r="J8" s="177">
        <f>'Non res psc'!BK164*Portfolio!E8</f>
        <v>1286.9668533466518</v>
      </c>
      <c r="K8" s="120">
        <f t="shared" ref="K8:K16" si="2">I8/J8</f>
        <v>0.88892836385117013</v>
      </c>
      <c r="L8" s="177">
        <f t="shared" ref="L8:L16" si="3">(F8/F$21)*SUM(J$18:J$19)</f>
        <v>427.98865691765576</v>
      </c>
      <c r="M8" s="177">
        <f t="shared" ref="M8:M16" si="4">J8+L8</f>
        <v>1714.9555102643076</v>
      </c>
      <c r="N8" s="121">
        <f t="shared" ref="N8:N16" si="5">I8/M8</f>
        <v>0.66708514152638998</v>
      </c>
      <c r="O8" s="177">
        <f t="shared" si="0"/>
        <v>-570.93417098817963</v>
      </c>
      <c r="P8" s="108"/>
      <c r="R8" s="6"/>
      <c r="S8" s="6"/>
      <c r="T8" s="6"/>
      <c r="U8" s="6"/>
      <c r="V8" s="9"/>
      <c r="W8" s="9"/>
      <c r="X8" s="8"/>
      <c r="Y8" s="5"/>
      <c r="Z8" s="300"/>
      <c r="AA8" s="286"/>
      <c r="AB8" s="286"/>
    </row>
    <row r="9" spans="2:37">
      <c r="B9" s="116"/>
      <c r="C9" s="119" t="s">
        <v>279</v>
      </c>
      <c r="D9" s="117">
        <f>'Non res psc'!BM165*Calculations!C$7</f>
        <v>18711.695505882348</v>
      </c>
      <c r="E9" s="128">
        <f>'[3]2012 gas portfolio'!$N9</f>
        <v>0.87</v>
      </c>
      <c r="F9" s="5">
        <f t="shared" si="1"/>
        <v>16279.175090117642</v>
      </c>
      <c r="G9" s="50">
        <f>'Non res psc'!AA165-'Non res psc'!AI165</f>
        <v>14972.495906552511</v>
      </c>
      <c r="H9" s="50">
        <f>'Non res psc'!AI165</f>
        <v>54267.504093447489</v>
      </c>
      <c r="I9" s="177">
        <f>'Non res psc'!BJ165*Calculations!C$6*Portfolio!E9</f>
        <v>89106.624780673694</v>
      </c>
      <c r="J9" s="177">
        <f>'Non res psc'!BK165*Portfolio!E9</f>
        <v>68826.543680333969</v>
      </c>
      <c r="K9" s="120">
        <f t="shared" si="2"/>
        <v>1.2946549400262042</v>
      </c>
      <c r="L9" s="177">
        <f t="shared" si="3"/>
        <v>40457.46101951383</v>
      </c>
      <c r="M9" s="177">
        <f t="shared" si="4"/>
        <v>109284.00469984781</v>
      </c>
      <c r="N9" s="121">
        <f t="shared" si="5"/>
        <v>0.81536749156848742</v>
      </c>
      <c r="O9" s="177">
        <f t="shared" si="0"/>
        <v>-20177.379919174113</v>
      </c>
      <c r="P9" s="108"/>
      <c r="S9" s="6"/>
      <c r="T9" s="6"/>
      <c r="U9" s="6"/>
      <c r="V9" s="9"/>
      <c r="W9" s="9"/>
      <c r="X9" s="8"/>
      <c r="Y9" s="5"/>
      <c r="Z9" s="300"/>
      <c r="AA9" s="286"/>
      <c r="AB9" s="286"/>
    </row>
    <row r="10" spans="2:37">
      <c r="B10" s="116"/>
      <c r="C10" s="119" t="s">
        <v>280</v>
      </c>
      <c r="D10" s="117">
        <f>'Non res psc'!BM166*Calculations!C$7</f>
        <v>31307.456400000003</v>
      </c>
      <c r="E10" s="128">
        <f>'[3]2012 gas portfolio'!$N10</f>
        <v>0.86999999999999988</v>
      </c>
      <c r="F10" s="5">
        <f t="shared" si="1"/>
        <v>27237.487067999999</v>
      </c>
      <c r="G10" s="50">
        <f>'Non res psc'!AA166-'Non res psc'!AI166</f>
        <v>50359.105063803872</v>
      </c>
      <c r="H10" s="50">
        <f>'Non res psc'!AI166</f>
        <v>92549.154936196137</v>
      </c>
      <c r="I10" s="177">
        <f>'Non res psc'!BJ166*Calculations!C$6*Portfolio!E10</f>
        <v>228330.53699266855</v>
      </c>
      <c r="J10" s="177">
        <f>'Non res psc'!BK166*Portfolio!E10</f>
        <v>146229.44718859211</v>
      </c>
      <c r="K10" s="120">
        <f t="shared" si="2"/>
        <v>1.561453875279927</v>
      </c>
      <c r="L10" s="177">
        <f t="shared" si="3"/>
        <v>67691.364287375487</v>
      </c>
      <c r="M10" s="177">
        <f t="shared" si="4"/>
        <v>213920.81147596758</v>
      </c>
      <c r="N10" s="121">
        <f t="shared" si="5"/>
        <v>1.0673600918829713</v>
      </c>
      <c r="O10" s="177">
        <f t="shared" si="0"/>
        <v>14409.725516700972</v>
      </c>
      <c r="P10" s="108"/>
      <c r="S10" s="6"/>
      <c r="T10" s="6"/>
      <c r="U10" s="6"/>
      <c r="V10" s="9"/>
      <c r="W10" s="9"/>
      <c r="X10" s="8"/>
      <c r="Y10" s="5"/>
      <c r="Z10" s="300"/>
      <c r="AA10" s="286"/>
      <c r="AB10" s="286"/>
    </row>
    <row r="11" spans="2:37">
      <c r="B11" s="116"/>
      <c r="C11" s="119" t="s">
        <v>281</v>
      </c>
      <c r="D11" s="117">
        <f>'Non res psc'!BM167*Calculations!C$7</f>
        <v>131.90100000000001</v>
      </c>
      <c r="E11" s="128">
        <f>'[3]2012 gas portfolio'!$N11</f>
        <v>0.86999999999999988</v>
      </c>
      <c r="F11" s="5">
        <f t="shared" si="1"/>
        <v>114.75386999999999</v>
      </c>
      <c r="G11" s="50">
        <f>'Non res psc'!AA167-'Non res psc'!AI167</f>
        <v>0</v>
      </c>
      <c r="H11" s="50">
        <f>'Non res psc'!AI167</f>
        <v>293</v>
      </c>
      <c r="I11" s="177">
        <f>'Non res psc'!BJ167*Calculations!C$6*Portfolio!E11</f>
        <v>844.58450012172</v>
      </c>
      <c r="J11" s="177">
        <f>'Non res psc'!BK167*Portfolio!E11</f>
        <v>501.01124999999996</v>
      </c>
      <c r="K11" s="120">
        <f t="shared" si="2"/>
        <v>1.6857595515504293</v>
      </c>
      <c r="L11" s="177">
        <f t="shared" si="3"/>
        <v>285.18952567699222</v>
      </c>
      <c r="M11" s="177">
        <f t="shared" si="4"/>
        <v>786.20077567699218</v>
      </c>
      <c r="N11" s="121">
        <f t="shared" si="5"/>
        <v>1.0742605785328232</v>
      </c>
      <c r="O11" s="177">
        <f t="shared" si="0"/>
        <v>58.383724444727818</v>
      </c>
      <c r="P11" s="108"/>
      <c r="S11" s="6"/>
      <c r="T11" s="6"/>
      <c r="U11" s="6"/>
      <c r="V11" s="9"/>
      <c r="W11" s="9"/>
      <c r="X11" s="8"/>
      <c r="Y11" s="5"/>
      <c r="Z11" s="300"/>
      <c r="AA11" s="286"/>
      <c r="AB11" s="286"/>
    </row>
    <row r="12" spans="2:37">
      <c r="B12" s="116"/>
      <c r="C12" s="119" t="s">
        <v>282</v>
      </c>
      <c r="D12" s="129">
        <f>Residential!AV28*Calculations!C$6</f>
        <v>21080.97</v>
      </c>
      <c r="E12" s="128">
        <f>Residential!AO28</f>
        <v>0.73599999999999999</v>
      </c>
      <c r="F12" s="5">
        <f t="shared" si="1"/>
        <v>15515.593920000001</v>
      </c>
      <c r="G12" s="50">
        <f>Residential!W28-Residential!AE28</f>
        <v>38711.55405325428</v>
      </c>
      <c r="H12" s="50">
        <f>Residential!AE28</f>
        <v>68238.44594674572</v>
      </c>
      <c r="I12" s="177">
        <f>Residential!AS28*E12*Calculations!C$7</f>
        <v>92603.338961986825</v>
      </c>
      <c r="J12" s="216">
        <f>Residential!AT28*Portfolio!E12</f>
        <v>160051.65405601615</v>
      </c>
      <c r="K12" s="120">
        <f t="shared" si="2"/>
        <v>0.57858407967203374</v>
      </c>
      <c r="L12" s="216">
        <f t="shared" si="3"/>
        <v>38559.787749568932</v>
      </c>
      <c r="M12" s="216">
        <f t="shared" si="4"/>
        <v>198611.44180558508</v>
      </c>
      <c r="N12" s="157">
        <f t="shared" si="5"/>
        <v>0.4662537974656743</v>
      </c>
      <c r="O12" s="216">
        <f t="shared" si="0"/>
        <v>-106008.10284359826</v>
      </c>
      <c r="P12" s="108"/>
      <c r="S12" s="6"/>
      <c r="T12" s="6"/>
      <c r="U12" s="6"/>
      <c r="V12" s="9"/>
      <c r="W12" s="9"/>
      <c r="X12" s="8"/>
      <c r="Y12" s="5"/>
      <c r="Z12" s="301"/>
      <c r="AA12" s="286"/>
      <c r="AB12" s="286"/>
    </row>
    <row r="13" spans="2:37">
      <c r="B13" s="116"/>
      <c r="C13" s="119" t="s">
        <v>283</v>
      </c>
      <c r="D13" s="129">
        <f>Residential!AV29*Calculations!C$6</f>
        <v>270471.69</v>
      </c>
      <c r="E13" s="128">
        <f>Residential!AO29</f>
        <v>0.60999999999999988</v>
      </c>
      <c r="F13" s="5">
        <f t="shared" si="1"/>
        <v>164987.73089999997</v>
      </c>
      <c r="G13" s="50">
        <f>Residential!W29-Residential!AE29</f>
        <v>0</v>
      </c>
      <c r="H13" s="50">
        <f>Residential!AE29</f>
        <v>1189600</v>
      </c>
      <c r="I13" s="177">
        <f>Residential!AS29*E13*Calculations!C$7</f>
        <v>782236.77750278485</v>
      </c>
      <c r="J13" s="216">
        <f>Residential!AT29*Portfolio!E13</f>
        <v>1272520.9999999998</v>
      </c>
      <c r="K13" s="120">
        <f t="shared" si="2"/>
        <v>0.61471423850984386</v>
      </c>
      <c r="L13" s="216">
        <f t="shared" si="3"/>
        <v>410032.12107699923</v>
      </c>
      <c r="M13" s="216">
        <f t="shared" si="4"/>
        <v>1682553.121076999</v>
      </c>
      <c r="N13" s="157">
        <f t="shared" si="5"/>
        <v>0.46491059789070827</v>
      </c>
      <c r="O13" s="216">
        <f>I13-M13</f>
        <v>-900316.34357421414</v>
      </c>
      <c r="P13" s="108"/>
      <c r="S13" s="6"/>
      <c r="T13" s="6"/>
      <c r="U13" s="6"/>
      <c r="V13" s="9"/>
      <c r="W13" s="9"/>
      <c r="X13" s="8"/>
      <c r="Y13" s="5"/>
    </row>
    <row r="14" spans="2:37">
      <c r="B14" s="116"/>
      <c r="C14" s="119" t="s">
        <v>284</v>
      </c>
      <c r="D14" s="129">
        <f>Residential!AV30*Calculations!C$6</f>
        <v>17962.02</v>
      </c>
      <c r="E14" s="128">
        <f>Residential!AO30</f>
        <v>0.58937033801491845</v>
      </c>
      <c r="F14" s="5">
        <f t="shared" si="1"/>
        <v>10586.281798830725</v>
      </c>
      <c r="G14" s="50">
        <f>Residential!W30-Residential!AE30</f>
        <v>0</v>
      </c>
      <c r="H14" s="50">
        <f>Residential!AE30</f>
        <v>24087</v>
      </c>
      <c r="I14" s="177">
        <f>Residential!AS30*E14*Calculations!C$7</f>
        <v>14113.347348416955</v>
      </c>
      <c r="J14" s="216">
        <f>Residential!AT30*Portfolio!E14</f>
        <v>14905.971498353607</v>
      </c>
      <c r="K14" s="120">
        <f t="shared" si="2"/>
        <v>0.94682505933784999</v>
      </c>
      <c r="L14" s="216">
        <f t="shared" si="3"/>
        <v>26309.32346675115</v>
      </c>
      <c r="M14" s="216">
        <f t="shared" si="4"/>
        <v>41215.294965104753</v>
      </c>
      <c r="N14" s="157">
        <f t="shared" si="5"/>
        <v>0.34242985183937491</v>
      </c>
      <c r="O14" s="216">
        <f t="shared" si="0"/>
        <v>-27101.947616687798</v>
      </c>
      <c r="P14" s="108"/>
      <c r="S14" s="6"/>
      <c r="T14" s="6"/>
      <c r="U14" s="6"/>
      <c r="V14" s="9"/>
      <c r="W14" s="9"/>
      <c r="X14" s="8"/>
      <c r="Y14" s="5"/>
      <c r="Z14" s="305"/>
      <c r="AA14" s="305"/>
      <c r="AB14" s="305"/>
      <c r="AC14" s="305"/>
      <c r="AD14" s="305"/>
      <c r="AE14" s="305"/>
      <c r="AF14" s="305"/>
      <c r="AG14" s="305"/>
      <c r="AH14" s="305"/>
      <c r="AI14" s="305"/>
    </row>
    <row r="15" spans="2:37">
      <c r="B15" s="116"/>
      <c r="C15" s="119" t="s">
        <v>285</v>
      </c>
      <c r="D15" s="129">
        <f>Residential!AV31*Calculations!C$6</f>
        <v>56814.914999999994</v>
      </c>
      <c r="E15" s="128">
        <f>Residential!AO31</f>
        <v>0.6379999999999999</v>
      </c>
      <c r="F15" s="5">
        <f t="shared" si="1"/>
        <v>36247.915769999992</v>
      </c>
      <c r="G15" s="50">
        <f>Residential!W31-Residential!AE31</f>
        <v>22073.982004515041</v>
      </c>
      <c r="H15" s="50">
        <f>Residential!AE31</f>
        <v>130267.68466215162</v>
      </c>
      <c r="I15" s="177">
        <f>Residential!AS31*E15*Calculations!C$7</f>
        <v>171857.94766947231</v>
      </c>
      <c r="J15" s="216">
        <f>Residential!AT31*Portfolio!E15</f>
        <v>151200.90563825038</v>
      </c>
      <c r="K15" s="120">
        <f t="shared" si="2"/>
        <v>1.1366198300468127</v>
      </c>
      <c r="L15" s="216">
        <f t="shared" si="3"/>
        <v>90084.333584792083</v>
      </c>
      <c r="M15" s="216">
        <f t="shared" si="4"/>
        <v>241285.23922304244</v>
      </c>
      <c r="N15" s="157">
        <f t="shared" si="5"/>
        <v>0.71226051051804284</v>
      </c>
      <c r="O15" s="216">
        <f t="shared" si="0"/>
        <v>-69427.291553570132</v>
      </c>
      <c r="P15" s="108"/>
      <c r="S15" s="6"/>
      <c r="T15" s="6"/>
      <c r="U15" s="6"/>
      <c r="V15" s="9"/>
      <c r="W15" s="9"/>
      <c r="X15" s="8"/>
      <c r="Z15" s="307"/>
      <c r="AA15" s="305"/>
      <c r="AB15" s="305"/>
      <c r="AC15" s="305"/>
      <c r="AD15" s="305"/>
      <c r="AE15" s="305"/>
      <c r="AF15" s="305"/>
      <c r="AG15" s="305"/>
      <c r="AH15" s="305"/>
      <c r="AI15" s="305"/>
    </row>
    <row r="16" spans="2:37">
      <c r="B16" s="116"/>
      <c r="C16" s="119" t="s">
        <v>286</v>
      </c>
      <c r="D16" s="129">
        <f>Residential!AV32*Calculations!C$6</f>
        <v>22751.892000000003</v>
      </c>
      <c r="E16" s="128">
        <f>Residential!AO32</f>
        <v>0.41853725614949661</v>
      </c>
      <c r="F16" s="5">
        <f t="shared" si="1"/>
        <v>9522.5144498896843</v>
      </c>
      <c r="G16" s="50">
        <f>Residential!W32-Residential!AE32</f>
        <v>0</v>
      </c>
      <c r="H16" s="50">
        <f>Residential!AE32</f>
        <v>44175</v>
      </c>
      <c r="I16" s="177">
        <f>Residential!AS32*E16*Calculations!C$7</f>
        <v>33735.15194480645</v>
      </c>
      <c r="J16" s="216">
        <f>Residential!AT32*Portfolio!E16</f>
        <v>24405.325943333297</v>
      </c>
      <c r="K16" s="120">
        <f t="shared" si="2"/>
        <v>1.382286473990803</v>
      </c>
      <c r="L16" s="216">
        <f t="shared" si="3"/>
        <v>23665.619113467321</v>
      </c>
      <c r="M16" s="216">
        <f t="shared" si="4"/>
        <v>48070.945056800614</v>
      </c>
      <c r="N16" s="157">
        <f t="shared" si="5"/>
        <v>0.70177842155890646</v>
      </c>
      <c r="O16" s="216">
        <f t="shared" si="0"/>
        <v>-14335.793111994164</v>
      </c>
      <c r="P16" s="108"/>
      <c r="S16" s="6"/>
      <c r="T16" s="6"/>
      <c r="U16" s="6"/>
      <c r="V16" s="9"/>
      <c r="W16" s="9"/>
      <c r="X16" s="8"/>
      <c r="Y16" s="5"/>
      <c r="Z16" s="307"/>
      <c r="AA16" s="305"/>
      <c r="AB16" s="305"/>
      <c r="AC16" s="305"/>
      <c r="AD16" s="305"/>
      <c r="AE16" s="305"/>
      <c r="AF16" s="305"/>
      <c r="AG16" s="305"/>
      <c r="AH16" s="305"/>
      <c r="AI16" s="305"/>
    </row>
    <row r="17" spans="2:35">
      <c r="B17" s="122"/>
      <c r="C17" s="107"/>
      <c r="D17" s="107"/>
      <c r="E17" s="107"/>
      <c r="F17" s="123"/>
      <c r="G17" s="123"/>
      <c r="H17" s="123"/>
      <c r="I17" s="124"/>
      <c r="J17" s="7"/>
      <c r="K17" s="4"/>
      <c r="L17" s="158"/>
      <c r="M17" s="158"/>
      <c r="N17" s="158"/>
      <c r="O17" s="158"/>
      <c r="P17" s="108"/>
      <c r="Z17" s="307"/>
      <c r="AA17" s="305"/>
      <c r="AB17" s="305"/>
      <c r="AC17" s="305"/>
      <c r="AD17" s="305"/>
      <c r="AE17" s="305"/>
      <c r="AF17" s="311"/>
      <c r="AG17" s="311"/>
      <c r="AH17" s="311"/>
      <c r="AI17" s="311"/>
    </row>
    <row r="18" spans="2:35">
      <c r="B18" s="122"/>
      <c r="C18" s="119" t="s">
        <v>308</v>
      </c>
      <c r="D18" s="119"/>
      <c r="E18" s="119"/>
      <c r="F18" s="123"/>
      <c r="G18" s="123"/>
      <c r="H18" s="123"/>
      <c r="I18" s="124"/>
      <c r="J18" s="147">
        <f>Calculations!C25</f>
        <v>859584.37270145735</v>
      </c>
      <c r="K18" s="158"/>
      <c r="L18" s="158"/>
      <c r="M18" s="158"/>
      <c r="N18" s="158"/>
      <c r="O18" s="158"/>
      <c r="P18" s="108"/>
      <c r="Z18" s="307"/>
      <c r="AA18" s="305"/>
      <c r="AB18" s="305"/>
      <c r="AC18" s="305"/>
      <c r="AD18" s="305"/>
      <c r="AE18" s="305"/>
      <c r="AF18" s="311"/>
      <c r="AG18" s="311"/>
      <c r="AH18" s="311"/>
      <c r="AI18" s="311"/>
    </row>
    <row r="19" spans="2:35">
      <c r="B19" s="122"/>
      <c r="C19" s="119" t="s">
        <v>305</v>
      </c>
      <c r="D19" s="119"/>
      <c r="E19" s="119"/>
      <c r="F19" s="123"/>
      <c r="G19" s="123"/>
      <c r="H19" s="123"/>
      <c r="I19" s="124"/>
      <c r="J19" s="147">
        <f>Calculations!C24</f>
        <v>524523.63280000002</v>
      </c>
      <c r="K19" s="158"/>
      <c r="L19" s="158"/>
      <c r="M19" s="158"/>
      <c r="N19" s="158"/>
      <c r="O19" s="158"/>
      <c r="P19" s="108"/>
      <c r="Z19" s="308"/>
      <c r="AA19" s="305"/>
      <c r="AB19" s="305"/>
      <c r="AC19" s="305"/>
      <c r="AD19" s="305"/>
      <c r="AE19" s="305"/>
      <c r="AF19" s="305"/>
      <c r="AG19" s="305"/>
      <c r="AH19" s="305"/>
      <c r="AI19" s="305"/>
    </row>
    <row r="20" spans="2:35">
      <c r="B20" s="122"/>
      <c r="C20" s="123"/>
      <c r="D20" s="123"/>
      <c r="E20" s="123"/>
      <c r="F20" s="123"/>
      <c r="G20" s="123"/>
      <c r="H20" s="123"/>
      <c r="I20" s="123"/>
      <c r="J20" s="123"/>
      <c r="K20" s="123"/>
      <c r="L20" s="123"/>
      <c r="M20" s="123"/>
      <c r="N20" s="123"/>
      <c r="O20" s="123"/>
      <c r="P20" s="108"/>
      <c r="Z20" s="308"/>
      <c r="AA20" s="305"/>
      <c r="AB20" s="305"/>
      <c r="AC20" s="305"/>
      <c r="AD20" s="305"/>
      <c r="AE20" s="305"/>
      <c r="AF20" s="305"/>
      <c r="AG20" s="305"/>
      <c r="AH20" s="305"/>
      <c r="AI20" s="305"/>
    </row>
    <row r="21" spans="2:35">
      <c r="B21" s="122"/>
      <c r="C21" s="119" t="s">
        <v>287</v>
      </c>
      <c r="D21" s="123">
        <f>SUM(D6:D16)</f>
        <v>807790.96334622847</v>
      </c>
      <c r="E21" s="119"/>
      <c r="F21" s="123">
        <f>SUM(F6:F16)</f>
        <v>556934.02396961639</v>
      </c>
      <c r="G21" s="124">
        <f>SUM(G6:G16)</f>
        <v>566203.29708154069</v>
      </c>
      <c r="H21" s="124">
        <f>SUM(H6:H16)</f>
        <v>3000196.9199077063</v>
      </c>
      <c r="I21" s="124">
        <f>SUM(I7:I20)</f>
        <v>2917068.1477390374</v>
      </c>
      <c r="J21" s="124">
        <f>SUM(J7:J20)</f>
        <v>4522759.2006382896</v>
      </c>
      <c r="K21" s="124"/>
      <c r="L21" s="124">
        <f>SUM(L7:L20)</f>
        <v>1384108.0055014577</v>
      </c>
      <c r="M21" s="124">
        <f>SUM(M7:M20)</f>
        <v>4522759.2006382905</v>
      </c>
      <c r="N21" s="168">
        <f t="shared" ref="N21" si="6">I21/M21</f>
        <v>0.64497533879923474</v>
      </c>
      <c r="O21" s="124">
        <f>SUM(O7:O20)</f>
        <v>-1605691.0528992524</v>
      </c>
      <c r="P21" s="108"/>
      <c r="R21" s="9"/>
      <c r="S21" s="9"/>
      <c r="T21" s="9"/>
      <c r="U21" s="9"/>
      <c r="V21" s="9"/>
      <c r="W21" s="9"/>
      <c r="X21" s="169"/>
      <c r="Y21" s="9"/>
      <c r="Z21" s="306"/>
      <c r="AA21" s="305"/>
      <c r="AB21" s="305"/>
      <c r="AC21" s="305"/>
      <c r="AD21" s="305"/>
      <c r="AE21" s="305"/>
      <c r="AF21" s="305"/>
      <c r="AG21" s="305"/>
      <c r="AH21" s="305"/>
      <c r="AI21" s="305"/>
    </row>
    <row r="22" spans="2:35">
      <c r="B22" s="122"/>
      <c r="C22" s="119"/>
      <c r="D22" s="119"/>
      <c r="E22" s="119"/>
      <c r="F22" s="119"/>
      <c r="G22" s="119"/>
      <c r="H22" s="119"/>
      <c r="I22" s="107"/>
      <c r="J22" s="107"/>
      <c r="K22" s="107"/>
      <c r="L22" s="107"/>
      <c r="M22" s="107"/>
      <c r="N22" s="123"/>
      <c r="O22" s="123"/>
      <c r="P22" s="125"/>
      <c r="R22" s="299"/>
      <c r="S22" s="299"/>
      <c r="T22" s="299"/>
      <c r="U22" s="299"/>
      <c r="Z22" s="306"/>
      <c r="AA22" s="305"/>
      <c r="AB22" s="305"/>
      <c r="AC22" s="305"/>
      <c r="AD22" s="305"/>
      <c r="AE22" s="305"/>
      <c r="AF22" s="305"/>
      <c r="AG22" s="305"/>
      <c r="AH22" s="305"/>
      <c r="AI22" s="305"/>
    </row>
    <row r="23" spans="2:35">
      <c r="B23" s="170" t="s">
        <v>374</v>
      </c>
      <c r="C23" s="126" t="s">
        <v>373</v>
      </c>
      <c r="D23" s="126"/>
      <c r="E23" s="126"/>
      <c r="F23" s="119"/>
      <c r="G23" s="119"/>
      <c r="H23" s="119"/>
      <c r="I23" s="124"/>
      <c r="J23" s="124"/>
      <c r="K23" s="124"/>
      <c r="L23" s="124"/>
      <c r="M23" s="124"/>
      <c r="N23" s="121"/>
      <c r="O23" s="123"/>
      <c r="P23" s="125"/>
      <c r="Z23" s="306"/>
      <c r="AA23" s="305"/>
      <c r="AB23" s="305"/>
      <c r="AC23" s="305"/>
      <c r="AD23" s="305"/>
      <c r="AE23" s="305"/>
      <c r="AF23" s="305"/>
      <c r="AG23" s="305"/>
      <c r="AH23" s="305"/>
      <c r="AI23" s="305"/>
    </row>
    <row r="24" spans="2:35">
      <c r="B24" s="122"/>
      <c r="C24" s="126" t="s">
        <v>365</v>
      </c>
      <c r="D24" s="126"/>
      <c r="E24" s="126"/>
      <c r="F24" s="119"/>
      <c r="G24" s="119"/>
      <c r="H24" s="119"/>
      <c r="I24" s="124"/>
      <c r="J24" s="124"/>
      <c r="K24" s="124"/>
      <c r="L24" s="124"/>
      <c r="M24" s="124"/>
      <c r="N24" s="121"/>
      <c r="O24" s="123"/>
      <c r="P24" s="125"/>
      <c r="R24" s="9"/>
      <c r="Z24" s="306"/>
      <c r="AA24" s="305"/>
      <c r="AB24" s="305"/>
      <c r="AC24" s="305"/>
      <c r="AD24" s="305"/>
      <c r="AE24" s="305"/>
      <c r="AF24" s="305"/>
      <c r="AG24" s="305"/>
      <c r="AH24" s="305"/>
      <c r="AI24" s="305"/>
    </row>
    <row r="25" spans="2:35">
      <c r="B25" s="122"/>
      <c r="C25" s="126" t="s">
        <v>288</v>
      </c>
      <c r="D25" s="126"/>
      <c r="E25" s="126"/>
      <c r="F25" s="119"/>
      <c r="G25" s="119"/>
      <c r="H25" s="119"/>
      <c r="I25" s="124"/>
      <c r="J25" s="124"/>
      <c r="K25" s="124"/>
      <c r="L25" s="124"/>
      <c r="M25" s="124"/>
      <c r="N25" s="121"/>
      <c r="O25" s="123"/>
      <c r="P25" s="125"/>
      <c r="R25" s="299"/>
      <c r="Z25" s="309"/>
      <c r="AA25" s="310"/>
      <c r="AB25" s="305"/>
      <c r="AC25" s="305"/>
      <c r="AD25" s="305"/>
      <c r="AE25" s="305"/>
      <c r="AF25" s="305"/>
      <c r="AG25" s="305"/>
      <c r="AH25" s="305"/>
      <c r="AI25" s="305"/>
    </row>
    <row r="26" spans="2:35">
      <c r="B26" s="105"/>
      <c r="C26" s="126" t="s">
        <v>371</v>
      </c>
      <c r="D26" s="126" t="str">
        <f>ACs!H2</f>
        <v>tom</v>
      </c>
      <c r="E26" s="126"/>
      <c r="F26" s="107"/>
      <c r="G26" s="107"/>
      <c r="H26" s="107"/>
      <c r="I26" s="107"/>
      <c r="J26" s="107"/>
      <c r="K26" s="107"/>
      <c r="L26" s="107"/>
      <c r="M26" s="107"/>
      <c r="N26" s="107"/>
      <c r="O26" s="107"/>
      <c r="P26" s="108"/>
      <c r="Z26" s="309"/>
      <c r="AA26" s="310"/>
      <c r="AB26" s="305"/>
      <c r="AC26" s="305"/>
      <c r="AD26" s="305"/>
      <c r="AE26" s="305"/>
      <c r="AF26" s="305"/>
      <c r="AG26" s="305"/>
      <c r="AH26" s="305"/>
      <c r="AI26" s="305"/>
    </row>
    <row r="27" spans="2:35">
      <c r="B27" s="105"/>
      <c r="C27" s="106" t="s">
        <v>367</v>
      </c>
      <c r="D27" s="106"/>
      <c r="E27" s="106"/>
      <c r="F27" s="119"/>
      <c r="I27" s="107"/>
      <c r="J27" s="107"/>
      <c r="K27" s="107"/>
      <c r="L27" s="107"/>
      <c r="N27" s="107"/>
      <c r="O27" s="107"/>
      <c r="P27" s="108"/>
      <c r="R27" s="6"/>
    </row>
    <row r="28" spans="2:35">
      <c r="B28" s="105"/>
      <c r="C28" s="152" t="s">
        <v>366</v>
      </c>
      <c r="D28" s="152"/>
      <c r="E28" s="152"/>
      <c r="F28" s="153"/>
      <c r="I28" s="124"/>
      <c r="J28" s="154"/>
      <c r="K28" s="154"/>
      <c r="L28" s="154"/>
      <c r="M28" s="154"/>
      <c r="N28" s="155"/>
      <c r="O28" s="153"/>
      <c r="P28" s="156"/>
    </row>
    <row r="29" spans="2:35">
      <c r="B29" s="159"/>
      <c r="C29" s="107" t="s">
        <v>462</v>
      </c>
      <c r="D29" s="160"/>
      <c r="E29" s="160"/>
      <c r="F29" s="160"/>
      <c r="G29" s="160"/>
      <c r="H29" s="160"/>
      <c r="I29" s="160"/>
      <c r="J29" s="160"/>
      <c r="K29" s="160"/>
      <c r="L29" s="160"/>
      <c r="M29" s="160"/>
      <c r="N29" s="160"/>
      <c r="O29" s="160"/>
      <c r="P29" s="161"/>
    </row>
    <row r="30" spans="2:35" ht="15.75" thickBot="1">
      <c r="B30" s="162"/>
      <c r="C30" s="163" t="s">
        <v>467</v>
      </c>
      <c r="D30" s="163"/>
      <c r="E30" s="163"/>
      <c r="F30" s="163"/>
      <c r="G30" s="163"/>
      <c r="H30" s="163"/>
      <c r="I30" s="163"/>
      <c r="J30" s="163"/>
      <c r="K30" s="163"/>
      <c r="L30" s="163"/>
      <c r="M30" s="163"/>
      <c r="N30" s="163"/>
      <c r="O30" s="163"/>
      <c r="P30" s="164"/>
    </row>
    <row r="31" spans="2:35" ht="15.75" thickBot="1"/>
    <row r="32" spans="2:35">
      <c r="B32" s="171"/>
      <c r="C32" s="172"/>
      <c r="D32" s="172"/>
      <c r="E32" s="172"/>
      <c r="F32" s="172"/>
      <c r="G32" s="172"/>
      <c r="H32" s="172"/>
      <c r="I32" s="172"/>
      <c r="J32" s="172"/>
      <c r="K32" s="172"/>
      <c r="L32" s="172"/>
      <c r="M32" s="172"/>
      <c r="N32" s="172"/>
      <c r="O32" s="172"/>
      <c r="P32" s="173"/>
    </row>
    <row r="33" spans="2:16">
      <c r="B33" s="159"/>
      <c r="C33" s="109" t="s">
        <v>375</v>
      </c>
      <c r="D33" s="109"/>
      <c r="E33" s="109"/>
      <c r="F33" s="107"/>
      <c r="G33" s="107"/>
      <c r="H33" s="107"/>
      <c r="I33" s="107" t="s">
        <v>383</v>
      </c>
      <c r="J33" s="107"/>
      <c r="K33" s="160"/>
      <c r="L33" s="160"/>
      <c r="M33" s="160"/>
      <c r="N33" s="160"/>
      <c r="O33" s="160"/>
      <c r="P33" s="161"/>
    </row>
    <row r="34" spans="2:16">
      <c r="B34" s="159"/>
      <c r="C34" s="160"/>
      <c r="D34" s="160"/>
      <c r="E34" s="160"/>
      <c r="F34" s="160"/>
      <c r="G34" s="160"/>
      <c r="H34" s="160"/>
      <c r="I34" s="160"/>
      <c r="J34" s="160"/>
      <c r="K34" s="160"/>
      <c r="L34" s="160"/>
      <c r="M34" s="160"/>
      <c r="N34" s="160"/>
      <c r="O34" s="160"/>
      <c r="P34" s="161"/>
    </row>
    <row r="35" spans="2:16" ht="46.5" customHeight="1">
      <c r="B35" s="159"/>
      <c r="C35" s="160"/>
      <c r="D35" s="113" t="s">
        <v>291</v>
      </c>
      <c r="E35" s="113" t="s">
        <v>46</v>
      </c>
      <c r="F35" s="151" t="s">
        <v>376</v>
      </c>
      <c r="G35" s="151" t="s">
        <v>388</v>
      </c>
      <c r="H35" s="151" t="s">
        <v>389</v>
      </c>
      <c r="I35" s="114" t="s">
        <v>377</v>
      </c>
      <c r="J35" s="113" t="s">
        <v>378</v>
      </c>
      <c r="K35" s="113" t="s">
        <v>379</v>
      </c>
      <c r="L35" s="113" t="s">
        <v>380</v>
      </c>
      <c r="M35" s="113" t="s">
        <v>406</v>
      </c>
      <c r="N35" s="113" t="s">
        <v>381</v>
      </c>
      <c r="O35" s="113" t="s">
        <v>276</v>
      </c>
      <c r="P35" s="161"/>
    </row>
    <row r="36" spans="2:16">
      <c r="B36" s="159"/>
      <c r="C36" s="160"/>
      <c r="D36" s="160"/>
      <c r="E36" s="160"/>
      <c r="F36" s="160"/>
      <c r="G36" s="160"/>
      <c r="H36" s="160"/>
      <c r="I36" s="160"/>
      <c r="J36" s="160"/>
      <c r="K36" s="160"/>
      <c r="L36" s="160"/>
      <c r="M36" s="160"/>
      <c r="N36" s="160"/>
      <c r="O36" s="160"/>
      <c r="P36" s="161"/>
    </row>
    <row r="37" spans="2:16">
      <c r="B37" s="159"/>
      <c r="C37" s="160" t="str">
        <f t="shared" ref="C37:J46" si="7">C7</f>
        <v>Site-specific</v>
      </c>
      <c r="D37" s="174">
        <f t="shared" si="7"/>
        <v>368360.47741935489</v>
      </c>
      <c r="E37" s="175">
        <f t="shared" si="7"/>
        <v>0.75</v>
      </c>
      <c r="F37" s="174">
        <f t="shared" si="7"/>
        <v>276270.35806451616</v>
      </c>
      <c r="G37" s="177">
        <f t="shared" si="7"/>
        <v>433258.83870967739</v>
      </c>
      <c r="H37" s="177">
        <f t="shared" si="7"/>
        <v>1394146.4516129033</v>
      </c>
      <c r="I37" s="177">
        <f t="shared" si="7"/>
        <v>1503095.8166988296</v>
      </c>
      <c r="J37" s="177">
        <f t="shared" si="7"/>
        <v>1298722.3690286062</v>
      </c>
      <c r="K37" s="120">
        <f>I37/J37</f>
        <v>1.1573650015923624</v>
      </c>
      <c r="L37" s="177">
        <f t="shared" ref="L37:L46" si="8">(F37/F$50)*SUM(J$48:J$49)</f>
        <v>578328.79666589713</v>
      </c>
      <c r="M37" s="177">
        <f>J37+L37</f>
        <v>1877051.1656945033</v>
      </c>
      <c r="N37" s="176">
        <f>I37/M37</f>
        <v>0.80077509029578775</v>
      </c>
      <c r="O37" s="177">
        <f>I37-M37</f>
        <v>-373955.3489956737</v>
      </c>
      <c r="P37" s="161"/>
    </row>
    <row r="38" spans="2:16">
      <c r="B38" s="159"/>
      <c r="C38" s="160" t="str">
        <f t="shared" si="7"/>
        <v>Non-res Psc clothes washers</v>
      </c>
      <c r="D38" s="174">
        <f t="shared" si="7"/>
        <v>197.94602099108579</v>
      </c>
      <c r="E38" s="175">
        <f t="shared" si="7"/>
        <v>0.87000000000000011</v>
      </c>
      <c r="F38" s="174">
        <f t="shared" si="7"/>
        <v>172.21303826224465</v>
      </c>
      <c r="G38" s="177">
        <f t="shared" si="7"/>
        <v>6827.3213437376089</v>
      </c>
      <c r="H38" s="177">
        <f t="shared" si="7"/>
        <v>2572.6786562623906</v>
      </c>
      <c r="I38" s="177">
        <f t="shared" si="7"/>
        <v>1144.0213392761279</v>
      </c>
      <c r="J38" s="177">
        <f t="shared" si="7"/>
        <v>1286.9668533466518</v>
      </c>
      <c r="K38" s="120">
        <f t="shared" ref="K38:K46" si="9">I38/J38</f>
        <v>0.88892836385117013</v>
      </c>
      <c r="L38" s="177">
        <f t="shared" si="8"/>
        <v>360.50106817874365</v>
      </c>
      <c r="M38" s="177">
        <f t="shared" ref="M38:M46" si="10">J38+L38</f>
        <v>1647.4679215253955</v>
      </c>
      <c r="N38" s="176">
        <f t="shared" ref="N38:N46" si="11">I38/M38</f>
        <v>0.69441190588820401</v>
      </c>
      <c r="O38" s="177">
        <f t="shared" ref="O38:O46" si="12">I38-M38</f>
        <v>-503.44658224926752</v>
      </c>
      <c r="P38" s="161"/>
    </row>
    <row r="39" spans="2:16">
      <c r="B39" s="159"/>
      <c r="C39" s="160" t="str">
        <f t="shared" si="7"/>
        <v>Non-res Psc food service</v>
      </c>
      <c r="D39" s="174">
        <f t="shared" si="7"/>
        <v>18711.695505882348</v>
      </c>
      <c r="E39" s="175">
        <f t="shared" si="7"/>
        <v>0.87</v>
      </c>
      <c r="F39" s="174">
        <f t="shared" si="7"/>
        <v>16279.175090117642</v>
      </c>
      <c r="G39" s="177">
        <f t="shared" si="7"/>
        <v>14972.495906552511</v>
      </c>
      <c r="H39" s="177">
        <f t="shared" si="7"/>
        <v>54267.504093447489</v>
      </c>
      <c r="I39" s="177">
        <f t="shared" si="7"/>
        <v>89106.624780673694</v>
      </c>
      <c r="J39" s="177">
        <f t="shared" si="7"/>
        <v>68826.543680333969</v>
      </c>
      <c r="K39" s="120">
        <f t="shared" si="9"/>
        <v>1.2946549400262042</v>
      </c>
      <c r="L39" s="177">
        <f t="shared" si="8"/>
        <v>34077.90762113758</v>
      </c>
      <c r="M39" s="177">
        <f t="shared" si="10"/>
        <v>102904.45130147155</v>
      </c>
      <c r="N39" s="176">
        <f t="shared" si="11"/>
        <v>0.86591613534408352</v>
      </c>
      <c r="O39" s="177">
        <f t="shared" si="12"/>
        <v>-13797.826520797855</v>
      </c>
      <c r="P39" s="161"/>
    </row>
    <row r="40" spans="2:16">
      <c r="B40" s="159"/>
      <c r="C40" s="160" t="str">
        <f t="shared" si="7"/>
        <v>Non-res Psc windows/insulation</v>
      </c>
      <c r="D40" s="174">
        <f t="shared" si="7"/>
        <v>31307.456400000003</v>
      </c>
      <c r="E40" s="175">
        <f t="shared" si="7"/>
        <v>0.86999999999999988</v>
      </c>
      <c r="F40" s="174">
        <f t="shared" si="7"/>
        <v>27237.487067999999</v>
      </c>
      <c r="G40" s="177">
        <f t="shared" si="7"/>
        <v>50359.105063803872</v>
      </c>
      <c r="H40" s="177">
        <f t="shared" si="7"/>
        <v>92549.154936196137</v>
      </c>
      <c r="I40" s="177">
        <f t="shared" si="7"/>
        <v>228330.53699266855</v>
      </c>
      <c r="J40" s="177">
        <f t="shared" si="7"/>
        <v>146229.44718859211</v>
      </c>
      <c r="K40" s="120">
        <f t="shared" si="9"/>
        <v>1.561453875279927</v>
      </c>
      <c r="L40" s="177">
        <f t="shared" si="8"/>
        <v>57017.420292917668</v>
      </c>
      <c r="M40" s="177">
        <f t="shared" si="10"/>
        <v>203246.86748150978</v>
      </c>
      <c r="N40" s="176">
        <f t="shared" si="11"/>
        <v>1.1234147902104359</v>
      </c>
      <c r="O40" s="177">
        <f t="shared" si="12"/>
        <v>25083.669511158776</v>
      </c>
      <c r="P40" s="161"/>
    </row>
    <row r="41" spans="2:16">
      <c r="B41" s="159"/>
      <c r="C41" s="160" t="str">
        <f t="shared" si="7"/>
        <v>Non-res Psc non-res HVAC</v>
      </c>
      <c r="D41" s="174">
        <f t="shared" si="7"/>
        <v>131.90100000000001</v>
      </c>
      <c r="E41" s="175">
        <f t="shared" si="7"/>
        <v>0.86999999999999988</v>
      </c>
      <c r="F41" s="174">
        <f t="shared" si="7"/>
        <v>114.75386999999999</v>
      </c>
      <c r="G41" s="177">
        <f t="shared" si="7"/>
        <v>0</v>
      </c>
      <c r="H41" s="177">
        <f t="shared" si="7"/>
        <v>293</v>
      </c>
      <c r="I41" s="177">
        <f t="shared" si="7"/>
        <v>844.58450012172</v>
      </c>
      <c r="J41" s="177">
        <f t="shared" si="7"/>
        <v>501.01124999999996</v>
      </c>
      <c r="K41" s="120">
        <f t="shared" si="9"/>
        <v>1.6857595515504293</v>
      </c>
      <c r="L41" s="177">
        <f t="shared" si="8"/>
        <v>240.2192838015462</v>
      </c>
      <c r="M41" s="177">
        <f t="shared" si="10"/>
        <v>741.23053380154613</v>
      </c>
      <c r="N41" s="176">
        <f t="shared" si="11"/>
        <v>1.1394356567991104</v>
      </c>
      <c r="O41" s="177">
        <f t="shared" si="12"/>
        <v>103.35396632017387</v>
      </c>
      <c r="P41" s="161"/>
    </row>
    <row r="42" spans="2:16">
      <c r="B42" s="159"/>
      <c r="C42" s="160" t="str">
        <f t="shared" si="7"/>
        <v>Res Psc ES home</v>
      </c>
      <c r="D42" s="174">
        <f t="shared" si="7"/>
        <v>21080.97</v>
      </c>
      <c r="E42" s="175">
        <f t="shared" si="7"/>
        <v>0.73599999999999999</v>
      </c>
      <c r="F42" s="174">
        <f t="shared" si="7"/>
        <v>15515.593920000001</v>
      </c>
      <c r="G42" s="177">
        <f t="shared" si="7"/>
        <v>38711.55405325428</v>
      </c>
      <c r="H42" s="177">
        <f t="shared" si="7"/>
        <v>68238.44594674572</v>
      </c>
      <c r="I42" s="177">
        <f t="shared" si="7"/>
        <v>92603.338961986825</v>
      </c>
      <c r="J42" s="177">
        <f t="shared" si="7"/>
        <v>160051.65405601615</v>
      </c>
      <c r="K42" s="120">
        <f t="shared" si="9"/>
        <v>0.57858407967203374</v>
      </c>
      <c r="L42" s="216">
        <f t="shared" si="8"/>
        <v>32479.469835902051</v>
      </c>
      <c r="M42" s="177">
        <f t="shared" si="10"/>
        <v>192531.12389191819</v>
      </c>
      <c r="N42" s="176">
        <f t="shared" si="11"/>
        <v>0.48097854045651267</v>
      </c>
      <c r="O42" s="177">
        <f t="shared" si="12"/>
        <v>-99927.784929931368</v>
      </c>
      <c r="P42" s="161"/>
    </row>
    <row r="43" spans="2:16">
      <c r="B43" s="159"/>
      <c r="C43" s="160" t="str">
        <f t="shared" si="7"/>
        <v>Res Psc res HVAC</v>
      </c>
      <c r="D43" s="174">
        <f t="shared" si="7"/>
        <v>270471.69</v>
      </c>
      <c r="E43" s="175">
        <f t="shared" si="7"/>
        <v>0.60999999999999988</v>
      </c>
      <c r="F43" s="174">
        <f t="shared" si="7"/>
        <v>164987.73089999997</v>
      </c>
      <c r="G43" s="177">
        <f t="shared" si="7"/>
        <v>0</v>
      </c>
      <c r="H43" s="177">
        <f t="shared" si="7"/>
        <v>1189600</v>
      </c>
      <c r="I43" s="177">
        <f t="shared" si="7"/>
        <v>782236.77750278485</v>
      </c>
      <c r="J43" s="177">
        <f t="shared" si="7"/>
        <v>1272520.9999999998</v>
      </c>
      <c r="K43" s="120">
        <f t="shared" si="9"/>
        <v>0.61471423850984386</v>
      </c>
      <c r="L43" s="216">
        <f t="shared" si="8"/>
        <v>345376.01697302435</v>
      </c>
      <c r="M43" s="177">
        <f t="shared" si="10"/>
        <v>1617897.0169730242</v>
      </c>
      <c r="N43" s="176">
        <f t="shared" si="11"/>
        <v>0.48348984471601097</v>
      </c>
      <c r="O43" s="177">
        <f t="shared" si="12"/>
        <v>-835660.23947023938</v>
      </c>
      <c r="P43" s="161"/>
    </row>
    <row r="44" spans="2:16">
      <c r="B44" s="159"/>
      <c r="C44" s="160" t="str">
        <f t="shared" si="7"/>
        <v>Res Psc water heat</v>
      </c>
      <c r="D44" s="174">
        <f t="shared" si="7"/>
        <v>17962.02</v>
      </c>
      <c r="E44" s="175">
        <f t="shared" si="7"/>
        <v>0.58937033801491845</v>
      </c>
      <c r="F44" s="174">
        <f t="shared" si="7"/>
        <v>10586.281798830725</v>
      </c>
      <c r="G44" s="177">
        <f t="shared" si="7"/>
        <v>0</v>
      </c>
      <c r="H44" s="177">
        <f t="shared" si="7"/>
        <v>24087</v>
      </c>
      <c r="I44" s="177">
        <f t="shared" si="7"/>
        <v>14113.347348416955</v>
      </c>
      <c r="J44" s="177">
        <f t="shared" si="7"/>
        <v>14905.971498353607</v>
      </c>
      <c r="K44" s="120">
        <f t="shared" si="9"/>
        <v>0.94682505933784999</v>
      </c>
      <c r="L44" s="216">
        <f t="shared" si="8"/>
        <v>22160.725662990371</v>
      </c>
      <c r="M44" s="177">
        <f t="shared" si="10"/>
        <v>37066.697161343982</v>
      </c>
      <c r="N44" s="176">
        <f t="shared" si="11"/>
        <v>0.38075546054142223</v>
      </c>
      <c r="O44" s="177">
        <f t="shared" si="12"/>
        <v>-22953.349812927027</v>
      </c>
      <c r="P44" s="161"/>
    </row>
    <row r="45" spans="2:16">
      <c r="B45" s="159"/>
      <c r="C45" s="160" t="str">
        <f t="shared" si="7"/>
        <v>Res Psc insulation</v>
      </c>
      <c r="D45" s="174">
        <f t="shared" si="7"/>
        <v>56814.914999999994</v>
      </c>
      <c r="E45" s="175">
        <f t="shared" si="7"/>
        <v>0.6379999999999999</v>
      </c>
      <c r="F45" s="174">
        <f t="shared" si="7"/>
        <v>36247.915769999992</v>
      </c>
      <c r="G45" s="177">
        <f t="shared" si="7"/>
        <v>22073.982004515041</v>
      </c>
      <c r="H45" s="177">
        <f t="shared" si="7"/>
        <v>130267.68466215162</v>
      </c>
      <c r="I45" s="177">
        <f t="shared" si="7"/>
        <v>171857.94766947231</v>
      </c>
      <c r="J45" s="177">
        <f t="shared" si="7"/>
        <v>151200.90563825038</v>
      </c>
      <c r="K45" s="120">
        <f t="shared" si="9"/>
        <v>1.1366198300468127</v>
      </c>
      <c r="L45" s="216">
        <f t="shared" si="8"/>
        <v>75879.343899845553</v>
      </c>
      <c r="M45" s="177">
        <f t="shared" si="10"/>
        <v>227080.24953809593</v>
      </c>
      <c r="N45" s="176">
        <f t="shared" si="11"/>
        <v>0.7568159186853487</v>
      </c>
      <c r="O45" s="177">
        <f t="shared" si="12"/>
        <v>-55222.301868623617</v>
      </c>
      <c r="P45" s="161"/>
    </row>
    <row r="46" spans="2:16">
      <c r="B46" s="159"/>
      <c r="C46" s="160" t="str">
        <f t="shared" si="7"/>
        <v>Res Psc appliance</v>
      </c>
      <c r="D46" s="174">
        <f t="shared" si="7"/>
        <v>22751.892000000003</v>
      </c>
      <c r="E46" s="175">
        <f t="shared" si="7"/>
        <v>0.41853725614949661</v>
      </c>
      <c r="F46" s="174">
        <f t="shared" si="7"/>
        <v>9522.5144498896843</v>
      </c>
      <c r="G46" s="177">
        <f t="shared" si="7"/>
        <v>0</v>
      </c>
      <c r="H46" s="177">
        <f t="shared" si="7"/>
        <v>44175</v>
      </c>
      <c r="I46" s="177">
        <f t="shared" si="7"/>
        <v>33735.15194480645</v>
      </c>
      <c r="J46" s="177">
        <f t="shared" si="7"/>
        <v>24405.325943333297</v>
      </c>
      <c r="K46" s="120">
        <f t="shared" si="9"/>
        <v>1.382286473990803</v>
      </c>
      <c r="L46" s="216">
        <f t="shared" si="8"/>
        <v>19933.8950498347</v>
      </c>
      <c r="M46" s="177">
        <f t="shared" si="10"/>
        <v>44339.220993167997</v>
      </c>
      <c r="N46" s="176">
        <f t="shared" si="11"/>
        <v>0.76084223378675342</v>
      </c>
      <c r="O46" s="177">
        <f t="shared" si="12"/>
        <v>-10604.069048361547</v>
      </c>
      <c r="P46" s="161"/>
    </row>
    <row r="47" spans="2:16">
      <c r="B47" s="159"/>
      <c r="C47" s="160"/>
      <c r="D47" s="160"/>
      <c r="E47" s="160"/>
      <c r="F47" s="160"/>
      <c r="G47" s="160"/>
      <c r="H47" s="160"/>
      <c r="I47" s="160"/>
      <c r="J47" s="160"/>
      <c r="K47" s="160"/>
      <c r="L47" s="160"/>
      <c r="M47" s="160"/>
      <c r="N47" s="160"/>
      <c r="O47" s="160"/>
      <c r="P47" s="161"/>
    </row>
    <row r="48" spans="2:16">
      <c r="B48" s="159"/>
      <c r="C48" s="160" t="s">
        <v>307</v>
      </c>
      <c r="D48" s="160"/>
      <c r="E48" s="160"/>
      <c r="F48" s="160"/>
      <c r="G48" s="160"/>
      <c r="H48" s="160"/>
      <c r="I48" s="160"/>
      <c r="J48" s="177">
        <f>(D21/Calculations!C21)*Calculations!C15</f>
        <v>1165854.2963535297</v>
      </c>
      <c r="K48" s="160"/>
      <c r="L48" s="160"/>
      <c r="M48" s="160"/>
      <c r="N48" s="160"/>
      <c r="O48" s="160"/>
      <c r="P48" s="161"/>
    </row>
    <row r="49" spans="2:16">
      <c r="B49" s="159"/>
      <c r="C49" s="160"/>
      <c r="D49" s="160"/>
      <c r="E49" s="160"/>
      <c r="F49" s="160"/>
      <c r="G49" s="160"/>
      <c r="H49" s="160"/>
      <c r="I49" s="160"/>
      <c r="J49" s="160"/>
      <c r="K49" s="160"/>
      <c r="L49" s="160"/>
      <c r="M49" s="160"/>
      <c r="N49" s="160"/>
      <c r="O49" s="160"/>
      <c r="P49" s="161"/>
    </row>
    <row r="50" spans="2:16">
      <c r="B50" s="159"/>
      <c r="C50" s="160" t="s">
        <v>287</v>
      </c>
      <c r="D50" s="123">
        <f>SUM(D36:D46)</f>
        <v>807790.96334622847</v>
      </c>
      <c r="E50" s="119"/>
      <c r="F50" s="123">
        <f>SUM(F36:F46)</f>
        <v>556934.02396961639</v>
      </c>
      <c r="G50" s="124">
        <f>SUM(G36:G46)</f>
        <v>566203.29708154069</v>
      </c>
      <c r="H50" s="124">
        <f>SUM(H36:H46)</f>
        <v>3000196.9199077063</v>
      </c>
      <c r="I50" s="124">
        <f>SUM(I37:I49)</f>
        <v>2917068.1477390374</v>
      </c>
      <c r="J50" s="124">
        <f>SUM(J37:J49)</f>
        <v>4304505.4914903622</v>
      </c>
      <c r="K50" s="124"/>
      <c r="L50" s="124">
        <f>SUM(L37:L49)</f>
        <v>1165854.2963535297</v>
      </c>
      <c r="M50" s="124">
        <f>SUM(M37:M49)</f>
        <v>4304505.4914903613</v>
      </c>
      <c r="N50" s="168">
        <f t="shared" ref="N50" si="13">I50/M50</f>
        <v>0.67767787809908275</v>
      </c>
      <c r="O50" s="124">
        <f>SUM(O37:O49)</f>
        <v>-1387437.3437513248</v>
      </c>
      <c r="P50" s="161"/>
    </row>
    <row r="51" spans="2:16">
      <c r="B51" s="159"/>
      <c r="C51" s="160"/>
      <c r="D51" s="160"/>
      <c r="E51" s="160"/>
      <c r="F51" s="160"/>
      <c r="G51" s="160"/>
      <c r="H51" s="160"/>
      <c r="I51" s="160"/>
      <c r="J51" s="160"/>
      <c r="K51" s="160"/>
      <c r="L51" s="160"/>
      <c r="M51" s="160"/>
      <c r="N51" s="160"/>
      <c r="O51" s="160"/>
      <c r="P51" s="161"/>
    </row>
    <row r="52" spans="2:16">
      <c r="B52" s="170" t="s">
        <v>374</v>
      </c>
      <c r="C52" s="126" t="s">
        <v>372</v>
      </c>
      <c r="D52" s="160"/>
      <c r="E52" s="160"/>
      <c r="F52" s="160"/>
      <c r="G52" s="160"/>
      <c r="H52" s="160"/>
      <c r="I52" s="160"/>
      <c r="J52" s="160"/>
      <c r="K52" s="160"/>
      <c r="L52" s="160"/>
      <c r="M52" s="160"/>
      <c r="N52" s="160"/>
      <c r="O52" s="160"/>
      <c r="P52" s="161"/>
    </row>
    <row r="53" spans="2:16">
      <c r="B53" s="159"/>
      <c r="C53" s="126" t="s">
        <v>365</v>
      </c>
      <c r="D53" s="160"/>
      <c r="E53" s="160"/>
      <c r="F53" s="160"/>
      <c r="G53" s="160"/>
      <c r="H53" s="160"/>
      <c r="I53" s="160"/>
      <c r="J53" s="160"/>
      <c r="K53" s="160"/>
      <c r="L53" s="160"/>
      <c r="M53" s="160"/>
      <c r="N53" s="160"/>
      <c r="O53" s="160"/>
      <c r="P53" s="161"/>
    </row>
    <row r="54" spans="2:16">
      <c r="B54" s="159"/>
      <c r="C54" s="126" t="s">
        <v>288</v>
      </c>
      <c r="D54" s="160"/>
      <c r="E54" s="160"/>
      <c r="F54" s="160"/>
      <c r="G54" s="160"/>
      <c r="H54" s="160"/>
      <c r="I54" s="160"/>
      <c r="J54" s="160"/>
      <c r="K54" s="160"/>
      <c r="L54" s="160"/>
      <c r="M54" s="160"/>
      <c r="N54" s="160"/>
      <c r="O54" s="160"/>
      <c r="P54" s="161"/>
    </row>
    <row r="55" spans="2:16">
      <c r="B55" s="159"/>
      <c r="C55" s="126" t="s">
        <v>371</v>
      </c>
      <c r="D55" s="160" t="str">
        <f>ACs!H2</f>
        <v>tom</v>
      </c>
      <c r="E55" s="160"/>
      <c r="F55" s="160"/>
      <c r="G55" s="160"/>
      <c r="H55" s="160"/>
      <c r="I55" s="160"/>
      <c r="J55" s="160"/>
      <c r="K55" s="160"/>
      <c r="L55" s="160"/>
      <c r="M55" s="160"/>
      <c r="N55" s="160"/>
      <c r="O55" s="160"/>
      <c r="P55" s="161"/>
    </row>
    <row r="56" spans="2:16">
      <c r="B56" s="159"/>
      <c r="C56" s="107" t="s">
        <v>367</v>
      </c>
      <c r="D56" s="160"/>
      <c r="E56" s="160"/>
      <c r="F56" s="160"/>
      <c r="G56" s="160"/>
      <c r="H56" s="160"/>
      <c r="I56" s="160"/>
      <c r="J56" s="160"/>
      <c r="K56" s="160"/>
      <c r="L56" s="160"/>
      <c r="N56" s="160"/>
      <c r="O56" s="160"/>
      <c r="P56" s="161"/>
    </row>
    <row r="57" spans="2:16">
      <c r="B57" s="159"/>
      <c r="C57" s="152" t="s">
        <v>366</v>
      </c>
      <c r="D57" s="160"/>
      <c r="E57" s="160"/>
      <c r="F57" s="160"/>
      <c r="G57" s="160"/>
      <c r="H57" s="160"/>
      <c r="I57" s="160"/>
      <c r="J57" s="160"/>
      <c r="K57" s="160"/>
      <c r="L57" s="160"/>
      <c r="M57" s="160"/>
      <c r="N57" s="160"/>
      <c r="O57" s="160"/>
      <c r="P57" s="161"/>
    </row>
    <row r="58" spans="2:16">
      <c r="B58" s="159"/>
      <c r="C58" s="107" t="s">
        <v>462</v>
      </c>
      <c r="D58" s="160"/>
      <c r="E58" s="160"/>
      <c r="F58" s="160"/>
      <c r="G58" s="160"/>
      <c r="H58" s="160"/>
      <c r="I58" s="160"/>
      <c r="J58" s="160"/>
      <c r="K58" s="160"/>
      <c r="L58" s="160"/>
      <c r="M58" s="160"/>
      <c r="N58" s="160"/>
      <c r="O58" s="160"/>
      <c r="P58" s="161"/>
    </row>
    <row r="59" spans="2:16" ht="15.75" thickBot="1">
      <c r="B59" s="162"/>
      <c r="C59" s="163" t="s">
        <v>467</v>
      </c>
      <c r="D59" s="163"/>
      <c r="E59" s="163"/>
      <c r="F59" s="163"/>
      <c r="G59" s="163"/>
      <c r="H59" s="163"/>
      <c r="I59" s="163"/>
      <c r="J59" s="163"/>
      <c r="K59" s="163"/>
      <c r="L59" s="163"/>
      <c r="M59" s="163"/>
      <c r="N59" s="163"/>
      <c r="O59" s="163"/>
      <c r="P59" s="164"/>
    </row>
    <row r="60" spans="2:16" ht="15.75" thickBot="1"/>
    <row r="61" spans="2:16" ht="15.75" thickTop="1">
      <c r="B61" s="235"/>
      <c r="C61" s="236"/>
      <c r="D61" s="236"/>
      <c r="E61" s="236"/>
      <c r="F61" s="236"/>
      <c r="G61" s="236"/>
      <c r="H61" s="236"/>
      <c r="I61" s="237" t="s">
        <v>382</v>
      </c>
      <c r="J61" s="236"/>
      <c r="K61" s="236"/>
      <c r="L61" s="236"/>
      <c r="M61" s="236"/>
      <c r="N61" s="236"/>
      <c r="O61" s="236"/>
      <c r="P61" s="238"/>
    </row>
    <row r="62" spans="2:16">
      <c r="B62" s="239"/>
      <c r="C62" s="160"/>
      <c r="D62" s="160"/>
      <c r="E62" s="160"/>
      <c r="F62" s="160"/>
      <c r="G62" s="160"/>
      <c r="H62" s="160"/>
      <c r="I62" s="160"/>
      <c r="J62" s="160"/>
      <c r="K62" s="160"/>
      <c r="L62" s="160"/>
      <c r="M62" s="160"/>
      <c r="N62" s="160"/>
      <c r="O62" s="160"/>
      <c r="P62" s="240"/>
    </row>
    <row r="63" spans="2:16" s="233" customFormat="1" ht="45" customHeight="1">
      <c r="B63" s="241"/>
      <c r="C63" s="242"/>
      <c r="D63" s="242" t="str">
        <f>D35</f>
        <v>Gross therms realized</v>
      </c>
      <c r="E63" s="242" t="str">
        <f t="shared" ref="E63:H63" si="14">E35</f>
        <v>NTG ratio</v>
      </c>
      <c r="F63" s="242" t="str">
        <f t="shared" si="14"/>
        <v>Net therms realized</v>
      </c>
      <c r="G63" s="242" t="str">
        <f t="shared" si="14"/>
        <v>Electric incentives</v>
      </c>
      <c r="H63" s="242" t="str">
        <f t="shared" si="14"/>
        <v>Gas incentives</v>
      </c>
      <c r="I63" s="242" t="s">
        <v>464</v>
      </c>
      <c r="J63" s="242" t="s">
        <v>465</v>
      </c>
      <c r="K63" s="242" t="s">
        <v>466</v>
      </c>
      <c r="L63" s="242" t="s">
        <v>470</v>
      </c>
      <c r="M63" s="242" t="s">
        <v>471</v>
      </c>
      <c r="N63" s="242"/>
      <c r="O63" s="242"/>
      <c r="P63" s="243"/>
    </row>
    <row r="64" spans="2:16">
      <c r="B64" s="239"/>
      <c r="C64" s="160" t="str">
        <f t="shared" ref="C64:H64" si="15">C37</f>
        <v>Site-specific</v>
      </c>
      <c r="D64" s="117">
        <f t="shared" si="15"/>
        <v>368360.47741935489</v>
      </c>
      <c r="E64" s="175">
        <f t="shared" si="15"/>
        <v>0.75</v>
      </c>
      <c r="F64" s="117">
        <f t="shared" si="15"/>
        <v>276270.35806451616</v>
      </c>
      <c r="G64" s="177">
        <f t="shared" si="15"/>
        <v>433258.83870967739</v>
      </c>
      <c r="H64" s="177">
        <f t="shared" si="15"/>
        <v>1394146.4516129033</v>
      </c>
      <c r="I64" s="244">
        <f>L7</f>
        <v>686594.81702039484</v>
      </c>
      <c r="J64" s="244">
        <f>H64+I64</f>
        <v>2080741.2686332981</v>
      </c>
      <c r="K64" s="177">
        <f>('Site Specific'!AK36+'Site Specific'!AL36)*Portfolio!E64*Calculations!C6</f>
        <v>1501143.2936804108</v>
      </c>
      <c r="L64" s="176">
        <f>K64/J64</f>
        <v>0.72144639812253686</v>
      </c>
      <c r="M64" s="244">
        <f>K64-J64</f>
        <v>-579597.97495288728</v>
      </c>
      <c r="N64" s="160"/>
      <c r="O64" s="160"/>
      <c r="P64" s="240"/>
    </row>
    <row r="65" spans="2:16">
      <c r="B65" s="239"/>
      <c r="C65" s="160" t="str">
        <f t="shared" ref="C65:H73" si="16">C38</f>
        <v>Non-res Psc clothes washers</v>
      </c>
      <c r="D65" s="117">
        <f t="shared" si="16"/>
        <v>197.94602099108579</v>
      </c>
      <c r="E65" s="175">
        <f t="shared" si="16"/>
        <v>0.87000000000000011</v>
      </c>
      <c r="F65" s="117">
        <f t="shared" si="16"/>
        <v>172.21303826224465</v>
      </c>
      <c r="G65" s="177">
        <f t="shared" si="16"/>
        <v>6827.3213437376089</v>
      </c>
      <c r="H65" s="177">
        <f t="shared" si="16"/>
        <v>2572.6786562623906</v>
      </c>
      <c r="I65" s="244">
        <f t="shared" ref="I65:I73" si="17">L8</f>
        <v>427.98865691765576</v>
      </c>
      <c r="J65" s="244">
        <f t="shared" ref="J65:J73" si="18">H65+I65</f>
        <v>3000.6673131800462</v>
      </c>
      <c r="K65" s="177">
        <f>'Non res psc'!BO164*Calculations!C$6*Portfolio!E65</f>
        <v>500.06055075777124</v>
      </c>
      <c r="L65" s="176">
        <f t="shared" ref="L65:L75" si="19">K65/J65</f>
        <v>0.16664978105414066</v>
      </c>
      <c r="M65" s="244">
        <f t="shared" ref="M65:M75" si="20">K65-J65</f>
        <v>-2500.6067624222751</v>
      </c>
      <c r="N65" s="160"/>
      <c r="O65" s="160"/>
      <c r="P65" s="240"/>
    </row>
    <row r="66" spans="2:16">
      <c r="B66" s="239"/>
      <c r="C66" s="160" t="str">
        <f t="shared" si="16"/>
        <v>Non-res Psc food service</v>
      </c>
      <c r="D66" s="117">
        <f t="shared" si="16"/>
        <v>18711.695505882348</v>
      </c>
      <c r="E66" s="175">
        <f t="shared" si="16"/>
        <v>0.87</v>
      </c>
      <c r="F66" s="117">
        <f t="shared" si="16"/>
        <v>16279.175090117642</v>
      </c>
      <c r="G66" s="177">
        <f t="shared" si="16"/>
        <v>14972.495906552511</v>
      </c>
      <c r="H66" s="177">
        <f t="shared" si="16"/>
        <v>54267.504093447489</v>
      </c>
      <c r="I66" s="244">
        <f t="shared" si="17"/>
        <v>40457.46101951383</v>
      </c>
      <c r="J66" s="244">
        <f t="shared" si="18"/>
        <v>94724.965112961319</v>
      </c>
      <c r="K66" s="177">
        <f>'Non res psc'!BO165*Calculations!C$6*Portfolio!E66</f>
        <v>66991.945318158323</v>
      </c>
      <c r="L66" s="176">
        <f t="shared" si="19"/>
        <v>0.70722586425098344</v>
      </c>
      <c r="M66" s="244">
        <f t="shared" si="20"/>
        <v>-27733.019794802996</v>
      </c>
      <c r="N66" s="160"/>
      <c r="O66" s="160"/>
      <c r="P66" s="240"/>
    </row>
    <row r="67" spans="2:16">
      <c r="B67" s="239"/>
      <c r="C67" s="160" t="str">
        <f t="shared" si="16"/>
        <v>Non-res Psc windows/insulation</v>
      </c>
      <c r="D67" s="117">
        <f t="shared" si="16"/>
        <v>31307.456400000003</v>
      </c>
      <c r="E67" s="175">
        <f t="shared" si="16"/>
        <v>0.86999999999999988</v>
      </c>
      <c r="F67" s="117">
        <f t="shared" si="16"/>
        <v>27237.487067999999</v>
      </c>
      <c r="G67" s="177">
        <f t="shared" si="16"/>
        <v>50359.105063803872</v>
      </c>
      <c r="H67" s="177">
        <f t="shared" si="16"/>
        <v>92549.154936196137</v>
      </c>
      <c r="I67" s="244">
        <f t="shared" si="17"/>
        <v>67691.364287375487</v>
      </c>
      <c r="J67" s="244">
        <f t="shared" si="18"/>
        <v>160240.51922357164</v>
      </c>
      <c r="K67" s="177">
        <f>'Non res psc'!BO166*Calculations!C$6*Portfolio!E67</f>
        <v>228330.53699266855</v>
      </c>
      <c r="L67" s="176">
        <f t="shared" si="19"/>
        <v>1.424923846346853</v>
      </c>
      <c r="M67" s="244">
        <f t="shared" si="20"/>
        <v>68090.017769096914</v>
      </c>
      <c r="N67" s="160"/>
      <c r="O67" s="160"/>
      <c r="P67" s="240"/>
    </row>
    <row r="68" spans="2:16">
      <c r="B68" s="239"/>
      <c r="C68" s="160" t="str">
        <f t="shared" si="16"/>
        <v>Non-res Psc non-res HVAC</v>
      </c>
      <c r="D68" s="117">
        <f t="shared" si="16"/>
        <v>131.90100000000001</v>
      </c>
      <c r="E68" s="175">
        <f t="shared" si="16"/>
        <v>0.86999999999999988</v>
      </c>
      <c r="F68" s="117">
        <f t="shared" si="16"/>
        <v>114.75386999999999</v>
      </c>
      <c r="G68" s="177">
        <f t="shared" si="16"/>
        <v>0</v>
      </c>
      <c r="H68" s="177">
        <f t="shared" si="16"/>
        <v>293</v>
      </c>
      <c r="I68" s="244">
        <f t="shared" si="17"/>
        <v>285.18952567699222</v>
      </c>
      <c r="J68" s="244">
        <f t="shared" si="18"/>
        <v>578.18952567699216</v>
      </c>
      <c r="K68" s="177">
        <f>'Non res psc'!BO167*Calculations!C$6*Portfolio!E68</f>
        <v>844.58450012172</v>
      </c>
      <c r="L68" s="176">
        <f t="shared" si="19"/>
        <v>1.460739883056184</v>
      </c>
      <c r="M68" s="244">
        <f t="shared" si="20"/>
        <v>266.39497444472784</v>
      </c>
      <c r="N68" s="160"/>
      <c r="O68" s="160"/>
      <c r="P68" s="240"/>
    </row>
    <row r="69" spans="2:16">
      <c r="B69" s="239"/>
      <c r="C69" s="160" t="str">
        <f t="shared" si="16"/>
        <v>Res Psc ES home</v>
      </c>
      <c r="D69" s="117">
        <f t="shared" si="16"/>
        <v>21080.97</v>
      </c>
      <c r="E69" s="175">
        <f t="shared" si="16"/>
        <v>0.73599999999999999</v>
      </c>
      <c r="F69" s="117">
        <f t="shared" si="16"/>
        <v>15515.593920000001</v>
      </c>
      <c r="G69" s="177">
        <f t="shared" si="16"/>
        <v>38711.55405325428</v>
      </c>
      <c r="H69" s="177">
        <f t="shared" si="16"/>
        <v>68238.44594674572</v>
      </c>
      <c r="I69" s="244">
        <f t="shared" si="17"/>
        <v>38559.787749568932</v>
      </c>
      <c r="J69" s="244">
        <f t="shared" si="18"/>
        <v>106798.23369631465</v>
      </c>
      <c r="K69" s="177">
        <f>E69*Calculations!C$7*Residential!BB28</f>
        <v>92603.338961986825</v>
      </c>
      <c r="L69" s="176">
        <f t="shared" si="19"/>
        <v>0.86708680244008884</v>
      </c>
      <c r="M69" s="244">
        <f t="shared" si="20"/>
        <v>-14194.894734327827</v>
      </c>
      <c r="N69" s="160"/>
      <c r="O69" s="160"/>
      <c r="P69" s="240"/>
    </row>
    <row r="70" spans="2:16">
      <c r="B70" s="239"/>
      <c r="C70" s="160" t="str">
        <f t="shared" si="16"/>
        <v>Res Psc res HVAC</v>
      </c>
      <c r="D70" s="117">
        <f t="shared" si="16"/>
        <v>270471.69</v>
      </c>
      <c r="E70" s="175">
        <f t="shared" si="16"/>
        <v>0.60999999999999988</v>
      </c>
      <c r="F70" s="117">
        <f t="shared" si="16"/>
        <v>164987.73089999997</v>
      </c>
      <c r="G70" s="177">
        <f t="shared" si="16"/>
        <v>0</v>
      </c>
      <c r="H70" s="177">
        <f t="shared" si="16"/>
        <v>1189600</v>
      </c>
      <c r="I70" s="244">
        <f t="shared" si="17"/>
        <v>410032.12107699923</v>
      </c>
      <c r="J70" s="244">
        <f t="shared" si="18"/>
        <v>1599632.1210769992</v>
      </c>
      <c r="K70" s="177">
        <f>E70*Calculations!C$7*Residential!BB29</f>
        <v>782236.77750278497</v>
      </c>
      <c r="L70" s="176">
        <f t="shared" si="19"/>
        <v>0.48901042133120026</v>
      </c>
      <c r="M70" s="244">
        <f t="shared" si="20"/>
        <v>-817395.34357421426</v>
      </c>
      <c r="N70" s="160"/>
      <c r="O70" s="160"/>
      <c r="P70" s="240"/>
    </row>
    <row r="71" spans="2:16">
      <c r="B71" s="239"/>
      <c r="C71" s="160" t="str">
        <f t="shared" si="16"/>
        <v>Res Psc water heat</v>
      </c>
      <c r="D71" s="117">
        <f t="shared" si="16"/>
        <v>17962.02</v>
      </c>
      <c r="E71" s="175">
        <f t="shared" si="16"/>
        <v>0.58937033801491845</v>
      </c>
      <c r="F71" s="117">
        <f t="shared" si="16"/>
        <v>10586.281798830725</v>
      </c>
      <c r="G71" s="177">
        <f t="shared" si="16"/>
        <v>0</v>
      </c>
      <c r="H71" s="177">
        <f t="shared" si="16"/>
        <v>24087</v>
      </c>
      <c r="I71" s="244">
        <f t="shared" si="17"/>
        <v>26309.32346675115</v>
      </c>
      <c r="J71" s="244">
        <f t="shared" si="18"/>
        <v>50396.32346675115</v>
      </c>
      <c r="K71" s="177">
        <f>E71*Calculations!C$7*Residential!BB30</f>
        <v>14113.347348416954</v>
      </c>
      <c r="L71" s="176">
        <f t="shared" si="19"/>
        <v>0.28004716172853761</v>
      </c>
      <c r="M71" s="244">
        <f t="shared" si="20"/>
        <v>-36282.976118334198</v>
      </c>
      <c r="N71" s="160"/>
      <c r="O71" s="160"/>
      <c r="P71" s="240"/>
    </row>
    <row r="72" spans="2:16">
      <c r="B72" s="239"/>
      <c r="C72" s="160" t="str">
        <f t="shared" si="16"/>
        <v>Res Psc insulation</v>
      </c>
      <c r="D72" s="117">
        <f t="shared" si="16"/>
        <v>56814.914999999994</v>
      </c>
      <c r="E72" s="175">
        <f t="shared" si="16"/>
        <v>0.6379999999999999</v>
      </c>
      <c r="F72" s="117">
        <f t="shared" si="16"/>
        <v>36247.915769999992</v>
      </c>
      <c r="G72" s="177">
        <f t="shared" si="16"/>
        <v>22073.982004515041</v>
      </c>
      <c r="H72" s="177">
        <f t="shared" si="16"/>
        <v>130267.68466215162</v>
      </c>
      <c r="I72" s="244">
        <f t="shared" si="17"/>
        <v>90084.333584792083</v>
      </c>
      <c r="J72" s="244">
        <f t="shared" si="18"/>
        <v>220352.01824694371</v>
      </c>
      <c r="K72" s="177">
        <f>E72*Calculations!C$7*Residential!BB31</f>
        <v>171857.94766947231</v>
      </c>
      <c r="L72" s="176">
        <f t="shared" si="19"/>
        <v>0.77992454544652656</v>
      </c>
      <c r="M72" s="244">
        <f t="shared" si="20"/>
        <v>-48494.070577471401</v>
      </c>
      <c r="N72" s="160"/>
      <c r="O72" s="160"/>
      <c r="P72" s="240"/>
    </row>
    <row r="73" spans="2:16">
      <c r="B73" s="239"/>
      <c r="C73" s="160" t="str">
        <f t="shared" si="16"/>
        <v>Res Psc appliance</v>
      </c>
      <c r="D73" s="117">
        <f t="shared" si="16"/>
        <v>22751.892000000003</v>
      </c>
      <c r="E73" s="175">
        <f t="shared" si="16"/>
        <v>0.41853725614949661</v>
      </c>
      <c r="F73" s="117">
        <f t="shared" si="16"/>
        <v>9522.5144498896843</v>
      </c>
      <c r="G73" s="177">
        <f t="shared" si="16"/>
        <v>0</v>
      </c>
      <c r="H73" s="177">
        <f t="shared" si="16"/>
        <v>44175</v>
      </c>
      <c r="I73" s="244">
        <f t="shared" si="17"/>
        <v>23665.619113467321</v>
      </c>
      <c r="J73" s="244">
        <f t="shared" si="18"/>
        <v>67840.619113467314</v>
      </c>
      <c r="K73" s="177">
        <f>E73*Calculations!C$7*Residential!BB32</f>
        <v>33735.15194480645</v>
      </c>
      <c r="L73" s="176">
        <f t="shared" si="19"/>
        <v>0.497270696901844</v>
      </c>
      <c r="M73" s="244">
        <f t="shared" si="20"/>
        <v>-34105.467168660864</v>
      </c>
      <c r="N73" s="160"/>
      <c r="O73" s="160"/>
      <c r="P73" s="240"/>
    </row>
    <row r="74" spans="2:16">
      <c r="B74" s="239"/>
      <c r="C74" s="160"/>
      <c r="D74" s="160"/>
      <c r="E74" s="160"/>
      <c r="F74" s="160"/>
      <c r="G74" s="160"/>
      <c r="H74" s="160"/>
      <c r="I74" s="160"/>
      <c r="J74" s="160"/>
      <c r="K74" s="160"/>
      <c r="L74" s="160"/>
      <c r="M74" s="160"/>
      <c r="N74" s="160"/>
      <c r="O74" s="160"/>
      <c r="P74" s="240"/>
    </row>
    <row r="75" spans="2:16">
      <c r="B75" s="239"/>
      <c r="C75" s="160" t="s">
        <v>472</v>
      </c>
      <c r="D75" s="174">
        <f>SUM(D64:D73)</f>
        <v>807790.96334622847</v>
      </c>
      <c r="E75" s="160"/>
      <c r="F75" s="174">
        <f t="shared" ref="F75:K75" si="21">SUM(F64:F73)</f>
        <v>556934.02396961639</v>
      </c>
      <c r="G75" s="177">
        <f t="shared" si="21"/>
        <v>566203.29708154069</v>
      </c>
      <c r="H75" s="177">
        <f t="shared" si="21"/>
        <v>3000196.9199077063</v>
      </c>
      <c r="I75" s="177">
        <f t="shared" si="21"/>
        <v>1384108.0055014577</v>
      </c>
      <c r="J75" s="177">
        <f t="shared" si="21"/>
        <v>4384304.9254091643</v>
      </c>
      <c r="K75" s="177">
        <f t="shared" si="21"/>
        <v>2892356.9844695847</v>
      </c>
      <c r="L75" s="176">
        <f t="shared" si="19"/>
        <v>0.659707076418654</v>
      </c>
      <c r="M75" s="244">
        <f t="shared" si="20"/>
        <v>-1491947.9409395796</v>
      </c>
      <c r="N75" s="160"/>
      <c r="O75" s="160"/>
      <c r="P75" s="240"/>
    </row>
    <row r="76" spans="2:16">
      <c r="B76" s="239"/>
      <c r="C76" s="160"/>
      <c r="D76" s="160"/>
      <c r="E76" s="160"/>
      <c r="F76" s="160"/>
      <c r="G76" s="160"/>
      <c r="H76" s="160"/>
      <c r="I76" s="160"/>
      <c r="J76" s="160"/>
      <c r="K76" s="160"/>
      <c r="L76" s="160"/>
      <c r="M76" s="160"/>
      <c r="N76" s="160"/>
      <c r="O76" s="160"/>
      <c r="P76" s="240"/>
    </row>
    <row r="77" spans="2:16">
      <c r="B77" s="239"/>
      <c r="C77" s="160"/>
      <c r="D77" s="160"/>
      <c r="E77" s="160"/>
      <c r="F77" s="160"/>
      <c r="G77" s="160"/>
      <c r="H77" s="160"/>
      <c r="I77" s="160"/>
      <c r="J77" s="160"/>
      <c r="K77" s="160"/>
      <c r="L77" s="160"/>
      <c r="M77" s="160"/>
      <c r="N77" s="160"/>
      <c r="O77" s="160"/>
      <c r="P77" s="240"/>
    </row>
    <row r="78" spans="2:16">
      <c r="B78" s="239"/>
      <c r="C78" s="249"/>
      <c r="D78" s="250" t="s">
        <v>511</v>
      </c>
      <c r="E78" s="250" t="s">
        <v>509</v>
      </c>
      <c r="F78" s="160"/>
      <c r="G78" s="160"/>
      <c r="H78" s="160"/>
      <c r="I78" s="160"/>
      <c r="J78" s="160"/>
      <c r="K78" s="160"/>
      <c r="L78" s="160"/>
      <c r="M78" s="160"/>
      <c r="N78" s="160"/>
      <c r="O78" s="160"/>
      <c r="P78" s="240"/>
    </row>
    <row r="79" spans="2:16">
      <c r="B79" s="239"/>
      <c r="C79" s="249" t="s">
        <v>463</v>
      </c>
      <c r="D79" s="251">
        <f>L21</f>
        <v>1384108.0055014577</v>
      </c>
      <c r="E79" s="251">
        <f>I75</f>
        <v>1384108.0055014577</v>
      </c>
      <c r="F79" s="160"/>
      <c r="G79" s="160" t="s">
        <v>475</v>
      </c>
      <c r="H79" s="160"/>
      <c r="I79" s="160"/>
      <c r="J79" s="160"/>
      <c r="K79" s="160"/>
      <c r="L79" s="160"/>
      <c r="M79" s="160"/>
      <c r="N79" s="160"/>
      <c r="O79" s="160"/>
      <c r="P79" s="240"/>
    </row>
    <row r="80" spans="2:16">
      <c r="B80" s="239"/>
      <c r="C80" s="249" t="s">
        <v>483</v>
      </c>
      <c r="D80" s="252">
        <f>SUM(J7:J16)</f>
        <v>3138651.1951368321</v>
      </c>
      <c r="E80" s="253"/>
      <c r="F80" s="160"/>
      <c r="G80" s="160" t="s">
        <v>476</v>
      </c>
      <c r="H80" s="160"/>
      <c r="I80" s="160"/>
      <c r="J80" s="160"/>
      <c r="K80" s="160"/>
      <c r="L80" s="160"/>
      <c r="M80" s="160"/>
      <c r="N80" s="160"/>
      <c r="O80" s="160"/>
      <c r="P80" s="240"/>
    </row>
    <row r="81" spans="2:16" ht="15.75" thickBot="1">
      <c r="B81" s="239"/>
      <c r="C81" s="249" t="s">
        <v>510</v>
      </c>
      <c r="D81" s="257"/>
      <c r="E81" s="258">
        <f>H75</f>
        <v>3000196.9199077063</v>
      </c>
      <c r="F81" s="160"/>
      <c r="G81" s="160" t="s">
        <v>477</v>
      </c>
      <c r="H81" s="160"/>
      <c r="I81" s="160"/>
      <c r="J81" s="160"/>
      <c r="K81" s="160"/>
      <c r="L81" s="160"/>
      <c r="M81" s="160"/>
      <c r="N81" s="160"/>
      <c r="O81" s="160"/>
      <c r="P81" s="240"/>
    </row>
    <row r="82" spans="2:16" ht="15.75" thickTop="1">
      <c r="B82" s="239"/>
      <c r="C82" s="249" t="s">
        <v>473</v>
      </c>
      <c r="D82" s="251">
        <f>SUM(D79:D81)</f>
        <v>4522759.2006382896</v>
      </c>
      <c r="E82" s="251">
        <f>SUM(E79:E81)</f>
        <v>4384304.9254091643</v>
      </c>
      <c r="F82" s="160"/>
      <c r="G82" s="160" t="s">
        <v>478</v>
      </c>
      <c r="H82" s="160"/>
      <c r="I82" s="160"/>
      <c r="J82" s="160"/>
      <c r="K82" s="160"/>
      <c r="L82" s="160"/>
      <c r="M82" s="160"/>
      <c r="N82" s="160"/>
      <c r="O82" s="160"/>
      <c r="P82" s="240"/>
    </row>
    <row r="83" spans="2:16">
      <c r="B83" s="239"/>
      <c r="C83" s="249"/>
      <c r="D83" s="249"/>
      <c r="E83" s="249"/>
      <c r="F83" s="160"/>
      <c r="G83" s="160" t="s">
        <v>479</v>
      </c>
      <c r="H83" s="160"/>
      <c r="I83" s="160"/>
      <c r="J83" s="160"/>
      <c r="K83" s="160"/>
      <c r="L83" s="160"/>
      <c r="M83" s="160"/>
      <c r="N83" s="160"/>
      <c r="O83" s="160"/>
      <c r="P83" s="240"/>
    </row>
    <row r="84" spans="2:16">
      <c r="B84" s="239"/>
      <c r="C84" s="249" t="s">
        <v>484</v>
      </c>
      <c r="D84" s="254">
        <f>E84</f>
        <v>2892356.9844695847</v>
      </c>
      <c r="E84" s="251">
        <f>K75</f>
        <v>2892356.9844695847</v>
      </c>
      <c r="F84" s="160"/>
      <c r="G84" s="248" t="s">
        <v>481</v>
      </c>
      <c r="H84" s="160"/>
      <c r="I84" s="160"/>
      <c r="J84" s="160"/>
      <c r="K84" s="160"/>
      <c r="L84" s="160"/>
      <c r="M84" s="160"/>
      <c r="N84" s="160"/>
      <c r="O84" s="160"/>
      <c r="P84" s="240"/>
    </row>
    <row r="85" spans="2:16" ht="15.75" thickBot="1">
      <c r="B85" s="239"/>
      <c r="C85" s="249" t="s">
        <v>485</v>
      </c>
      <c r="D85" s="259">
        <f>I21-E84</f>
        <v>24711.163269452751</v>
      </c>
      <c r="E85" s="257"/>
      <c r="F85" s="160"/>
      <c r="G85" s="248" t="s">
        <v>482</v>
      </c>
      <c r="H85" s="160"/>
      <c r="I85" s="160"/>
      <c r="J85" s="160"/>
      <c r="K85" s="160"/>
      <c r="L85" s="160"/>
      <c r="M85" s="160"/>
      <c r="N85" s="160"/>
      <c r="O85" s="160"/>
      <c r="P85" s="240"/>
    </row>
    <row r="86" spans="2:16" ht="15.75" thickTop="1">
      <c r="B86" s="239"/>
      <c r="C86" s="249" t="s">
        <v>474</v>
      </c>
      <c r="D86" s="251">
        <f>SUM(D84:D85)</f>
        <v>2917068.1477390374</v>
      </c>
      <c r="E86" s="251">
        <f>SUM(E84:E85)</f>
        <v>2892356.9844695847</v>
      </c>
      <c r="F86" s="160"/>
      <c r="G86" s="160"/>
      <c r="H86" s="160"/>
      <c r="I86" s="160"/>
      <c r="J86" s="160"/>
      <c r="K86" s="160"/>
      <c r="L86" s="160"/>
      <c r="M86" s="160"/>
      <c r="N86" s="160"/>
      <c r="O86" s="160"/>
      <c r="P86" s="240"/>
    </row>
    <row r="87" spans="2:16">
      <c r="B87" s="239"/>
      <c r="C87" s="249"/>
      <c r="D87" s="249"/>
      <c r="E87" s="249"/>
      <c r="F87" s="160"/>
      <c r="G87" s="160"/>
      <c r="H87" s="160"/>
      <c r="I87" s="160"/>
      <c r="J87" s="160"/>
      <c r="K87" s="160"/>
      <c r="L87" s="160"/>
      <c r="M87" s="160"/>
      <c r="N87" s="160"/>
      <c r="O87" s="160"/>
      <c r="P87" s="240"/>
    </row>
    <row r="88" spans="2:16" ht="15.75" thickBot="1">
      <c r="B88" s="245"/>
      <c r="C88" s="255" t="s">
        <v>480</v>
      </c>
      <c r="D88" s="256">
        <f>D86/D82</f>
        <v>0.64497533879923485</v>
      </c>
      <c r="E88" s="256">
        <f>E86/E82</f>
        <v>0.659707076418654</v>
      </c>
      <c r="F88" s="246"/>
      <c r="G88" s="246"/>
      <c r="H88" s="246"/>
      <c r="I88" s="246"/>
      <c r="J88" s="246"/>
      <c r="K88" s="246"/>
      <c r="L88" s="246"/>
      <c r="M88" s="246"/>
      <c r="N88" s="246"/>
      <c r="O88" s="246"/>
      <c r="P88" s="247"/>
    </row>
    <row r="89" spans="2:16" ht="16.5" thickTop="1" thickBot="1"/>
    <row r="90" spans="2:16" ht="15.75" thickTop="1">
      <c r="B90" s="235"/>
      <c r="C90" s="236"/>
      <c r="D90" s="236"/>
      <c r="E90" s="236"/>
      <c r="F90" s="236"/>
      <c r="G90" s="236"/>
      <c r="H90" s="236"/>
      <c r="I90" s="236" t="str">
        <f>I33</f>
        <v>Scenario assuming NIUC is fully variable</v>
      </c>
      <c r="J90" s="236"/>
      <c r="K90" s="236"/>
      <c r="L90" s="236"/>
      <c r="M90" s="236"/>
      <c r="N90" s="236"/>
      <c r="O90" s="236"/>
      <c r="P90" s="238"/>
    </row>
    <row r="91" spans="2:16">
      <c r="B91" s="239"/>
      <c r="C91" s="160"/>
      <c r="D91" s="160"/>
      <c r="E91" s="160"/>
      <c r="F91" s="160"/>
      <c r="G91" s="160"/>
      <c r="H91" s="160"/>
      <c r="I91" s="160"/>
      <c r="J91" s="160"/>
      <c r="K91" s="160"/>
      <c r="L91" s="160"/>
      <c r="M91" s="160"/>
      <c r="N91" s="160"/>
      <c r="O91" s="160"/>
      <c r="P91" s="240"/>
    </row>
    <row r="92" spans="2:16" ht="45">
      <c r="B92" s="239"/>
      <c r="C92" s="160"/>
      <c r="D92" s="242" t="str">
        <f>D63</f>
        <v>Gross therms realized</v>
      </c>
      <c r="E92" s="242" t="str">
        <f t="shared" ref="E92:M92" si="22">E63</f>
        <v>NTG ratio</v>
      </c>
      <c r="F92" s="242" t="str">
        <f t="shared" si="22"/>
        <v>Net therms realized</v>
      </c>
      <c r="G92" s="242" t="str">
        <f t="shared" si="22"/>
        <v>Electric incentives</v>
      </c>
      <c r="H92" s="242" t="str">
        <f t="shared" si="22"/>
        <v>Gas incentives</v>
      </c>
      <c r="I92" s="242" t="str">
        <f t="shared" si="22"/>
        <v>NIUC allocated by therms</v>
      </c>
      <c r="J92" s="242" t="str">
        <f t="shared" si="22"/>
        <v>Total gas UCT cost</v>
      </c>
      <c r="K92" s="242" t="str">
        <f t="shared" si="22"/>
        <v>Total net UCT benefits</v>
      </c>
      <c r="L92" s="242" t="str">
        <f t="shared" si="22"/>
        <v>Net UCT B/C ratio</v>
      </c>
      <c r="M92" s="242" t="str">
        <f t="shared" si="22"/>
        <v>Residual net UCT benefits</v>
      </c>
      <c r="N92" s="160"/>
      <c r="O92" s="160"/>
      <c r="P92" s="240"/>
    </row>
    <row r="93" spans="2:16">
      <c r="B93" s="239"/>
      <c r="C93" s="160" t="str">
        <f>C7</f>
        <v>Site-specific</v>
      </c>
      <c r="D93" s="174">
        <f>D64</f>
        <v>368360.47741935489</v>
      </c>
      <c r="E93" s="175">
        <f>E64</f>
        <v>0.75</v>
      </c>
      <c r="F93" s="117">
        <f>F64</f>
        <v>276270.35806451616</v>
      </c>
      <c r="G93" s="177">
        <f>G64</f>
        <v>433258.83870967739</v>
      </c>
      <c r="H93" s="177">
        <f>H64</f>
        <v>1394146.4516129033</v>
      </c>
      <c r="I93" s="244">
        <f>L37</f>
        <v>578328.79666589713</v>
      </c>
      <c r="J93" s="244">
        <f>H93+I93</f>
        <v>1972475.2482788004</v>
      </c>
      <c r="K93" s="244">
        <f>K64</f>
        <v>1501143.2936804108</v>
      </c>
      <c r="L93" s="176">
        <f>K93/J93</f>
        <v>0.76104544023572507</v>
      </c>
      <c r="M93" s="244">
        <f>K93-J93</f>
        <v>-471331.95459838957</v>
      </c>
      <c r="N93" s="160"/>
      <c r="O93" s="160"/>
      <c r="P93" s="240"/>
    </row>
    <row r="94" spans="2:16">
      <c r="B94" s="239"/>
      <c r="C94" s="160" t="str">
        <f t="shared" ref="C94:C102" si="23">C8</f>
        <v>Non-res Psc clothes washers</v>
      </c>
      <c r="D94" s="174">
        <f t="shared" ref="D94:H94" si="24">D65</f>
        <v>197.94602099108579</v>
      </c>
      <c r="E94" s="175">
        <f t="shared" si="24"/>
        <v>0.87000000000000011</v>
      </c>
      <c r="F94" s="117">
        <f t="shared" si="24"/>
        <v>172.21303826224465</v>
      </c>
      <c r="G94" s="177">
        <f t="shared" si="24"/>
        <v>6827.3213437376089</v>
      </c>
      <c r="H94" s="177">
        <f t="shared" si="24"/>
        <v>2572.6786562623906</v>
      </c>
      <c r="I94" s="244">
        <f t="shared" ref="I94:I102" si="25">L38</f>
        <v>360.50106817874365</v>
      </c>
      <c r="J94" s="244">
        <f t="shared" ref="J94:J102" si="26">H94+I94</f>
        <v>2933.1797244411341</v>
      </c>
      <c r="K94" s="244">
        <f t="shared" ref="K94:K102" si="27">K65</f>
        <v>500.06055075777124</v>
      </c>
      <c r="L94" s="176">
        <f t="shared" ref="L94:L102" si="28">K94/J94</f>
        <v>0.17048411544336889</v>
      </c>
      <c r="M94" s="244">
        <f t="shared" ref="M94:M102" si="29">K94-J94</f>
        <v>-2433.119173683363</v>
      </c>
      <c r="N94" s="160"/>
      <c r="O94" s="160"/>
      <c r="P94" s="240"/>
    </row>
    <row r="95" spans="2:16">
      <c r="B95" s="239"/>
      <c r="C95" s="160" t="str">
        <f t="shared" si="23"/>
        <v>Non-res Psc food service</v>
      </c>
      <c r="D95" s="174">
        <f t="shared" ref="D95:H95" si="30">D66</f>
        <v>18711.695505882348</v>
      </c>
      <c r="E95" s="175">
        <f t="shared" si="30"/>
        <v>0.87</v>
      </c>
      <c r="F95" s="117">
        <f t="shared" si="30"/>
        <v>16279.175090117642</v>
      </c>
      <c r="G95" s="177">
        <f t="shared" si="30"/>
        <v>14972.495906552511</v>
      </c>
      <c r="H95" s="177">
        <f t="shared" si="30"/>
        <v>54267.504093447489</v>
      </c>
      <c r="I95" s="244">
        <f t="shared" si="25"/>
        <v>34077.90762113758</v>
      </c>
      <c r="J95" s="244">
        <f t="shared" si="26"/>
        <v>88345.411714585061</v>
      </c>
      <c r="K95" s="244">
        <f t="shared" si="27"/>
        <v>66991.945318158323</v>
      </c>
      <c r="L95" s="176">
        <f t="shared" si="28"/>
        <v>0.75829569434332644</v>
      </c>
      <c r="M95" s="244">
        <f t="shared" si="29"/>
        <v>-21353.466396426738</v>
      </c>
      <c r="N95" s="160"/>
      <c r="O95" s="160"/>
      <c r="P95" s="240"/>
    </row>
    <row r="96" spans="2:16">
      <c r="B96" s="239"/>
      <c r="C96" s="160" t="str">
        <f t="shared" si="23"/>
        <v>Non-res Psc windows/insulation</v>
      </c>
      <c r="D96" s="174">
        <f t="shared" ref="D96:H96" si="31">D67</f>
        <v>31307.456400000003</v>
      </c>
      <c r="E96" s="175">
        <f t="shared" si="31"/>
        <v>0.86999999999999988</v>
      </c>
      <c r="F96" s="117">
        <f t="shared" si="31"/>
        <v>27237.487067999999</v>
      </c>
      <c r="G96" s="177">
        <f t="shared" si="31"/>
        <v>50359.105063803872</v>
      </c>
      <c r="H96" s="177">
        <f t="shared" si="31"/>
        <v>92549.154936196137</v>
      </c>
      <c r="I96" s="244">
        <f t="shared" si="25"/>
        <v>57017.420292917668</v>
      </c>
      <c r="J96" s="244">
        <f t="shared" si="26"/>
        <v>149566.57522911381</v>
      </c>
      <c r="K96" s="244">
        <f t="shared" si="27"/>
        <v>228330.53699266855</v>
      </c>
      <c r="L96" s="176">
        <f t="shared" si="28"/>
        <v>1.5266147308842235</v>
      </c>
      <c r="M96" s="244">
        <f t="shared" si="29"/>
        <v>78763.961763554747</v>
      </c>
      <c r="N96" s="160"/>
      <c r="O96" s="160"/>
      <c r="P96" s="240"/>
    </row>
    <row r="97" spans="2:16">
      <c r="B97" s="239"/>
      <c r="C97" s="160" t="str">
        <f t="shared" si="23"/>
        <v>Non-res Psc non-res HVAC</v>
      </c>
      <c r="D97" s="174">
        <f t="shared" ref="D97:H97" si="32">D68</f>
        <v>131.90100000000001</v>
      </c>
      <c r="E97" s="175">
        <f t="shared" si="32"/>
        <v>0.86999999999999988</v>
      </c>
      <c r="F97" s="117">
        <f t="shared" si="32"/>
        <v>114.75386999999999</v>
      </c>
      <c r="G97" s="177">
        <f t="shared" si="32"/>
        <v>0</v>
      </c>
      <c r="H97" s="177">
        <f t="shared" si="32"/>
        <v>293</v>
      </c>
      <c r="I97" s="244">
        <f t="shared" si="25"/>
        <v>240.2192838015462</v>
      </c>
      <c r="J97" s="244">
        <f t="shared" si="26"/>
        <v>533.21928380154623</v>
      </c>
      <c r="K97" s="244">
        <f t="shared" si="27"/>
        <v>844.58450012172</v>
      </c>
      <c r="L97" s="176">
        <f t="shared" si="28"/>
        <v>1.5839346508631855</v>
      </c>
      <c r="M97" s="244">
        <f t="shared" si="29"/>
        <v>311.36521632017377</v>
      </c>
      <c r="N97" s="160"/>
      <c r="O97" s="160"/>
      <c r="P97" s="240"/>
    </row>
    <row r="98" spans="2:16">
      <c r="B98" s="239"/>
      <c r="C98" s="160" t="str">
        <f t="shared" si="23"/>
        <v>Res Psc ES home</v>
      </c>
      <c r="D98" s="174">
        <f t="shared" ref="D98:H98" si="33">D69</f>
        <v>21080.97</v>
      </c>
      <c r="E98" s="175">
        <f t="shared" si="33"/>
        <v>0.73599999999999999</v>
      </c>
      <c r="F98" s="117">
        <f t="shared" si="33"/>
        <v>15515.593920000001</v>
      </c>
      <c r="G98" s="177">
        <f t="shared" si="33"/>
        <v>38711.55405325428</v>
      </c>
      <c r="H98" s="177">
        <f t="shared" si="33"/>
        <v>68238.44594674572</v>
      </c>
      <c r="I98" s="244">
        <f t="shared" si="25"/>
        <v>32479.469835902051</v>
      </c>
      <c r="J98" s="244">
        <f t="shared" si="26"/>
        <v>100717.91578264777</v>
      </c>
      <c r="K98" s="244">
        <f t="shared" si="27"/>
        <v>92603.338961986825</v>
      </c>
      <c r="L98" s="176">
        <f t="shared" si="28"/>
        <v>0.91943263760369665</v>
      </c>
      <c r="M98" s="244">
        <f t="shared" si="29"/>
        <v>-8114.57682066095</v>
      </c>
      <c r="N98" s="160"/>
      <c r="O98" s="160"/>
      <c r="P98" s="240"/>
    </row>
    <row r="99" spans="2:16">
      <c r="B99" s="239"/>
      <c r="C99" s="160" t="str">
        <f t="shared" si="23"/>
        <v>Res Psc res HVAC</v>
      </c>
      <c r="D99" s="174">
        <f t="shared" ref="D99:H99" si="34">D70</f>
        <v>270471.69</v>
      </c>
      <c r="E99" s="175">
        <f t="shared" si="34"/>
        <v>0.60999999999999988</v>
      </c>
      <c r="F99" s="117">
        <f t="shared" si="34"/>
        <v>164987.73089999997</v>
      </c>
      <c r="G99" s="177">
        <f t="shared" si="34"/>
        <v>0</v>
      </c>
      <c r="H99" s="177">
        <f t="shared" si="34"/>
        <v>1189600</v>
      </c>
      <c r="I99" s="244">
        <f t="shared" si="25"/>
        <v>345376.01697302435</v>
      </c>
      <c r="J99" s="244">
        <f t="shared" si="26"/>
        <v>1534976.0169730242</v>
      </c>
      <c r="K99" s="244">
        <f t="shared" si="27"/>
        <v>782236.77750278497</v>
      </c>
      <c r="L99" s="176">
        <f t="shared" si="28"/>
        <v>0.50960846870126186</v>
      </c>
      <c r="M99" s="244">
        <f t="shared" si="29"/>
        <v>-752739.23947023926</v>
      </c>
      <c r="N99" s="160"/>
      <c r="O99" s="160"/>
      <c r="P99" s="240"/>
    </row>
    <row r="100" spans="2:16">
      <c r="B100" s="239"/>
      <c r="C100" s="160" t="str">
        <f t="shared" si="23"/>
        <v>Res Psc water heat</v>
      </c>
      <c r="D100" s="174">
        <f t="shared" ref="D100:H100" si="35">D71</f>
        <v>17962.02</v>
      </c>
      <c r="E100" s="175">
        <f t="shared" si="35"/>
        <v>0.58937033801491845</v>
      </c>
      <c r="F100" s="117">
        <f t="shared" si="35"/>
        <v>10586.281798830725</v>
      </c>
      <c r="G100" s="177">
        <f t="shared" si="35"/>
        <v>0</v>
      </c>
      <c r="H100" s="177">
        <f t="shared" si="35"/>
        <v>24087</v>
      </c>
      <c r="I100" s="244">
        <f t="shared" si="25"/>
        <v>22160.725662990371</v>
      </c>
      <c r="J100" s="244">
        <f t="shared" si="26"/>
        <v>46247.725662990371</v>
      </c>
      <c r="K100" s="244">
        <f t="shared" si="27"/>
        <v>14113.347348416954</v>
      </c>
      <c r="L100" s="176">
        <f t="shared" si="28"/>
        <v>0.30516846279667165</v>
      </c>
      <c r="M100" s="244">
        <f t="shared" si="29"/>
        <v>-32134.37831457342</v>
      </c>
      <c r="N100" s="160"/>
      <c r="O100" s="160"/>
      <c r="P100" s="240"/>
    </row>
    <row r="101" spans="2:16">
      <c r="B101" s="239"/>
      <c r="C101" s="160" t="str">
        <f t="shared" si="23"/>
        <v>Res Psc insulation</v>
      </c>
      <c r="D101" s="174">
        <f t="shared" ref="D101:H101" si="36">D72</f>
        <v>56814.914999999994</v>
      </c>
      <c r="E101" s="175">
        <f t="shared" si="36"/>
        <v>0.6379999999999999</v>
      </c>
      <c r="F101" s="117">
        <f t="shared" si="36"/>
        <v>36247.915769999992</v>
      </c>
      <c r="G101" s="177">
        <f t="shared" si="36"/>
        <v>22073.982004515041</v>
      </c>
      <c r="H101" s="177">
        <f t="shared" si="36"/>
        <v>130267.68466215162</v>
      </c>
      <c r="I101" s="244">
        <f t="shared" si="25"/>
        <v>75879.343899845553</v>
      </c>
      <c r="J101" s="244">
        <f t="shared" si="26"/>
        <v>206147.02856199717</v>
      </c>
      <c r="K101" s="244">
        <f t="shared" si="27"/>
        <v>171857.94766947231</v>
      </c>
      <c r="L101" s="176">
        <f t="shared" si="28"/>
        <v>0.83366686810034385</v>
      </c>
      <c r="M101" s="244">
        <f t="shared" si="29"/>
        <v>-34289.080892524857</v>
      </c>
      <c r="N101" s="160"/>
      <c r="O101" s="160"/>
      <c r="P101" s="240"/>
    </row>
    <row r="102" spans="2:16">
      <c r="B102" s="239"/>
      <c r="C102" s="160" t="str">
        <f t="shared" si="23"/>
        <v>Res Psc appliance</v>
      </c>
      <c r="D102" s="174">
        <f t="shared" ref="D102:H102" si="37">D73</f>
        <v>22751.892000000003</v>
      </c>
      <c r="E102" s="175">
        <f t="shared" si="37"/>
        <v>0.41853725614949661</v>
      </c>
      <c r="F102" s="117">
        <f t="shared" si="37"/>
        <v>9522.5144498896843</v>
      </c>
      <c r="G102" s="177">
        <f t="shared" si="37"/>
        <v>0</v>
      </c>
      <c r="H102" s="177">
        <f t="shared" si="37"/>
        <v>44175</v>
      </c>
      <c r="I102" s="244">
        <f t="shared" si="25"/>
        <v>19933.8950498347</v>
      </c>
      <c r="J102" s="244">
        <f t="shared" si="26"/>
        <v>64108.895049834697</v>
      </c>
      <c r="K102" s="244">
        <f t="shared" si="27"/>
        <v>33735.15194480645</v>
      </c>
      <c r="L102" s="176">
        <f t="shared" si="28"/>
        <v>0.52621639974581713</v>
      </c>
      <c r="M102" s="244">
        <f t="shared" si="29"/>
        <v>-30373.743105028247</v>
      </c>
      <c r="N102" s="160"/>
      <c r="O102" s="160"/>
      <c r="P102" s="240"/>
    </row>
    <row r="103" spans="2:16">
      <c r="B103" s="239"/>
      <c r="C103" s="160"/>
      <c r="D103" s="160"/>
      <c r="E103" s="160"/>
      <c r="F103" s="160"/>
      <c r="G103" s="160"/>
      <c r="H103" s="160"/>
      <c r="I103" s="160"/>
      <c r="J103" s="160"/>
      <c r="K103" s="160"/>
      <c r="L103" s="160"/>
      <c r="M103" s="160"/>
      <c r="N103" s="160"/>
      <c r="O103" s="160"/>
      <c r="P103" s="240"/>
    </row>
    <row r="104" spans="2:16">
      <c r="B104" s="239"/>
      <c r="C104" s="160" t="s">
        <v>472</v>
      </c>
      <c r="D104" s="174">
        <f>SUM(D93:D102)</f>
        <v>807790.96334622847</v>
      </c>
      <c r="E104" s="160"/>
      <c r="F104" s="174">
        <f t="shared" ref="F104:K104" si="38">SUM(F93:F102)</f>
        <v>556934.02396961639</v>
      </c>
      <c r="G104" s="177">
        <f t="shared" si="38"/>
        <v>566203.29708154069</v>
      </c>
      <c r="H104" s="177">
        <f t="shared" si="38"/>
        <v>3000196.9199077063</v>
      </c>
      <c r="I104" s="177">
        <f t="shared" si="38"/>
        <v>1165854.2963535297</v>
      </c>
      <c r="J104" s="177">
        <f t="shared" si="38"/>
        <v>4166051.216261236</v>
      </c>
      <c r="K104" s="177">
        <f t="shared" si="38"/>
        <v>2892356.9844695847</v>
      </c>
      <c r="L104" s="176">
        <f t="shared" ref="L104" si="39">K104/J104</f>
        <v>0.69426822531127919</v>
      </c>
      <c r="M104" s="244">
        <f t="shared" ref="M104" si="40">K104-J104</f>
        <v>-1273694.2317916513</v>
      </c>
      <c r="N104" s="160"/>
      <c r="O104" s="160"/>
      <c r="P104" s="240"/>
    </row>
    <row r="105" spans="2:16">
      <c r="B105" s="239"/>
      <c r="C105" s="160"/>
      <c r="D105" s="160"/>
      <c r="E105" s="160"/>
      <c r="F105" s="160"/>
      <c r="G105" s="160"/>
      <c r="H105" s="160"/>
      <c r="I105" s="160"/>
      <c r="J105" s="160"/>
      <c r="K105" s="160"/>
      <c r="L105" s="160"/>
      <c r="M105" s="160"/>
      <c r="N105" s="160"/>
      <c r="O105" s="160"/>
      <c r="P105" s="240"/>
    </row>
    <row r="106" spans="2:16">
      <c r="B106" s="239"/>
      <c r="C106" s="160"/>
      <c r="D106" s="160"/>
      <c r="E106" s="160"/>
      <c r="F106" s="160"/>
      <c r="G106" s="160"/>
      <c r="H106" s="160"/>
      <c r="I106" s="160"/>
      <c r="J106" s="160"/>
      <c r="K106" s="160"/>
      <c r="L106" s="160"/>
      <c r="M106" s="160"/>
      <c r="N106" s="160"/>
      <c r="O106" s="160"/>
      <c r="P106" s="240"/>
    </row>
    <row r="107" spans="2:16">
      <c r="B107" s="239"/>
      <c r="C107" s="249"/>
      <c r="D107" s="250" t="s">
        <v>511</v>
      </c>
      <c r="E107" s="250" t="s">
        <v>509</v>
      </c>
      <c r="F107" s="160"/>
      <c r="G107" s="160"/>
      <c r="H107" s="160"/>
      <c r="I107" s="160"/>
      <c r="J107" s="160"/>
      <c r="K107" s="160"/>
      <c r="L107" s="160"/>
      <c r="M107" s="160"/>
      <c r="N107" s="160"/>
      <c r="O107" s="160"/>
      <c r="P107" s="240"/>
    </row>
    <row r="108" spans="2:16">
      <c r="B108" s="239"/>
      <c r="C108" s="249" t="s">
        <v>463</v>
      </c>
      <c r="D108" s="251">
        <f>L50</f>
        <v>1165854.2963535297</v>
      </c>
      <c r="E108" s="251">
        <f>I104</f>
        <v>1165854.2963535297</v>
      </c>
      <c r="F108" s="160"/>
      <c r="G108" s="160" t="s">
        <v>475</v>
      </c>
      <c r="H108" s="160"/>
      <c r="I108" s="160"/>
      <c r="J108" s="160"/>
      <c r="K108" s="160"/>
      <c r="L108" s="160"/>
      <c r="M108" s="160"/>
      <c r="N108" s="160"/>
      <c r="O108" s="160"/>
      <c r="P108" s="240"/>
    </row>
    <row r="109" spans="2:16">
      <c r="B109" s="239"/>
      <c r="C109" s="249" t="s">
        <v>483</v>
      </c>
      <c r="D109" s="252">
        <f>SUM(J37:J46)</f>
        <v>3138651.1951368321</v>
      </c>
      <c r="E109" s="253"/>
      <c r="F109" s="160"/>
      <c r="G109" s="160" t="s">
        <v>476</v>
      </c>
      <c r="H109" s="160"/>
      <c r="I109" s="160"/>
      <c r="J109" s="160"/>
      <c r="K109" s="160"/>
      <c r="L109" s="160"/>
      <c r="M109" s="160"/>
      <c r="N109" s="160"/>
      <c r="O109" s="160"/>
      <c r="P109" s="240"/>
    </row>
    <row r="110" spans="2:16" ht="15.75" thickBot="1">
      <c r="B110" s="239"/>
      <c r="C110" s="249" t="s">
        <v>510</v>
      </c>
      <c r="D110" s="257"/>
      <c r="E110" s="258">
        <f>H104</f>
        <v>3000196.9199077063</v>
      </c>
      <c r="F110" s="160"/>
      <c r="G110" s="160" t="s">
        <v>477</v>
      </c>
      <c r="H110" s="160"/>
      <c r="I110" s="160"/>
      <c r="J110" s="160"/>
      <c r="K110" s="160"/>
      <c r="L110" s="160"/>
      <c r="M110" s="160"/>
      <c r="N110" s="160"/>
      <c r="O110" s="160"/>
      <c r="P110" s="240"/>
    </row>
    <row r="111" spans="2:16" ht="15.75" thickTop="1">
      <c r="B111" s="239"/>
      <c r="C111" s="249" t="s">
        <v>473</v>
      </c>
      <c r="D111" s="251">
        <f>SUM(D108:D110)</f>
        <v>4304505.4914903622</v>
      </c>
      <c r="E111" s="251">
        <f>SUM(E108:E110)</f>
        <v>4166051.216261236</v>
      </c>
      <c r="F111" s="160"/>
      <c r="G111" s="160" t="s">
        <v>478</v>
      </c>
      <c r="H111" s="160"/>
      <c r="I111" s="160"/>
      <c r="J111" s="160"/>
      <c r="K111" s="160"/>
      <c r="L111" s="160"/>
      <c r="M111" s="160"/>
      <c r="N111" s="160"/>
      <c r="O111" s="160"/>
      <c r="P111" s="240"/>
    </row>
    <row r="112" spans="2:16">
      <c r="B112" s="239"/>
      <c r="C112" s="249"/>
      <c r="D112" s="249"/>
      <c r="E112" s="249"/>
      <c r="F112" s="160"/>
      <c r="G112" s="160" t="s">
        <v>479</v>
      </c>
      <c r="H112" s="160"/>
      <c r="I112" s="160"/>
      <c r="J112" s="160"/>
      <c r="K112" s="160"/>
      <c r="L112" s="160"/>
      <c r="M112" s="160"/>
      <c r="N112" s="160"/>
      <c r="O112" s="160"/>
      <c r="P112" s="240"/>
    </row>
    <row r="113" spans="2:16">
      <c r="B113" s="239"/>
      <c r="C113" s="249" t="s">
        <v>484</v>
      </c>
      <c r="D113" s="254">
        <f>E113</f>
        <v>2892356.9844695847</v>
      </c>
      <c r="E113" s="251">
        <f>K104</f>
        <v>2892356.9844695847</v>
      </c>
      <c r="F113" s="160"/>
      <c r="G113" s="248" t="s">
        <v>481</v>
      </c>
      <c r="H113" s="160"/>
      <c r="I113" s="160"/>
      <c r="J113" s="160"/>
      <c r="K113" s="160"/>
      <c r="L113" s="160"/>
      <c r="M113" s="160"/>
      <c r="N113" s="160"/>
      <c r="O113" s="160"/>
      <c r="P113" s="240"/>
    </row>
    <row r="114" spans="2:16" ht="15.75" thickBot="1">
      <c r="B114" s="239"/>
      <c r="C114" s="249" t="s">
        <v>485</v>
      </c>
      <c r="D114" s="259">
        <f>I50-E113</f>
        <v>24711.163269452751</v>
      </c>
      <c r="E114" s="257"/>
      <c r="F114" s="160"/>
      <c r="G114" s="248" t="s">
        <v>482</v>
      </c>
      <c r="H114" s="160"/>
      <c r="I114" s="160"/>
      <c r="J114" s="160"/>
      <c r="K114" s="160"/>
      <c r="L114" s="160"/>
      <c r="M114" s="160"/>
      <c r="N114" s="160"/>
      <c r="O114" s="160"/>
      <c r="P114" s="240"/>
    </row>
    <row r="115" spans="2:16" ht="15.75" thickTop="1">
      <c r="B115" s="239"/>
      <c r="C115" s="249" t="s">
        <v>474</v>
      </c>
      <c r="D115" s="251">
        <f>SUM(D113:D114)</f>
        <v>2917068.1477390374</v>
      </c>
      <c r="E115" s="251">
        <f>SUM(E113:E114)</f>
        <v>2892356.9844695847</v>
      </c>
      <c r="F115" s="160"/>
      <c r="G115" s="160"/>
      <c r="H115" s="160"/>
      <c r="I115" s="160"/>
      <c r="J115" s="160"/>
      <c r="K115" s="160"/>
      <c r="L115" s="160"/>
      <c r="M115" s="160"/>
      <c r="N115" s="160"/>
      <c r="O115" s="160"/>
      <c r="P115" s="240"/>
    </row>
    <row r="116" spans="2:16">
      <c r="B116" s="239"/>
      <c r="C116" s="249"/>
      <c r="D116" s="249"/>
      <c r="E116" s="249"/>
      <c r="F116" s="160"/>
      <c r="G116" s="160"/>
      <c r="H116" s="160"/>
      <c r="I116" s="160"/>
      <c r="J116" s="160"/>
      <c r="K116" s="160"/>
      <c r="L116" s="160"/>
      <c r="M116" s="160"/>
      <c r="N116" s="160"/>
      <c r="O116" s="160"/>
      <c r="P116" s="240"/>
    </row>
    <row r="117" spans="2:16" ht="15.75" thickBot="1">
      <c r="B117" s="245"/>
      <c r="C117" s="255" t="s">
        <v>480</v>
      </c>
      <c r="D117" s="256">
        <f>D115/D111</f>
        <v>0.67767787809908264</v>
      </c>
      <c r="E117" s="256">
        <f>E115/E111</f>
        <v>0.69426822531127919</v>
      </c>
      <c r="F117" s="246"/>
      <c r="G117" s="246"/>
      <c r="H117" s="246"/>
      <c r="I117" s="246"/>
      <c r="J117" s="246"/>
      <c r="K117" s="246"/>
      <c r="L117" s="246"/>
      <c r="M117" s="246"/>
      <c r="N117" s="246"/>
      <c r="O117" s="246"/>
      <c r="P117" s="247"/>
    </row>
    <row r="118" spans="2:16" ht="15.75" thickTop="1"/>
  </sheetData>
  <mergeCells count="1">
    <mergeCell ref="AF17:AI18"/>
  </mergeCells>
  <pageMargins left="0.23" right="0.17" top="0.31" bottom="0.31" header="0.3" footer="0.3"/>
  <pageSetup scale="60" orientation="landscape" r:id="rId1"/>
</worksheet>
</file>

<file path=xl/worksheets/sheet6.xml><?xml version="1.0" encoding="utf-8"?>
<worksheet xmlns="http://schemas.openxmlformats.org/spreadsheetml/2006/main" xmlns:r="http://schemas.openxmlformats.org/officeDocument/2006/relationships">
  <sheetPr>
    <tabColor theme="6" tint="-0.249977111117893"/>
  </sheetPr>
  <dimension ref="A1:CB114"/>
  <sheetViews>
    <sheetView workbookViewId="0">
      <selection activeCell="CG23" sqref="CG23"/>
    </sheetView>
  </sheetViews>
  <sheetFormatPr defaultRowHeight="12.75"/>
  <cols>
    <col min="1" max="1" width="9.140625" style="2"/>
    <col min="2" max="2" width="10.5703125" style="2" customWidth="1"/>
    <col min="3" max="60" width="9.140625" style="2"/>
    <col min="61" max="72" width="11" style="2" customWidth="1"/>
    <col min="73" max="16384" width="9.140625" style="2"/>
  </cols>
  <sheetData>
    <row r="1" spans="1:80" ht="14.25" thickTop="1" thickBot="1">
      <c r="G1" s="2">
        <v>1</v>
      </c>
      <c r="H1" s="2">
        <v>2</v>
      </c>
      <c r="I1" s="2">
        <v>3</v>
      </c>
      <c r="J1" s="2">
        <v>4</v>
      </c>
      <c r="K1" s="2">
        <v>5</v>
      </c>
      <c r="L1" s="2">
        <v>6</v>
      </c>
      <c r="M1" s="2">
        <v>7</v>
      </c>
      <c r="N1" s="2">
        <v>8</v>
      </c>
      <c r="O1" s="2">
        <v>9</v>
      </c>
      <c r="P1" s="2">
        <v>10</v>
      </c>
      <c r="BH1" s="261"/>
      <c r="BI1" s="262"/>
      <c r="BJ1" s="262"/>
      <c r="BK1" s="263">
        <f>Calculations!C4</f>
        <v>6.8000000000000005E-2</v>
      </c>
      <c r="BL1" s="262" t="s">
        <v>499</v>
      </c>
      <c r="BM1" s="262"/>
      <c r="BN1" s="262"/>
      <c r="BO1" s="262"/>
      <c r="BP1" s="262"/>
      <c r="BQ1" s="262"/>
      <c r="BR1" s="262"/>
      <c r="BS1" s="262"/>
      <c r="BT1" s="264"/>
    </row>
    <row r="2" spans="1:80" ht="13.5" thickBot="1">
      <c r="D2" s="232" t="s">
        <v>439</v>
      </c>
      <c r="E2" s="231">
        <v>1.4999999999999999E-2</v>
      </c>
      <c r="G2" s="179" t="s">
        <v>385</v>
      </c>
      <c r="H2" s="180" t="s">
        <v>417</v>
      </c>
      <c r="I2" s="180" t="str">
        <f>H2</f>
        <v>tom</v>
      </c>
      <c r="J2" s="180">
        <v>6.8000000000000005E-2</v>
      </c>
      <c r="K2" s="180"/>
      <c r="L2" s="180"/>
      <c r="M2" s="180"/>
      <c r="N2" s="180"/>
      <c r="O2" s="180"/>
      <c r="P2" s="181"/>
      <c r="R2" s="179" t="s">
        <v>384</v>
      </c>
      <c r="S2" s="180"/>
      <c r="T2" s="180"/>
      <c r="U2" s="180"/>
      <c r="V2" s="180"/>
      <c r="W2" s="180"/>
      <c r="X2" s="180"/>
      <c r="Y2" s="180"/>
      <c r="Z2" s="181"/>
      <c r="AC2" s="179" t="s">
        <v>386</v>
      </c>
      <c r="AD2" s="180"/>
      <c r="AE2" s="180"/>
      <c r="AF2" s="180">
        <f>J2</f>
        <v>6.8000000000000005E-2</v>
      </c>
      <c r="AG2" s="180"/>
      <c r="AH2" s="180"/>
      <c r="AI2" s="181"/>
      <c r="AK2" s="179" t="s">
        <v>387</v>
      </c>
      <c r="AL2" s="180"/>
      <c r="AM2" s="180"/>
      <c r="AN2" s="180"/>
      <c r="AO2" s="180"/>
      <c r="AP2" s="180"/>
      <c r="AQ2" s="181"/>
      <c r="BH2" s="265"/>
      <c r="BI2" s="266"/>
      <c r="BJ2" s="266"/>
      <c r="BK2" s="267">
        <v>1.4999999999999999E-2</v>
      </c>
      <c r="BL2" s="266" t="s">
        <v>439</v>
      </c>
      <c r="BM2" s="266"/>
      <c r="BN2" s="266"/>
      <c r="BO2" s="266"/>
      <c r="BP2" s="266"/>
      <c r="BQ2" s="266"/>
      <c r="BR2" s="266"/>
      <c r="BS2" s="266"/>
      <c r="BT2" s="268"/>
      <c r="BW2" s="2" t="s">
        <v>504</v>
      </c>
    </row>
    <row r="3" spans="1:80" s="3" customFormat="1" ht="102.75" thickTop="1">
      <c r="B3" s="3" t="s">
        <v>461</v>
      </c>
      <c r="C3" s="3" t="s">
        <v>422</v>
      </c>
      <c r="D3" s="3" t="s">
        <v>423</v>
      </c>
      <c r="E3" s="3" t="s">
        <v>438</v>
      </c>
      <c r="G3" s="182"/>
      <c r="H3" s="183" t="s">
        <v>440</v>
      </c>
      <c r="I3" s="183" t="s">
        <v>441</v>
      </c>
      <c r="J3" s="183" t="s">
        <v>1</v>
      </c>
      <c r="K3" s="183" t="s">
        <v>2</v>
      </c>
      <c r="L3" s="183" t="s">
        <v>3</v>
      </c>
      <c r="M3" s="183" t="s">
        <v>4</v>
      </c>
      <c r="N3" s="183" t="s">
        <v>442</v>
      </c>
      <c r="O3" s="183" t="s">
        <v>443</v>
      </c>
      <c r="P3" s="184" t="s">
        <v>5</v>
      </c>
      <c r="R3" s="182"/>
      <c r="S3" s="183" t="s">
        <v>444</v>
      </c>
      <c r="T3" s="183" t="s">
        <v>445</v>
      </c>
      <c r="U3" s="183" t="s">
        <v>446</v>
      </c>
      <c r="V3" s="183" t="s">
        <v>447</v>
      </c>
      <c r="W3" s="183" t="s">
        <v>448</v>
      </c>
      <c r="X3" s="183" t="s">
        <v>449</v>
      </c>
      <c r="Y3" s="183" t="s">
        <v>450</v>
      </c>
      <c r="Z3" s="184" t="s">
        <v>451</v>
      </c>
      <c r="AC3" s="182"/>
      <c r="AD3" s="183" t="s">
        <v>444</v>
      </c>
      <c r="AE3" s="183" t="s">
        <v>452</v>
      </c>
      <c r="AF3" s="183" t="s">
        <v>453</v>
      </c>
      <c r="AG3" s="183" t="s">
        <v>454</v>
      </c>
      <c r="AH3" s="183" t="s">
        <v>455</v>
      </c>
      <c r="AI3" s="184" t="s">
        <v>456</v>
      </c>
      <c r="AK3" s="182"/>
      <c r="AL3" s="183" t="s">
        <v>446</v>
      </c>
      <c r="AM3" s="183" t="s">
        <v>447</v>
      </c>
      <c r="AN3" s="183" t="s">
        <v>457</v>
      </c>
      <c r="AO3" s="183" t="s">
        <v>458</v>
      </c>
      <c r="AP3" s="183" t="s">
        <v>459</v>
      </c>
      <c r="AQ3" s="184" t="s">
        <v>460</v>
      </c>
      <c r="BH3" s="269" t="s">
        <v>498</v>
      </c>
      <c r="BI3" s="270" t="s">
        <v>487</v>
      </c>
      <c r="BJ3" s="270" t="s">
        <v>486</v>
      </c>
      <c r="BK3" s="270" t="s">
        <v>488</v>
      </c>
      <c r="BL3" s="270" t="s">
        <v>489</v>
      </c>
      <c r="BM3" s="270" t="s">
        <v>492</v>
      </c>
      <c r="BN3" s="270" t="s">
        <v>493</v>
      </c>
      <c r="BO3" s="270" t="s">
        <v>490</v>
      </c>
      <c r="BP3" s="270" t="s">
        <v>491</v>
      </c>
      <c r="BQ3" s="270" t="s">
        <v>494</v>
      </c>
      <c r="BR3" s="270" t="s">
        <v>495</v>
      </c>
      <c r="BS3" s="270" t="s">
        <v>496</v>
      </c>
      <c r="BT3" s="271" t="s">
        <v>497</v>
      </c>
      <c r="BW3" s="287" t="s">
        <v>0</v>
      </c>
      <c r="BX3" s="288" t="s">
        <v>501</v>
      </c>
      <c r="BY3" s="289" t="s">
        <v>500</v>
      </c>
      <c r="CA3" s="3" t="s">
        <v>502</v>
      </c>
      <c r="CB3" s="3" t="s">
        <v>503</v>
      </c>
    </row>
    <row r="4" spans="1:80">
      <c r="A4" s="2">
        <v>1</v>
      </c>
      <c r="B4" s="2">
        <f>H$108</f>
        <v>9.1219999999999999E-3</v>
      </c>
      <c r="C4" s="2">
        <f t="shared" ref="C4:C35" si="0">B4/((1+J$2)^A4)</f>
        <v>8.5411985018726579E-3</v>
      </c>
      <c r="D4" s="2">
        <f>SUM(C$4:C4)</f>
        <v>8.5411985018726579E-3</v>
      </c>
      <c r="E4" s="260">
        <f>(1+E$2)^A4</f>
        <v>1.0149999999999999</v>
      </c>
      <c r="G4" s="185">
        <v>1</v>
      </c>
      <c r="H4" s="201">
        <f>IF(H$2="kelly",S4,IF(H$2="tom",U4,0))*E4</f>
        <v>0.27288776615245786</v>
      </c>
      <c r="I4" s="202">
        <f>IF(I$2="kelly",T4,IF(I$2="tom",V4,0))*E4</f>
        <v>0.28900200977215645</v>
      </c>
      <c r="J4" s="186">
        <f>H4/((1+$J$2)^$G4)</f>
        <v>0.25551288965585939</v>
      </c>
      <c r="K4" s="186">
        <f>I4/((1+$J$2)^$G4)</f>
        <v>0.27060113274546482</v>
      </c>
      <c r="L4" s="186">
        <f>SUM(J$4:J4)</f>
        <v>0.25551288965585939</v>
      </c>
      <c r="M4" s="186">
        <f>SUM(K$4:K4)</f>
        <v>0.27060113274546482</v>
      </c>
      <c r="N4" s="203">
        <f>1.1*(L4+D4)</f>
        <v>0.29045949697350532</v>
      </c>
      <c r="O4" s="203">
        <f>1.1*(M4+D4)</f>
        <v>0.30705656437207129</v>
      </c>
      <c r="P4" s="228">
        <v>5.8568222084360799E-2</v>
      </c>
      <c r="R4" s="185">
        <v>1</v>
      </c>
      <c r="S4" s="186">
        <v>0.27778089925891097</v>
      </c>
      <c r="T4" s="186">
        <v>0.30581407395840188</v>
      </c>
      <c r="U4" s="186">
        <v>0.26885494202212601</v>
      </c>
      <c r="V4" s="186">
        <v>0.28473104411049899</v>
      </c>
      <c r="W4" s="186"/>
      <c r="X4" s="186"/>
      <c r="Y4" s="186"/>
      <c r="Z4" s="187"/>
      <c r="AC4" s="185">
        <v>1</v>
      </c>
      <c r="AD4" s="186">
        <f>S4</f>
        <v>0.27778089925891097</v>
      </c>
      <c r="AE4" s="186">
        <f>T4</f>
        <v>0.30581407395840188</v>
      </c>
      <c r="AF4" s="186">
        <f t="shared" ref="AF4:AF23" si="1">AD4/((1+$AF$2)^$R4)</f>
        <v>0.2600944749615271</v>
      </c>
      <c r="AG4" s="186">
        <f t="shared" ref="AG4:AG23" si="2">AE4/((1+$AF$2)^$R4)</f>
        <v>0.28634276587865343</v>
      </c>
      <c r="AH4" s="186">
        <f>SUM(AF$4:AF4)</f>
        <v>0.2600944749615271</v>
      </c>
      <c r="AI4" s="187">
        <f>SUM(AG$4:AG4)</f>
        <v>0.28634276587865343</v>
      </c>
      <c r="AK4" s="185">
        <v>1</v>
      </c>
      <c r="AL4" s="186">
        <f>U4</f>
        <v>0.26885494202212601</v>
      </c>
      <c r="AM4" s="186">
        <f>V4</f>
        <v>0.28473104411049899</v>
      </c>
      <c r="AN4" s="186">
        <f>AL4/((1+$AF$2)^$R4)</f>
        <v>0.25173683709936889</v>
      </c>
      <c r="AO4" s="186">
        <f>AM4/((1+$AF$2)^$R4)</f>
        <v>0.26660210122705896</v>
      </c>
      <c r="AP4" s="186">
        <f>SUM(AN$4:AN4)</f>
        <v>0.25173683709936889</v>
      </c>
      <c r="AQ4" s="187">
        <f>SUM(AO$4:AO4)</f>
        <v>0.26660210122705896</v>
      </c>
      <c r="AR4" s="167"/>
      <c r="BH4" s="265">
        <f>G4</f>
        <v>1</v>
      </c>
      <c r="BI4" s="272">
        <f>U4</f>
        <v>0.26885494202212601</v>
      </c>
      <c r="BJ4" s="272">
        <f>V4</f>
        <v>0.28473104411049899</v>
      </c>
      <c r="BK4" s="272">
        <f t="shared" ref="BK4:BK23" si="3">(BI4*((1+$BK$2)^$BH4))</f>
        <v>0.27288776615245786</v>
      </c>
      <c r="BL4" s="272">
        <f t="shared" ref="BL4:BL23" si="4">(BJ4*((1+$BK$2)^$BH4))</f>
        <v>0.28900200977215645</v>
      </c>
      <c r="BM4" s="272">
        <f>NPV($BK$1,BK$4:BK4)</f>
        <v>0.25551288965585939</v>
      </c>
      <c r="BN4" s="272">
        <f>NPV($BK$1,BL$4:BL4)</f>
        <v>0.27060113274546482</v>
      </c>
      <c r="BO4" s="272">
        <f>B4</f>
        <v>9.1219999999999999E-3</v>
      </c>
      <c r="BP4" s="272">
        <f>NPV(BK$1,BO$4:BO4)</f>
        <v>8.5411985018726579E-3</v>
      </c>
      <c r="BQ4" s="272">
        <f>BM4+BP4</f>
        <v>0.26405408815773207</v>
      </c>
      <c r="BR4" s="273">
        <f>BN4+BP4</f>
        <v>0.27914233124733751</v>
      </c>
      <c r="BS4" s="272">
        <f>1.1*BQ4</f>
        <v>0.29045949697350532</v>
      </c>
      <c r="BT4" s="274">
        <f>1.1*BR4</f>
        <v>0.30705656437207129</v>
      </c>
      <c r="BW4" s="290">
        <v>1</v>
      </c>
      <c r="BX4" s="291">
        <f>'[4]ACs etc'!P4</f>
        <v>0.70636499316324031</v>
      </c>
      <c r="BY4" s="292">
        <f>'[4]ACs etc'!O4</f>
        <v>0.77765014382614939</v>
      </c>
      <c r="CA4" s="167">
        <f>1-(BS4/BX4)</f>
        <v>0.58879686877916892</v>
      </c>
      <c r="CB4" s="167">
        <f>1-(BT4/BY4)</f>
        <v>0.60514819316909108</v>
      </c>
    </row>
    <row r="5" spans="1:80">
      <c r="A5" s="2">
        <v>2</v>
      </c>
      <c r="B5" s="2">
        <f t="shared" ref="B5:B53" si="5">H$108</f>
        <v>9.1219999999999999E-3</v>
      </c>
      <c r="C5" s="2">
        <f t="shared" si="0"/>
        <v>7.9973768744126018E-3</v>
      </c>
      <c r="D5" s="2">
        <f>SUM(C$4:C5)</f>
        <v>1.653857537628526E-2</v>
      </c>
      <c r="E5" s="260">
        <f t="shared" ref="E5:E53" si="6">(1+E$2)^A5</f>
        <v>1.0302249999999997</v>
      </c>
      <c r="G5" s="185">
        <v>2</v>
      </c>
      <c r="H5" s="201">
        <f t="shared" ref="H5:H23" si="7">IF(H$2="kelly",S5,IF(H$2="tom",U5,0))*E5</f>
        <v>0.36640022452825516</v>
      </c>
      <c r="I5" s="202">
        <f t="shared" ref="I5:I23" si="8">IF(I$2="kelly",T5,IF(I$2="tom",V5,0))*E5</f>
        <v>0.36421083860460873</v>
      </c>
      <c r="J5" s="186">
        <f t="shared" ref="J5:J53" si="9">H5/((1+$J$2)^$G5)</f>
        <v>0.32122787573140238</v>
      </c>
      <c r="K5" s="186">
        <f t="shared" ref="K5:K53" si="10">I5/((1+$J$2)^$G5)</f>
        <v>0.31930841241689523</v>
      </c>
      <c r="L5" s="186">
        <f>SUM(J$4:J5)</f>
        <v>0.57674076538726182</v>
      </c>
      <c r="M5" s="186">
        <f>SUM(K$4:K5)</f>
        <v>0.58990954516236005</v>
      </c>
      <c r="N5" s="203">
        <f t="shared" ref="N5:N53" si="11">1.1*(L5+D5)</f>
        <v>0.65260727483990177</v>
      </c>
      <c r="O5" s="203">
        <f t="shared" ref="O5:O53" si="12">1.1*(M5+D5)</f>
        <v>0.6670929325925099</v>
      </c>
      <c r="P5" s="228">
        <v>0.11161299615022179</v>
      </c>
      <c r="R5" s="185">
        <v>2</v>
      </c>
      <c r="S5" s="186">
        <v>0.33974594148870996</v>
      </c>
      <c r="T5" s="186">
        <v>0.37817452203582869</v>
      </c>
      <c r="U5" s="186">
        <v>0.35565068264530103</v>
      </c>
      <c r="V5" s="186">
        <v>0.35352552947619098</v>
      </c>
      <c r="W5" s="186"/>
      <c r="X5" s="186"/>
      <c r="Y5" s="186"/>
      <c r="Z5" s="187"/>
      <c r="AC5" s="185">
        <v>2</v>
      </c>
      <c r="AD5" s="186">
        <f t="shared" ref="AD5:AE23" si="13">S5</f>
        <v>0.33974594148870996</v>
      </c>
      <c r="AE5" s="186">
        <f t="shared" si="13"/>
        <v>0.37817452203582869</v>
      </c>
      <c r="AF5" s="186">
        <f t="shared" si="1"/>
        <v>0.29785971668903155</v>
      </c>
      <c r="AG5" s="186">
        <f t="shared" si="2"/>
        <v>0.33155055656888566</v>
      </c>
      <c r="AH5" s="186">
        <f>SUM(AF$4:AF5)</f>
        <v>0.5579541916505586</v>
      </c>
      <c r="AI5" s="187">
        <f>SUM(AG$4:AG5)</f>
        <v>0.61789332244753914</v>
      </c>
      <c r="AK5" s="185">
        <v>2</v>
      </c>
      <c r="AL5" s="186">
        <f t="shared" ref="AL5:AL23" si="14">U5</f>
        <v>0.35565068264530103</v>
      </c>
      <c r="AM5" s="186">
        <f t="shared" ref="AM5:AM23" si="15">V5</f>
        <v>0.35352552947619098</v>
      </c>
      <c r="AN5" s="186">
        <f t="shared" ref="AN5:AN53" si="16">AL5/((1+$AF$2)^$R5)</f>
        <v>0.31180361157164938</v>
      </c>
      <c r="AO5" s="186">
        <f t="shared" ref="AO5:AO53" si="17">AM5/((1+$AF$2)^$R5)</f>
        <v>0.30994046195432584</v>
      </c>
      <c r="AP5" s="186">
        <f>SUM(AN$4:AN5)</f>
        <v>0.56354044867101827</v>
      </c>
      <c r="AQ5" s="187">
        <f>SUM(AO$4:AO5)</f>
        <v>0.57654256318138475</v>
      </c>
      <c r="AR5" s="167"/>
      <c r="BH5" s="265">
        <f t="shared" ref="BH5:BH23" si="18">G5</f>
        <v>2</v>
      </c>
      <c r="BI5" s="272">
        <f t="shared" ref="BI5:BI23" si="19">U5</f>
        <v>0.35565068264530103</v>
      </c>
      <c r="BJ5" s="272">
        <f t="shared" ref="BJ5:BJ23" si="20">V5</f>
        <v>0.35352552947619098</v>
      </c>
      <c r="BK5" s="272">
        <f t="shared" si="3"/>
        <v>0.36640022452825516</v>
      </c>
      <c r="BL5" s="272">
        <f t="shared" si="4"/>
        <v>0.36421083860460873</v>
      </c>
      <c r="BM5" s="272">
        <f>NPV($BK$1,BK$4:BK5)</f>
        <v>0.57674076538726182</v>
      </c>
      <c r="BN5" s="272">
        <f>NPV($BK$1,BL$4:BL5)</f>
        <v>0.58990954516236005</v>
      </c>
      <c r="BO5" s="272">
        <f t="shared" ref="BO5:BO48" si="21">B5</f>
        <v>9.1219999999999999E-3</v>
      </c>
      <c r="BP5" s="272">
        <f>NPV(BK$1,BO$4:BO5)</f>
        <v>1.653857537628526E-2</v>
      </c>
      <c r="BQ5" s="272">
        <f t="shared" ref="BQ5:BQ23" si="22">BM5+BP5</f>
        <v>0.59327934076354705</v>
      </c>
      <c r="BR5" s="273">
        <f t="shared" ref="BR5:BR23" si="23">BN5+BP5</f>
        <v>0.60644812053864527</v>
      </c>
      <c r="BS5" s="272">
        <f t="shared" ref="BS5:BS23" si="24">1.1*BQ5</f>
        <v>0.65260727483990177</v>
      </c>
      <c r="BT5" s="274">
        <f t="shared" ref="BT5:BT23" si="25">1.1*BR5</f>
        <v>0.6670929325925099</v>
      </c>
      <c r="BW5" s="290">
        <v>2</v>
      </c>
      <c r="BX5" s="291">
        <f>'[4]ACs etc'!P5</f>
        <v>1.3276722533761065</v>
      </c>
      <c r="BY5" s="292">
        <f>'[4]ACs etc'!O5</f>
        <v>1.477844938016502</v>
      </c>
      <c r="CA5" s="167">
        <f t="shared" ref="CA5:CA23" si="26">1-(BS5/BX5)</f>
        <v>0.50845754802783438</v>
      </c>
      <c r="CB5" s="167">
        <f t="shared" ref="CB5:CB23" si="27">1-(BT5/BY5)</f>
        <v>0.54860424430735444</v>
      </c>
    </row>
    <row r="6" spans="1:80">
      <c r="A6" s="2">
        <v>3</v>
      </c>
      <c r="B6" s="2">
        <f t="shared" si="5"/>
        <v>9.1219999999999999E-3</v>
      </c>
      <c r="C6" s="2">
        <f t="shared" si="0"/>
        <v>7.4881805940192891E-3</v>
      </c>
      <c r="D6" s="2">
        <f>SUM(C$4:C6)</f>
        <v>2.4026755970304549E-2</v>
      </c>
      <c r="E6" s="260">
        <f t="shared" si="6"/>
        <v>1.0456783749999996</v>
      </c>
      <c r="G6" s="185">
        <v>3</v>
      </c>
      <c r="H6" s="201">
        <f t="shared" si="7"/>
        <v>0.40271467186393006</v>
      </c>
      <c r="I6" s="202">
        <f t="shared" si="8"/>
        <v>0.4187179544904871</v>
      </c>
      <c r="J6" s="186">
        <f t="shared" si="9"/>
        <v>0.33058541885313825</v>
      </c>
      <c r="K6" s="186">
        <f t="shared" si="10"/>
        <v>0.34372239214899336</v>
      </c>
      <c r="L6" s="186">
        <f>SUM(J$4:J6)</f>
        <v>0.90732618424040012</v>
      </c>
      <c r="M6" s="186">
        <f>SUM(K$4:K6)</f>
        <v>0.93363193731135341</v>
      </c>
      <c r="N6" s="203">
        <f t="shared" si="11"/>
        <v>1.0244882342317752</v>
      </c>
      <c r="O6" s="203">
        <f t="shared" si="12"/>
        <v>1.0534245626098238</v>
      </c>
      <c r="P6" s="228">
        <v>0.16122670720831397</v>
      </c>
      <c r="R6" s="185">
        <v>3</v>
      </c>
      <c r="S6" s="186">
        <v>0.36565765374327397</v>
      </c>
      <c r="T6" s="186">
        <v>0.40728122648142978</v>
      </c>
      <c r="U6" s="186">
        <v>0.38512288433231701</v>
      </c>
      <c r="V6" s="186">
        <v>0.40042709546373401</v>
      </c>
      <c r="W6" s="186"/>
      <c r="X6" s="186"/>
      <c r="Y6" s="186"/>
      <c r="Z6" s="187"/>
      <c r="AC6" s="185">
        <v>3</v>
      </c>
      <c r="AD6" s="186">
        <f t="shared" si="13"/>
        <v>0.36565765374327397</v>
      </c>
      <c r="AE6" s="186">
        <f t="shared" si="13"/>
        <v>0.40728122648142978</v>
      </c>
      <c r="AF6" s="186">
        <f t="shared" si="1"/>
        <v>0.30016559381879071</v>
      </c>
      <c r="AG6" s="186">
        <f t="shared" si="2"/>
        <v>0.33433406889351214</v>
      </c>
      <c r="AH6" s="186">
        <f>SUM(AF$4:AF6)</f>
        <v>0.85811978546934931</v>
      </c>
      <c r="AI6" s="187">
        <f>SUM(AG$4:AG6)</f>
        <v>0.95222739134105128</v>
      </c>
      <c r="AK6" s="185">
        <v>3</v>
      </c>
      <c r="AL6" s="186">
        <f t="shared" si="14"/>
        <v>0.38512288433231701</v>
      </c>
      <c r="AM6" s="186">
        <f t="shared" si="15"/>
        <v>0.40042709546373401</v>
      </c>
      <c r="AN6" s="186">
        <f t="shared" si="16"/>
        <v>0.31614445393225077</v>
      </c>
      <c r="AO6" s="186">
        <f t="shared" si="17"/>
        <v>0.32870756474139906</v>
      </c>
      <c r="AP6" s="186">
        <f>SUM(AN$4:AN6)</f>
        <v>0.87968490260326904</v>
      </c>
      <c r="AQ6" s="187">
        <f>SUM(AO$4:AO6)</f>
        <v>0.90525012792278381</v>
      </c>
      <c r="AR6" s="167"/>
      <c r="BH6" s="265">
        <f t="shared" si="18"/>
        <v>3</v>
      </c>
      <c r="BI6" s="272">
        <f t="shared" si="19"/>
        <v>0.38512288433231701</v>
      </c>
      <c r="BJ6" s="272">
        <f t="shared" si="20"/>
        <v>0.40042709546373401</v>
      </c>
      <c r="BK6" s="272">
        <f t="shared" si="3"/>
        <v>0.40271467186393006</v>
      </c>
      <c r="BL6" s="272">
        <f t="shared" si="4"/>
        <v>0.4187179544904871</v>
      </c>
      <c r="BM6" s="272">
        <f>NPV($BK$1,BK$4:BK6)</f>
        <v>0.90732618424040001</v>
      </c>
      <c r="BN6" s="272">
        <f>NPV($BK$1,BL$4:BL6)</f>
        <v>0.93363193731135341</v>
      </c>
      <c r="BO6" s="272">
        <f t="shared" si="21"/>
        <v>9.1219999999999999E-3</v>
      </c>
      <c r="BP6" s="272">
        <f>NPV(BK$1,BO$4:BO6)</f>
        <v>2.4026755970304549E-2</v>
      </c>
      <c r="BQ6" s="272">
        <f t="shared" si="22"/>
        <v>0.93135294021070458</v>
      </c>
      <c r="BR6" s="273">
        <f t="shared" si="23"/>
        <v>0.95765869328165798</v>
      </c>
      <c r="BS6" s="272">
        <f t="shared" si="24"/>
        <v>1.0244882342317752</v>
      </c>
      <c r="BT6" s="274">
        <f t="shared" si="25"/>
        <v>1.0534245626098238</v>
      </c>
      <c r="BW6" s="290">
        <v>3</v>
      </c>
      <c r="BX6" s="291">
        <f>'[4]ACs etc'!P6</f>
        <v>1.8726209111571632</v>
      </c>
      <c r="BY6" s="292">
        <f>'[4]ACs etc'!O6</f>
        <v>2.0857852519240234</v>
      </c>
      <c r="CA6" s="167">
        <f t="shared" si="26"/>
        <v>0.45291210403139992</v>
      </c>
      <c r="CB6" s="167">
        <f t="shared" si="27"/>
        <v>0.49495061313809896</v>
      </c>
    </row>
    <row r="7" spans="1:80">
      <c r="A7" s="2">
        <v>4</v>
      </c>
      <c r="B7" s="2">
        <f t="shared" si="5"/>
        <v>9.1219999999999999E-3</v>
      </c>
      <c r="C7" s="2">
        <f t="shared" si="0"/>
        <v>7.0114050505798581E-3</v>
      </c>
      <c r="D7" s="2">
        <f>SUM(C$4:C7)</f>
        <v>3.1038161020884407E-2</v>
      </c>
      <c r="E7" s="260">
        <f t="shared" si="6"/>
        <v>1.0613635506249994</v>
      </c>
      <c r="G7" s="185">
        <v>4</v>
      </c>
      <c r="H7" s="201">
        <f t="shared" si="7"/>
        <v>0.42653049066768212</v>
      </c>
      <c r="I7" s="202">
        <f t="shared" si="8"/>
        <v>0.44036324167962038</v>
      </c>
      <c r="J7" s="186">
        <f t="shared" si="9"/>
        <v>0.32784236313239329</v>
      </c>
      <c r="K7" s="186">
        <f t="shared" si="10"/>
        <v>0.33847457320787205</v>
      </c>
      <c r="L7" s="186">
        <f>SUM(J$4:J7)</f>
        <v>1.2351685473727934</v>
      </c>
      <c r="M7" s="186">
        <f>SUM(K$4:K7)</f>
        <v>1.2721065105192255</v>
      </c>
      <c r="N7" s="203">
        <f t="shared" si="11"/>
        <v>1.3928273792330454</v>
      </c>
      <c r="O7" s="203">
        <f t="shared" si="12"/>
        <v>1.4334591386941209</v>
      </c>
      <c r="P7" s="228">
        <v>0.20365143963330828</v>
      </c>
      <c r="R7" s="185">
        <v>4</v>
      </c>
      <c r="S7" s="186">
        <v>0.37500571185595399</v>
      </c>
      <c r="T7" s="186">
        <v>0.41649038571808106</v>
      </c>
      <c r="U7" s="186">
        <v>0.40187030204354901</v>
      </c>
      <c r="V7" s="186">
        <v>0.41490330190847996</v>
      </c>
      <c r="W7" s="186"/>
      <c r="X7" s="186"/>
      <c r="Y7" s="186"/>
      <c r="Z7" s="187"/>
      <c r="AC7" s="185">
        <v>4</v>
      </c>
      <c r="AD7" s="186">
        <f t="shared" si="13"/>
        <v>0.37500571185595399</v>
      </c>
      <c r="AE7" s="186">
        <f t="shared" si="13"/>
        <v>0.41649038571808106</v>
      </c>
      <c r="AF7" s="186">
        <f t="shared" si="1"/>
        <v>0.28823908595737019</v>
      </c>
      <c r="AG7" s="186">
        <f t="shared" si="2"/>
        <v>0.32012527887981879</v>
      </c>
      <c r="AH7" s="186">
        <f>SUM(AF$4:AF7)</f>
        <v>1.1463588714267194</v>
      </c>
      <c r="AI7" s="187">
        <f>SUM(AG$4:AG7)</f>
        <v>1.2723526702208701</v>
      </c>
      <c r="AK7" s="185">
        <v>4</v>
      </c>
      <c r="AL7" s="186">
        <f t="shared" si="14"/>
        <v>0.40187030204354901</v>
      </c>
      <c r="AM7" s="186">
        <f t="shared" si="15"/>
        <v>0.41490330190847996</v>
      </c>
      <c r="AN7" s="186">
        <f t="shared" si="16"/>
        <v>0.30888790456327481</v>
      </c>
      <c r="AO7" s="186">
        <f t="shared" si="17"/>
        <v>0.31890540522948652</v>
      </c>
      <c r="AP7" s="186">
        <f>SUM(AN$4:AN7)</f>
        <v>1.1885728071665438</v>
      </c>
      <c r="AQ7" s="187">
        <f>SUM(AO$4:AO7)</f>
        <v>1.2241555331522704</v>
      </c>
      <c r="AR7" s="167"/>
      <c r="BH7" s="265">
        <f t="shared" si="18"/>
        <v>4</v>
      </c>
      <c r="BI7" s="272">
        <f t="shared" si="19"/>
        <v>0.40187030204354901</v>
      </c>
      <c r="BJ7" s="272">
        <f t="shared" si="20"/>
        <v>0.41490330190847996</v>
      </c>
      <c r="BK7" s="272">
        <f t="shared" si="3"/>
        <v>0.42653049066768212</v>
      </c>
      <c r="BL7" s="272">
        <f t="shared" si="4"/>
        <v>0.44036324167962038</v>
      </c>
      <c r="BM7" s="272">
        <f>NPV($BK$1,BK$4:BK7)</f>
        <v>1.2351685473727934</v>
      </c>
      <c r="BN7" s="272">
        <f>NPV($BK$1,BL$4:BL7)</f>
        <v>1.2721065105192255</v>
      </c>
      <c r="BO7" s="272">
        <f t="shared" si="21"/>
        <v>9.1219999999999999E-3</v>
      </c>
      <c r="BP7" s="272">
        <f>NPV(BK$1,BO$4:BO7)</f>
        <v>3.1038161020884407E-2</v>
      </c>
      <c r="BQ7" s="272">
        <f t="shared" si="22"/>
        <v>1.2662067083936777</v>
      </c>
      <c r="BR7" s="273">
        <f t="shared" si="23"/>
        <v>1.3031446715401098</v>
      </c>
      <c r="BS7" s="272">
        <f t="shared" si="24"/>
        <v>1.3928273792330454</v>
      </c>
      <c r="BT7" s="274">
        <f t="shared" si="25"/>
        <v>1.4334591386941209</v>
      </c>
      <c r="BW7" s="290">
        <v>4</v>
      </c>
      <c r="BX7" s="291">
        <f>'[4]ACs etc'!P7</f>
        <v>2.3544308305021531</v>
      </c>
      <c r="BY7" s="292">
        <f>'[4]ACs etc'!O7</f>
        <v>2.6148876503487708</v>
      </c>
      <c r="CA7" s="167">
        <f t="shared" si="26"/>
        <v>0.40842289304545709</v>
      </c>
      <c r="CB7" s="167">
        <f t="shared" si="27"/>
        <v>0.45180851708755909</v>
      </c>
    </row>
    <row r="8" spans="1:80">
      <c r="A8" s="2">
        <v>5</v>
      </c>
      <c r="B8" s="2">
        <f t="shared" si="5"/>
        <v>9.1219999999999999E-3</v>
      </c>
      <c r="C8" s="2">
        <f t="shared" si="0"/>
        <v>6.5649860024155973E-3</v>
      </c>
      <c r="D8" s="2">
        <f>SUM(C$4:C8)</f>
        <v>3.7603147023300004E-2</v>
      </c>
      <c r="E8" s="260">
        <f t="shared" si="6"/>
        <v>1.0772840038843743</v>
      </c>
      <c r="G8" s="185">
        <v>5</v>
      </c>
      <c r="H8" s="201">
        <f t="shared" si="7"/>
        <v>0.45135248182988685</v>
      </c>
      <c r="I8" s="202">
        <f t="shared" si="8"/>
        <v>0.46451837226802495</v>
      </c>
      <c r="J8" s="186">
        <f t="shared" si="9"/>
        <v>0.32483257239297825</v>
      </c>
      <c r="K8" s="186">
        <f t="shared" si="10"/>
        <v>0.33430789429998481</v>
      </c>
      <c r="L8" s="186">
        <f>SUM(J$4:J8)</f>
        <v>1.5600011197657717</v>
      </c>
      <c r="M8" s="186">
        <f>SUM(K$4:K8)</f>
        <v>1.6064144048192104</v>
      </c>
      <c r="N8" s="203">
        <f t="shared" si="11"/>
        <v>1.757364693467979</v>
      </c>
      <c r="O8" s="203">
        <f t="shared" si="12"/>
        <v>1.8084193070267616</v>
      </c>
      <c r="P8" s="228">
        <v>0.2433326310733181</v>
      </c>
      <c r="R8" s="185">
        <v>5</v>
      </c>
      <c r="S8" s="186">
        <v>0.37563607139014199</v>
      </c>
      <c r="T8" s="186">
        <v>0.41675548342824625</v>
      </c>
      <c r="U8" s="186">
        <v>0.41897260165605399</v>
      </c>
      <c r="V8" s="186">
        <v>0.43119397539841503</v>
      </c>
      <c r="W8" s="186"/>
      <c r="X8" s="186"/>
      <c r="Y8" s="186"/>
      <c r="Z8" s="187"/>
      <c r="AC8" s="185">
        <v>5</v>
      </c>
      <c r="AD8" s="186">
        <f t="shared" si="13"/>
        <v>0.37563607139014199</v>
      </c>
      <c r="AE8" s="186">
        <f t="shared" si="13"/>
        <v>0.41675548342824625</v>
      </c>
      <c r="AF8" s="186">
        <f t="shared" si="1"/>
        <v>0.27034044624848369</v>
      </c>
      <c r="AG8" s="186">
        <f t="shared" si="2"/>
        <v>0.29993355789699433</v>
      </c>
      <c r="AH8" s="186">
        <f>SUM(AF$4:AF8)</f>
        <v>1.4166993176752032</v>
      </c>
      <c r="AI8" s="187">
        <f>SUM(AG$4:AG8)</f>
        <v>1.5722862281178644</v>
      </c>
      <c r="AK8" s="185">
        <v>5</v>
      </c>
      <c r="AL8" s="186">
        <f t="shared" si="14"/>
        <v>0.41897260165605399</v>
      </c>
      <c r="AM8" s="186">
        <f t="shared" si="15"/>
        <v>0.43119397539841503</v>
      </c>
      <c r="AN8" s="186">
        <f t="shared" si="16"/>
        <v>0.30152918935185707</v>
      </c>
      <c r="AO8" s="186">
        <f t="shared" si="17"/>
        <v>0.31032475474857818</v>
      </c>
      <c r="AP8" s="186">
        <f>SUM(AN$4:AN8)</f>
        <v>1.4901019965184008</v>
      </c>
      <c r="AQ8" s="187">
        <f>SUM(AO$4:AO8)</f>
        <v>1.5344802879008486</v>
      </c>
      <c r="AR8" s="167"/>
      <c r="BH8" s="265">
        <f t="shared" si="18"/>
        <v>5</v>
      </c>
      <c r="BI8" s="272">
        <f t="shared" si="19"/>
        <v>0.41897260165605399</v>
      </c>
      <c r="BJ8" s="272">
        <f t="shared" si="20"/>
        <v>0.43119397539841503</v>
      </c>
      <c r="BK8" s="272">
        <f t="shared" si="3"/>
        <v>0.45135248182988685</v>
      </c>
      <c r="BL8" s="272">
        <f t="shared" si="4"/>
        <v>0.46451837226802495</v>
      </c>
      <c r="BM8" s="272">
        <f>NPV($BK$1,BK$4:BK8)</f>
        <v>1.5600011197657715</v>
      </c>
      <c r="BN8" s="272">
        <f>NPV($BK$1,BL$4:BL8)</f>
        <v>1.6064144048192104</v>
      </c>
      <c r="BO8" s="272">
        <f t="shared" si="21"/>
        <v>9.1219999999999999E-3</v>
      </c>
      <c r="BP8" s="272">
        <f>NPV(BK$1,BO$4:BO8)</f>
        <v>3.7603147023300004E-2</v>
      </c>
      <c r="BQ8" s="272">
        <f t="shared" si="22"/>
        <v>1.5976042667890715</v>
      </c>
      <c r="BR8" s="273">
        <f t="shared" si="23"/>
        <v>1.6440175518425104</v>
      </c>
      <c r="BS8" s="272">
        <f t="shared" si="24"/>
        <v>1.7573646934679787</v>
      </c>
      <c r="BT8" s="274">
        <f t="shared" si="25"/>
        <v>1.8084193070267616</v>
      </c>
      <c r="BW8" s="290">
        <v>5</v>
      </c>
      <c r="BX8" s="291">
        <f>'[4]ACs etc'!P8</f>
        <v>2.7813138380669149</v>
      </c>
      <c r="BY8" s="292">
        <f>'[4]ACs etc'!O8</f>
        <v>3.0857733892796424</v>
      </c>
      <c r="CA8" s="167">
        <f t="shared" si="26"/>
        <v>0.36815303997142845</v>
      </c>
      <c r="CB8" s="167">
        <f t="shared" si="27"/>
        <v>0.41394941271143448</v>
      </c>
    </row>
    <row r="9" spans="1:80">
      <c r="A9" s="2">
        <v>6</v>
      </c>
      <c r="B9" s="2">
        <f t="shared" si="5"/>
        <v>9.1219999999999999E-3</v>
      </c>
      <c r="C9" s="2">
        <f t="shared" si="0"/>
        <v>6.1469906389659146E-3</v>
      </c>
      <c r="D9" s="2">
        <f>SUM(C$4:C9)</f>
        <v>4.3750137662265917E-2</v>
      </c>
      <c r="E9" s="260">
        <f t="shared" si="6"/>
        <v>1.0934432639426397</v>
      </c>
      <c r="G9" s="185">
        <v>6</v>
      </c>
      <c r="H9" s="201">
        <f t="shared" si="7"/>
        <v>0.47734903010763474</v>
      </c>
      <c r="I9" s="202">
        <f t="shared" si="8"/>
        <v>0.49207196089897581</v>
      </c>
      <c r="J9" s="186">
        <f t="shared" si="9"/>
        <v>0.32166849589904511</v>
      </c>
      <c r="K9" s="186">
        <f t="shared" si="10"/>
        <v>0.33158975414860842</v>
      </c>
      <c r="L9" s="186">
        <f>SUM(J$4:J9)</f>
        <v>1.8816696156648169</v>
      </c>
      <c r="M9" s="186">
        <f>SUM(K$4:K9)</f>
        <v>1.9380041589678187</v>
      </c>
      <c r="N9" s="203">
        <f t="shared" si="11"/>
        <v>2.1179617286597914</v>
      </c>
      <c r="O9" s="203">
        <f t="shared" si="12"/>
        <v>2.1799297262930932</v>
      </c>
      <c r="P9" s="228">
        <v>0.28109072714110489</v>
      </c>
      <c r="R9" s="185">
        <v>6</v>
      </c>
      <c r="S9" s="186">
        <v>0.37598724110485804</v>
      </c>
      <c r="T9" s="186">
        <v>0.41676450649673924</v>
      </c>
      <c r="U9" s="186">
        <v>0.43655582859091602</v>
      </c>
      <c r="V9" s="186">
        <v>0.45002056999711798</v>
      </c>
      <c r="W9" s="186"/>
      <c r="X9" s="186"/>
      <c r="Y9" s="186"/>
      <c r="Z9" s="187"/>
      <c r="AC9" s="185">
        <v>6</v>
      </c>
      <c r="AD9" s="186">
        <f t="shared" si="13"/>
        <v>0.37598724110485804</v>
      </c>
      <c r="AE9" s="186">
        <f t="shared" si="13"/>
        <v>0.41676450649673924</v>
      </c>
      <c r="AF9" s="186">
        <f t="shared" si="1"/>
        <v>0.25336439941264882</v>
      </c>
      <c r="AG9" s="186">
        <f t="shared" si="2"/>
        <v>0.28084274502178308</v>
      </c>
      <c r="AH9" s="186">
        <f>SUM(AF$4:AF9)</f>
        <v>1.6700637170878521</v>
      </c>
      <c r="AI9" s="187">
        <f>SUM(AG$4:AG9)</f>
        <v>1.8531289731396474</v>
      </c>
      <c r="AK9" s="185">
        <v>6</v>
      </c>
      <c r="AL9" s="186">
        <f t="shared" si="14"/>
        <v>0.43655582859091602</v>
      </c>
      <c r="AM9" s="186">
        <f t="shared" si="15"/>
        <v>0.45002056999711798</v>
      </c>
      <c r="AN9" s="186">
        <f t="shared" si="16"/>
        <v>0.29417941150343885</v>
      </c>
      <c r="AO9" s="186">
        <f t="shared" si="17"/>
        <v>0.30325282077553051</v>
      </c>
      <c r="AP9" s="186">
        <f>SUM(AN$4:AN9)</f>
        <v>1.7842814080218397</v>
      </c>
      <c r="AQ9" s="187">
        <f>SUM(AO$4:AO9)</f>
        <v>1.8377331086763791</v>
      </c>
      <c r="AR9" s="167"/>
      <c r="BH9" s="265">
        <f t="shared" si="18"/>
        <v>6</v>
      </c>
      <c r="BI9" s="272">
        <f t="shared" si="19"/>
        <v>0.43655582859091602</v>
      </c>
      <c r="BJ9" s="272">
        <f t="shared" si="20"/>
        <v>0.45002056999711798</v>
      </c>
      <c r="BK9" s="272">
        <f t="shared" si="3"/>
        <v>0.47734903010763474</v>
      </c>
      <c r="BL9" s="272">
        <f t="shared" si="4"/>
        <v>0.49207196089897581</v>
      </c>
      <c r="BM9" s="272">
        <f>NPV($BK$1,BK$4:BK9)</f>
        <v>1.8816696156648167</v>
      </c>
      <c r="BN9" s="272">
        <f>NPV($BK$1,BL$4:BL9)</f>
        <v>1.9380041589678187</v>
      </c>
      <c r="BO9" s="272">
        <f t="shared" si="21"/>
        <v>9.1219999999999999E-3</v>
      </c>
      <c r="BP9" s="272">
        <f>NPV(BK$1,BO$4:BO9)</f>
        <v>4.3750137662265917E-2</v>
      </c>
      <c r="BQ9" s="272">
        <f t="shared" si="22"/>
        <v>1.9254197533270827</v>
      </c>
      <c r="BR9" s="273">
        <f t="shared" si="23"/>
        <v>1.9817542966300847</v>
      </c>
      <c r="BS9" s="272">
        <f t="shared" si="24"/>
        <v>2.1179617286597909</v>
      </c>
      <c r="BT9" s="274">
        <f t="shared" si="25"/>
        <v>2.1799297262930932</v>
      </c>
      <c r="BW9" s="290">
        <v>6</v>
      </c>
      <c r="BX9" s="291">
        <f>'[4]ACs etc'!P9</f>
        <v>3.1750103199382789</v>
      </c>
      <c r="BY9" s="292">
        <f>'[4]ACs etc'!O9</f>
        <v>3.5193524259566522</v>
      </c>
      <c r="CA9" s="167">
        <f t="shared" si="26"/>
        <v>0.33292760802712495</v>
      </c>
      <c r="CB9" s="167">
        <f t="shared" si="27"/>
        <v>0.38058782910877953</v>
      </c>
    </row>
    <row r="10" spans="1:80">
      <c r="A10" s="2">
        <v>7</v>
      </c>
      <c r="B10" s="2">
        <f t="shared" si="5"/>
        <v>9.1219999999999999E-3</v>
      </c>
      <c r="C10" s="2">
        <f t="shared" si="0"/>
        <v>5.7556092125149016E-3</v>
      </c>
      <c r="D10" s="2">
        <f>SUM(C$4:C10)</f>
        <v>4.950574687478082E-2</v>
      </c>
      <c r="E10" s="260">
        <f t="shared" si="6"/>
        <v>1.1098449129017791</v>
      </c>
      <c r="G10" s="185">
        <v>7</v>
      </c>
      <c r="H10" s="201">
        <f t="shared" si="7"/>
        <v>0.5090056064459374</v>
      </c>
      <c r="I10" s="202">
        <f t="shared" si="8"/>
        <v>0.5252790596480158</v>
      </c>
      <c r="J10" s="186">
        <f t="shared" si="9"/>
        <v>0.3211617362071883</v>
      </c>
      <c r="K10" s="186">
        <f t="shared" si="10"/>
        <v>0.33142962013278709</v>
      </c>
      <c r="L10" s="186">
        <f>SUM(J$4:J10)</f>
        <v>2.2028313518720051</v>
      </c>
      <c r="M10" s="186">
        <f>SUM(K$4:K10)</f>
        <v>2.2694337791006056</v>
      </c>
      <c r="N10" s="203">
        <f t="shared" si="11"/>
        <v>2.4775708086214645</v>
      </c>
      <c r="O10" s="203">
        <f t="shared" si="12"/>
        <v>2.5508334785729252</v>
      </c>
      <c r="P10" s="228">
        <v>0.31705610227322079</v>
      </c>
      <c r="R10" s="185">
        <v>7</v>
      </c>
      <c r="S10" s="186">
        <v>0.38821796456428398</v>
      </c>
      <c r="T10" s="186">
        <v>0.42970098898193559</v>
      </c>
      <c r="U10" s="186">
        <v>0.45862768800291304</v>
      </c>
      <c r="V10" s="186">
        <v>0.47329050531450501</v>
      </c>
      <c r="W10" s="186"/>
      <c r="X10" s="186"/>
      <c r="Y10" s="186"/>
      <c r="Z10" s="187"/>
      <c r="AC10" s="185">
        <v>7</v>
      </c>
      <c r="AD10" s="186">
        <f t="shared" si="13"/>
        <v>0.38821796456428398</v>
      </c>
      <c r="AE10" s="186">
        <f t="shared" si="13"/>
        <v>0.42970098898193559</v>
      </c>
      <c r="AF10" s="186">
        <f t="shared" si="1"/>
        <v>0.24494967039135895</v>
      </c>
      <c r="AG10" s="186">
        <f t="shared" si="2"/>
        <v>0.27112376351799961</v>
      </c>
      <c r="AH10" s="186">
        <f>SUM(AF$4:AF10)</f>
        <v>1.915013387479211</v>
      </c>
      <c r="AI10" s="187">
        <f>SUM(AG$4:AG10)</f>
        <v>2.1242527366576471</v>
      </c>
      <c r="AK10" s="185">
        <v>7</v>
      </c>
      <c r="AL10" s="186">
        <f t="shared" si="14"/>
        <v>0.45862768800291304</v>
      </c>
      <c r="AM10" s="186">
        <f t="shared" si="15"/>
        <v>0.47329050531450501</v>
      </c>
      <c r="AN10" s="186">
        <f t="shared" si="16"/>
        <v>0.28937532845691472</v>
      </c>
      <c r="AO10" s="186">
        <f t="shared" si="17"/>
        <v>0.298626966957246</v>
      </c>
      <c r="AP10" s="186">
        <f>SUM(AN$4:AN10)</f>
        <v>2.0736567364787541</v>
      </c>
      <c r="AQ10" s="187">
        <f>SUM(AO$4:AO10)</f>
        <v>2.136360075633625</v>
      </c>
      <c r="AR10" s="167"/>
      <c r="BH10" s="265">
        <f t="shared" si="18"/>
        <v>7</v>
      </c>
      <c r="BI10" s="272">
        <f t="shared" si="19"/>
        <v>0.45862768800291304</v>
      </c>
      <c r="BJ10" s="272">
        <f t="shared" si="20"/>
        <v>0.47329050531450501</v>
      </c>
      <c r="BK10" s="272">
        <f t="shared" si="3"/>
        <v>0.5090056064459374</v>
      </c>
      <c r="BL10" s="272">
        <f t="shared" si="4"/>
        <v>0.5252790596480158</v>
      </c>
      <c r="BM10" s="272">
        <f>NPV($BK$1,BK$4:BK10)</f>
        <v>2.2028313518720046</v>
      </c>
      <c r="BN10" s="272">
        <f>NPV($BK$1,BL$4:BL10)</f>
        <v>2.2694337791006061</v>
      </c>
      <c r="BO10" s="272">
        <f t="shared" si="21"/>
        <v>9.1219999999999999E-3</v>
      </c>
      <c r="BP10" s="272">
        <f>NPV(BK$1,BO$4:BO10)</f>
        <v>4.9505746874780814E-2</v>
      </c>
      <c r="BQ10" s="272">
        <f t="shared" si="22"/>
        <v>2.2523370987467852</v>
      </c>
      <c r="BR10" s="273">
        <f t="shared" si="23"/>
        <v>2.3189395259753867</v>
      </c>
      <c r="BS10" s="272">
        <f t="shared" si="24"/>
        <v>2.4775708086214641</v>
      </c>
      <c r="BT10" s="274">
        <f t="shared" si="25"/>
        <v>2.5508334785729256</v>
      </c>
      <c r="BW10" s="290">
        <v>7</v>
      </c>
      <c r="BX10" s="291">
        <f>'[4]ACs etc'!P10</f>
        <v>3.5515401845143115</v>
      </c>
      <c r="BY10" s="292">
        <f>'[4]ACs etc'!O10</f>
        <v>3.9310399543403483</v>
      </c>
      <c r="CA10" s="167">
        <f t="shared" si="26"/>
        <v>0.30239538906969099</v>
      </c>
      <c r="CB10" s="167">
        <f t="shared" si="27"/>
        <v>0.3511046674159356</v>
      </c>
    </row>
    <row r="11" spans="1:80">
      <c r="A11" s="2">
        <v>8</v>
      </c>
      <c r="B11" s="2">
        <f t="shared" si="5"/>
        <v>9.1219999999999999E-3</v>
      </c>
      <c r="C11" s="2">
        <f t="shared" si="0"/>
        <v>5.3891472027293077E-3</v>
      </c>
      <c r="D11" s="2">
        <f>SUM(C$4:C11)</f>
        <v>5.489489407751013E-2</v>
      </c>
      <c r="E11" s="260">
        <f t="shared" si="6"/>
        <v>1.1264925865953057</v>
      </c>
      <c r="G11" s="185">
        <v>8</v>
      </c>
      <c r="H11" s="201">
        <f t="shared" si="7"/>
        <v>0.53609082052213619</v>
      </c>
      <c r="I11" s="202">
        <f t="shared" si="8"/>
        <v>0.55572661673169432</v>
      </c>
      <c r="J11" s="186">
        <f t="shared" si="9"/>
        <v>0.31671479344724068</v>
      </c>
      <c r="K11" s="186">
        <f t="shared" si="10"/>
        <v>0.32831534115784178</v>
      </c>
      <c r="L11" s="186">
        <f>SUM(J$4:J11)</f>
        <v>2.5195461453192456</v>
      </c>
      <c r="M11" s="186">
        <f>SUM(K$4:K11)</f>
        <v>2.5977491202584475</v>
      </c>
      <c r="N11" s="203">
        <f t="shared" si="11"/>
        <v>2.8318851433364318</v>
      </c>
      <c r="O11" s="203">
        <f t="shared" si="12"/>
        <v>2.9179084157695536</v>
      </c>
      <c r="P11" s="228">
        <v>0.35501773896255984</v>
      </c>
      <c r="R11" s="185">
        <v>8</v>
      </c>
      <c r="S11" s="186">
        <v>0.39890486664968</v>
      </c>
      <c r="T11" s="186">
        <v>0.44104127658721337</v>
      </c>
      <c r="U11" s="186">
        <v>0.47589378474509897</v>
      </c>
      <c r="V11" s="186">
        <v>0.49332469946501301</v>
      </c>
      <c r="W11" s="186"/>
      <c r="X11" s="186"/>
      <c r="Y11" s="186"/>
      <c r="Z11" s="187"/>
      <c r="AC11" s="185">
        <v>8</v>
      </c>
      <c r="AD11" s="186">
        <f t="shared" si="13"/>
        <v>0.39890486664968</v>
      </c>
      <c r="AE11" s="186">
        <f t="shared" si="13"/>
        <v>0.44104127658721337</v>
      </c>
      <c r="AF11" s="186">
        <f t="shared" si="1"/>
        <v>0.23566729294674749</v>
      </c>
      <c r="AG11" s="186">
        <f t="shared" si="2"/>
        <v>0.26056088160580398</v>
      </c>
      <c r="AH11" s="186">
        <f>SUM(AF$4:AF11)</f>
        <v>2.1506806804259586</v>
      </c>
      <c r="AI11" s="187">
        <f>SUM(AG$4:AG11)</f>
        <v>2.384813618263451</v>
      </c>
      <c r="AK11" s="185">
        <v>8</v>
      </c>
      <c r="AL11" s="186">
        <f t="shared" si="14"/>
        <v>0.47589378474509897</v>
      </c>
      <c r="AM11" s="186">
        <f t="shared" si="15"/>
        <v>0.49332469946501301</v>
      </c>
      <c r="AN11" s="186">
        <f t="shared" si="16"/>
        <v>0.28115124521544765</v>
      </c>
      <c r="AO11" s="186">
        <f t="shared" si="17"/>
        <v>0.2914491804603323</v>
      </c>
      <c r="AP11" s="186">
        <f>SUM(AN$4:AN11)</f>
        <v>2.3548079816942016</v>
      </c>
      <c r="AQ11" s="187">
        <f>SUM(AO$4:AO11)</f>
        <v>2.4278092560939575</v>
      </c>
      <c r="AR11" s="167"/>
      <c r="BH11" s="265">
        <f t="shared" si="18"/>
        <v>8</v>
      </c>
      <c r="BI11" s="272">
        <f t="shared" si="19"/>
        <v>0.47589378474509897</v>
      </c>
      <c r="BJ11" s="272">
        <f t="shared" si="20"/>
        <v>0.49332469946501301</v>
      </c>
      <c r="BK11" s="272">
        <f t="shared" si="3"/>
        <v>0.53609082052213619</v>
      </c>
      <c r="BL11" s="272">
        <f t="shared" si="4"/>
        <v>0.55572661673169432</v>
      </c>
      <c r="BM11" s="272">
        <f>NPV($BK$1,BK$4:BK11)</f>
        <v>2.5195461453192456</v>
      </c>
      <c r="BN11" s="272">
        <f>NPV($BK$1,BL$4:BL11)</f>
        <v>2.5977491202584475</v>
      </c>
      <c r="BO11" s="272">
        <f t="shared" si="21"/>
        <v>9.1219999999999999E-3</v>
      </c>
      <c r="BP11" s="272">
        <f>NPV(BK$1,BO$4:BO11)</f>
        <v>5.489489407751013E-2</v>
      </c>
      <c r="BQ11" s="272">
        <f t="shared" si="22"/>
        <v>2.5744410393967558</v>
      </c>
      <c r="BR11" s="273">
        <f t="shared" si="23"/>
        <v>2.6526440143359578</v>
      </c>
      <c r="BS11" s="272">
        <f t="shared" si="24"/>
        <v>2.8318851433364318</v>
      </c>
      <c r="BT11" s="274">
        <f t="shared" si="25"/>
        <v>2.9179084157695536</v>
      </c>
      <c r="BW11" s="290">
        <v>8</v>
      </c>
      <c r="BX11" s="291">
        <f>'[4]ACs etc'!P11</f>
        <v>3.911649776633483</v>
      </c>
      <c r="BY11" s="292">
        <f>'[4]ACs etc'!O11</f>
        <v>4.3248382140286008</v>
      </c>
      <c r="CA11" s="167">
        <f t="shared" si="26"/>
        <v>0.27603816674670156</v>
      </c>
      <c r="CB11" s="167">
        <f t="shared" si="27"/>
        <v>0.32531385652655143</v>
      </c>
    </row>
    <row r="12" spans="1:80">
      <c r="A12" s="2">
        <v>9</v>
      </c>
      <c r="B12" s="2">
        <f t="shared" si="5"/>
        <v>9.1219999999999999E-3</v>
      </c>
      <c r="C12" s="2">
        <f t="shared" si="0"/>
        <v>5.0460179800836209E-3</v>
      </c>
      <c r="D12" s="2">
        <f>SUM(C$4:C12)</f>
        <v>5.9940912057593748E-2</v>
      </c>
      <c r="E12" s="260">
        <f t="shared" si="6"/>
        <v>1.1433899753942351</v>
      </c>
      <c r="G12" s="185">
        <v>9</v>
      </c>
      <c r="H12" s="201">
        <f t="shared" si="7"/>
        <v>0.55246256644923908</v>
      </c>
      <c r="I12" s="202">
        <f t="shared" si="8"/>
        <v>0.56958157262237319</v>
      </c>
      <c r="J12" s="186">
        <f t="shared" si="9"/>
        <v>0.30560579298684531</v>
      </c>
      <c r="K12" s="186">
        <f t="shared" si="10"/>
        <v>0.31507551595886868</v>
      </c>
      <c r="L12" s="186">
        <f>SUM(J$4:J12)</f>
        <v>2.825151938306091</v>
      </c>
      <c r="M12" s="186">
        <f>SUM(K$4:K12)</f>
        <v>2.9128246362173162</v>
      </c>
      <c r="N12" s="203">
        <f t="shared" si="11"/>
        <v>3.1736021354000532</v>
      </c>
      <c r="O12" s="203">
        <f t="shared" si="12"/>
        <v>3.270042103102401</v>
      </c>
      <c r="P12" s="228">
        <v>0.39225878197862601</v>
      </c>
      <c r="R12" s="185">
        <v>9</v>
      </c>
      <c r="S12" s="186">
        <v>0.40784856276434001</v>
      </c>
      <c r="T12" s="186">
        <v>0.45073491219009992</v>
      </c>
      <c r="U12" s="186">
        <v>0.48317947361638602</v>
      </c>
      <c r="V12" s="186">
        <v>0.49815162357531106</v>
      </c>
      <c r="W12" s="186"/>
      <c r="X12" s="186"/>
      <c r="Y12" s="186"/>
      <c r="Z12" s="187"/>
      <c r="AC12" s="185">
        <v>9</v>
      </c>
      <c r="AD12" s="186">
        <f t="shared" si="13"/>
        <v>0.40784856276434001</v>
      </c>
      <c r="AE12" s="186">
        <f t="shared" si="13"/>
        <v>0.45073491219009992</v>
      </c>
      <c r="AF12" s="186">
        <f t="shared" si="1"/>
        <v>0.22560964490902466</v>
      </c>
      <c r="AG12" s="186">
        <f t="shared" si="2"/>
        <v>0.24933309265102568</v>
      </c>
      <c r="AH12" s="186">
        <f>SUM(AF$4:AF12)</f>
        <v>2.3762903253349834</v>
      </c>
      <c r="AI12" s="187">
        <f>SUM(AG$4:AG12)</f>
        <v>2.6341467109144765</v>
      </c>
      <c r="AK12" s="185">
        <v>9</v>
      </c>
      <c r="AL12" s="186">
        <f t="shared" si="14"/>
        <v>0.48317947361638602</v>
      </c>
      <c r="AM12" s="186">
        <f t="shared" si="15"/>
        <v>0.49815162357531106</v>
      </c>
      <c r="AN12" s="186">
        <f t="shared" si="16"/>
        <v>0.26728045510585657</v>
      </c>
      <c r="AO12" s="186">
        <f t="shared" si="17"/>
        <v>0.27556260133401311</v>
      </c>
      <c r="AP12" s="186">
        <f>SUM(AN$4:AN12)</f>
        <v>2.6220884368000581</v>
      </c>
      <c r="AQ12" s="187">
        <f>SUM(AO$4:AO12)</f>
        <v>2.7033718574279706</v>
      </c>
      <c r="AR12" s="167"/>
      <c r="BH12" s="265">
        <f t="shared" si="18"/>
        <v>9</v>
      </c>
      <c r="BI12" s="272">
        <f t="shared" si="19"/>
        <v>0.48317947361638602</v>
      </c>
      <c r="BJ12" s="272">
        <f t="shared" si="20"/>
        <v>0.49815162357531106</v>
      </c>
      <c r="BK12" s="272">
        <f t="shared" si="3"/>
        <v>0.55246256644923908</v>
      </c>
      <c r="BL12" s="272">
        <f t="shared" si="4"/>
        <v>0.56958157262237319</v>
      </c>
      <c r="BM12" s="272">
        <f>NPV($BK$1,BK$4:BK12)</f>
        <v>2.825151938306091</v>
      </c>
      <c r="BN12" s="272">
        <f>NPV($BK$1,BL$4:BL12)</f>
        <v>2.9128246362173162</v>
      </c>
      <c r="BO12" s="272">
        <f t="shared" si="21"/>
        <v>9.1219999999999999E-3</v>
      </c>
      <c r="BP12" s="272">
        <f>NPV(BK$1,BO$4:BO12)</f>
        <v>5.9940912057593748E-2</v>
      </c>
      <c r="BQ12" s="272">
        <f t="shared" si="22"/>
        <v>2.8850928503636846</v>
      </c>
      <c r="BR12" s="273">
        <f t="shared" si="23"/>
        <v>2.9727655482749098</v>
      </c>
      <c r="BS12" s="272">
        <f t="shared" si="24"/>
        <v>3.1736021354000532</v>
      </c>
      <c r="BT12" s="274">
        <f t="shared" si="25"/>
        <v>3.270042103102401</v>
      </c>
      <c r="BW12" s="290">
        <v>9</v>
      </c>
      <c r="BX12" s="291">
        <f>'[4]ACs etc'!P12</f>
        <v>4.2502258230304175</v>
      </c>
      <c r="BY12" s="292">
        <f>'[4]ACs etc'!O12</f>
        <v>4.6971482506820568</v>
      </c>
      <c r="CA12" s="167">
        <f t="shared" si="26"/>
        <v>0.2533097610476448</v>
      </c>
      <c r="CB12" s="167">
        <f t="shared" si="27"/>
        <v>0.30382395262326045</v>
      </c>
    </row>
    <row r="13" spans="1:80">
      <c r="A13" s="2">
        <v>10</v>
      </c>
      <c r="B13" s="2">
        <f t="shared" si="5"/>
        <v>9.1219999999999999E-3</v>
      </c>
      <c r="C13" s="2">
        <f t="shared" si="0"/>
        <v>4.7247359364078851E-3</v>
      </c>
      <c r="D13" s="2">
        <f>SUM(C$4:C13)</f>
        <v>6.4665647994001638E-2</v>
      </c>
      <c r="E13" s="260">
        <f t="shared" si="6"/>
        <v>1.1605408250251485</v>
      </c>
      <c r="G13" s="185">
        <v>10</v>
      </c>
      <c r="H13" s="201">
        <f t="shared" si="7"/>
        <v>0.57287144784223898</v>
      </c>
      <c r="I13" s="202">
        <f t="shared" si="8"/>
        <v>0.59113447954388521</v>
      </c>
      <c r="J13" s="186">
        <f t="shared" si="9"/>
        <v>0.29671851749202388</v>
      </c>
      <c r="K13" s="186">
        <f t="shared" si="10"/>
        <v>0.30617784682643789</v>
      </c>
      <c r="L13" s="186">
        <f>SUM(J$4:J13)</f>
        <v>3.1218704557981147</v>
      </c>
      <c r="M13" s="186">
        <f>SUM(K$4:K13)</f>
        <v>3.219002483043754</v>
      </c>
      <c r="N13" s="203">
        <f t="shared" si="11"/>
        <v>3.5051897141713284</v>
      </c>
      <c r="O13" s="203">
        <f t="shared" si="12"/>
        <v>3.6120349441415316</v>
      </c>
      <c r="P13" s="228">
        <v>0.4277566434952414</v>
      </c>
      <c r="R13" s="185">
        <v>10</v>
      </c>
      <c r="S13" s="186">
        <v>0.42401045884171601</v>
      </c>
      <c r="T13" s="186">
        <v>0.46877922599324467</v>
      </c>
      <c r="U13" s="186">
        <v>0.49362455459490195</v>
      </c>
      <c r="V13" s="186">
        <v>0.50936121056411399</v>
      </c>
      <c r="W13" s="186"/>
      <c r="X13" s="186"/>
      <c r="Y13" s="186"/>
      <c r="Z13" s="187"/>
      <c r="AC13" s="185">
        <v>10</v>
      </c>
      <c r="AD13" s="186">
        <f t="shared" si="13"/>
        <v>0.42401045884171601</v>
      </c>
      <c r="AE13" s="186">
        <f t="shared" si="13"/>
        <v>0.46877922599324467</v>
      </c>
      <c r="AF13" s="186">
        <f t="shared" si="1"/>
        <v>0.21961603292065907</v>
      </c>
      <c r="AG13" s="186">
        <f t="shared" si="2"/>
        <v>0.2428039964143561</v>
      </c>
      <c r="AH13" s="186">
        <f>SUM(AF$4:AF13)</f>
        <v>2.5959063582556423</v>
      </c>
      <c r="AI13" s="187">
        <f>SUM(AG$4:AG13)</f>
        <v>2.8769507073288327</v>
      </c>
      <c r="AK13" s="185">
        <v>10</v>
      </c>
      <c r="AL13" s="186">
        <f t="shared" si="14"/>
        <v>0.49362455459490195</v>
      </c>
      <c r="AM13" s="186">
        <f t="shared" si="15"/>
        <v>0.50936121056411399</v>
      </c>
      <c r="AN13" s="186">
        <f t="shared" si="16"/>
        <v>0.25567262356806286</v>
      </c>
      <c r="AO13" s="186">
        <f t="shared" si="17"/>
        <v>0.26382341768959583</v>
      </c>
      <c r="AP13" s="186">
        <f>SUM(AN$4:AN13)</f>
        <v>2.8777610603681207</v>
      </c>
      <c r="AQ13" s="187">
        <f>SUM(AO$4:AO13)</f>
        <v>2.9671952751175663</v>
      </c>
      <c r="AR13" s="167"/>
      <c r="BH13" s="265">
        <f t="shared" si="18"/>
        <v>10</v>
      </c>
      <c r="BI13" s="272">
        <f t="shared" si="19"/>
        <v>0.49362455459490195</v>
      </c>
      <c r="BJ13" s="272">
        <f t="shared" si="20"/>
        <v>0.50936121056411399</v>
      </c>
      <c r="BK13" s="272">
        <f t="shared" si="3"/>
        <v>0.57287144784223898</v>
      </c>
      <c r="BL13" s="272">
        <f t="shared" si="4"/>
        <v>0.59113447954388521</v>
      </c>
      <c r="BM13" s="272">
        <f>NPV($BK$1,BK$4:BK13)</f>
        <v>3.1218704557981152</v>
      </c>
      <c r="BN13" s="272">
        <f>NPV($BK$1,BL$4:BL13)</f>
        <v>3.219002483043754</v>
      </c>
      <c r="BO13" s="272">
        <f t="shared" si="21"/>
        <v>9.1219999999999999E-3</v>
      </c>
      <c r="BP13" s="272">
        <f>NPV(BK$1,BO$4:BO13)</f>
        <v>6.4665647994001638E-2</v>
      </c>
      <c r="BQ13" s="272">
        <f t="shared" si="22"/>
        <v>3.1865361037921169</v>
      </c>
      <c r="BR13" s="273">
        <f t="shared" si="23"/>
        <v>3.2836681310377558</v>
      </c>
      <c r="BS13" s="272">
        <f t="shared" si="24"/>
        <v>3.5051897141713289</v>
      </c>
      <c r="BT13" s="274">
        <f t="shared" si="25"/>
        <v>3.6120349441415316</v>
      </c>
      <c r="BW13" s="290">
        <v>10</v>
      </c>
      <c r="BX13" s="291">
        <f>'[4]ACs etc'!P13</f>
        <v>4.5644898724324312</v>
      </c>
      <c r="BY13" s="292">
        <f>'[4]ACs etc'!O13</f>
        <v>5.0464274756289633</v>
      </c>
      <c r="CA13" s="167">
        <f t="shared" si="26"/>
        <v>0.23207416115847312</v>
      </c>
      <c r="CB13" s="167">
        <f t="shared" si="27"/>
        <v>0.28423920454908658</v>
      </c>
    </row>
    <row r="14" spans="1:80">
      <c r="A14" s="2">
        <v>11</v>
      </c>
      <c r="B14" s="2">
        <f t="shared" si="5"/>
        <v>9.1219999999999999E-3</v>
      </c>
      <c r="C14" s="2">
        <f t="shared" si="0"/>
        <v>4.4239100528163716E-3</v>
      </c>
      <c r="D14" s="2">
        <f>SUM(C$4:C14)</f>
        <v>6.9089558046818003E-2</v>
      </c>
      <c r="E14" s="260">
        <f t="shared" si="6"/>
        <v>1.1779489374005256</v>
      </c>
      <c r="G14" s="185">
        <v>11</v>
      </c>
      <c r="H14" s="201">
        <f t="shared" si="7"/>
        <v>0.57300702415483296</v>
      </c>
      <c r="I14" s="202">
        <f t="shared" si="8"/>
        <v>0.59356975693134617</v>
      </c>
      <c r="J14" s="186">
        <f t="shared" si="9"/>
        <v>0.27789207788784903</v>
      </c>
      <c r="K14" s="186">
        <f t="shared" si="10"/>
        <v>0.28786441731378565</v>
      </c>
      <c r="L14" s="186">
        <f>SUM(J$4:J14)</f>
        <v>3.3997625336859638</v>
      </c>
      <c r="M14" s="186">
        <f>SUM(K$4:K14)</f>
        <v>3.5068669003575397</v>
      </c>
      <c r="N14" s="203">
        <f t="shared" si="11"/>
        <v>3.8157373009060604</v>
      </c>
      <c r="O14" s="203">
        <f t="shared" si="12"/>
        <v>3.9335521042447938</v>
      </c>
      <c r="P14" s="228">
        <v>0.46308137207929917</v>
      </c>
      <c r="R14" s="185">
        <v>11</v>
      </c>
      <c r="S14" s="186">
        <v>0.44084165677632398</v>
      </c>
      <c r="T14" s="186">
        <v>0.48735210018315533</v>
      </c>
      <c r="U14" s="186">
        <v>0.48644470567572606</v>
      </c>
      <c r="V14" s="186">
        <v>0.50390109289560903</v>
      </c>
      <c r="W14" s="186"/>
      <c r="X14" s="186"/>
      <c r="Y14" s="186"/>
      <c r="Z14" s="187"/>
      <c r="AC14" s="185">
        <v>11</v>
      </c>
      <c r="AD14" s="186">
        <f t="shared" si="13"/>
        <v>0.44084165677632398</v>
      </c>
      <c r="AE14" s="186">
        <f t="shared" si="13"/>
        <v>0.48735210018315533</v>
      </c>
      <c r="AF14" s="186">
        <f t="shared" si="1"/>
        <v>0.21379564099024384</v>
      </c>
      <c r="AG14" s="186">
        <f t="shared" si="2"/>
        <v>0.23635188064694501</v>
      </c>
      <c r="AH14" s="186">
        <f>SUM(AF$4:AF14)</f>
        <v>2.809701999245886</v>
      </c>
      <c r="AI14" s="187">
        <f>SUM(AG$4:AG14)</f>
        <v>3.1133025879757779</v>
      </c>
      <c r="AK14" s="185">
        <v>11</v>
      </c>
      <c r="AL14" s="186">
        <f t="shared" si="14"/>
        <v>0.48644470567572606</v>
      </c>
      <c r="AM14" s="186">
        <f t="shared" si="15"/>
        <v>0.50390109289560903</v>
      </c>
      <c r="AN14" s="186">
        <f t="shared" si="16"/>
        <v>0.23591182016861934</v>
      </c>
      <c r="AO14" s="186">
        <f t="shared" si="17"/>
        <v>0.24437767052028514</v>
      </c>
      <c r="AP14" s="186">
        <f>SUM(AN$4:AN14)</f>
        <v>3.1136728805367402</v>
      </c>
      <c r="AQ14" s="187">
        <f>SUM(AO$4:AO14)</f>
        <v>3.2115729456378515</v>
      </c>
      <c r="AR14" s="167"/>
      <c r="BH14" s="265">
        <f t="shared" si="18"/>
        <v>11</v>
      </c>
      <c r="BI14" s="272">
        <f t="shared" si="19"/>
        <v>0.48644470567572606</v>
      </c>
      <c r="BJ14" s="272">
        <f t="shared" si="20"/>
        <v>0.50390109289560903</v>
      </c>
      <c r="BK14" s="272">
        <f t="shared" si="3"/>
        <v>0.57300702415483296</v>
      </c>
      <c r="BL14" s="272">
        <f t="shared" si="4"/>
        <v>0.59356975693134617</v>
      </c>
      <c r="BM14" s="272">
        <f>NPV($BK$1,BK$4:BK14)</f>
        <v>3.3997625336859638</v>
      </c>
      <c r="BN14" s="272">
        <f>NPV($BK$1,BL$4:BL14)</f>
        <v>3.5068669003575397</v>
      </c>
      <c r="BO14" s="272">
        <f t="shared" si="21"/>
        <v>9.1219999999999999E-3</v>
      </c>
      <c r="BP14" s="272">
        <f>NPV(BK$1,BO$4:BO14)</f>
        <v>6.9089558046818017E-2</v>
      </c>
      <c r="BQ14" s="272">
        <f t="shared" si="22"/>
        <v>3.4688520917327819</v>
      </c>
      <c r="BR14" s="273">
        <f t="shared" si="23"/>
        <v>3.5759564584043577</v>
      </c>
      <c r="BS14" s="272">
        <f t="shared" si="24"/>
        <v>3.8157373009060604</v>
      </c>
      <c r="BT14" s="274">
        <f t="shared" si="25"/>
        <v>3.9335521042447938</v>
      </c>
      <c r="BW14" s="290">
        <v>11</v>
      </c>
      <c r="BX14" s="291">
        <f>'[4]ACs etc'!P14</f>
        <v>4.8628234303907849</v>
      </c>
      <c r="BY14" s="292">
        <f>'[4]ACs etc'!O14</f>
        <v>5.3758694878130759</v>
      </c>
      <c r="CA14" s="167">
        <f t="shared" si="26"/>
        <v>0.21532472738796904</v>
      </c>
      <c r="CB14" s="167">
        <f t="shared" si="27"/>
        <v>0.26829471713142761</v>
      </c>
    </row>
    <row r="15" spans="1:80">
      <c r="A15" s="2">
        <v>12</v>
      </c>
      <c r="B15" s="2">
        <f t="shared" si="5"/>
        <v>9.1219999999999999E-3</v>
      </c>
      <c r="C15" s="2">
        <f t="shared" si="0"/>
        <v>4.142237877168887E-3</v>
      </c>
      <c r="D15" s="2">
        <f>SUM(C$4:C15)</f>
        <v>7.3231795923986889E-2</v>
      </c>
      <c r="E15" s="260">
        <f t="shared" si="6"/>
        <v>1.1956181714615333</v>
      </c>
      <c r="G15" s="185">
        <v>12</v>
      </c>
      <c r="H15" s="201">
        <f t="shared" si="7"/>
        <v>0.59556448107304039</v>
      </c>
      <c r="I15" s="202">
        <f t="shared" si="8"/>
        <v>0.60879569666207278</v>
      </c>
      <c r="J15" s="186">
        <f t="shared" si="9"/>
        <v>0.27044176187208729</v>
      </c>
      <c r="K15" s="186">
        <f t="shared" si="10"/>
        <v>0.27644996647347708</v>
      </c>
      <c r="L15" s="186">
        <f>SUM(J$4:J15)</f>
        <v>3.6702042955580509</v>
      </c>
      <c r="M15" s="186">
        <f>SUM(K$4:K15)</f>
        <v>3.7833168668310169</v>
      </c>
      <c r="N15" s="203">
        <f t="shared" si="11"/>
        <v>4.1177797006302423</v>
      </c>
      <c r="O15" s="203">
        <f t="shared" si="12"/>
        <v>4.2422035290305047</v>
      </c>
      <c r="P15" s="228">
        <v>0.49744080485116982</v>
      </c>
      <c r="R15" s="185">
        <v>12</v>
      </c>
      <c r="S15" s="186">
        <v>0.45565762768053003</v>
      </c>
      <c r="T15" s="186">
        <v>0.50348953468745117</v>
      </c>
      <c r="U15" s="186">
        <v>0.49812264089714997</v>
      </c>
      <c r="V15" s="186">
        <v>0.50918906319220292</v>
      </c>
      <c r="W15" s="186"/>
      <c r="X15" s="186"/>
      <c r="Y15" s="186"/>
      <c r="Z15" s="187"/>
      <c r="AC15" s="185">
        <v>12</v>
      </c>
      <c r="AD15" s="186">
        <f t="shared" si="13"/>
        <v>0.45565762768053003</v>
      </c>
      <c r="AE15" s="186">
        <f t="shared" si="13"/>
        <v>0.50348953468745117</v>
      </c>
      <c r="AF15" s="186">
        <f t="shared" si="1"/>
        <v>0.20691101561052508</v>
      </c>
      <c r="AG15" s="186">
        <f t="shared" si="2"/>
        <v>0.22863115778782048</v>
      </c>
      <c r="AH15" s="186">
        <f>SUM(AF$4:AF15)</f>
        <v>3.0166130148564112</v>
      </c>
      <c r="AI15" s="187">
        <f>SUM(AG$4:AG15)</f>
        <v>3.3419337457635985</v>
      </c>
      <c r="AK15" s="185">
        <v>12</v>
      </c>
      <c r="AL15" s="186">
        <f t="shared" si="14"/>
        <v>0.49812264089714997</v>
      </c>
      <c r="AM15" s="186">
        <f t="shared" si="15"/>
        <v>0.50918906319220292</v>
      </c>
      <c r="AN15" s="186">
        <f t="shared" si="16"/>
        <v>0.22619408798504387</v>
      </c>
      <c r="AO15" s="186">
        <f t="shared" si="17"/>
        <v>0.2312192747418203</v>
      </c>
      <c r="AP15" s="186">
        <f>SUM(AN$4:AN15)</f>
        <v>3.3398669685217839</v>
      </c>
      <c r="AQ15" s="187">
        <f>SUM(AO$4:AO15)</f>
        <v>3.4427922203796717</v>
      </c>
      <c r="AR15" s="167"/>
      <c r="BH15" s="265">
        <f t="shared" si="18"/>
        <v>12</v>
      </c>
      <c r="BI15" s="272">
        <f t="shared" si="19"/>
        <v>0.49812264089714997</v>
      </c>
      <c r="BJ15" s="272">
        <f t="shared" si="20"/>
        <v>0.50918906319220292</v>
      </c>
      <c r="BK15" s="272">
        <f t="shared" si="3"/>
        <v>0.59556448107304039</v>
      </c>
      <c r="BL15" s="272">
        <f t="shared" si="4"/>
        <v>0.60879569666207278</v>
      </c>
      <c r="BM15" s="272">
        <f>NPV($BK$1,BK$4:BK15)</f>
        <v>3.6702042955580509</v>
      </c>
      <c r="BN15" s="272">
        <f>NPV($BK$1,BL$4:BL15)</f>
        <v>3.7833168668310169</v>
      </c>
      <c r="BO15" s="272">
        <f t="shared" si="21"/>
        <v>9.1219999999999999E-3</v>
      </c>
      <c r="BP15" s="272">
        <f>NPV(BK$1,BO$4:BO15)</f>
        <v>7.3231795923986889E-2</v>
      </c>
      <c r="BQ15" s="272">
        <f t="shared" si="22"/>
        <v>3.7434360914820379</v>
      </c>
      <c r="BR15" s="273">
        <f t="shared" si="23"/>
        <v>3.8565486627550039</v>
      </c>
      <c r="BS15" s="272">
        <f t="shared" si="24"/>
        <v>4.1177797006302423</v>
      </c>
      <c r="BT15" s="274">
        <f t="shared" si="25"/>
        <v>4.2422035290305047</v>
      </c>
      <c r="BW15" s="290">
        <v>12</v>
      </c>
      <c r="BX15" s="291">
        <f>'[4]ACs etc'!P15</f>
        <v>5.1493643515850902</v>
      </c>
      <c r="BY15" s="292">
        <f>'[4]ACs etc'!O15</f>
        <v>5.6899103708925098</v>
      </c>
      <c r="CA15" s="167">
        <f t="shared" si="26"/>
        <v>0.20033242562012588</v>
      </c>
      <c r="CB15" s="167">
        <f t="shared" si="27"/>
        <v>0.25443403278686805</v>
      </c>
    </row>
    <row r="16" spans="1:80">
      <c r="A16" s="2">
        <v>13</v>
      </c>
      <c r="B16" s="2">
        <f t="shared" si="5"/>
        <v>9.1219999999999999E-3</v>
      </c>
      <c r="C16" s="2">
        <f t="shared" si="0"/>
        <v>3.8784998849895943E-3</v>
      </c>
      <c r="D16" s="2">
        <f>SUM(C$4:C16)</f>
        <v>7.7110295808976478E-2</v>
      </c>
      <c r="E16" s="260">
        <f t="shared" si="6"/>
        <v>1.2135524440334562</v>
      </c>
      <c r="G16" s="185">
        <v>13</v>
      </c>
      <c r="H16" s="201">
        <f t="shared" si="7"/>
        <v>0.59383707395238472</v>
      </c>
      <c r="I16" s="202">
        <f t="shared" si="8"/>
        <v>0.61266681577215709</v>
      </c>
      <c r="J16" s="186">
        <f t="shared" si="9"/>
        <v>0.25248816301544413</v>
      </c>
      <c r="K16" s="186">
        <f t="shared" si="10"/>
        <v>0.26049420900123355</v>
      </c>
      <c r="L16" s="186">
        <f>SUM(J$4:J16)</f>
        <v>3.9226924585734952</v>
      </c>
      <c r="M16" s="186">
        <f>SUM(K$4:K16)</f>
        <v>4.0438110758322505</v>
      </c>
      <c r="N16" s="203">
        <f t="shared" si="11"/>
        <v>4.3997830298207194</v>
      </c>
      <c r="O16" s="203">
        <f t="shared" si="12"/>
        <v>4.5330135088053503</v>
      </c>
      <c r="P16" s="228">
        <v>0.5309306602417454</v>
      </c>
      <c r="R16" s="185">
        <v>13</v>
      </c>
      <c r="S16" s="186">
        <v>0.47120120694728501</v>
      </c>
      <c r="T16" s="186">
        <v>0.52050166849031665</v>
      </c>
      <c r="U16" s="186">
        <v>0.489337792422602</v>
      </c>
      <c r="V16" s="186">
        <v>0.50485400839855799</v>
      </c>
      <c r="W16" s="186"/>
      <c r="X16" s="186"/>
      <c r="Y16" s="186"/>
      <c r="Z16" s="187"/>
      <c r="AC16" s="185">
        <v>13</v>
      </c>
      <c r="AD16" s="186">
        <f t="shared" si="13"/>
        <v>0.47120120694728501</v>
      </c>
      <c r="AE16" s="186">
        <f t="shared" si="13"/>
        <v>0.52050166849031665</v>
      </c>
      <c r="AF16" s="186">
        <f t="shared" si="1"/>
        <v>0.20034573853891724</v>
      </c>
      <c r="AG16" s="186">
        <f t="shared" si="2"/>
        <v>0.22130735160892184</v>
      </c>
      <c r="AH16" s="186">
        <f>SUM(AF$4:AF16)</f>
        <v>3.2169587533953283</v>
      </c>
      <c r="AI16" s="187">
        <f>SUM(AG$4:AG16)</f>
        <v>3.5632410973725204</v>
      </c>
      <c r="AK16" s="185">
        <v>13</v>
      </c>
      <c r="AL16" s="186">
        <f t="shared" si="14"/>
        <v>0.489337792422602</v>
      </c>
      <c r="AM16" s="186">
        <f t="shared" si="15"/>
        <v>0.50485400839855799</v>
      </c>
      <c r="AN16" s="186">
        <f t="shared" si="16"/>
        <v>0.20805706770797236</v>
      </c>
      <c r="AO16" s="186">
        <f t="shared" si="17"/>
        <v>0.21465426589677075</v>
      </c>
      <c r="AP16" s="186">
        <f>SUM(AN$4:AN16)</f>
        <v>3.5479240362297562</v>
      </c>
      <c r="AQ16" s="187">
        <f>SUM(AO$4:AO16)</f>
        <v>3.6574464862764424</v>
      </c>
      <c r="AR16" s="167"/>
      <c r="BH16" s="265">
        <f t="shared" si="18"/>
        <v>13</v>
      </c>
      <c r="BI16" s="272">
        <f t="shared" si="19"/>
        <v>0.489337792422602</v>
      </c>
      <c r="BJ16" s="272">
        <f t="shared" si="20"/>
        <v>0.50485400839855799</v>
      </c>
      <c r="BK16" s="272">
        <f t="shared" si="3"/>
        <v>0.59383707395238472</v>
      </c>
      <c r="BL16" s="272">
        <f t="shared" si="4"/>
        <v>0.61266681577215709</v>
      </c>
      <c r="BM16" s="272">
        <f>NPV($BK$1,BK$4:BK16)</f>
        <v>3.9226924585734948</v>
      </c>
      <c r="BN16" s="272">
        <f>NPV($BK$1,BL$4:BL16)</f>
        <v>4.0438110758322505</v>
      </c>
      <c r="BO16" s="272">
        <f t="shared" si="21"/>
        <v>9.1219999999999999E-3</v>
      </c>
      <c r="BP16" s="272">
        <f>NPV(BK$1,BO$4:BO16)</f>
        <v>7.7110295808976492E-2</v>
      </c>
      <c r="BQ16" s="272">
        <f t="shared" si="22"/>
        <v>3.9998027543824715</v>
      </c>
      <c r="BR16" s="273">
        <f t="shared" si="23"/>
        <v>4.1209213716412272</v>
      </c>
      <c r="BS16" s="272">
        <f t="shared" si="24"/>
        <v>4.3997830298207186</v>
      </c>
      <c r="BT16" s="274">
        <f t="shared" si="25"/>
        <v>4.5330135088053503</v>
      </c>
      <c r="BW16" s="290">
        <v>13</v>
      </c>
      <c r="BX16" s="291">
        <f>'[4]ACs etc'!P16</f>
        <v>5.4228721205451729</v>
      </c>
      <c r="BY16" s="292">
        <f>'[4]ACs etc'!O16</f>
        <v>5.9902520306344638</v>
      </c>
      <c r="CA16" s="167">
        <f t="shared" si="26"/>
        <v>0.1886618507650889</v>
      </c>
      <c r="CB16" s="167">
        <f t="shared" si="27"/>
        <v>0.24326831565295071</v>
      </c>
    </row>
    <row r="17" spans="1:80">
      <c r="A17" s="2">
        <v>14</v>
      </c>
      <c r="B17" s="2">
        <f t="shared" si="5"/>
        <v>9.1219999999999999E-3</v>
      </c>
      <c r="C17" s="2">
        <f t="shared" si="0"/>
        <v>3.6315541994284585E-3</v>
      </c>
      <c r="D17" s="2">
        <f>SUM(C$4:C17)</f>
        <v>8.0741850008404933E-2</v>
      </c>
      <c r="E17" s="260">
        <f t="shared" si="6"/>
        <v>1.2317557306939577</v>
      </c>
      <c r="G17" s="185">
        <v>14</v>
      </c>
      <c r="H17" s="201">
        <f t="shared" si="7"/>
        <v>0.6076652628272472</v>
      </c>
      <c r="I17" s="202">
        <f t="shared" si="8"/>
        <v>0.6211788434539115</v>
      </c>
      <c r="J17" s="186">
        <f t="shared" si="9"/>
        <v>0.24191727001393198</v>
      </c>
      <c r="K17" s="186">
        <f t="shared" si="10"/>
        <v>0.24729715386331563</v>
      </c>
      <c r="L17" s="186">
        <f>SUM(J$4:J17)</f>
        <v>4.1646097285874273</v>
      </c>
      <c r="M17" s="186">
        <f>SUM(K$4:K17)</f>
        <v>4.291108229695566</v>
      </c>
      <c r="N17" s="203">
        <f t="shared" si="11"/>
        <v>4.6698867364554157</v>
      </c>
      <c r="O17" s="203">
        <f t="shared" si="12"/>
        <v>4.8090350876743679</v>
      </c>
      <c r="P17" s="228">
        <v>0.56288616543424541</v>
      </c>
      <c r="R17" s="185">
        <v>14</v>
      </c>
      <c r="S17" s="186">
        <v>0.48379327342934797</v>
      </c>
      <c r="T17" s="186">
        <v>0.53425618983308765</v>
      </c>
      <c r="U17" s="186">
        <v>0.49333260457809702</v>
      </c>
      <c r="V17" s="186">
        <v>0.50430359524606894</v>
      </c>
      <c r="W17" s="186"/>
      <c r="X17" s="186"/>
      <c r="Y17" s="186"/>
      <c r="Z17" s="187"/>
      <c r="AC17" s="185">
        <v>14</v>
      </c>
      <c r="AD17" s="186">
        <f t="shared" si="13"/>
        <v>0.48379327342934797</v>
      </c>
      <c r="AE17" s="186">
        <f t="shared" si="13"/>
        <v>0.53425618983308765</v>
      </c>
      <c r="AF17" s="186">
        <f t="shared" si="1"/>
        <v>0.1926026632073656</v>
      </c>
      <c r="AG17" s="186">
        <f t="shared" si="2"/>
        <v>0.21269242597664956</v>
      </c>
      <c r="AH17" s="186">
        <f>SUM(AF$4:AF17)</f>
        <v>3.4095614166026937</v>
      </c>
      <c r="AI17" s="187">
        <f>SUM(AG$4:AG17)</f>
        <v>3.77593352334917</v>
      </c>
      <c r="AK17" s="185">
        <v>14</v>
      </c>
      <c r="AL17" s="186">
        <f t="shared" si="14"/>
        <v>0.49333260457809702</v>
      </c>
      <c r="AM17" s="186">
        <f t="shared" si="15"/>
        <v>0.50430359524606894</v>
      </c>
      <c r="AN17" s="186">
        <f t="shared" si="16"/>
        <v>0.19640036087158161</v>
      </c>
      <c r="AO17" s="186">
        <f t="shared" si="17"/>
        <v>0.20076801568764868</v>
      </c>
      <c r="AP17" s="186">
        <f>SUM(AN$4:AN17)</f>
        <v>3.7443243971013378</v>
      </c>
      <c r="AQ17" s="187">
        <f>SUM(AO$4:AO17)</f>
        <v>3.858214501964091</v>
      </c>
      <c r="AR17" s="167"/>
      <c r="BH17" s="265">
        <f t="shared" si="18"/>
        <v>14</v>
      </c>
      <c r="BI17" s="272">
        <f t="shared" si="19"/>
        <v>0.49333260457809702</v>
      </c>
      <c r="BJ17" s="272">
        <f t="shared" si="20"/>
        <v>0.50430359524606894</v>
      </c>
      <c r="BK17" s="272">
        <f t="shared" si="3"/>
        <v>0.6076652628272472</v>
      </c>
      <c r="BL17" s="272">
        <f t="shared" si="4"/>
        <v>0.6211788434539115</v>
      </c>
      <c r="BM17" s="272">
        <f>NPV($BK$1,BK$4:BK17)</f>
        <v>4.1646097285874273</v>
      </c>
      <c r="BN17" s="272">
        <f>NPV($BK$1,BL$4:BL17)</f>
        <v>4.2911082296955669</v>
      </c>
      <c r="BO17" s="272">
        <f t="shared" si="21"/>
        <v>9.1219999999999999E-3</v>
      </c>
      <c r="BP17" s="272">
        <f>NPV(BK$1,BO$4:BO17)</f>
        <v>8.0741850008404947E-2</v>
      </c>
      <c r="BQ17" s="272">
        <f t="shared" si="22"/>
        <v>4.245351578595832</v>
      </c>
      <c r="BR17" s="273">
        <f t="shared" si="23"/>
        <v>4.3718500797039717</v>
      </c>
      <c r="BS17" s="272">
        <f t="shared" si="24"/>
        <v>4.6698867364554157</v>
      </c>
      <c r="BT17" s="274">
        <f t="shared" si="25"/>
        <v>4.8090350876743688</v>
      </c>
      <c r="BW17" s="290">
        <v>14</v>
      </c>
      <c r="BX17" s="291">
        <f>'[4]ACs etc'!P17</f>
        <v>5.6839105702418795</v>
      </c>
      <c r="BY17" s="292">
        <f>'[4]ACs etc'!O17</f>
        <v>6.2767809545679976</v>
      </c>
      <c r="CA17" s="167">
        <f t="shared" si="26"/>
        <v>0.17840249617849135</v>
      </c>
      <c r="CB17" s="167">
        <f t="shared" si="27"/>
        <v>0.23383735668288064</v>
      </c>
    </row>
    <row r="18" spans="1:80">
      <c r="A18" s="2">
        <v>15</v>
      </c>
      <c r="B18" s="2">
        <f t="shared" si="5"/>
        <v>9.1219999999999999E-3</v>
      </c>
      <c r="C18" s="2">
        <f t="shared" si="0"/>
        <v>3.4003316474049239E-3</v>
      </c>
      <c r="D18" s="2">
        <f>SUM(C$4:C18)</f>
        <v>8.4142181655809861E-2</v>
      </c>
      <c r="E18" s="260">
        <f t="shared" si="6"/>
        <v>1.2502320666543669</v>
      </c>
      <c r="G18" s="185">
        <v>15</v>
      </c>
      <c r="H18" s="201">
        <f t="shared" si="7"/>
        <v>0.62965447284166109</v>
      </c>
      <c r="I18" s="202">
        <f t="shared" si="8"/>
        <v>0.65250358236069927</v>
      </c>
      <c r="J18" s="186">
        <f t="shared" si="9"/>
        <v>0.23471103167436574</v>
      </c>
      <c r="K18" s="186">
        <f t="shared" si="10"/>
        <v>0.24322830312937635</v>
      </c>
      <c r="L18" s="186">
        <f>SUM(J$4:J18)</f>
        <v>4.3993207602617934</v>
      </c>
      <c r="M18" s="186">
        <f>SUM(K$4:K18)</f>
        <v>4.5343365328249421</v>
      </c>
      <c r="N18" s="203">
        <f t="shared" si="11"/>
        <v>4.9318092361093635</v>
      </c>
      <c r="O18" s="203">
        <f t="shared" si="12"/>
        <v>5.0803265859288267</v>
      </c>
      <c r="P18" s="228">
        <v>0.59464515781902261</v>
      </c>
      <c r="R18" s="185">
        <v>15</v>
      </c>
      <c r="S18" s="186">
        <v>0.50297154596407101</v>
      </c>
      <c r="T18" s="186">
        <v>0.55523336441002114</v>
      </c>
      <c r="U18" s="186">
        <v>0.50363007767559709</v>
      </c>
      <c r="V18" s="186">
        <v>0.52190597231024893</v>
      </c>
      <c r="W18" s="186"/>
      <c r="X18" s="186"/>
      <c r="Y18" s="186"/>
      <c r="Z18" s="187"/>
      <c r="AC18" s="185">
        <v>15</v>
      </c>
      <c r="AD18" s="186">
        <f t="shared" si="13"/>
        <v>0.50297154596407101</v>
      </c>
      <c r="AE18" s="186">
        <f t="shared" si="13"/>
        <v>0.55523336441002114</v>
      </c>
      <c r="AF18" s="186">
        <f t="shared" si="1"/>
        <v>0.18748849654525443</v>
      </c>
      <c r="AG18" s="186">
        <f t="shared" si="2"/>
        <v>0.20696969751134681</v>
      </c>
      <c r="AH18" s="186">
        <f>SUM(AF$4:AF18)</f>
        <v>3.5970499131479481</v>
      </c>
      <c r="AI18" s="187">
        <f>SUM(AG$4:AG18)</f>
        <v>3.9829032208605168</v>
      </c>
      <c r="AK18" s="185">
        <v>15</v>
      </c>
      <c r="AL18" s="186">
        <f t="shared" si="14"/>
        <v>0.50363007767559709</v>
      </c>
      <c r="AM18" s="186">
        <f t="shared" si="15"/>
        <v>0.52190597231024893</v>
      </c>
      <c r="AN18" s="186">
        <f t="shared" si="16"/>
        <v>0.18773397190367605</v>
      </c>
      <c r="AO18" s="186">
        <f t="shared" si="17"/>
        <v>0.19454652429469166</v>
      </c>
      <c r="AP18" s="186">
        <f>SUM(AN$4:AN18)</f>
        <v>3.9320583690050137</v>
      </c>
      <c r="AQ18" s="187">
        <f>SUM(AO$4:AO18)</f>
        <v>4.052761026258783</v>
      </c>
      <c r="AR18" s="167"/>
      <c r="BH18" s="265">
        <f t="shared" si="18"/>
        <v>15</v>
      </c>
      <c r="BI18" s="272">
        <f t="shared" si="19"/>
        <v>0.50363007767559709</v>
      </c>
      <c r="BJ18" s="272">
        <f t="shared" si="20"/>
        <v>0.52190597231024893</v>
      </c>
      <c r="BK18" s="272">
        <f t="shared" si="3"/>
        <v>0.62965447284166109</v>
      </c>
      <c r="BL18" s="272">
        <f t="shared" si="4"/>
        <v>0.65250358236069927</v>
      </c>
      <c r="BM18" s="272">
        <f>NPV($BK$1,BK$4:BK18)</f>
        <v>4.3993207602617934</v>
      </c>
      <c r="BN18" s="272">
        <f>NPV($BK$1,BL$4:BL18)</f>
        <v>4.5343365328249421</v>
      </c>
      <c r="BO18" s="272">
        <f t="shared" si="21"/>
        <v>9.1219999999999999E-3</v>
      </c>
      <c r="BP18" s="272">
        <f>NPV(BK$1,BO$4:BO18)</f>
        <v>8.4142181655809861E-2</v>
      </c>
      <c r="BQ18" s="272">
        <f t="shared" si="22"/>
        <v>4.4834629419176029</v>
      </c>
      <c r="BR18" s="273">
        <f t="shared" si="23"/>
        <v>4.6184787144807515</v>
      </c>
      <c r="BS18" s="272">
        <f t="shared" si="24"/>
        <v>4.9318092361093635</v>
      </c>
      <c r="BT18" s="274">
        <f t="shared" si="25"/>
        <v>5.0803265859288267</v>
      </c>
      <c r="BW18" s="290">
        <v>15</v>
      </c>
      <c r="BX18" s="291">
        <f>'[4]ACs etc'!P18</f>
        <v>5.9324537790961038</v>
      </c>
      <c r="BY18" s="292">
        <f>'[4]ACs etc'!O18</f>
        <v>6.5488719936649638</v>
      </c>
      <c r="CA18" s="167">
        <f t="shared" si="26"/>
        <v>0.16867296067483284</v>
      </c>
      <c r="CB18" s="167">
        <f t="shared" si="27"/>
        <v>0.22424402388025466</v>
      </c>
    </row>
    <row r="19" spans="1:80">
      <c r="A19" s="2">
        <v>16</v>
      </c>
      <c r="B19" s="2">
        <f t="shared" si="5"/>
        <v>9.1219999999999999E-3</v>
      </c>
      <c r="C19" s="2">
        <f t="shared" si="0"/>
        <v>3.1838311305289546E-3</v>
      </c>
      <c r="D19" s="2">
        <f>SUM(C$4:C19)</f>
        <v>8.7326012786338822E-2</v>
      </c>
      <c r="E19" s="260">
        <f t="shared" si="6"/>
        <v>1.2689855476541823</v>
      </c>
      <c r="G19" s="185">
        <v>16</v>
      </c>
      <c r="H19" s="201">
        <f t="shared" si="7"/>
        <v>0.63403046242025696</v>
      </c>
      <c r="I19" s="202">
        <f t="shared" si="8"/>
        <v>0.66120899425041957</v>
      </c>
      <c r="J19" s="186">
        <f t="shared" si="9"/>
        <v>0.22129422538448615</v>
      </c>
      <c r="K19" s="186">
        <f t="shared" si="10"/>
        <v>0.23078028718266022</v>
      </c>
      <c r="L19" s="186">
        <f>SUM(J$4:J19)</f>
        <v>4.6206149856462799</v>
      </c>
      <c r="M19" s="186">
        <f>SUM(K$4:K19)</f>
        <v>4.7651168200076022</v>
      </c>
      <c r="N19" s="203">
        <f t="shared" si="11"/>
        <v>5.1787350982758813</v>
      </c>
      <c r="O19" s="203">
        <f t="shared" si="12"/>
        <v>5.3376871160733357</v>
      </c>
      <c r="P19" s="228">
        <v>0.62497939761109977</v>
      </c>
      <c r="R19" s="185">
        <v>16</v>
      </c>
      <c r="S19" s="186">
        <v>0.51958761803091402</v>
      </c>
      <c r="T19" s="186">
        <v>0.57336193625605514</v>
      </c>
      <c r="U19" s="186">
        <v>0.499635684261583</v>
      </c>
      <c r="V19" s="186">
        <v>0.52105321094689805</v>
      </c>
      <c r="W19" s="186"/>
      <c r="X19" s="186"/>
      <c r="Y19" s="186"/>
      <c r="Z19" s="187"/>
      <c r="AC19" s="185">
        <v>16</v>
      </c>
      <c r="AD19" s="186">
        <f t="shared" si="13"/>
        <v>0.51958761803091402</v>
      </c>
      <c r="AE19" s="186">
        <f t="shared" si="13"/>
        <v>0.57336193625605514</v>
      </c>
      <c r="AF19" s="186">
        <f t="shared" si="1"/>
        <v>0.18135049696603944</v>
      </c>
      <c r="AG19" s="186">
        <f t="shared" si="2"/>
        <v>0.20011922623464004</v>
      </c>
      <c r="AH19" s="186">
        <f>SUM(AF$4:AF19)</f>
        <v>3.7784004101139876</v>
      </c>
      <c r="AI19" s="187">
        <f>SUM(AG$4:AG19)</f>
        <v>4.1830224470951567</v>
      </c>
      <c r="AK19" s="185">
        <v>16</v>
      </c>
      <c r="AL19" s="186">
        <f t="shared" si="14"/>
        <v>0.499635684261583</v>
      </c>
      <c r="AM19" s="186">
        <f t="shared" si="15"/>
        <v>0.52105321094689805</v>
      </c>
      <c r="AN19" s="186">
        <f t="shared" si="16"/>
        <v>0.17438671842525363</v>
      </c>
      <c r="AO19" s="186">
        <f t="shared" si="17"/>
        <v>0.18186202956312258</v>
      </c>
      <c r="AP19" s="186">
        <f>SUM(AN$4:AN19)</f>
        <v>4.1064450874302674</v>
      </c>
      <c r="AQ19" s="187">
        <f>SUM(AO$4:AO19)</f>
        <v>4.2346230558219053</v>
      </c>
      <c r="AR19" s="167"/>
      <c r="BH19" s="265">
        <f t="shared" si="18"/>
        <v>16</v>
      </c>
      <c r="BI19" s="272">
        <f t="shared" si="19"/>
        <v>0.499635684261583</v>
      </c>
      <c r="BJ19" s="272">
        <f t="shared" si="20"/>
        <v>0.52105321094689805</v>
      </c>
      <c r="BK19" s="272">
        <f t="shared" si="3"/>
        <v>0.63403046242025696</v>
      </c>
      <c r="BL19" s="272">
        <f t="shared" si="4"/>
        <v>0.66120899425041957</v>
      </c>
      <c r="BM19" s="272">
        <f>NPV($BK$1,BK$4:BK19)</f>
        <v>4.620614985646279</v>
      </c>
      <c r="BN19" s="272">
        <f>NPV($BK$1,BL$4:BL19)</f>
        <v>4.7651168200076031</v>
      </c>
      <c r="BO19" s="272">
        <f t="shared" si="21"/>
        <v>9.1219999999999999E-3</v>
      </c>
      <c r="BP19" s="272">
        <f>NPV(BK$1,BO$4:BO19)</f>
        <v>8.7326012786338822E-2</v>
      </c>
      <c r="BQ19" s="272">
        <f t="shared" si="22"/>
        <v>4.7079409984326182</v>
      </c>
      <c r="BR19" s="273">
        <f t="shared" si="23"/>
        <v>4.8524428327939422</v>
      </c>
      <c r="BS19" s="272">
        <f t="shared" si="24"/>
        <v>5.1787350982758804</v>
      </c>
      <c r="BT19" s="274">
        <f t="shared" si="25"/>
        <v>5.3376871160733366</v>
      </c>
      <c r="BW19" s="290">
        <v>16</v>
      </c>
      <c r="BX19" s="291">
        <f>'[4]ACs etc'!P19</f>
        <v>6.1684505097526898</v>
      </c>
      <c r="BY19" s="292">
        <f>'[4]ACs etc'!O19</f>
        <v>6.8068495191912461</v>
      </c>
      <c r="CA19" s="167">
        <f t="shared" si="26"/>
        <v>0.16044797796659149</v>
      </c>
      <c r="CB19" s="167">
        <f t="shared" si="27"/>
        <v>0.21583588692180578</v>
      </c>
    </row>
    <row r="20" spans="1:80">
      <c r="A20" s="2">
        <v>17</v>
      </c>
      <c r="B20" s="2">
        <f t="shared" si="5"/>
        <v>9.1219999999999999E-3</v>
      </c>
      <c r="C20" s="2">
        <f t="shared" si="0"/>
        <v>2.981115290757448E-3</v>
      </c>
      <c r="D20" s="2">
        <f>SUM(C$4:C20)</f>
        <v>9.0307128077096274E-2</v>
      </c>
      <c r="E20" s="260">
        <f t="shared" si="6"/>
        <v>1.2880203308689948</v>
      </c>
      <c r="G20" s="185">
        <v>17</v>
      </c>
      <c r="H20" s="201">
        <f t="shared" si="7"/>
        <v>0.64563978668567057</v>
      </c>
      <c r="I20" s="202">
        <f t="shared" si="8"/>
        <v>0.66786252745399255</v>
      </c>
      <c r="J20" s="186">
        <f t="shared" si="9"/>
        <v>0.21099831620368664</v>
      </c>
      <c r="K20" s="186">
        <f t="shared" si="10"/>
        <v>0.21826081919721696</v>
      </c>
      <c r="L20" s="186">
        <f>SUM(J$4:J20)</f>
        <v>4.8316133018499663</v>
      </c>
      <c r="M20" s="186">
        <f>SUM(K$4:K20)</f>
        <v>4.9833776392048188</v>
      </c>
      <c r="N20" s="203">
        <f t="shared" si="11"/>
        <v>5.4141124729197694</v>
      </c>
      <c r="O20" s="203">
        <f t="shared" si="12"/>
        <v>5.5810532440101071</v>
      </c>
      <c r="P20" s="228">
        <v>0.65545091735540262</v>
      </c>
      <c r="R20" s="185">
        <v>17</v>
      </c>
      <c r="S20" s="186">
        <v>0.53752409447737703</v>
      </c>
      <c r="T20" s="186">
        <v>0.59295225011865849</v>
      </c>
      <c r="U20" s="186">
        <v>0.50126521391946799</v>
      </c>
      <c r="V20" s="186">
        <v>0.51851862229799006</v>
      </c>
      <c r="W20" s="186"/>
      <c r="X20" s="186"/>
      <c r="Y20" s="186"/>
      <c r="Z20" s="187"/>
      <c r="AC20" s="185">
        <v>17</v>
      </c>
      <c r="AD20" s="186">
        <f t="shared" si="13"/>
        <v>0.53752409447737703</v>
      </c>
      <c r="AE20" s="186">
        <f t="shared" si="13"/>
        <v>0.59295225011865849</v>
      </c>
      <c r="AF20" s="186">
        <f t="shared" si="1"/>
        <v>0.17566556645440251</v>
      </c>
      <c r="AG20" s="186">
        <f t="shared" si="2"/>
        <v>0.19377976534945929</v>
      </c>
      <c r="AH20" s="186">
        <f>SUM(AF$4:AF20)</f>
        <v>3.9540659765683901</v>
      </c>
      <c r="AI20" s="187">
        <f>SUM(AG$4:AG20)</f>
        <v>4.3768022124446162</v>
      </c>
      <c r="AK20" s="185">
        <v>17</v>
      </c>
      <c r="AL20" s="186">
        <f t="shared" si="14"/>
        <v>0.50126521391946799</v>
      </c>
      <c r="AM20" s="186">
        <f t="shared" si="15"/>
        <v>0.51851862229799006</v>
      </c>
      <c r="AN20" s="186">
        <f t="shared" si="16"/>
        <v>0.16381598267267367</v>
      </c>
      <c r="AO20" s="186">
        <f t="shared" si="17"/>
        <v>0.16945448295056173</v>
      </c>
      <c r="AP20" s="186">
        <f>SUM(AN$4:AN20)</f>
        <v>4.2702610701029409</v>
      </c>
      <c r="AQ20" s="187">
        <f>SUM(AO$4:AO20)</f>
        <v>4.4040775387724667</v>
      </c>
      <c r="AR20" s="167"/>
      <c r="BH20" s="265">
        <f t="shared" si="18"/>
        <v>17</v>
      </c>
      <c r="BI20" s="272">
        <f t="shared" si="19"/>
        <v>0.50126521391946799</v>
      </c>
      <c r="BJ20" s="272">
        <f t="shared" si="20"/>
        <v>0.51851862229799006</v>
      </c>
      <c r="BK20" s="272">
        <f t="shared" si="3"/>
        <v>0.64563978668567057</v>
      </c>
      <c r="BL20" s="272">
        <f t="shared" si="4"/>
        <v>0.66786252745399255</v>
      </c>
      <c r="BM20" s="272">
        <f>NPV($BK$1,BK$4:BK20)</f>
        <v>4.8316133018499654</v>
      </c>
      <c r="BN20" s="272">
        <f>NPV($BK$1,BL$4:BL20)</f>
        <v>4.9833776392048197</v>
      </c>
      <c r="BO20" s="272">
        <f t="shared" si="21"/>
        <v>9.1219999999999999E-3</v>
      </c>
      <c r="BP20" s="272">
        <f>NPV(BK$1,BO$4:BO20)</f>
        <v>9.0307128077096274E-2</v>
      </c>
      <c r="BQ20" s="272">
        <f t="shared" si="22"/>
        <v>4.921920429927062</v>
      </c>
      <c r="BR20" s="273">
        <f t="shared" si="23"/>
        <v>5.0736847672819163</v>
      </c>
      <c r="BS20" s="272">
        <f t="shared" si="24"/>
        <v>5.4141124729197685</v>
      </c>
      <c r="BT20" s="274">
        <f t="shared" si="25"/>
        <v>5.5810532440101088</v>
      </c>
      <c r="BW20" s="290">
        <v>17</v>
      </c>
      <c r="BX20" s="291">
        <f>'[4]ACs etc'!P20</f>
        <v>6.3927041097710671</v>
      </c>
      <c r="BY20" s="292">
        <f>'[4]ACs etc'!O20</f>
        <v>7.0519039521698783</v>
      </c>
      <c r="CA20" s="167">
        <f t="shared" si="26"/>
        <v>0.15307945120681388</v>
      </c>
      <c r="CB20" s="167">
        <f t="shared" si="27"/>
        <v>0.20857497750053544</v>
      </c>
    </row>
    <row r="21" spans="1:80">
      <c r="A21" s="2">
        <v>18</v>
      </c>
      <c r="B21" s="2">
        <f t="shared" si="5"/>
        <v>9.1219999999999999E-3</v>
      </c>
      <c r="C21" s="2">
        <f t="shared" si="0"/>
        <v>2.7913064520200823E-3</v>
      </c>
      <c r="D21" s="2">
        <f>SUM(C$4:C21)</f>
        <v>9.3098434529116356E-2</v>
      </c>
      <c r="E21" s="260">
        <f t="shared" si="6"/>
        <v>1.3073406358320296</v>
      </c>
      <c r="G21" s="185">
        <v>18</v>
      </c>
      <c r="H21" s="201">
        <f t="shared" si="7"/>
        <v>0.6599084652680608</v>
      </c>
      <c r="I21" s="202">
        <f t="shared" si="8"/>
        <v>0.68217082410177932</v>
      </c>
      <c r="J21" s="186">
        <f t="shared" si="9"/>
        <v>0.20193014216678454</v>
      </c>
      <c r="K21" s="186">
        <f t="shared" si="10"/>
        <v>0.2087423616197274</v>
      </c>
      <c r="L21" s="186">
        <f>SUM(J$4:J21)</f>
        <v>5.0335434440167512</v>
      </c>
      <c r="M21" s="186">
        <f>SUM(K$4:K21)</f>
        <v>5.1921200008245458</v>
      </c>
      <c r="N21" s="203">
        <f t="shared" si="11"/>
        <v>5.6393060664004544</v>
      </c>
      <c r="O21" s="203">
        <f t="shared" si="12"/>
        <v>5.8137402788890284</v>
      </c>
      <c r="P21" s="228">
        <v>0.6847337922586284</v>
      </c>
      <c r="R21" s="185">
        <v>18</v>
      </c>
      <c r="S21" s="186">
        <v>0.55643962037073402</v>
      </c>
      <c r="T21" s="186">
        <v>0.61363001656366178</v>
      </c>
      <c r="U21" s="186">
        <v>0.50477163118858903</v>
      </c>
      <c r="V21" s="186">
        <v>0.52180036740587199</v>
      </c>
      <c r="W21" s="186"/>
      <c r="X21" s="186"/>
      <c r="Y21" s="186"/>
      <c r="Z21" s="187"/>
      <c r="AC21" s="185">
        <v>18</v>
      </c>
      <c r="AD21" s="186">
        <f t="shared" si="13"/>
        <v>0.55643962037073402</v>
      </c>
      <c r="AE21" s="186">
        <f t="shared" si="13"/>
        <v>0.61363001656366178</v>
      </c>
      <c r="AF21" s="186">
        <f t="shared" si="1"/>
        <v>0.17026896541333428</v>
      </c>
      <c r="AG21" s="186">
        <f t="shared" si="2"/>
        <v>0.18776906647526193</v>
      </c>
      <c r="AH21" s="186">
        <f>SUM(AF$4:AF21)</f>
        <v>4.1243349419817248</v>
      </c>
      <c r="AI21" s="187">
        <f>SUM(AG$4:AG21)</f>
        <v>4.5645712789198782</v>
      </c>
      <c r="AK21" s="185">
        <v>18</v>
      </c>
      <c r="AL21" s="186">
        <f t="shared" si="14"/>
        <v>0.50477163118858903</v>
      </c>
      <c r="AM21" s="186">
        <f t="shared" si="15"/>
        <v>0.52180036740587199</v>
      </c>
      <c r="AN21" s="186">
        <f t="shared" si="16"/>
        <v>0.15445870543010415</v>
      </c>
      <c r="AO21" s="186">
        <f t="shared" si="17"/>
        <v>0.15966945102022145</v>
      </c>
      <c r="AP21" s="186">
        <f>SUM(AN$4:AN21)</f>
        <v>4.4247197755330454</v>
      </c>
      <c r="AQ21" s="187">
        <f>SUM(AO$4:AO21)</f>
        <v>4.5637469897926879</v>
      </c>
      <c r="AR21" s="167"/>
      <c r="BH21" s="265">
        <f t="shared" si="18"/>
        <v>18</v>
      </c>
      <c r="BI21" s="272">
        <f t="shared" si="19"/>
        <v>0.50477163118858903</v>
      </c>
      <c r="BJ21" s="272">
        <f t="shared" si="20"/>
        <v>0.52180036740587199</v>
      </c>
      <c r="BK21" s="272">
        <f t="shared" si="3"/>
        <v>0.6599084652680608</v>
      </c>
      <c r="BL21" s="272">
        <f t="shared" si="4"/>
        <v>0.68217082410177932</v>
      </c>
      <c r="BM21" s="272">
        <f>NPV($BK$1,BK$4:BK21)</f>
        <v>5.0335434440167504</v>
      </c>
      <c r="BN21" s="272">
        <f>NPV($BK$1,BL$4:BL21)</f>
        <v>5.1921200008245467</v>
      </c>
      <c r="BO21" s="272">
        <f t="shared" si="21"/>
        <v>9.1219999999999999E-3</v>
      </c>
      <c r="BP21" s="272">
        <f>NPV(BK$1,BO$4:BO21)</f>
        <v>9.3098434529116356E-2</v>
      </c>
      <c r="BQ21" s="272">
        <f t="shared" si="22"/>
        <v>5.1266418785458665</v>
      </c>
      <c r="BR21" s="273">
        <f t="shared" si="23"/>
        <v>5.2852184353536629</v>
      </c>
      <c r="BS21" s="272">
        <f t="shared" si="24"/>
        <v>5.6393060664004535</v>
      </c>
      <c r="BT21" s="274">
        <f t="shared" si="25"/>
        <v>5.8137402788890293</v>
      </c>
      <c r="BW21" s="290">
        <v>18</v>
      </c>
      <c r="BX21" s="291">
        <f>'[4]ACs etc'!P21</f>
        <v>6.6058034109444677</v>
      </c>
      <c r="BY21" s="292">
        <f>'[4]ACs etc'!O21</f>
        <v>7.2847423297669662</v>
      </c>
      <c r="CA21" s="167">
        <f t="shared" si="26"/>
        <v>0.14631034022943001</v>
      </c>
      <c r="CB21" s="167">
        <f t="shared" si="27"/>
        <v>0.20192918078476407</v>
      </c>
    </row>
    <row r="22" spans="1:80">
      <c r="A22" s="2">
        <v>19</v>
      </c>
      <c r="B22" s="2">
        <f t="shared" si="5"/>
        <v>9.1219999999999999E-3</v>
      </c>
      <c r="C22" s="2">
        <f t="shared" si="0"/>
        <v>2.6135828202435226E-3</v>
      </c>
      <c r="D22" s="2">
        <f>SUM(C$4:C22)</f>
        <v>9.5712017349359885E-2</v>
      </c>
      <c r="E22" s="260">
        <f t="shared" si="6"/>
        <v>1.32695074536951</v>
      </c>
      <c r="G22" s="185">
        <v>19</v>
      </c>
      <c r="H22" s="201">
        <f t="shared" si="7"/>
        <v>0.66880395202054466</v>
      </c>
      <c r="I22" s="202">
        <f t="shared" si="8"/>
        <v>0.69213703668905391</v>
      </c>
      <c r="J22" s="186">
        <f t="shared" si="9"/>
        <v>0.19162185037402638</v>
      </c>
      <c r="K22" s="186">
        <f t="shared" si="10"/>
        <v>0.19830711119762903</v>
      </c>
      <c r="L22" s="186">
        <f>SUM(J$4:J22)</f>
        <v>5.225165294390778</v>
      </c>
      <c r="M22" s="186">
        <f>SUM(K$4:K22)</f>
        <v>5.3904271120221745</v>
      </c>
      <c r="N22" s="203">
        <f t="shared" si="11"/>
        <v>5.8529650429141524</v>
      </c>
      <c r="O22" s="203">
        <f t="shared" si="12"/>
        <v>6.0347530423086884</v>
      </c>
      <c r="P22" s="228">
        <v>0.71210041347726882</v>
      </c>
      <c r="R22" s="185">
        <v>19</v>
      </c>
      <c r="S22" s="186">
        <v>0.57446895638557305</v>
      </c>
      <c r="T22" s="186">
        <v>0.63334537659860746</v>
      </c>
      <c r="U22" s="186">
        <v>0.50401565721590202</v>
      </c>
      <c r="V22" s="186">
        <v>0.52159964422516503</v>
      </c>
      <c r="W22" s="186"/>
      <c r="X22" s="186"/>
      <c r="Y22" s="186"/>
      <c r="Z22" s="187"/>
      <c r="AC22" s="185">
        <v>19</v>
      </c>
      <c r="AD22" s="186">
        <f t="shared" si="13"/>
        <v>0.57446895638557305</v>
      </c>
      <c r="AE22" s="186">
        <f t="shared" si="13"/>
        <v>0.63334537659860746</v>
      </c>
      <c r="AF22" s="186">
        <f t="shared" si="1"/>
        <v>0.16459353159094051</v>
      </c>
      <c r="AG22" s="186">
        <f t="shared" si="2"/>
        <v>0.18146246388497966</v>
      </c>
      <c r="AH22" s="186">
        <f>SUM(AF$4:AF22)</f>
        <v>4.2889284735726649</v>
      </c>
      <c r="AI22" s="187">
        <f>SUM(AG$4:AG22)</f>
        <v>4.7460337428048582</v>
      </c>
      <c r="AK22" s="185">
        <v>19</v>
      </c>
      <c r="AL22" s="186">
        <f t="shared" si="14"/>
        <v>0.50401565721590202</v>
      </c>
      <c r="AM22" s="186">
        <f t="shared" si="15"/>
        <v>0.52159964422516503</v>
      </c>
      <c r="AN22" s="186">
        <f t="shared" si="16"/>
        <v>0.14440765871883685</v>
      </c>
      <c r="AO22" s="186">
        <f t="shared" si="17"/>
        <v>0.14944572124446664</v>
      </c>
      <c r="AP22" s="186">
        <f>SUM(AN$4:AN22)</f>
        <v>4.5691274342518824</v>
      </c>
      <c r="AQ22" s="187">
        <f>SUM(AO$4:AO22)</f>
        <v>4.7131927110371548</v>
      </c>
      <c r="AR22" s="167"/>
      <c r="BH22" s="265">
        <f t="shared" si="18"/>
        <v>19</v>
      </c>
      <c r="BI22" s="272">
        <f t="shared" si="19"/>
        <v>0.50401565721590202</v>
      </c>
      <c r="BJ22" s="272">
        <f t="shared" si="20"/>
        <v>0.52159964422516503</v>
      </c>
      <c r="BK22" s="272">
        <f t="shared" si="3"/>
        <v>0.66880395202054466</v>
      </c>
      <c r="BL22" s="272">
        <f t="shared" si="4"/>
        <v>0.69213703668905391</v>
      </c>
      <c r="BM22" s="272">
        <f>NPV($BK$1,BK$4:BK22)</f>
        <v>5.2251652943907763</v>
      </c>
      <c r="BN22" s="272">
        <f>NPV($BK$1,BL$4:BL22)</f>
        <v>5.3904271120221763</v>
      </c>
      <c r="BO22" s="272">
        <f t="shared" si="21"/>
        <v>9.1219999999999999E-3</v>
      </c>
      <c r="BP22" s="272">
        <f>NPV(BK$1,BO$4:BO22)</f>
        <v>9.5712017349359885E-2</v>
      </c>
      <c r="BQ22" s="272">
        <f t="shared" si="22"/>
        <v>5.3208773117401362</v>
      </c>
      <c r="BR22" s="273">
        <f t="shared" si="23"/>
        <v>5.4861391293715362</v>
      </c>
      <c r="BS22" s="272">
        <f t="shared" si="24"/>
        <v>5.8529650429141507</v>
      </c>
      <c r="BT22" s="274">
        <f t="shared" si="25"/>
        <v>6.0347530423086901</v>
      </c>
      <c r="BW22" s="290">
        <v>19</v>
      </c>
      <c r="BX22" s="291">
        <f>'[4]ACs etc'!P22</f>
        <v>6.8081291038308018</v>
      </c>
      <c r="BY22" s="292">
        <f>'[4]ACs etc'!O22</f>
        <v>7.5058835525719738</v>
      </c>
      <c r="CA22" s="167">
        <f t="shared" si="26"/>
        <v>0.14029758342555498</v>
      </c>
      <c r="CB22" s="167">
        <f t="shared" si="27"/>
        <v>0.19599698023015355</v>
      </c>
    </row>
    <row r="23" spans="1:80" ht="13.5" thickBot="1">
      <c r="A23" s="2">
        <v>20</v>
      </c>
      <c r="B23" s="2">
        <f t="shared" si="5"/>
        <v>9.1219999999999999E-3</v>
      </c>
      <c r="C23" s="2">
        <f t="shared" si="0"/>
        <v>2.4471749253216503E-3</v>
      </c>
      <c r="D23" s="2">
        <f>SUM(C$4:C23)</f>
        <v>9.8159192274681534E-2</v>
      </c>
      <c r="E23" s="260">
        <f t="shared" si="6"/>
        <v>1.3468550065500522</v>
      </c>
      <c r="G23" s="185">
        <v>20</v>
      </c>
      <c r="H23" s="201">
        <f t="shared" si="7"/>
        <v>0.69414103306908981</v>
      </c>
      <c r="I23" s="202">
        <f t="shared" si="8"/>
        <v>0.71940049812748574</v>
      </c>
      <c r="J23" s="186">
        <f t="shared" si="9"/>
        <v>0.18621843134877691</v>
      </c>
      <c r="K23" s="186">
        <f t="shared" si="10"/>
        <v>0.19299483230448233</v>
      </c>
      <c r="L23" s="193">
        <f>SUM(J$4:J23)</f>
        <v>5.4113837257395545</v>
      </c>
      <c r="M23" s="193">
        <f>SUM(K$4:K23)</f>
        <v>5.5834219443266573</v>
      </c>
      <c r="N23" s="204">
        <f t="shared" si="11"/>
        <v>6.0604972098156598</v>
      </c>
      <c r="O23" s="204">
        <f t="shared" si="12"/>
        <v>6.2497392502614728</v>
      </c>
      <c r="P23" s="228">
        <v>0.73879805124699305</v>
      </c>
      <c r="R23" s="185">
        <v>20</v>
      </c>
      <c r="S23" s="186">
        <v>0.57150883243508499</v>
      </c>
      <c r="T23" s="186">
        <v>0.629940224328712</v>
      </c>
      <c r="U23" s="186">
        <v>0.51537918312908904</v>
      </c>
      <c r="V23" s="186">
        <v>0.53413358871510508</v>
      </c>
      <c r="W23" s="188">
        <f>S23</f>
        <v>0.57150883243508499</v>
      </c>
      <c r="X23" s="188">
        <f t="shared" ref="X23:Z23" si="28">T23</f>
        <v>0.629940224328712</v>
      </c>
      <c r="Y23" s="188">
        <f t="shared" si="28"/>
        <v>0.51537918312908904</v>
      </c>
      <c r="Z23" s="189">
        <f t="shared" si="28"/>
        <v>0.53413358871510508</v>
      </c>
      <c r="AC23" s="185">
        <v>20</v>
      </c>
      <c r="AD23" s="186">
        <f t="shared" si="13"/>
        <v>0.57150883243508499</v>
      </c>
      <c r="AE23" s="186">
        <f t="shared" si="13"/>
        <v>0.629940224328712</v>
      </c>
      <c r="AF23" s="186">
        <f t="shared" si="1"/>
        <v>0.15331967598498056</v>
      </c>
      <c r="AG23" s="186">
        <f t="shared" si="2"/>
        <v>0.16899516788299929</v>
      </c>
      <c r="AH23" s="193">
        <f>SUM(AF$4:AF23)</f>
        <v>4.4422481495576456</v>
      </c>
      <c r="AI23" s="194">
        <f>SUM(AG$4:AG23)</f>
        <v>4.9150289106878571</v>
      </c>
      <c r="AJ23" s="166"/>
      <c r="AK23" s="185">
        <v>20</v>
      </c>
      <c r="AL23" s="186">
        <f t="shared" si="14"/>
        <v>0.51537918312908904</v>
      </c>
      <c r="AM23" s="186">
        <f t="shared" si="15"/>
        <v>0.53413358871510508</v>
      </c>
      <c r="AN23" s="186">
        <f t="shared" si="16"/>
        <v>0.13826167660450137</v>
      </c>
      <c r="AO23" s="186">
        <f t="shared" si="17"/>
        <v>0.14329295385613597</v>
      </c>
      <c r="AP23" s="193">
        <f>SUM(AN$4:AN23)</f>
        <v>4.7073891108563837</v>
      </c>
      <c r="AQ23" s="194">
        <f>SUM(AO$4:AO23)</f>
        <v>4.8564856648932908</v>
      </c>
      <c r="AR23" s="167"/>
      <c r="BH23" s="265">
        <f t="shared" si="18"/>
        <v>20</v>
      </c>
      <c r="BI23" s="272">
        <f t="shared" si="19"/>
        <v>0.51537918312908904</v>
      </c>
      <c r="BJ23" s="272">
        <f t="shared" si="20"/>
        <v>0.53413358871510508</v>
      </c>
      <c r="BK23" s="272">
        <f t="shared" si="3"/>
        <v>0.69414103306908981</v>
      </c>
      <c r="BL23" s="272">
        <f t="shared" si="4"/>
        <v>0.71940049812748574</v>
      </c>
      <c r="BM23" s="272">
        <f>NPV($BK$1,BK$4:BK23)</f>
        <v>5.4113837257395536</v>
      </c>
      <c r="BN23" s="272">
        <f>NPV($BK$1,BL$4:BL23)</f>
        <v>5.5834219443266582</v>
      </c>
      <c r="BO23" s="272">
        <f t="shared" si="21"/>
        <v>9.1219999999999999E-3</v>
      </c>
      <c r="BP23" s="272">
        <f>NPV(BK$1,BO$4:BO23)</f>
        <v>9.815919227468152E-2</v>
      </c>
      <c r="BQ23" s="272">
        <f t="shared" si="22"/>
        <v>5.509542918014235</v>
      </c>
      <c r="BR23" s="273">
        <f t="shared" si="23"/>
        <v>5.6815811366013396</v>
      </c>
      <c r="BS23" s="272">
        <f t="shared" si="24"/>
        <v>6.0604972098156589</v>
      </c>
      <c r="BT23" s="274">
        <f t="shared" si="25"/>
        <v>6.2497392502614737</v>
      </c>
      <c r="BW23" s="293">
        <v>20</v>
      </c>
      <c r="BX23" s="294">
        <f>'[4]ACs etc'!P23</f>
        <v>6.9998243739043469</v>
      </c>
      <c r="BY23" s="295">
        <f>'[4]ACs etc'!O23</f>
        <v>7.7154904458274336</v>
      </c>
      <c r="CA23" s="167">
        <f t="shared" si="26"/>
        <v>0.13419296169637351</v>
      </c>
      <c r="CB23" s="167">
        <f t="shared" si="27"/>
        <v>0.18997511640477027</v>
      </c>
    </row>
    <row r="24" spans="1:80" ht="13.5" thickTop="1">
      <c r="A24" s="2">
        <v>21</v>
      </c>
      <c r="B24" s="2">
        <f t="shared" si="5"/>
        <v>9.1219999999999999E-3</v>
      </c>
      <c r="C24" s="2">
        <f t="shared" si="0"/>
        <v>2.2913622896270133E-3</v>
      </c>
      <c r="D24" s="2">
        <f>SUM(C$4:C24)</f>
        <v>0.10045055456430854</v>
      </c>
      <c r="E24" s="260">
        <f t="shared" si="6"/>
        <v>1.3670578316483029</v>
      </c>
      <c r="G24" s="185">
        <v>21</v>
      </c>
      <c r="H24" s="195">
        <f>((H$23/H$18)^(1/5))*H23</f>
        <v>0.70781017718389638</v>
      </c>
      <c r="I24" s="195">
        <f>((I$23/I$18)^(1/5))*I23</f>
        <v>0.73358138264070438</v>
      </c>
      <c r="J24" s="186">
        <f t="shared" si="9"/>
        <v>0.17779539006943595</v>
      </c>
      <c r="K24" s="186">
        <f t="shared" si="10"/>
        <v>0.18426887925404017</v>
      </c>
      <c r="L24" s="186">
        <f>SUM(J$4:J24)</f>
        <v>5.5891791158089905</v>
      </c>
      <c r="M24" s="186">
        <f>SUM(K$4:K24)</f>
        <v>5.7676908235806978</v>
      </c>
      <c r="N24" s="203">
        <f t="shared" si="11"/>
        <v>6.2585926374106293</v>
      </c>
      <c r="O24" s="203">
        <f t="shared" si="12"/>
        <v>6.454955515959508</v>
      </c>
      <c r="P24" s="228">
        <v>0.76458512050957572</v>
      </c>
      <c r="R24" s="185">
        <v>21</v>
      </c>
      <c r="S24" s="186"/>
      <c r="T24" s="186"/>
      <c r="U24" s="186"/>
      <c r="V24" s="186"/>
      <c r="W24" s="186">
        <f>AD24</f>
        <v>0.58629859381733818</v>
      </c>
      <c r="X24" s="186">
        <f>AE24</f>
        <v>0.64604697579145076</v>
      </c>
      <c r="Y24" s="186">
        <f>AL24</f>
        <v>0.51776169288351781</v>
      </c>
      <c r="Z24" s="187">
        <f>AM24</f>
        <v>0.53661327681814541</v>
      </c>
      <c r="AC24" s="185">
        <v>21</v>
      </c>
      <c r="AD24" s="195">
        <f>((AD$23/AD$18)^(1/5))*AD23</f>
        <v>0.58629859381733818</v>
      </c>
      <c r="AE24" s="195">
        <f>((AE$23/AE$18)^(1/5))*AE23</f>
        <v>0.64604697579145076</v>
      </c>
      <c r="AF24" s="186">
        <f t="shared" ref="AF24:AF53" si="29">AD24/((1+$AF$2)^$R24)</f>
        <v>0.14727280073825852</v>
      </c>
      <c r="AG24" s="186">
        <f t="shared" ref="AG24:AG53" si="30">AE24/((1+$AF$2)^$R24)</f>
        <v>0.16228104337383317</v>
      </c>
      <c r="AH24" s="196">
        <f>SUM(AF$4:AF24)</f>
        <v>4.5895209502959045</v>
      </c>
      <c r="AI24" s="197">
        <f>SUM(AG$4:AG24)</f>
        <v>5.0773099540616906</v>
      </c>
      <c r="AJ24" s="178"/>
      <c r="AK24" s="185">
        <v>21</v>
      </c>
      <c r="AL24" s="195">
        <f>((AL$23/AL$18)^(1/5))*AL23</f>
        <v>0.51776169288351781</v>
      </c>
      <c r="AM24" s="195">
        <f>((AM$23/AM$18)^(1/5))*AM23</f>
        <v>0.53661327681814541</v>
      </c>
      <c r="AN24" s="186">
        <f t="shared" si="16"/>
        <v>0.13005696317548079</v>
      </c>
      <c r="AO24" s="186">
        <f t="shared" si="17"/>
        <v>0.13479230723682087</v>
      </c>
      <c r="AP24" s="196">
        <f>SUM(AN$4:AN24)</f>
        <v>4.8374460740318641</v>
      </c>
      <c r="AQ24" s="197">
        <f>SUM(AO$4:AO24)</f>
        <v>4.9912779721301117</v>
      </c>
      <c r="AR24" s="167"/>
      <c r="BH24" s="265">
        <v>21</v>
      </c>
      <c r="BI24" s="276"/>
      <c r="BJ24" s="276"/>
      <c r="BK24" s="278">
        <f>((BK$23/BK$18)^(1/5))*BK23</f>
        <v>0.70781017718389638</v>
      </c>
      <c r="BL24" s="278">
        <f>((BL$23/BL$18)^(1/5))*BL23</f>
        <v>0.73358138264070438</v>
      </c>
      <c r="BM24" s="279">
        <f>NPV($BK$1,BK$4:BK24)</f>
        <v>5.5891791158089887</v>
      </c>
      <c r="BN24" s="279">
        <f>NPV($BK$1,BL$4:BL24)</f>
        <v>5.7676908235806987</v>
      </c>
      <c r="BO24" s="279">
        <f t="shared" si="21"/>
        <v>9.1219999999999999E-3</v>
      </c>
      <c r="BP24" s="279">
        <f>NPV(BK$1,BO$4:BO24)</f>
        <v>0.10045055456430854</v>
      </c>
      <c r="BQ24" s="279">
        <f t="shared" ref="BQ24" si="31">BM24+BP24</f>
        <v>5.6896296703732974</v>
      </c>
      <c r="BR24" s="280">
        <f t="shared" ref="BR24" si="32">BN24+BP24</f>
        <v>5.8681413781450074</v>
      </c>
      <c r="BS24" s="279">
        <f t="shared" ref="BS24" si="33">1.1*BQ24</f>
        <v>6.2585926374106275</v>
      </c>
      <c r="BT24" s="281">
        <f t="shared" ref="BT24" si="34">1.1*BR24</f>
        <v>6.4549555159595089</v>
      </c>
    </row>
    <row r="25" spans="1:80">
      <c r="A25" s="2">
        <v>22</v>
      </c>
      <c r="B25" s="2">
        <f t="shared" si="5"/>
        <v>9.1219999999999999E-3</v>
      </c>
      <c r="C25" s="2">
        <f t="shared" si="0"/>
        <v>2.145470308639525E-3</v>
      </c>
      <c r="D25" s="2">
        <f>SUM(C$4:C25)</f>
        <v>0.10259602487294807</v>
      </c>
      <c r="E25" s="260">
        <f t="shared" si="6"/>
        <v>1.3875636991230271</v>
      </c>
      <c r="G25" s="185">
        <v>22</v>
      </c>
      <c r="H25" s="195">
        <f t="shared" ref="H25:I53" si="35">((H$23/H$18)^(1/5))*H24</f>
        <v>0.72174849642584571</v>
      </c>
      <c r="I25" s="195">
        <f t="shared" si="35"/>
        <v>0.74804180196950998</v>
      </c>
      <c r="J25" s="186">
        <f t="shared" si="9"/>
        <v>0.16975334020904104</v>
      </c>
      <c r="K25" s="186">
        <f t="shared" si="10"/>
        <v>0.17593745623183416</v>
      </c>
      <c r="L25" s="186">
        <f>SUM(J$4:J25)</f>
        <v>5.7589324560180319</v>
      </c>
      <c r="M25" s="186">
        <f>SUM(K$4:K25)</f>
        <v>5.9436282798125317</v>
      </c>
      <c r="N25" s="203">
        <f t="shared" si="11"/>
        <v>6.447681328980079</v>
      </c>
      <c r="O25" s="203">
        <f t="shared" si="12"/>
        <v>6.6508467351540288</v>
      </c>
      <c r="P25" s="228">
        <v>0.78949282646965369</v>
      </c>
      <c r="R25" s="185">
        <v>22</v>
      </c>
      <c r="S25" s="186"/>
      <c r="T25" s="186"/>
      <c r="U25" s="186"/>
      <c r="V25" s="186"/>
      <c r="W25" s="186">
        <f t="shared" ref="W25:W53" si="36">AD25</f>
        <v>0.60147109126477516</v>
      </c>
      <c r="X25" s="186">
        <f t="shared" ref="X25:X53" si="37">AE25</f>
        <v>0.66256555592088395</v>
      </c>
      <c r="Y25" s="186">
        <f t="shared" ref="Y25:Y53" si="38">AL25</f>
        <v>0.52015521657276531</v>
      </c>
      <c r="Z25" s="187">
        <f t="shared" ref="Z25:Z53" si="39">AM25</f>
        <v>0.53910447674747464</v>
      </c>
      <c r="AC25" s="185">
        <v>22</v>
      </c>
      <c r="AD25" s="195">
        <f t="shared" ref="AD25:AD53" si="40">((AD$23/AD$18)^(1/5))*AD24</f>
        <v>0.60147109126477516</v>
      </c>
      <c r="AE25" s="195">
        <f t="shared" ref="AE25:AE53" si="41">((AE$23/AE$18)^(1/5))*AE24</f>
        <v>0.66256555592088395</v>
      </c>
      <c r="AF25" s="186">
        <f t="shared" si="29"/>
        <v>0.14146441216987385</v>
      </c>
      <c r="AG25" s="186">
        <f t="shared" si="30"/>
        <v>0.15583366890544809</v>
      </c>
      <c r="AH25" s="196">
        <f>SUM(AF$4:AF25)</f>
        <v>4.7309853624657787</v>
      </c>
      <c r="AI25" s="197">
        <f>SUM(AG$4:AG25)</f>
        <v>5.2331436229671384</v>
      </c>
      <c r="AJ25" s="178"/>
      <c r="AK25" s="185">
        <v>22</v>
      </c>
      <c r="AL25" s="195">
        <f t="shared" ref="AL25:AL53" si="42">((AL$23/AL$18)^(1/5))*AL24</f>
        <v>0.52015521657276531</v>
      </c>
      <c r="AM25" s="195">
        <f t="shared" ref="AM25:AM53" si="43">((AM$23/AM$18)^(1/5))*AM24</f>
        <v>0.53910447674747464</v>
      </c>
      <c r="AN25" s="186">
        <f t="shared" si="16"/>
        <v>0.12233913319895087</v>
      </c>
      <c r="AO25" s="186">
        <f t="shared" si="17"/>
        <v>0.12679594914671719</v>
      </c>
      <c r="AP25" s="196">
        <f>SUM(AN$4:AN25)</f>
        <v>4.9597852072308148</v>
      </c>
      <c r="AQ25" s="197">
        <f>SUM(AO$4:AO25)</f>
        <v>5.1180739212768289</v>
      </c>
      <c r="AR25" s="167"/>
      <c r="BH25" s="265">
        <v>22</v>
      </c>
      <c r="BI25" s="276"/>
      <c r="BJ25" s="276"/>
      <c r="BK25" s="278">
        <f t="shared" ref="BK25:BL42" si="44">((BK$23/BK$18)^(1/5))*BK24</f>
        <v>0.72174849642584571</v>
      </c>
      <c r="BL25" s="278">
        <f t="shared" si="44"/>
        <v>0.74804180196950998</v>
      </c>
      <c r="BM25" s="279">
        <f>NPV($BK$1,BK$4:BK25)</f>
        <v>5.7589324560180293</v>
      </c>
      <c r="BN25" s="279">
        <f>NPV($BK$1,BL$4:BL25)</f>
        <v>5.9436282798125335</v>
      </c>
      <c r="BO25" s="279">
        <f t="shared" si="21"/>
        <v>9.1219999999999999E-3</v>
      </c>
      <c r="BP25" s="279">
        <f>NPV(BK$1,BO$4:BO25)</f>
        <v>0.10259602487294806</v>
      </c>
      <c r="BQ25" s="279">
        <f t="shared" ref="BQ25:BQ48" si="45">BM25+BP25</f>
        <v>5.8615284808909776</v>
      </c>
      <c r="BR25" s="280">
        <f t="shared" ref="BR25:BR48" si="46">BN25+BP25</f>
        <v>6.0462243046854818</v>
      </c>
      <c r="BS25" s="279">
        <f t="shared" ref="BS25:BS48" si="47">1.1*BQ25</f>
        <v>6.4476813289800754</v>
      </c>
      <c r="BT25" s="281">
        <f t="shared" ref="BT25:BT48" si="48">1.1*BR25</f>
        <v>6.6508467351540306</v>
      </c>
    </row>
    <row r="26" spans="1:80">
      <c r="A26" s="2">
        <v>23</v>
      </c>
      <c r="B26" s="2">
        <f t="shared" si="5"/>
        <v>9.1219999999999999E-3</v>
      </c>
      <c r="C26" s="2">
        <f t="shared" si="0"/>
        <v>2.0088673301868216E-3</v>
      </c>
      <c r="D26" s="2">
        <f>SUM(C$4:C26)</f>
        <v>0.10460489220313489</v>
      </c>
      <c r="E26" s="260">
        <f t="shared" si="6"/>
        <v>1.4083771546098725</v>
      </c>
      <c r="G26" s="185">
        <v>23</v>
      </c>
      <c r="H26" s="195">
        <f t="shared" si="35"/>
        <v>0.73596129143764544</v>
      </c>
      <c r="I26" s="195">
        <f t="shared" si="35"/>
        <v>0.76278726632823735</v>
      </c>
      <c r="J26" s="186">
        <f t="shared" si="9"/>
        <v>0.16207504874492304</v>
      </c>
      <c r="K26" s="186">
        <f t="shared" si="10"/>
        <v>0.16798272519286453</v>
      </c>
      <c r="L26" s="186">
        <f>SUM(J$4:J26)</f>
        <v>5.9210075047629553</v>
      </c>
      <c r="M26" s="186">
        <f>SUM(K$4:K26)</f>
        <v>6.111611005005396</v>
      </c>
      <c r="N26" s="203">
        <f t="shared" si="11"/>
        <v>6.6281736366626998</v>
      </c>
      <c r="O26" s="203">
        <f t="shared" si="12"/>
        <v>6.8378374869293843</v>
      </c>
      <c r="P26" s="228">
        <v>0.81355129873325172</v>
      </c>
      <c r="R26" s="185">
        <v>23</v>
      </c>
      <c r="S26" s="186"/>
      <c r="T26" s="186"/>
      <c r="U26" s="186"/>
      <c r="V26" s="186"/>
      <c r="W26" s="186">
        <f t="shared" si="36"/>
        <v>0.6170362293926096</v>
      </c>
      <c r="X26" s="186">
        <f t="shared" si="37"/>
        <v>0.6795064946398891</v>
      </c>
      <c r="Y26" s="186">
        <f t="shared" si="38"/>
        <v>0.52255980511236721</v>
      </c>
      <c r="Z26" s="187">
        <f t="shared" si="39"/>
        <v>0.54160724194616261</v>
      </c>
      <c r="AC26" s="185">
        <v>23</v>
      </c>
      <c r="AD26" s="195">
        <f t="shared" si="40"/>
        <v>0.6170362293926096</v>
      </c>
      <c r="AE26" s="195">
        <f t="shared" si="41"/>
        <v>0.6795064946398891</v>
      </c>
      <c r="AF26" s="186">
        <f t="shared" si="29"/>
        <v>0.13588510444732238</v>
      </c>
      <c r="AG26" s="186">
        <f t="shared" si="30"/>
        <v>0.14964244658318787</v>
      </c>
      <c r="AH26" s="196">
        <f>SUM(AF$4:AF26)</f>
        <v>4.8668704669131007</v>
      </c>
      <c r="AI26" s="197">
        <f>SUM(AG$4:AG26)</f>
        <v>5.3827860695503267</v>
      </c>
      <c r="AJ26" s="178"/>
      <c r="AK26" s="185">
        <v>23</v>
      </c>
      <c r="AL26" s="195">
        <f t="shared" si="42"/>
        <v>0.52255980511236721</v>
      </c>
      <c r="AM26" s="195">
        <f t="shared" si="43"/>
        <v>0.54160724194616261</v>
      </c>
      <c r="AN26" s="186">
        <f t="shared" si="16"/>
        <v>0.11507929407575389</v>
      </c>
      <c r="AO26" s="186">
        <f t="shared" si="17"/>
        <v>0.11927396340037663</v>
      </c>
      <c r="AP26" s="196">
        <f>SUM(AN$4:AN26)</f>
        <v>5.0748645013065685</v>
      </c>
      <c r="AQ26" s="197">
        <f>SUM(AO$4:AO26)</f>
        <v>5.2373478846772059</v>
      </c>
      <c r="AR26" s="167"/>
      <c r="BH26" s="265">
        <v>23</v>
      </c>
      <c r="BI26" s="276"/>
      <c r="BJ26" s="276"/>
      <c r="BK26" s="278">
        <f t="shared" si="44"/>
        <v>0.73596129143764544</v>
      </c>
      <c r="BL26" s="278">
        <f t="shared" si="44"/>
        <v>0.76278726632823735</v>
      </c>
      <c r="BM26" s="279">
        <f>NPV($BK$1,BK$4:BK26)</f>
        <v>5.9210075047629527</v>
      </c>
      <c r="BN26" s="279">
        <f>NPV($BK$1,BL$4:BL26)</f>
        <v>6.1116110050053978</v>
      </c>
      <c r="BO26" s="279">
        <f t="shared" si="21"/>
        <v>9.1219999999999999E-3</v>
      </c>
      <c r="BP26" s="279">
        <f>NPV(BK$1,BO$4:BO26)</f>
        <v>0.10460489220313489</v>
      </c>
      <c r="BQ26" s="279">
        <f t="shared" si="45"/>
        <v>6.0256123969660873</v>
      </c>
      <c r="BR26" s="280">
        <f t="shared" si="46"/>
        <v>6.2162158972085324</v>
      </c>
      <c r="BS26" s="279">
        <f t="shared" si="47"/>
        <v>6.6281736366626962</v>
      </c>
      <c r="BT26" s="281">
        <f t="shared" si="48"/>
        <v>6.8378374869293861</v>
      </c>
    </row>
    <row r="27" spans="1:80">
      <c r="A27" s="2">
        <v>24</v>
      </c>
      <c r="B27" s="2">
        <f t="shared" si="5"/>
        <v>9.1219999999999999E-3</v>
      </c>
      <c r="C27" s="2">
        <f t="shared" si="0"/>
        <v>1.8809619196505818E-3</v>
      </c>
      <c r="D27" s="2">
        <f>SUM(C$4:C27)</f>
        <v>0.10648585412278547</v>
      </c>
      <c r="E27" s="260">
        <f t="shared" si="6"/>
        <v>1.4295028119290203</v>
      </c>
      <c r="G27" s="185">
        <v>24</v>
      </c>
      <c r="H27" s="195">
        <f t="shared" si="35"/>
        <v>0.75045396724316726</v>
      </c>
      <c r="I27" s="195">
        <f t="shared" si="35"/>
        <v>0.77782339454904048</v>
      </c>
      <c r="J27" s="186">
        <f t="shared" si="9"/>
        <v>0.15474406213934475</v>
      </c>
      <c r="K27" s="186">
        <f t="shared" si="10"/>
        <v>0.16038765461084137</v>
      </c>
      <c r="L27" s="186">
        <f>SUM(J$4:J27)</f>
        <v>6.0757515669022997</v>
      </c>
      <c r="M27" s="186">
        <f>SUM(K$4:K27)</f>
        <v>6.2719986596162371</v>
      </c>
      <c r="N27" s="203">
        <f t="shared" si="11"/>
        <v>6.8004611631275935</v>
      </c>
      <c r="O27" s="203">
        <f t="shared" si="12"/>
        <v>7.0163329651129249</v>
      </c>
      <c r="P27" s="228">
        <v>0.83678962863920436</v>
      </c>
      <c r="R27" s="185">
        <v>24</v>
      </c>
      <c r="S27" s="186"/>
      <c r="T27" s="186"/>
      <c r="U27" s="186"/>
      <c r="V27" s="186"/>
      <c r="W27" s="186">
        <f t="shared" si="36"/>
        <v>0.63300416913212099</v>
      </c>
      <c r="X27" s="186">
        <f t="shared" si="37"/>
        <v>0.69688059110776368</v>
      </c>
      <c r="Y27" s="186">
        <f t="shared" si="38"/>
        <v>0.52497550965323292</v>
      </c>
      <c r="Z27" s="187">
        <f t="shared" si="39"/>
        <v>0.54412162610538595</v>
      </c>
      <c r="AC27" s="185">
        <v>24</v>
      </c>
      <c r="AD27" s="195">
        <f t="shared" si="40"/>
        <v>0.63300416913212099</v>
      </c>
      <c r="AE27" s="195">
        <f t="shared" si="41"/>
        <v>0.69688059110776368</v>
      </c>
      <c r="AF27" s="186">
        <f t="shared" si="29"/>
        <v>0.13052584270089629</v>
      </c>
      <c r="AG27" s="186">
        <f t="shared" si="30"/>
        <v>0.14369719956339524</v>
      </c>
      <c r="AH27" s="196">
        <f>SUM(AF$4:AF27)</f>
        <v>4.9973963096139968</v>
      </c>
      <c r="AI27" s="197">
        <f>SUM(AG$4:AG27)</f>
        <v>5.5264832691137222</v>
      </c>
      <c r="AJ27" s="178"/>
      <c r="AK27" s="185">
        <v>24</v>
      </c>
      <c r="AL27" s="195">
        <f t="shared" si="42"/>
        <v>0.52497550965323292</v>
      </c>
      <c r="AM27" s="195">
        <f t="shared" si="43"/>
        <v>0.54412162610538595</v>
      </c>
      <c r="AN27" s="186">
        <f t="shared" si="16"/>
        <v>0.10825026774905586</v>
      </c>
      <c r="AO27" s="186">
        <f t="shared" si="17"/>
        <v>0.11219820854665456</v>
      </c>
      <c r="AP27" s="196">
        <f>SUM(AN$4:AN27)</f>
        <v>5.1831147690556243</v>
      </c>
      <c r="AQ27" s="197">
        <f>SUM(AO$4:AO27)</f>
        <v>5.3495460932238608</v>
      </c>
      <c r="AR27" s="167"/>
      <c r="BH27" s="265">
        <v>24</v>
      </c>
      <c r="BI27" s="276"/>
      <c r="BJ27" s="276"/>
      <c r="BK27" s="278">
        <f t="shared" si="44"/>
        <v>0.75045396724316726</v>
      </c>
      <c r="BL27" s="278">
        <f t="shared" si="44"/>
        <v>0.77782339454904048</v>
      </c>
      <c r="BM27" s="279">
        <f>NPV($BK$1,BK$4:BK27)</f>
        <v>6.075751566902297</v>
      </c>
      <c r="BN27" s="279">
        <f>NPV($BK$1,BL$4:BL27)</f>
        <v>6.2719986596162389</v>
      </c>
      <c r="BO27" s="279">
        <f t="shared" si="21"/>
        <v>9.1219999999999999E-3</v>
      </c>
      <c r="BP27" s="279">
        <f>NPV(BK$1,BO$4:BO27)</f>
        <v>0.10648585412278547</v>
      </c>
      <c r="BQ27" s="279">
        <f t="shared" si="45"/>
        <v>6.1822374210250821</v>
      </c>
      <c r="BR27" s="280">
        <f t="shared" si="46"/>
        <v>6.378484513739024</v>
      </c>
      <c r="BS27" s="279">
        <f t="shared" si="47"/>
        <v>6.8004611631275909</v>
      </c>
      <c r="BT27" s="281">
        <f t="shared" si="48"/>
        <v>7.0163329651129267</v>
      </c>
    </row>
    <row r="28" spans="1:80">
      <c r="A28" s="2">
        <v>25</v>
      </c>
      <c r="B28" s="2">
        <f t="shared" si="5"/>
        <v>9.1219999999999999E-3</v>
      </c>
      <c r="C28" s="2">
        <f t="shared" si="0"/>
        <v>1.7612002992982972E-3</v>
      </c>
      <c r="D28" s="2">
        <f>SUM(C$4:C28)</f>
        <v>0.10824705442208377</v>
      </c>
      <c r="E28" s="260">
        <f t="shared" si="6"/>
        <v>1.4509453541079556</v>
      </c>
      <c r="G28" s="185">
        <v>25</v>
      </c>
      <c r="H28" s="195">
        <f t="shared" si="35"/>
        <v>0.76523203530293893</v>
      </c>
      <c r="I28" s="195">
        <f t="shared" si="35"/>
        <v>0.79315591622297599</v>
      </c>
      <c r="J28" s="186">
        <f t="shared" si="9"/>
        <v>0.14774467108180017</v>
      </c>
      <c r="K28" s="186">
        <f t="shared" si="10"/>
        <v>0.15313598301272971</v>
      </c>
      <c r="L28" s="186">
        <f>SUM(J$4:J28)</f>
        <v>6.2234962379840999</v>
      </c>
      <c r="M28" s="186">
        <f>SUM(K$4:K28)</f>
        <v>6.4251346426289668</v>
      </c>
      <c r="N28" s="203">
        <f t="shared" si="11"/>
        <v>6.9649176216468032</v>
      </c>
      <c r="O28" s="203">
        <f t="shared" si="12"/>
        <v>7.1867198667561567</v>
      </c>
      <c r="P28" s="228">
        <v>0.85923590528427984</v>
      </c>
      <c r="R28" s="185">
        <v>25</v>
      </c>
      <c r="S28" s="186"/>
      <c r="T28" s="186"/>
      <c r="U28" s="186"/>
      <c r="V28" s="186"/>
      <c r="W28" s="186">
        <f t="shared" si="36"/>
        <v>0.64938533436371682</v>
      </c>
      <c r="X28" s="186">
        <f t="shared" si="37"/>
        <v>0.71469892060424967</v>
      </c>
      <c r="Y28" s="186">
        <f t="shared" si="38"/>
        <v>0.52740238158273367</v>
      </c>
      <c r="Z28" s="187">
        <f t="shared" si="39"/>
        <v>0.54664768316557988</v>
      </c>
      <c r="AC28" s="185">
        <v>25</v>
      </c>
      <c r="AD28" s="195">
        <f t="shared" si="40"/>
        <v>0.64938533436371682</v>
      </c>
      <c r="AE28" s="195">
        <f t="shared" si="41"/>
        <v>0.71469892060424967</v>
      </c>
      <c r="AF28" s="186">
        <f t="shared" si="29"/>
        <v>0.12537794839303912</v>
      </c>
      <c r="AG28" s="186">
        <f t="shared" si="30"/>
        <v>0.13798815532518904</v>
      </c>
      <c r="AH28" s="196">
        <f>SUM(AF$4:AF28)</f>
        <v>5.1227742580070359</v>
      </c>
      <c r="AI28" s="197">
        <f>SUM(AG$4:AG28)</f>
        <v>5.6644714244389114</v>
      </c>
      <c r="AJ28" s="178"/>
      <c r="AK28" s="185">
        <v>25</v>
      </c>
      <c r="AL28" s="195">
        <f t="shared" si="42"/>
        <v>0.52740238158273367</v>
      </c>
      <c r="AM28" s="195">
        <f t="shared" si="43"/>
        <v>0.54664768316557988</v>
      </c>
      <c r="AN28" s="186">
        <f t="shared" si="16"/>
        <v>0.1018264889601124</v>
      </c>
      <c r="AO28" s="186">
        <f t="shared" si="17"/>
        <v>0.10554221258517212</v>
      </c>
      <c r="AP28" s="196">
        <f>SUM(AN$4:AN28)</f>
        <v>5.2849412580157367</v>
      </c>
      <c r="AQ28" s="197">
        <f>SUM(AO$4:AO28)</f>
        <v>5.4550883058090331</v>
      </c>
      <c r="AR28" s="167"/>
      <c r="BH28" s="265">
        <v>25</v>
      </c>
      <c r="BI28" s="276"/>
      <c r="BJ28" s="276"/>
      <c r="BK28" s="278">
        <f t="shared" si="44"/>
        <v>0.76523203530293893</v>
      </c>
      <c r="BL28" s="278">
        <f t="shared" si="44"/>
        <v>0.79315591622297599</v>
      </c>
      <c r="BM28" s="279">
        <f>NPV($BK$1,BK$4:BK28)</f>
        <v>6.2234962379840972</v>
      </c>
      <c r="BN28" s="279">
        <f>NPV($BK$1,BL$4:BL28)</f>
        <v>6.4251346426289686</v>
      </c>
      <c r="BO28" s="279">
        <f t="shared" si="21"/>
        <v>9.1219999999999999E-3</v>
      </c>
      <c r="BP28" s="279">
        <f>NPV(BK$1,BO$4:BO28)</f>
        <v>0.10824705442208375</v>
      </c>
      <c r="BQ28" s="279">
        <f t="shared" si="45"/>
        <v>6.3317432924061814</v>
      </c>
      <c r="BR28" s="280">
        <f t="shared" si="46"/>
        <v>6.5333816970510528</v>
      </c>
      <c r="BS28" s="279">
        <f t="shared" si="47"/>
        <v>6.9649176216468005</v>
      </c>
      <c r="BT28" s="281">
        <f t="shared" si="48"/>
        <v>7.1867198667561585</v>
      </c>
    </row>
    <row r="29" spans="1:80">
      <c r="A29" s="2">
        <v>26</v>
      </c>
      <c r="B29" s="2">
        <f t="shared" si="5"/>
        <v>9.1219999999999999E-3</v>
      </c>
      <c r="C29" s="2">
        <f t="shared" si="0"/>
        <v>1.6490639506538366E-3</v>
      </c>
      <c r="D29" s="2">
        <f>SUM(C$4:C29)</f>
        <v>0.10989611837273761</v>
      </c>
      <c r="E29" s="260">
        <f t="shared" si="6"/>
        <v>1.4727095344195746</v>
      </c>
      <c r="G29" s="185">
        <v>26</v>
      </c>
      <c r="H29" s="195">
        <f t="shared" si="35"/>
        <v>0.78030111561011262</v>
      </c>
      <c r="I29" s="195">
        <f t="shared" si="35"/>
        <v>0.8087906738832924</v>
      </c>
      <c r="J29" s="186">
        <f t="shared" si="9"/>
        <v>0.1410618768260917</v>
      </c>
      <c r="K29" s="186">
        <f t="shared" si="10"/>
        <v>0.14621218416202159</v>
      </c>
      <c r="L29" s="186">
        <f>SUM(J$4:J29)</f>
        <v>6.3645581148101913</v>
      </c>
      <c r="M29" s="186">
        <f>SUM(K$4:K29)</f>
        <v>6.5713468267909887</v>
      </c>
      <c r="N29" s="203">
        <f t="shared" si="11"/>
        <v>7.1218996565012223</v>
      </c>
      <c r="O29" s="203">
        <f t="shared" si="12"/>
        <v>7.3493672396800989</v>
      </c>
      <c r="P29" s="228">
        <v>0.88091725028815393</v>
      </c>
      <c r="R29" s="185">
        <v>26</v>
      </c>
      <c r="S29" s="186"/>
      <c r="T29" s="186"/>
      <c r="U29" s="186"/>
      <c r="V29" s="186"/>
      <c r="W29" s="186">
        <f t="shared" si="36"/>
        <v>0.66619041872164753</v>
      </c>
      <c r="X29" s="186">
        <f t="shared" si="37"/>
        <v>0.73297284158957399</v>
      </c>
      <c r="Y29" s="186">
        <f t="shared" si="38"/>
        <v>0.5298404725257958</v>
      </c>
      <c r="Z29" s="187">
        <f t="shared" si="39"/>
        <v>0.54918546731759521</v>
      </c>
      <c r="AC29" s="185">
        <v>26</v>
      </c>
      <c r="AD29" s="195">
        <f t="shared" si="40"/>
        <v>0.66619041872164753</v>
      </c>
      <c r="AE29" s="195">
        <f t="shared" si="41"/>
        <v>0.73297284158957399</v>
      </c>
      <c r="AF29" s="186">
        <f t="shared" si="29"/>
        <v>0.12043308526472854</v>
      </c>
      <c r="AG29" s="186">
        <f t="shared" si="30"/>
        <v>0.13250592960684845</v>
      </c>
      <c r="AH29" s="196">
        <f>SUM(AF$4:AF29)</f>
        <v>5.2432073432717647</v>
      </c>
      <c r="AI29" s="197">
        <f>SUM(AG$4:AG29)</f>
        <v>5.7969773540457599</v>
      </c>
      <c r="AJ29" s="178"/>
      <c r="AK29" s="185">
        <v>26</v>
      </c>
      <c r="AL29" s="195">
        <f t="shared" si="42"/>
        <v>0.5298404725257958</v>
      </c>
      <c r="AM29" s="195">
        <f t="shared" si="43"/>
        <v>0.54918546731759521</v>
      </c>
      <c r="AN29" s="186">
        <f t="shared" si="16"/>
        <v>9.5783909541732562E-2</v>
      </c>
      <c r="AO29" s="186">
        <f t="shared" si="17"/>
        <v>9.9281073928571259E-2</v>
      </c>
      <c r="AP29" s="196">
        <f>SUM(AN$4:AN29)</f>
        <v>5.3807251675574692</v>
      </c>
      <c r="AQ29" s="197">
        <f>SUM(AO$4:AO29)</f>
        <v>5.5543693797376044</v>
      </c>
      <c r="AR29" s="167"/>
      <c r="BH29" s="265">
        <v>26</v>
      </c>
      <c r="BI29" s="276"/>
      <c r="BJ29" s="276"/>
      <c r="BK29" s="278">
        <f t="shared" si="44"/>
        <v>0.78030111561011262</v>
      </c>
      <c r="BL29" s="278">
        <f t="shared" si="44"/>
        <v>0.8087906738832924</v>
      </c>
      <c r="BM29" s="279">
        <f>NPV($BK$1,BK$4:BK29)</f>
        <v>6.3645581148101886</v>
      </c>
      <c r="BN29" s="279">
        <f>NPV($BK$1,BL$4:BL29)</f>
        <v>6.5713468267909896</v>
      </c>
      <c r="BO29" s="279">
        <f t="shared" si="21"/>
        <v>9.1219999999999999E-3</v>
      </c>
      <c r="BP29" s="279">
        <f>NPV(BK$1,BO$4:BO29)</f>
        <v>0.10989611837273759</v>
      </c>
      <c r="BQ29" s="279">
        <f t="shared" si="45"/>
        <v>6.474454233182926</v>
      </c>
      <c r="BR29" s="280">
        <f t="shared" si="46"/>
        <v>6.681242945163727</v>
      </c>
      <c r="BS29" s="279">
        <f t="shared" si="47"/>
        <v>7.1218996565012196</v>
      </c>
      <c r="BT29" s="281">
        <f t="shared" si="48"/>
        <v>7.3493672396801006</v>
      </c>
    </row>
    <row r="30" spans="1:80">
      <c r="A30" s="2">
        <v>27</v>
      </c>
      <c r="B30" s="2">
        <f t="shared" si="5"/>
        <v>9.1219999999999999E-3</v>
      </c>
      <c r="C30" s="2">
        <f t="shared" si="0"/>
        <v>1.5440673695260639E-3</v>
      </c>
      <c r="D30" s="2">
        <f>SUM(C$4:C30)</f>
        <v>0.11144018574226366</v>
      </c>
      <c r="E30" s="260">
        <f t="shared" si="6"/>
        <v>1.4948001774358681</v>
      </c>
      <c r="G30" s="185">
        <v>27</v>
      </c>
      <c r="H30" s="195">
        <f t="shared" si="35"/>
        <v>0.79566693882770845</v>
      </c>
      <c r="I30" s="195">
        <f t="shared" si="35"/>
        <v>0.82473362523175642</v>
      </c>
      <c r="J30" s="186">
        <f t="shared" si="9"/>
        <v>0.13468135905004994</v>
      </c>
      <c r="K30" s="186">
        <f t="shared" si="10"/>
        <v>0.13960143381619083</v>
      </c>
      <c r="L30" s="186">
        <f>SUM(J$4:J30)</f>
        <v>6.499239473860241</v>
      </c>
      <c r="M30" s="186">
        <f>SUM(K$4:K30)</f>
        <v>6.7109482606071795</v>
      </c>
      <c r="N30" s="203">
        <f t="shared" si="11"/>
        <v>7.2717476255627558</v>
      </c>
      <c r="O30" s="203">
        <f t="shared" si="12"/>
        <v>7.5046272909843879</v>
      </c>
      <c r="P30" s="228">
        <v>0.90185985134272828</v>
      </c>
      <c r="R30" s="185">
        <v>27</v>
      </c>
      <c r="S30" s="186"/>
      <c r="T30" s="186"/>
      <c r="U30" s="186"/>
      <c r="V30" s="186"/>
      <c r="W30" s="186">
        <f t="shared" si="36"/>
        <v>0.68343039257481741</v>
      </c>
      <c r="X30" s="186">
        <f t="shared" si="37"/>
        <v>0.75171400294500479</v>
      </c>
      <c r="Y30" s="186">
        <f t="shared" si="38"/>
        <v>0.53228983434599886</v>
      </c>
      <c r="Z30" s="187">
        <f t="shared" si="39"/>
        <v>0.55173503300386106</v>
      </c>
      <c r="AC30" s="185">
        <v>27</v>
      </c>
      <c r="AD30" s="195">
        <f t="shared" si="40"/>
        <v>0.68343039257481741</v>
      </c>
      <c r="AE30" s="195">
        <f t="shared" si="41"/>
        <v>0.75171400294500479</v>
      </c>
      <c r="AF30" s="186">
        <f t="shared" si="29"/>
        <v>0.11568324583612843</v>
      </c>
      <c r="AG30" s="186">
        <f t="shared" si="30"/>
        <v>0.12724151098039918</v>
      </c>
      <c r="AH30" s="196">
        <f>SUM(AF$4:AF30)</f>
        <v>5.3588905891078928</v>
      </c>
      <c r="AI30" s="197">
        <f>SUM(AG$4:AG30)</f>
        <v>5.9242188650261589</v>
      </c>
      <c r="AJ30" s="178"/>
      <c r="AK30" s="185">
        <v>27</v>
      </c>
      <c r="AL30" s="195">
        <f t="shared" si="42"/>
        <v>0.53228983434599886</v>
      </c>
      <c r="AM30" s="195">
        <f t="shared" si="43"/>
        <v>0.55173503300386106</v>
      </c>
      <c r="AN30" s="186">
        <f t="shared" si="16"/>
        <v>9.0099908391152242E-2</v>
      </c>
      <c r="AO30" s="186">
        <f t="shared" si="17"/>
        <v>9.3391368240040323E-2</v>
      </c>
      <c r="AP30" s="196">
        <f>SUM(AN$4:AN30)</f>
        <v>5.4708250759486212</v>
      </c>
      <c r="AQ30" s="197">
        <f>SUM(AO$4:AO30)</f>
        <v>5.647760747977645</v>
      </c>
      <c r="AR30" s="167"/>
      <c r="BH30" s="265">
        <v>27</v>
      </c>
      <c r="BI30" s="276"/>
      <c r="BJ30" s="276"/>
      <c r="BK30" s="278">
        <f t="shared" si="44"/>
        <v>0.79566693882770845</v>
      </c>
      <c r="BL30" s="278">
        <f t="shared" si="44"/>
        <v>0.82473362523175642</v>
      </c>
      <c r="BM30" s="279">
        <f>NPV($BK$1,BK$4:BK30)</f>
        <v>6.4992394738602393</v>
      </c>
      <c r="BN30" s="279">
        <f>NPV($BK$1,BL$4:BL30)</f>
        <v>6.7109482606071813</v>
      </c>
      <c r="BO30" s="279">
        <f t="shared" si="21"/>
        <v>9.1219999999999999E-3</v>
      </c>
      <c r="BP30" s="279">
        <f>NPV(BK$1,BO$4:BO30)</f>
        <v>0.11144018574226366</v>
      </c>
      <c r="BQ30" s="279">
        <f t="shared" si="45"/>
        <v>6.6106796596025026</v>
      </c>
      <c r="BR30" s="280">
        <f t="shared" si="46"/>
        <v>6.8223884463494446</v>
      </c>
      <c r="BS30" s="279">
        <f t="shared" si="47"/>
        <v>7.2717476255627531</v>
      </c>
      <c r="BT30" s="281">
        <f t="shared" si="48"/>
        <v>7.5046272909843896</v>
      </c>
    </row>
    <row r="31" spans="1:80">
      <c r="A31" s="2">
        <v>28</v>
      </c>
      <c r="B31" s="2">
        <f t="shared" si="5"/>
        <v>9.1219999999999999E-3</v>
      </c>
      <c r="C31" s="2">
        <f t="shared" si="0"/>
        <v>1.4457559639757154E-3</v>
      </c>
      <c r="D31" s="2">
        <f>SUM(C$4:C31)</f>
        <v>0.11288594170623938</v>
      </c>
      <c r="E31" s="260">
        <f t="shared" si="6"/>
        <v>1.5172221800974057</v>
      </c>
      <c r="G31" s="185">
        <v>28</v>
      </c>
      <c r="H31" s="195">
        <f t="shared" si="35"/>
        <v>0.8113353484679442</v>
      </c>
      <c r="I31" s="195">
        <f t="shared" si="35"/>
        <v>0.84099084540886437</v>
      </c>
      <c r="J31" s="186">
        <f t="shared" si="9"/>
        <v>0.12858944516902496</v>
      </c>
      <c r="K31" s="186">
        <f t="shared" si="10"/>
        <v>0.13328957798715682</v>
      </c>
      <c r="L31" s="186">
        <f>SUM(J$4:J31)</f>
        <v>6.6278289190292661</v>
      </c>
      <c r="M31" s="186">
        <f>SUM(K$4:K31)</f>
        <v>6.8442378385943368</v>
      </c>
      <c r="N31" s="203">
        <f t="shared" si="11"/>
        <v>7.4147863468090565</v>
      </c>
      <c r="O31" s="203">
        <f t="shared" si="12"/>
        <v>7.6528361583306346</v>
      </c>
      <c r="P31" s="228">
        <v>0.92208899458870452</v>
      </c>
      <c r="R31" s="185">
        <v>28</v>
      </c>
      <c r="S31" s="186"/>
      <c r="T31" s="186"/>
      <c r="U31" s="186"/>
      <c r="V31" s="186"/>
      <c r="W31" s="186">
        <f t="shared" si="36"/>
        <v>0.70111651018824783</v>
      </c>
      <c r="X31" s="186">
        <f t="shared" si="37"/>
        <v>0.77093435139853961</v>
      </c>
      <c r="Y31" s="186">
        <f t="shared" si="38"/>
        <v>0.53475051914667882</v>
      </c>
      <c r="Z31" s="187">
        <f t="shared" si="39"/>
        <v>0.55429643491955294</v>
      </c>
      <c r="AC31" s="185">
        <v>28</v>
      </c>
      <c r="AD31" s="195">
        <f t="shared" si="40"/>
        <v>0.70111651018824783</v>
      </c>
      <c r="AE31" s="195">
        <f t="shared" si="41"/>
        <v>0.77093435139853961</v>
      </c>
      <c r="AF31" s="186">
        <f t="shared" si="29"/>
        <v>0.11112073843965135</v>
      </c>
      <c r="AG31" s="186">
        <f t="shared" si="30"/>
        <v>0.12218624603904719</v>
      </c>
      <c r="AH31" s="196">
        <f>SUM(AF$4:AF31)</f>
        <v>5.4700113275475442</v>
      </c>
      <c r="AI31" s="197">
        <f>SUM(AG$4:AG31)</f>
        <v>6.046405111065206</v>
      </c>
      <c r="AJ31" s="178"/>
      <c r="AK31" s="185">
        <v>28</v>
      </c>
      <c r="AL31" s="195">
        <f t="shared" si="42"/>
        <v>0.53475051914667882</v>
      </c>
      <c r="AM31" s="195">
        <f t="shared" si="43"/>
        <v>0.55429643491955294</v>
      </c>
      <c r="AN31" s="186">
        <f t="shared" si="16"/>
        <v>8.4753206785290594E-2</v>
      </c>
      <c r="AO31" s="186">
        <f t="shared" si="17"/>
        <v>8.7851060797568575E-2</v>
      </c>
      <c r="AP31" s="196">
        <f>SUM(AN$4:AN31)</f>
        <v>5.5555782827339115</v>
      </c>
      <c r="AQ31" s="197">
        <f>SUM(AO$4:AO31)</f>
        <v>5.7356118087752135</v>
      </c>
      <c r="AR31" s="167"/>
      <c r="BH31" s="265">
        <v>28</v>
      </c>
      <c r="BI31" s="276"/>
      <c r="BJ31" s="276"/>
      <c r="BK31" s="278">
        <f t="shared" si="44"/>
        <v>0.8113353484679442</v>
      </c>
      <c r="BL31" s="278">
        <f t="shared" si="44"/>
        <v>0.84099084540886437</v>
      </c>
      <c r="BM31" s="279">
        <f>NPV($BK$1,BK$4:BK31)</f>
        <v>6.6278289190292643</v>
      </c>
      <c r="BN31" s="279">
        <f>NPV($BK$1,BL$4:BL31)</f>
        <v>6.8442378385943377</v>
      </c>
      <c r="BO31" s="279">
        <f t="shared" si="21"/>
        <v>9.1219999999999999E-3</v>
      </c>
      <c r="BP31" s="279">
        <f>NPV(BK$1,BO$4:BO31)</f>
        <v>0.11288594170623938</v>
      </c>
      <c r="BQ31" s="279">
        <f t="shared" si="45"/>
        <v>6.7407148607355039</v>
      </c>
      <c r="BR31" s="280">
        <f t="shared" si="46"/>
        <v>6.9571237803005772</v>
      </c>
      <c r="BS31" s="279">
        <f t="shared" si="47"/>
        <v>7.4147863468090547</v>
      </c>
      <c r="BT31" s="281">
        <f t="shared" si="48"/>
        <v>7.6528361583306355</v>
      </c>
    </row>
    <row r="32" spans="1:80">
      <c r="A32" s="2">
        <v>29</v>
      </c>
      <c r="B32" s="2">
        <f t="shared" si="5"/>
        <v>9.1219999999999999E-3</v>
      </c>
      <c r="C32" s="2">
        <f t="shared" si="0"/>
        <v>1.3537040861195835E-3</v>
      </c>
      <c r="D32" s="2">
        <f>SUM(C$4:C32)</f>
        <v>0.11423964579235896</v>
      </c>
      <c r="E32" s="260">
        <f t="shared" si="6"/>
        <v>1.5399805127988668</v>
      </c>
      <c r="G32" s="185">
        <v>29</v>
      </c>
      <c r="H32" s="195">
        <f t="shared" si="35"/>
        <v>0.82731230311448112</v>
      </c>
      <c r="I32" s="195">
        <f t="shared" si="35"/>
        <v>0.85756852930880489</v>
      </c>
      <c r="J32" s="186">
        <f t="shared" si="9"/>
        <v>0.12277308103739054</v>
      </c>
      <c r="K32" s="186">
        <f t="shared" si="10"/>
        <v>0.12726310263680016</v>
      </c>
      <c r="L32" s="186">
        <f>SUM(J$4:J32)</f>
        <v>6.7506020000666567</v>
      </c>
      <c r="M32" s="186">
        <f>SUM(K$4:K32)</f>
        <v>6.9715009412311373</v>
      </c>
      <c r="N32" s="203">
        <f t="shared" si="11"/>
        <v>7.5513258104449177</v>
      </c>
      <c r="O32" s="203">
        <f t="shared" si="12"/>
        <v>7.7943146457258461</v>
      </c>
      <c r="P32" s="228">
        <v>0.94162909586079124</v>
      </c>
      <c r="R32" s="185">
        <v>29</v>
      </c>
      <c r="S32" s="186"/>
      <c r="T32" s="186"/>
      <c r="U32" s="186"/>
      <c r="V32" s="186"/>
      <c r="W32" s="186">
        <f t="shared" si="36"/>
        <v>0.71926031706986782</v>
      </c>
      <c r="X32" s="186">
        <f t="shared" si="37"/>
        <v>0.790646139140458</v>
      </c>
      <c r="Y32" s="186">
        <f t="shared" si="38"/>
        <v>0.53722257927203643</v>
      </c>
      <c r="Z32" s="187">
        <f t="shared" si="39"/>
        <v>0.55686972801376577</v>
      </c>
      <c r="AC32" s="185">
        <v>29</v>
      </c>
      <c r="AD32" s="195">
        <f t="shared" si="40"/>
        <v>0.71926031706986782</v>
      </c>
      <c r="AE32" s="195">
        <f t="shared" si="41"/>
        <v>0.790646139140458</v>
      </c>
      <c r="AF32" s="186">
        <f t="shared" si="29"/>
        <v>0.10673817476443184</v>
      </c>
      <c r="AG32" s="186">
        <f t="shared" si="30"/>
        <v>0.11733182517311015</v>
      </c>
      <c r="AH32" s="196">
        <f>SUM(AF$4:AF32)</f>
        <v>5.5767495023119764</v>
      </c>
      <c r="AI32" s="197">
        <f>SUM(AG$4:AG32)</f>
        <v>6.1637369362383163</v>
      </c>
      <c r="AJ32" s="178"/>
      <c r="AK32" s="185">
        <v>29</v>
      </c>
      <c r="AL32" s="195">
        <f t="shared" si="42"/>
        <v>0.53722257927203643</v>
      </c>
      <c r="AM32" s="195">
        <f t="shared" si="43"/>
        <v>0.55686972801376577</v>
      </c>
      <c r="AN32" s="186">
        <f t="shared" si="16"/>
        <v>7.972378872136128E-2</v>
      </c>
      <c r="AO32" s="186">
        <f t="shared" si="17"/>
        <v>8.2639424057063787E-2</v>
      </c>
      <c r="AP32" s="196">
        <f>SUM(AN$4:AN32)</f>
        <v>5.6353020714552731</v>
      </c>
      <c r="AQ32" s="197">
        <f>SUM(AO$4:AO32)</f>
        <v>5.8182512328322771</v>
      </c>
      <c r="AR32" s="167"/>
      <c r="BH32" s="265">
        <v>29</v>
      </c>
      <c r="BI32" s="276"/>
      <c r="BJ32" s="276"/>
      <c r="BK32" s="278">
        <f t="shared" si="44"/>
        <v>0.82731230311448112</v>
      </c>
      <c r="BL32" s="278">
        <f t="shared" si="44"/>
        <v>0.85756852930880489</v>
      </c>
      <c r="BM32" s="279">
        <f>NPV($BK$1,BK$4:BK32)</f>
        <v>6.750602000066654</v>
      </c>
      <c r="BN32" s="279">
        <f>NPV($BK$1,BL$4:BL32)</f>
        <v>6.9715009412311373</v>
      </c>
      <c r="BO32" s="279">
        <f t="shared" si="21"/>
        <v>9.1219999999999999E-3</v>
      </c>
      <c r="BP32" s="279">
        <f>NPV(BK$1,BO$4:BO32)</f>
        <v>0.11423964579235896</v>
      </c>
      <c r="BQ32" s="279">
        <f t="shared" si="45"/>
        <v>6.8648416458590127</v>
      </c>
      <c r="BR32" s="280">
        <f t="shared" si="46"/>
        <v>7.085740587023496</v>
      </c>
      <c r="BS32" s="279">
        <f t="shared" si="47"/>
        <v>7.5513258104449141</v>
      </c>
      <c r="BT32" s="281">
        <f t="shared" si="48"/>
        <v>7.7943146457258461</v>
      </c>
    </row>
    <row r="33" spans="1:72">
      <c r="A33" s="2">
        <v>30</v>
      </c>
      <c r="B33" s="2">
        <f t="shared" si="5"/>
        <v>9.1219999999999999E-3</v>
      </c>
      <c r="C33" s="2">
        <f t="shared" si="0"/>
        <v>1.2675131892505461E-3</v>
      </c>
      <c r="D33" s="2">
        <f>SUM(C$4:C33)</f>
        <v>0.1155071589816095</v>
      </c>
      <c r="E33" s="260">
        <f t="shared" si="6"/>
        <v>1.5630802204908494</v>
      </c>
      <c r="G33" s="185">
        <v>30</v>
      </c>
      <c r="H33" s="195">
        <f t="shared" si="35"/>
        <v>0.84360387868843056</v>
      </c>
      <c r="I33" s="195">
        <f t="shared" si="35"/>
        <v>0.87447299394005373</v>
      </c>
      <c r="J33" s="186">
        <f t="shared" si="9"/>
        <v>0.11721980297527992</v>
      </c>
      <c r="K33" s="186">
        <f t="shared" si="10"/>
        <v>0.12150910474264755</v>
      </c>
      <c r="L33" s="186">
        <f>SUM(J$4:J33)</f>
        <v>6.8678218030419362</v>
      </c>
      <c r="M33" s="186">
        <f>SUM(K$4:K33)</f>
        <v>7.0930100459737853</v>
      </c>
      <c r="N33" s="203">
        <f t="shared" si="11"/>
        <v>7.6816618582259002</v>
      </c>
      <c r="O33" s="203">
        <f t="shared" si="12"/>
        <v>7.9293689254509347</v>
      </c>
      <c r="P33" s="228">
        <v>0.96050373084144647</v>
      </c>
      <c r="R33" s="185">
        <v>30</v>
      </c>
      <c r="S33" s="186"/>
      <c r="T33" s="186"/>
      <c r="U33" s="186"/>
      <c r="V33" s="186"/>
      <c r="W33" s="186">
        <f t="shared" si="36"/>
        <v>0.73787365750742862</v>
      </c>
      <c r="X33" s="186">
        <f t="shared" si="37"/>
        <v>0.81086193163359499</v>
      </c>
      <c r="Y33" s="186">
        <f t="shared" si="38"/>
        <v>0.53970606730825077</v>
      </c>
      <c r="Z33" s="187">
        <f t="shared" si="39"/>
        <v>0.5594549674906929</v>
      </c>
      <c r="AC33" s="185">
        <v>30</v>
      </c>
      <c r="AD33" s="195">
        <f t="shared" si="40"/>
        <v>0.73787365750742862</v>
      </c>
      <c r="AE33" s="195">
        <f t="shared" si="41"/>
        <v>0.81086193163359499</v>
      </c>
      <c r="AF33" s="186">
        <f t="shared" si="29"/>
        <v>0.10252845789204187</v>
      </c>
      <c r="AG33" s="186">
        <f t="shared" si="30"/>
        <v>0.11267026891106734</v>
      </c>
      <c r="AH33" s="196">
        <f>SUM(AF$4:AF33)</f>
        <v>5.6792779602040184</v>
      </c>
      <c r="AI33" s="197">
        <f>SUM(AG$4:AG33)</f>
        <v>6.2764072051493836</v>
      </c>
      <c r="AJ33" s="178"/>
      <c r="AK33" s="185">
        <v>30</v>
      </c>
      <c r="AL33" s="195">
        <f t="shared" si="42"/>
        <v>0.53970606730825077</v>
      </c>
      <c r="AM33" s="195">
        <f t="shared" si="43"/>
        <v>0.5594549674906929</v>
      </c>
      <c r="AN33" s="186">
        <f t="shared" si="16"/>
        <v>7.4992825984625172E-2</v>
      </c>
      <c r="AO33" s="186">
        <f t="shared" si="17"/>
        <v>7.7736960105918518E-2</v>
      </c>
      <c r="AP33" s="196">
        <f>SUM(AN$4:AN33)</f>
        <v>5.7102948974398986</v>
      </c>
      <c r="AQ33" s="197">
        <f>SUM(AO$4:AO33)</f>
        <v>5.8959881929381952</v>
      </c>
      <c r="AR33" s="167"/>
      <c r="BH33" s="265">
        <v>30</v>
      </c>
      <c r="BI33" s="276"/>
      <c r="BJ33" s="276"/>
      <c r="BK33" s="278">
        <f t="shared" si="44"/>
        <v>0.84360387868843056</v>
      </c>
      <c r="BL33" s="278">
        <f t="shared" si="44"/>
        <v>0.87447299394005373</v>
      </c>
      <c r="BM33" s="279">
        <f>NPV($BK$1,BK$4:BK33)</f>
        <v>6.8678218030419345</v>
      </c>
      <c r="BN33" s="279">
        <f>NPV($BK$1,BL$4:BL33)</f>
        <v>7.0930100459737844</v>
      </c>
      <c r="BO33" s="279">
        <f t="shared" si="21"/>
        <v>9.1219999999999999E-3</v>
      </c>
      <c r="BP33" s="279">
        <f>NPV(BK$1,BO$4:BO33)</f>
        <v>0.1155071589816095</v>
      </c>
      <c r="BQ33" s="279">
        <f t="shared" si="45"/>
        <v>6.9833289620235437</v>
      </c>
      <c r="BR33" s="280">
        <f t="shared" si="46"/>
        <v>7.2085172049553936</v>
      </c>
      <c r="BS33" s="279">
        <f t="shared" si="47"/>
        <v>7.6816618582258984</v>
      </c>
      <c r="BT33" s="281">
        <f t="shared" si="48"/>
        <v>7.9293689254509339</v>
      </c>
    </row>
    <row r="34" spans="1:72">
      <c r="A34" s="2">
        <v>31</v>
      </c>
      <c r="B34" s="2">
        <f t="shared" si="5"/>
        <v>9.1219999999999999E-3</v>
      </c>
      <c r="C34" s="2">
        <f t="shared" si="0"/>
        <v>1.1868101022945189E-3</v>
      </c>
      <c r="D34" s="2">
        <f>SUM(C$4:C34)</f>
        <v>0.11669396908390402</v>
      </c>
      <c r="E34" s="260">
        <f t="shared" si="6"/>
        <v>1.586526423798212</v>
      </c>
      <c r="G34" s="185">
        <v>31</v>
      </c>
      <c r="H34" s="195">
        <f t="shared" si="35"/>
        <v>0.86021627075898299</v>
      </c>
      <c r="I34" s="195">
        <f t="shared" si="35"/>
        <v>0.89171068083250138</v>
      </c>
      <c r="J34" s="186">
        <f t="shared" si="9"/>
        <v>0.11191771106060933</v>
      </c>
      <c r="K34" s="186">
        <f t="shared" si="10"/>
        <v>0.1160152646717755</v>
      </c>
      <c r="L34" s="186">
        <f>SUM(J$4:J34)</f>
        <v>6.9797395141025458</v>
      </c>
      <c r="M34" s="186">
        <f>SUM(K$4:K34)</f>
        <v>7.2090253106455604</v>
      </c>
      <c r="N34" s="203">
        <f t="shared" si="11"/>
        <v>7.8060768315050959</v>
      </c>
      <c r="O34" s="203">
        <f t="shared" si="12"/>
        <v>8.0582912077024123</v>
      </c>
      <c r="P34" s="228">
        <v>0.97770606431021867</v>
      </c>
      <c r="R34" s="185">
        <v>31</v>
      </c>
      <c r="S34" s="186"/>
      <c r="T34" s="186"/>
      <c r="U34" s="186"/>
      <c r="V34" s="186"/>
      <c r="W34" s="186">
        <f t="shared" si="36"/>
        <v>0.75696868230046166</v>
      </c>
      <c r="X34" s="186">
        <f t="shared" si="37"/>
        <v>0.83159461562331205</v>
      </c>
      <c r="Y34" s="186">
        <f t="shared" si="38"/>
        <v>0.54220103608459769</v>
      </c>
      <c r="Z34" s="187">
        <f t="shared" si="39"/>
        <v>0.56205220881081031</v>
      </c>
      <c r="AC34" s="185">
        <v>31</v>
      </c>
      <c r="AD34" s="195">
        <f t="shared" si="40"/>
        <v>0.75696868230046166</v>
      </c>
      <c r="AE34" s="195">
        <f t="shared" si="41"/>
        <v>0.83159461562331205</v>
      </c>
      <c r="AF34" s="186">
        <f t="shared" si="29"/>
        <v>9.848477080407346E-2</v>
      </c>
      <c r="AG34" s="186">
        <f t="shared" si="30"/>
        <v>0.10819391480327495</v>
      </c>
      <c r="AH34" s="196">
        <f>SUM(AF$4:AF34)</f>
        <v>5.7777627310080915</v>
      </c>
      <c r="AI34" s="197">
        <f>SUM(AG$4:AG34)</f>
        <v>6.3846011199526584</v>
      </c>
      <c r="AJ34" s="178"/>
      <c r="AK34" s="185">
        <v>31</v>
      </c>
      <c r="AL34" s="195">
        <f t="shared" si="42"/>
        <v>0.54220103608459769</v>
      </c>
      <c r="AM34" s="195">
        <f t="shared" si="43"/>
        <v>0.56205220881081031</v>
      </c>
      <c r="AN34" s="186">
        <f t="shared" si="16"/>
        <v>7.0542607662766446E-2</v>
      </c>
      <c r="AO34" s="186">
        <f t="shared" si="17"/>
        <v>7.3125327716906177E-2</v>
      </c>
      <c r="AP34" s="196">
        <f>SUM(AN$4:AN34)</f>
        <v>5.7808375051026655</v>
      </c>
      <c r="AQ34" s="197">
        <f>SUM(AO$4:AO34)</f>
        <v>5.9691135206551014</v>
      </c>
      <c r="AR34" s="167"/>
      <c r="BH34" s="265">
        <v>31</v>
      </c>
      <c r="BI34" s="276"/>
      <c r="BJ34" s="276"/>
      <c r="BK34" s="278">
        <f t="shared" si="44"/>
        <v>0.86021627075898299</v>
      </c>
      <c r="BL34" s="278">
        <f t="shared" si="44"/>
        <v>0.89171068083250138</v>
      </c>
      <c r="BM34" s="279">
        <f>NPV($BK$1,BK$4:BK34)</f>
        <v>6.979739514102544</v>
      </c>
      <c r="BN34" s="279">
        <f>NPV($BK$1,BL$4:BL34)</f>
        <v>7.2090253106455604</v>
      </c>
      <c r="BO34" s="279">
        <f t="shared" si="21"/>
        <v>9.1219999999999999E-3</v>
      </c>
      <c r="BP34" s="279">
        <f>NPV(BK$1,BO$4:BO34)</f>
        <v>0.11669396908390402</v>
      </c>
      <c r="BQ34" s="279">
        <f t="shared" si="45"/>
        <v>7.0964334831864484</v>
      </c>
      <c r="BR34" s="280">
        <f t="shared" si="46"/>
        <v>7.3257192797294648</v>
      </c>
      <c r="BS34" s="279">
        <f t="shared" si="47"/>
        <v>7.8060768315050941</v>
      </c>
      <c r="BT34" s="281">
        <f t="shared" si="48"/>
        <v>8.0582912077024123</v>
      </c>
    </row>
    <row r="35" spans="1:72">
      <c r="A35" s="2">
        <v>32</v>
      </c>
      <c r="B35" s="2">
        <f t="shared" si="5"/>
        <v>9.1219999999999999E-3</v>
      </c>
      <c r="C35" s="2">
        <f t="shared" si="0"/>
        <v>1.1112454141334444E-3</v>
      </c>
      <c r="D35" s="2">
        <f>SUM(C$4:C35)</f>
        <v>0.11780521449803746</v>
      </c>
      <c r="E35" s="260">
        <f t="shared" si="6"/>
        <v>1.6103243201551849</v>
      </c>
      <c r="G35" s="185">
        <v>32</v>
      </c>
      <c r="H35" s="195">
        <f t="shared" si="35"/>
        <v>0.87715579689953849</v>
      </c>
      <c r="I35" s="195">
        <f t="shared" si="35"/>
        <v>0.90928815849202949</v>
      </c>
      <c r="J35" s="186">
        <f t="shared" si="9"/>
        <v>0.10685544362915798</v>
      </c>
      <c r="K35" s="186">
        <f t="shared" si="10"/>
        <v>0.11076981980378343</v>
      </c>
      <c r="L35" s="186">
        <f>SUM(J$4:J35)</f>
        <v>7.0865949577317036</v>
      </c>
      <c r="M35" s="186">
        <f>SUM(K$4:K35)</f>
        <v>7.3197951304493438</v>
      </c>
      <c r="N35" s="203">
        <f t="shared" si="11"/>
        <v>7.9248401894527163</v>
      </c>
      <c r="O35" s="203">
        <f t="shared" si="12"/>
        <v>8.1813603794421201</v>
      </c>
      <c r="P35" s="228">
        <v>0.99634687748572281</v>
      </c>
      <c r="R35" s="185">
        <v>32</v>
      </c>
      <c r="S35" s="186"/>
      <c r="T35" s="186"/>
      <c r="U35" s="186"/>
      <c r="V35" s="186"/>
      <c r="W35" s="186">
        <f t="shared" si="36"/>
        <v>0.77655785669232746</v>
      </c>
      <c r="X35" s="186">
        <f t="shared" si="37"/>
        <v>0.85285740735227322</v>
      </c>
      <c r="Y35" s="186">
        <f t="shared" si="38"/>
        <v>0.544707538674574</v>
      </c>
      <c r="Z35" s="187">
        <f t="shared" si="39"/>
        <v>0.56466150769206658</v>
      </c>
      <c r="AC35" s="185">
        <v>32</v>
      </c>
      <c r="AD35" s="195">
        <f t="shared" si="40"/>
        <v>0.77655785669232746</v>
      </c>
      <c r="AE35" s="195">
        <f t="shared" si="41"/>
        <v>0.85285740735227322</v>
      </c>
      <c r="AF35" s="186">
        <f t="shared" si="29"/>
        <v>9.4600565342978019E-2</v>
      </c>
      <c r="AG35" s="186">
        <f t="shared" si="30"/>
        <v>0.10389540482678718</v>
      </c>
      <c r="AH35" s="196">
        <f>SUM(AF$4:AF35)</f>
        <v>5.8723632963510699</v>
      </c>
      <c r="AI35" s="197">
        <f>SUM(AG$4:AG35)</f>
        <v>6.4884965247794453</v>
      </c>
      <c r="AJ35" s="178"/>
      <c r="AK35" s="185">
        <v>32</v>
      </c>
      <c r="AL35" s="195">
        <f t="shared" si="42"/>
        <v>0.544707538674574</v>
      </c>
      <c r="AM35" s="195">
        <f t="shared" si="43"/>
        <v>0.56466150769206658</v>
      </c>
      <c r="AN35" s="186">
        <f t="shared" si="16"/>
        <v>6.6356473843020847E-2</v>
      </c>
      <c r="AO35" s="186">
        <f t="shared" si="17"/>
        <v>6.8787273729498541E-2</v>
      </c>
      <c r="AP35" s="196">
        <f>SUM(AN$4:AN35)</f>
        <v>5.8471939789456862</v>
      </c>
      <c r="AQ35" s="197">
        <f>SUM(AO$4:AO35)</f>
        <v>6.0379007943845995</v>
      </c>
      <c r="AR35" s="167"/>
      <c r="BH35" s="265">
        <v>32</v>
      </c>
      <c r="BI35" s="276"/>
      <c r="BJ35" s="276"/>
      <c r="BK35" s="278">
        <f t="shared" si="44"/>
        <v>0.87715579689953849</v>
      </c>
      <c r="BL35" s="278">
        <f t="shared" si="44"/>
        <v>0.90928815849202949</v>
      </c>
      <c r="BM35" s="279">
        <f>NPV($BK$1,BK$4:BK35)</f>
        <v>7.0865949577317018</v>
      </c>
      <c r="BN35" s="279">
        <f>NPV($BK$1,BL$4:BL35)</f>
        <v>7.3197951304493438</v>
      </c>
      <c r="BO35" s="279">
        <f t="shared" si="21"/>
        <v>9.1219999999999999E-3</v>
      </c>
      <c r="BP35" s="279">
        <f>NPV(BK$1,BO$4:BO35)</f>
        <v>0.11780521449803746</v>
      </c>
      <c r="BQ35" s="279">
        <f t="shared" si="45"/>
        <v>7.2044001722297395</v>
      </c>
      <c r="BR35" s="280">
        <f t="shared" si="46"/>
        <v>7.4376003449473815</v>
      </c>
      <c r="BS35" s="279">
        <f t="shared" si="47"/>
        <v>7.9248401894527145</v>
      </c>
      <c r="BT35" s="281">
        <f t="shared" si="48"/>
        <v>8.1813603794421201</v>
      </c>
    </row>
    <row r="36" spans="1:72">
      <c r="A36" s="2">
        <v>33</v>
      </c>
      <c r="B36" s="2">
        <f t="shared" si="5"/>
        <v>9.1219999999999999E-3</v>
      </c>
      <c r="C36" s="2">
        <f t="shared" ref="C36:C53" si="49">B36/((1+J$2)^A36)</f>
        <v>1.0404919607991051E-3</v>
      </c>
      <c r="D36" s="2">
        <f>SUM(C$4:C36)</f>
        <v>0.11884570645883658</v>
      </c>
      <c r="E36" s="260">
        <f t="shared" si="6"/>
        <v>1.6344791849575124</v>
      </c>
      <c r="G36" s="185">
        <v>33</v>
      </c>
      <c r="H36" s="195">
        <f t="shared" si="35"/>
        <v>0.89442889909023471</v>
      </c>
      <c r="I36" s="195">
        <f t="shared" si="35"/>
        <v>0.92721212490347293</v>
      </c>
      <c r="J36" s="186">
        <f t="shared" si="9"/>
        <v>0.10202215292806219</v>
      </c>
      <c r="K36" s="186">
        <f t="shared" si="10"/>
        <v>0.10576153934636258</v>
      </c>
      <c r="L36" s="186">
        <f>SUM(J$4:J36)</f>
        <v>7.1886171106597656</v>
      </c>
      <c r="M36" s="186">
        <f>SUM(K$4:K36)</f>
        <v>7.4255566697957063</v>
      </c>
      <c r="N36" s="203">
        <f t="shared" si="11"/>
        <v>8.038209098830464</v>
      </c>
      <c r="O36" s="203">
        <f t="shared" si="12"/>
        <v>8.298842613879998</v>
      </c>
      <c r="P36" s="228">
        <v>1.0133585966162553</v>
      </c>
      <c r="R36" s="185">
        <v>33</v>
      </c>
      <c r="S36" s="186"/>
      <c r="T36" s="186"/>
      <c r="U36" s="186"/>
      <c r="V36" s="186"/>
      <c r="W36" s="186">
        <f t="shared" si="36"/>
        <v>0.79665396850753389</v>
      </c>
      <c r="X36" s="186">
        <f t="shared" si="37"/>
        <v>0.87466386098526239</v>
      </c>
      <c r="Y36" s="186">
        <f t="shared" si="38"/>
        <v>0.54722562839702593</v>
      </c>
      <c r="Z36" s="187">
        <f t="shared" si="39"/>
        <v>0.56728292011107784</v>
      </c>
      <c r="AC36" s="185">
        <v>33</v>
      </c>
      <c r="AD36" s="195">
        <f t="shared" si="40"/>
        <v>0.79665396850753389</v>
      </c>
      <c r="AE36" s="195">
        <f t="shared" si="41"/>
        <v>0.87466386098526239</v>
      </c>
      <c r="AF36" s="186">
        <f t="shared" si="29"/>
        <v>9.0869551608286844E-2</v>
      </c>
      <c r="AG36" s="186">
        <f t="shared" si="30"/>
        <v>9.9767673290580089E-2</v>
      </c>
      <c r="AH36" s="196">
        <f>SUM(AF$4:AF36)</f>
        <v>5.9632328479593566</v>
      </c>
      <c r="AI36" s="197">
        <f>SUM(AG$4:AG36)</f>
        <v>6.5882641980700249</v>
      </c>
      <c r="AJ36" s="178"/>
      <c r="AK36" s="185">
        <v>33</v>
      </c>
      <c r="AL36" s="195">
        <f t="shared" si="42"/>
        <v>0.54722562839702593</v>
      </c>
      <c r="AM36" s="195">
        <f t="shared" si="43"/>
        <v>0.56728292011107784</v>
      </c>
      <c r="AN36" s="186">
        <f t="shared" si="16"/>
        <v>6.2418753243843897E-2</v>
      </c>
      <c r="AO36" s="186">
        <f t="shared" si="17"/>
        <v>6.4706568501887468E-2</v>
      </c>
      <c r="AP36" s="196">
        <f>SUM(AN$4:AN36)</f>
        <v>5.9096127321895304</v>
      </c>
      <c r="AQ36" s="197">
        <f>SUM(AO$4:AO36)</f>
        <v>6.102607362886487</v>
      </c>
      <c r="AR36" s="167"/>
      <c r="BH36" s="265">
        <v>33</v>
      </c>
      <c r="BI36" s="276"/>
      <c r="BJ36" s="276"/>
      <c r="BK36" s="278">
        <f t="shared" si="44"/>
        <v>0.89442889909023471</v>
      </c>
      <c r="BL36" s="278">
        <f t="shared" si="44"/>
        <v>0.92721212490347293</v>
      </c>
      <c r="BM36" s="279">
        <f>NPV($BK$1,BK$4:BK36)</f>
        <v>7.1886171106597638</v>
      </c>
      <c r="BN36" s="279">
        <f>NPV($BK$1,BL$4:BL36)</f>
        <v>7.4255566697957063</v>
      </c>
      <c r="BO36" s="279">
        <f t="shared" si="21"/>
        <v>9.1219999999999999E-3</v>
      </c>
      <c r="BP36" s="279">
        <f>NPV(BK$1,BO$4:BO36)</f>
        <v>0.11884570645883656</v>
      </c>
      <c r="BQ36" s="279">
        <f t="shared" si="45"/>
        <v>7.3074628171186005</v>
      </c>
      <c r="BR36" s="280">
        <f t="shared" si="46"/>
        <v>7.5444023762545429</v>
      </c>
      <c r="BS36" s="279">
        <f t="shared" si="47"/>
        <v>8.0382090988304604</v>
      </c>
      <c r="BT36" s="281">
        <f t="shared" si="48"/>
        <v>8.298842613879998</v>
      </c>
    </row>
    <row r="37" spans="1:72">
      <c r="A37" s="2">
        <v>34</v>
      </c>
      <c r="B37" s="2">
        <f t="shared" si="5"/>
        <v>9.1219999999999999E-3</v>
      </c>
      <c r="C37" s="2">
        <f t="shared" si="49"/>
        <v>9.7424340898792628E-4</v>
      </c>
      <c r="D37" s="2">
        <f>SUM(C$4:C37)</f>
        <v>0.1198199498678245</v>
      </c>
      <c r="E37" s="260">
        <f t="shared" si="6"/>
        <v>1.6589963727318748</v>
      </c>
      <c r="G37" s="185">
        <v>34</v>
      </c>
      <c r="H37" s="195">
        <f t="shared" si="35"/>
        <v>0.91204214616778545</v>
      </c>
      <c r="I37" s="195">
        <f t="shared" si="35"/>
        <v>0.94548941008291987</v>
      </c>
      <c r="J37" s="186">
        <f t="shared" si="9"/>
        <v>9.7407481870551177E-2</v>
      </c>
      <c r="K37" s="186">
        <f t="shared" si="10"/>
        <v>0.10097970028953818</v>
      </c>
      <c r="L37" s="186">
        <f>SUM(J$4:J37)</f>
        <v>7.2860245925303166</v>
      </c>
      <c r="M37" s="186">
        <f>SUM(K$4:K37)</f>
        <v>7.5265363700852443</v>
      </c>
      <c r="N37" s="203">
        <f t="shared" si="11"/>
        <v>8.1464289966379546</v>
      </c>
      <c r="O37" s="203">
        <f t="shared" si="12"/>
        <v>8.4109919519483753</v>
      </c>
      <c r="P37" s="228">
        <v>1.0297913176532001</v>
      </c>
      <c r="R37" s="185">
        <v>34</v>
      </c>
      <c r="S37" s="186"/>
      <c r="T37" s="186"/>
      <c r="U37" s="186"/>
      <c r="V37" s="186"/>
      <c r="W37" s="186">
        <f t="shared" si="36"/>
        <v>0.81727013649963542</v>
      </c>
      <c r="X37" s="186">
        <f t="shared" si="37"/>
        <v>0.89702787724941169</v>
      </c>
      <c r="Y37" s="186">
        <f t="shared" si="38"/>
        <v>0.54975535881728377</v>
      </c>
      <c r="Z37" s="187">
        <f t="shared" si="39"/>
        <v>0.569916502304329</v>
      </c>
      <c r="AC37" s="185">
        <v>34</v>
      </c>
      <c r="AD37" s="195">
        <f t="shared" si="40"/>
        <v>0.81727013649963542</v>
      </c>
      <c r="AE37" s="195">
        <f t="shared" si="41"/>
        <v>0.89702787724941169</v>
      </c>
      <c r="AF37" s="186">
        <f t="shared" si="29"/>
        <v>8.7285687771040635E-2</v>
      </c>
      <c r="AG37" s="186">
        <f t="shared" si="30"/>
        <v>9.5803935221296849E-2</v>
      </c>
      <c r="AH37" s="196">
        <f>SUM(AF$4:AF37)</f>
        <v>6.0505185357303972</v>
      </c>
      <c r="AI37" s="197">
        <f>SUM(AG$4:AG37)</f>
        <v>6.6840681332913219</v>
      </c>
      <c r="AJ37" s="178"/>
      <c r="AK37" s="185">
        <v>34</v>
      </c>
      <c r="AL37" s="195">
        <f t="shared" si="42"/>
        <v>0.54975535881728377</v>
      </c>
      <c r="AM37" s="195">
        <f t="shared" si="43"/>
        <v>0.569916502304329</v>
      </c>
      <c r="AN37" s="186">
        <f t="shared" si="16"/>
        <v>5.8714704547635513E-2</v>
      </c>
      <c r="AO37" s="186">
        <f t="shared" si="17"/>
        <v>6.086794519222153E-2</v>
      </c>
      <c r="AP37" s="196">
        <f>SUM(AN$4:AN37)</f>
        <v>5.9683274367371659</v>
      </c>
      <c r="AQ37" s="197">
        <f>SUM(AO$4:AO37)</f>
        <v>6.1634753080787084</v>
      </c>
      <c r="AR37" s="167"/>
      <c r="BH37" s="265">
        <v>34</v>
      </c>
      <c r="BI37" s="276"/>
      <c r="BJ37" s="276"/>
      <c r="BK37" s="278">
        <f t="shared" si="44"/>
        <v>0.91204214616778545</v>
      </c>
      <c r="BL37" s="278">
        <f t="shared" si="44"/>
        <v>0.94548941008291987</v>
      </c>
      <c r="BM37" s="279">
        <f>NPV($BK$1,BK$4:BK37)</f>
        <v>7.2860245925303149</v>
      </c>
      <c r="BN37" s="279">
        <f>NPV($BK$1,BL$4:BL37)</f>
        <v>7.5265363700852452</v>
      </c>
      <c r="BO37" s="279">
        <f t="shared" si="21"/>
        <v>9.1219999999999999E-3</v>
      </c>
      <c r="BP37" s="279">
        <f>NPV(BK$1,BO$4:BO37)</f>
        <v>0.11981994986782449</v>
      </c>
      <c r="BQ37" s="279">
        <f t="shared" si="45"/>
        <v>7.4058445423981389</v>
      </c>
      <c r="BR37" s="280">
        <f t="shared" si="46"/>
        <v>7.6463563199530693</v>
      </c>
      <c r="BS37" s="279">
        <f t="shared" si="47"/>
        <v>8.1464289966379528</v>
      </c>
      <c r="BT37" s="281">
        <f t="shared" si="48"/>
        <v>8.4109919519483771</v>
      </c>
    </row>
    <row r="38" spans="1:72">
      <c r="A38" s="2">
        <v>35</v>
      </c>
      <c r="B38" s="2">
        <f t="shared" si="5"/>
        <v>9.1219999999999999E-3</v>
      </c>
      <c r="C38" s="2">
        <f t="shared" si="49"/>
        <v>9.122129297639758E-4</v>
      </c>
      <c r="D38" s="2">
        <f>SUM(C$4:C38)</f>
        <v>0.12073216279758847</v>
      </c>
      <c r="E38" s="260">
        <f t="shared" si="6"/>
        <v>1.6838813183228529</v>
      </c>
      <c r="G38" s="185">
        <v>35</v>
      </c>
      <c r="H38" s="195">
        <f t="shared" si="35"/>
        <v>0.93000223632356238</v>
      </c>
      <c r="I38" s="195">
        <f t="shared" si="35"/>
        <v>0.96412697868032315</v>
      </c>
      <c r="J38" s="186">
        <f t="shared" si="9"/>
        <v>9.3001541842114246E-2</v>
      </c>
      <c r="K38" s="186">
        <f t="shared" si="10"/>
        <v>9.6414064447102363E-2</v>
      </c>
      <c r="L38" s="186">
        <f>SUM(J$4:J38)</f>
        <v>7.379026134372431</v>
      </c>
      <c r="M38" s="186">
        <f>SUM(K$4:K38)</f>
        <v>7.6229504345323464</v>
      </c>
      <c r="N38" s="203">
        <f t="shared" si="11"/>
        <v>8.2497341268870219</v>
      </c>
      <c r="O38" s="203">
        <f t="shared" si="12"/>
        <v>8.5180508570629279</v>
      </c>
      <c r="P38" s="228">
        <v>1.0456648322408759</v>
      </c>
      <c r="R38" s="185">
        <v>35</v>
      </c>
      <c r="S38" s="186"/>
      <c r="T38" s="186"/>
      <c r="U38" s="186"/>
      <c r="V38" s="186"/>
      <c r="W38" s="186">
        <f t="shared" si="36"/>
        <v>0.83841981891516326</v>
      </c>
      <c r="X38" s="186">
        <f t="shared" si="37"/>
        <v>0.91996371229534957</v>
      </c>
      <c r="Y38" s="186">
        <f t="shared" si="38"/>
        <v>0.55229678374830116</v>
      </c>
      <c r="Z38" s="187">
        <f t="shared" si="39"/>
        <v>0.5725623107693798</v>
      </c>
      <c r="AC38" s="185">
        <v>35</v>
      </c>
      <c r="AD38" s="195">
        <f t="shared" si="40"/>
        <v>0.83841981891516326</v>
      </c>
      <c r="AE38" s="195">
        <f t="shared" si="41"/>
        <v>0.91996371229534957</v>
      </c>
      <c r="AF38" s="186">
        <f t="shared" si="29"/>
        <v>8.3843170289934571E-2</v>
      </c>
      <c r="AG38" s="186">
        <f t="shared" si="30"/>
        <v>9.199767521042361E-2</v>
      </c>
      <c r="AH38" s="196">
        <f>SUM(AF$4:AF38)</f>
        <v>6.1343617060203322</v>
      </c>
      <c r="AI38" s="197">
        <f>SUM(AG$4:AG38)</f>
        <v>6.7760658085017456</v>
      </c>
      <c r="AJ38" s="178"/>
      <c r="AK38" s="185">
        <v>35</v>
      </c>
      <c r="AL38" s="195">
        <f t="shared" si="42"/>
        <v>0.55229678374830116</v>
      </c>
      <c r="AM38" s="195">
        <f t="shared" si="43"/>
        <v>0.5725623107693798</v>
      </c>
      <c r="AN38" s="186">
        <f t="shared" si="16"/>
        <v>5.5230461214893528E-2</v>
      </c>
      <c r="AO38" s="186">
        <f t="shared" si="17"/>
        <v>5.7257042641895191E-2</v>
      </c>
      <c r="AP38" s="196">
        <f>SUM(AN$4:AN38)</f>
        <v>6.0235578979520596</v>
      </c>
      <c r="AQ38" s="197">
        <f>SUM(AO$4:AO38)</f>
        <v>6.2207323507206036</v>
      </c>
      <c r="AR38" s="167"/>
      <c r="BH38" s="265">
        <v>35</v>
      </c>
      <c r="BI38" s="276"/>
      <c r="BJ38" s="276"/>
      <c r="BK38" s="278">
        <f t="shared" si="44"/>
        <v>0.93000223632356238</v>
      </c>
      <c r="BL38" s="278">
        <f t="shared" si="44"/>
        <v>0.96412697868032315</v>
      </c>
      <c r="BM38" s="279">
        <f>NPV($BK$1,BK$4:BK38)</f>
        <v>7.3790261343724293</v>
      </c>
      <c r="BN38" s="279">
        <f>NPV($BK$1,BL$4:BL38)</f>
        <v>7.6229504345323473</v>
      </c>
      <c r="BO38" s="279">
        <f t="shared" si="21"/>
        <v>9.1219999999999999E-3</v>
      </c>
      <c r="BP38" s="279">
        <f>NPV(BK$1,BO$4:BO38)</f>
        <v>0.12073216279758846</v>
      </c>
      <c r="BQ38" s="279">
        <f t="shared" si="45"/>
        <v>7.4997582971700174</v>
      </c>
      <c r="BR38" s="280">
        <f t="shared" si="46"/>
        <v>7.7436825973299355</v>
      </c>
      <c r="BS38" s="279">
        <f t="shared" si="47"/>
        <v>8.2497341268870201</v>
      </c>
      <c r="BT38" s="281">
        <f t="shared" si="48"/>
        <v>8.5180508570629296</v>
      </c>
    </row>
    <row r="39" spans="1:72">
      <c r="A39" s="2">
        <v>36</v>
      </c>
      <c r="B39" s="2">
        <f t="shared" si="5"/>
        <v>9.1219999999999999E-3</v>
      </c>
      <c r="C39" s="2">
        <f t="shared" si="49"/>
        <v>8.5413195670784245E-4</v>
      </c>
      <c r="D39" s="2">
        <f>SUM(C$4:C39)</f>
        <v>0.12158629475429632</v>
      </c>
      <c r="E39" s="260">
        <f t="shared" si="6"/>
        <v>1.7091395380976955</v>
      </c>
      <c r="G39" s="185">
        <v>36</v>
      </c>
      <c r="H39" s="195">
        <f t="shared" si="35"/>
        <v>0.94831599965086866</v>
      </c>
      <c r="I39" s="195">
        <f t="shared" si="35"/>
        <v>0.98313193263341481</v>
      </c>
      <c r="J39" s="186">
        <f t="shared" si="9"/>
        <v>8.8794891510540458E-2</v>
      </c>
      <c r="K39" s="186">
        <f t="shared" si="10"/>
        <v>9.2054856536082141E-2</v>
      </c>
      <c r="L39" s="186">
        <f>SUM(J$4:J39)</f>
        <v>7.4678210258829711</v>
      </c>
      <c r="M39" s="186">
        <f>SUM(K$4:K39)</f>
        <v>7.7150052910684286</v>
      </c>
      <c r="N39" s="203">
        <f t="shared" si="11"/>
        <v>8.3483480527009952</v>
      </c>
      <c r="O39" s="203">
        <f t="shared" si="12"/>
        <v>8.6202507444049985</v>
      </c>
      <c r="P39" s="228">
        <v>1.0609982519347037</v>
      </c>
      <c r="R39" s="185">
        <v>36</v>
      </c>
      <c r="S39" s="186"/>
      <c r="T39" s="186"/>
      <c r="U39" s="186"/>
      <c r="V39" s="186"/>
      <c r="W39" s="186">
        <f t="shared" si="36"/>
        <v>0.86011682227917641</v>
      </c>
      <c r="X39" s="186">
        <f t="shared" si="37"/>
        <v>0.94348598678491713</v>
      </c>
      <c r="Y39" s="186">
        <f t="shared" si="38"/>
        <v>0.55484995725179975</v>
      </c>
      <c r="Z39" s="187">
        <f t="shared" si="39"/>
        <v>0.57522040226607729</v>
      </c>
      <c r="AC39" s="185">
        <v>36</v>
      </c>
      <c r="AD39" s="195">
        <f t="shared" si="40"/>
        <v>0.86011682227917641</v>
      </c>
      <c r="AE39" s="195">
        <f t="shared" si="41"/>
        <v>0.94348598678491713</v>
      </c>
      <c r="AF39" s="186">
        <f t="shared" si="29"/>
        <v>8.0536424513335286E-2</v>
      </c>
      <c r="AG39" s="186">
        <f t="shared" si="30"/>
        <v>8.8342636704563784E-2</v>
      </c>
      <c r="AH39" s="196">
        <f>SUM(AF$4:AF39)</f>
        <v>6.2148981305336672</v>
      </c>
      <c r="AI39" s="197">
        <f>SUM(AG$4:AG39)</f>
        <v>6.8644084452063092</v>
      </c>
      <c r="AJ39" s="178"/>
      <c r="AK39" s="185">
        <v>36</v>
      </c>
      <c r="AL39" s="195">
        <f t="shared" si="42"/>
        <v>0.55484995725179975</v>
      </c>
      <c r="AM39" s="195">
        <f t="shared" si="43"/>
        <v>0.57522040226607729</v>
      </c>
      <c r="AN39" s="186">
        <f t="shared" si="16"/>
        <v>5.1952979573201323E-2</v>
      </c>
      <c r="AO39" s="186">
        <f t="shared" si="17"/>
        <v>5.3860351647204215E-2</v>
      </c>
      <c r="AP39" s="196">
        <f>SUM(AN$4:AN39)</f>
        <v>6.0755108775252609</v>
      </c>
      <c r="AQ39" s="197">
        <f>SUM(AO$4:AO39)</f>
        <v>6.2745927023678076</v>
      </c>
      <c r="AR39" s="167"/>
      <c r="BH39" s="265">
        <v>36</v>
      </c>
      <c r="BI39" s="276"/>
      <c r="BJ39" s="276"/>
      <c r="BK39" s="278">
        <f t="shared" si="44"/>
        <v>0.94831599965086866</v>
      </c>
      <c r="BL39" s="278">
        <f t="shared" si="44"/>
        <v>0.98313193263341481</v>
      </c>
      <c r="BM39" s="279">
        <f>NPV($BK$1,BK$4:BK39)</f>
        <v>7.4678210258829694</v>
      </c>
      <c r="BN39" s="279">
        <f>NPV($BK$1,BL$4:BL39)</f>
        <v>7.7150052910684286</v>
      </c>
      <c r="BO39" s="279">
        <f t="shared" si="21"/>
        <v>9.1219999999999999E-3</v>
      </c>
      <c r="BP39" s="279">
        <f>NPV(BK$1,BO$4:BO39)</f>
        <v>0.1215862947542963</v>
      </c>
      <c r="BQ39" s="279">
        <f t="shared" si="45"/>
        <v>7.5894073206372656</v>
      </c>
      <c r="BR39" s="280">
        <f t="shared" si="46"/>
        <v>7.8365915858227249</v>
      </c>
      <c r="BS39" s="279">
        <f t="shared" si="47"/>
        <v>8.3483480527009934</v>
      </c>
      <c r="BT39" s="281">
        <f t="shared" si="48"/>
        <v>8.6202507444049985</v>
      </c>
    </row>
    <row r="40" spans="1:72">
      <c r="A40" s="2">
        <v>37</v>
      </c>
      <c r="B40" s="2">
        <f t="shared" si="5"/>
        <v>9.1219999999999999E-3</v>
      </c>
      <c r="C40" s="2">
        <f t="shared" si="49"/>
        <v>7.9974902313468383E-4</v>
      </c>
      <c r="D40" s="2">
        <f>SUM(C$4:C40)</f>
        <v>0.12238604377743099</v>
      </c>
      <c r="E40" s="260">
        <f t="shared" si="6"/>
        <v>1.7347766311691606</v>
      </c>
      <c r="G40" s="185">
        <v>37</v>
      </c>
      <c r="H40" s="195">
        <f t="shared" si="35"/>
        <v>0.96699040074237486</v>
      </c>
      <c r="I40" s="195">
        <f t="shared" si="35"/>
        <v>1.0025115138739344</v>
      </c>
      <c r="J40" s="186">
        <f t="shared" si="9"/>
        <v>8.4778516594423453E-2</v>
      </c>
      <c r="K40" s="186">
        <f t="shared" si="10"/>
        <v>8.7892743247308946E-2</v>
      </c>
      <c r="L40" s="186">
        <f>SUM(J$4:J40)</f>
        <v>7.5525995424773944</v>
      </c>
      <c r="M40" s="186">
        <f>SUM(K$4:K40)</f>
        <v>7.8028980343157377</v>
      </c>
      <c r="N40" s="203">
        <f t="shared" si="11"/>
        <v>8.442484144880309</v>
      </c>
      <c r="O40" s="203">
        <f t="shared" si="12"/>
        <v>8.7178124859024866</v>
      </c>
      <c r="P40" s="228">
        <v>1.0758100317187322</v>
      </c>
      <c r="R40" s="185">
        <v>37</v>
      </c>
      <c r="S40" s="186"/>
      <c r="T40" s="186"/>
      <c r="U40" s="186"/>
      <c r="V40" s="186"/>
      <c r="W40" s="186">
        <f t="shared" si="36"/>
        <v>0.8823753104081693</v>
      </c>
      <c r="X40" s="186">
        <f t="shared" si="37"/>
        <v>0.96760969521124518</v>
      </c>
      <c r="Y40" s="186">
        <f t="shared" si="38"/>
        <v>0.5574149336394193</v>
      </c>
      <c r="Z40" s="187">
        <f t="shared" si="39"/>
        <v>0.57789083381777295</v>
      </c>
      <c r="AC40" s="185">
        <v>37</v>
      </c>
      <c r="AD40" s="195">
        <f t="shared" si="40"/>
        <v>0.8823753104081693</v>
      </c>
      <c r="AE40" s="195">
        <f t="shared" si="41"/>
        <v>0.96760969521124518</v>
      </c>
      <c r="AF40" s="186">
        <f t="shared" si="29"/>
        <v>7.7360095651950983E-2</v>
      </c>
      <c r="AG40" s="186">
        <f t="shared" si="30"/>
        <v>8.4832811721206158E-2</v>
      </c>
      <c r="AH40" s="196">
        <f>SUM(AF$4:AF40)</f>
        <v>6.2922582261856181</v>
      </c>
      <c r="AI40" s="197">
        <f>SUM(AG$4:AG40)</f>
        <v>6.9492412569275155</v>
      </c>
      <c r="AJ40" s="178"/>
      <c r="AK40" s="185">
        <v>37</v>
      </c>
      <c r="AL40" s="195">
        <f t="shared" si="42"/>
        <v>0.5574149336394193</v>
      </c>
      <c r="AM40" s="195">
        <f t="shared" si="43"/>
        <v>0.57789083381777295</v>
      </c>
      <c r="AN40" s="186">
        <f t="shared" si="16"/>
        <v>4.886998998671456E-2</v>
      </c>
      <c r="AO40" s="186">
        <f t="shared" si="17"/>
        <v>5.0665164418356924E-2</v>
      </c>
      <c r="AP40" s="196">
        <f>SUM(AN$4:AN40)</f>
        <v>6.1243808675119755</v>
      </c>
      <c r="AQ40" s="197">
        <f>SUM(AO$4:AO40)</f>
        <v>6.3252578667861643</v>
      </c>
      <c r="AR40" s="167"/>
      <c r="BH40" s="265">
        <v>37</v>
      </c>
      <c r="BI40" s="276"/>
      <c r="BJ40" s="276"/>
      <c r="BK40" s="278">
        <f t="shared" si="44"/>
        <v>0.96699040074237486</v>
      </c>
      <c r="BL40" s="278">
        <f t="shared" si="44"/>
        <v>1.0025115138739344</v>
      </c>
      <c r="BM40" s="279">
        <f>NPV($BK$1,BK$4:BK40)</f>
        <v>7.5525995424773926</v>
      </c>
      <c r="BN40" s="279">
        <f>NPV($BK$1,BL$4:BL40)</f>
        <v>7.8028980343157386</v>
      </c>
      <c r="BO40" s="279">
        <f t="shared" si="21"/>
        <v>9.1219999999999999E-3</v>
      </c>
      <c r="BP40" s="279">
        <f>NPV(BK$1,BO$4:BO40)</f>
        <v>0.12238604377743098</v>
      </c>
      <c r="BQ40" s="279">
        <f t="shared" si="45"/>
        <v>7.6749855862548237</v>
      </c>
      <c r="BR40" s="280">
        <f t="shared" si="46"/>
        <v>7.9252840780931697</v>
      </c>
      <c r="BS40" s="279">
        <f t="shared" si="47"/>
        <v>8.4424841448803072</v>
      </c>
      <c r="BT40" s="281">
        <f t="shared" si="48"/>
        <v>8.7178124859024866</v>
      </c>
    </row>
    <row r="41" spans="1:72">
      <c r="A41" s="2">
        <v>38</v>
      </c>
      <c r="B41" s="2">
        <f t="shared" si="5"/>
        <v>9.1219999999999999E-3</v>
      </c>
      <c r="C41" s="2">
        <f t="shared" si="49"/>
        <v>7.4882867334708219E-4</v>
      </c>
      <c r="D41" s="2">
        <f>SUM(C$4:C41)</f>
        <v>0.12313487245077807</v>
      </c>
      <c r="E41" s="260">
        <f t="shared" si="6"/>
        <v>1.7607982806366977</v>
      </c>
      <c r="G41" s="185">
        <v>38</v>
      </c>
      <c r="H41" s="195">
        <f t="shared" si="35"/>
        <v>0.98603254133870311</v>
      </c>
      <c r="I41" s="195">
        <f t="shared" si="35"/>
        <v>1.0222731070872031</v>
      </c>
      <c r="J41" s="186">
        <f t="shared" si="9"/>
        <v>8.0943810546778447E-2</v>
      </c>
      <c r="K41" s="186">
        <f t="shared" si="10"/>
        <v>8.391881326227911E-2</v>
      </c>
      <c r="L41" s="186">
        <f>SUM(J$4:J41)</f>
        <v>7.633543353024173</v>
      </c>
      <c r="M41" s="186">
        <f>SUM(K$4:K41)</f>
        <v>7.8868168475780172</v>
      </c>
      <c r="N41" s="203">
        <f t="shared" si="11"/>
        <v>8.5323460480224469</v>
      </c>
      <c r="O41" s="203">
        <f t="shared" si="12"/>
        <v>8.8109468920316747</v>
      </c>
      <c r="P41" s="228">
        <v>1.0901179927037983</v>
      </c>
      <c r="R41" s="185">
        <v>38</v>
      </c>
      <c r="S41" s="186"/>
      <c r="T41" s="186"/>
      <c r="U41" s="186"/>
      <c r="V41" s="186"/>
      <c r="W41" s="186">
        <f t="shared" si="36"/>
        <v>0.90520981365621977</v>
      </c>
      <c r="X41" s="186">
        <f t="shared" si="37"/>
        <v>0.99235021545713364</v>
      </c>
      <c r="Y41" s="186">
        <f t="shared" si="38"/>
        <v>0.55999176747387303</v>
      </c>
      <c r="Z41" s="187">
        <f t="shared" si="39"/>
        <v>0.58057366271254651</v>
      </c>
      <c r="AC41" s="185">
        <v>38</v>
      </c>
      <c r="AD41" s="195">
        <f t="shared" si="40"/>
        <v>0.90520981365621977</v>
      </c>
      <c r="AE41" s="195">
        <f t="shared" si="41"/>
        <v>0.99235021545713364</v>
      </c>
      <c r="AF41" s="186">
        <f t="shared" si="29"/>
        <v>7.4309040107536348E-2</v>
      </c>
      <c r="AG41" s="186">
        <f t="shared" si="30"/>
        <v>8.1462430973082284E-2</v>
      </c>
      <c r="AH41" s="196">
        <f>SUM(AF$4:AF41)</f>
        <v>6.3665672662931545</v>
      </c>
      <c r="AI41" s="197">
        <f>SUM(AG$4:AG41)</f>
        <v>7.0307036879005977</v>
      </c>
      <c r="AJ41" s="178"/>
      <c r="AK41" s="185">
        <v>38</v>
      </c>
      <c r="AL41" s="195">
        <f t="shared" si="42"/>
        <v>0.55999176747387303</v>
      </c>
      <c r="AM41" s="195">
        <f t="shared" si="43"/>
        <v>0.58057366271254651</v>
      </c>
      <c r="AN41" s="186">
        <f t="shared" si="16"/>
        <v>4.5969950923344452E-2</v>
      </c>
      <c r="AO41" s="186">
        <f t="shared" si="17"/>
        <v>4.7659527036756473E-2</v>
      </c>
      <c r="AP41" s="196">
        <f>SUM(AN$4:AN41)</f>
        <v>6.1703508184353204</v>
      </c>
      <c r="AQ41" s="197">
        <f>SUM(AO$4:AO41)</f>
        <v>6.3729173938229211</v>
      </c>
      <c r="AR41" s="167"/>
      <c r="BH41" s="265">
        <v>38</v>
      </c>
      <c r="BI41" s="276"/>
      <c r="BJ41" s="276"/>
      <c r="BK41" s="278">
        <f t="shared" si="44"/>
        <v>0.98603254133870311</v>
      </c>
      <c r="BL41" s="278">
        <f t="shared" si="44"/>
        <v>1.0222731070872031</v>
      </c>
      <c r="BM41" s="279">
        <f>NPV($BK$1,BK$4:BK41)</f>
        <v>7.6335433530241712</v>
      </c>
      <c r="BN41" s="279">
        <f>NPV($BK$1,BL$4:BL41)</f>
        <v>7.8868168475780163</v>
      </c>
      <c r="BO41" s="279">
        <f t="shared" si="21"/>
        <v>9.1219999999999999E-3</v>
      </c>
      <c r="BP41" s="279">
        <f>NPV(BK$1,BO$4:BO41)</f>
        <v>0.12313487245077806</v>
      </c>
      <c r="BQ41" s="279">
        <f t="shared" si="45"/>
        <v>7.7566782254749489</v>
      </c>
      <c r="BR41" s="280">
        <f t="shared" si="46"/>
        <v>8.0099517200287949</v>
      </c>
      <c r="BS41" s="279">
        <f t="shared" si="47"/>
        <v>8.5323460480224451</v>
      </c>
      <c r="BT41" s="281">
        <f t="shared" si="48"/>
        <v>8.8109468920316747</v>
      </c>
    </row>
    <row r="42" spans="1:72">
      <c r="A42" s="2">
        <v>39</v>
      </c>
      <c r="B42" s="2">
        <f t="shared" si="5"/>
        <v>9.1219999999999999E-3</v>
      </c>
      <c r="C42" s="2">
        <f t="shared" si="49"/>
        <v>7.0115044320887855E-4</v>
      </c>
      <c r="D42" s="2">
        <f>SUM(C$4:C42)</f>
        <v>0.12383602289398696</v>
      </c>
      <c r="E42" s="260">
        <f t="shared" si="6"/>
        <v>1.7872102548462478</v>
      </c>
      <c r="G42" s="185">
        <v>39</v>
      </c>
      <c r="H42" s="195">
        <f t="shared" si="35"/>
        <v>1.0054496630291683</v>
      </c>
      <c r="I42" s="195">
        <f t="shared" si="35"/>
        <v>1.0424242425260943</v>
      </c>
      <c r="J42" s="186">
        <f t="shared" si="9"/>
        <v>7.7282556112378747E-2</v>
      </c>
      <c r="K42" s="186">
        <f t="shared" si="10"/>
        <v>8.0124558173520127E-2</v>
      </c>
      <c r="L42" s="186">
        <f>SUM(J$4:J42)</f>
        <v>7.7108259091365516</v>
      </c>
      <c r="M42" s="186">
        <f>SUM(K$4:K42)</f>
        <v>7.9669414057515375</v>
      </c>
      <c r="N42" s="203">
        <f t="shared" si="11"/>
        <v>8.6181281252335928</v>
      </c>
      <c r="O42" s="203">
        <f t="shared" si="12"/>
        <v>8.899855171510076</v>
      </c>
      <c r="P42" s="228">
        <v>1.1039393440351195</v>
      </c>
      <c r="R42" s="185">
        <v>39</v>
      </c>
      <c r="S42" s="186"/>
      <c r="T42" s="186"/>
      <c r="U42" s="186"/>
      <c r="V42" s="186"/>
      <c r="W42" s="186">
        <f t="shared" si="36"/>
        <v>0.92863523840041229</v>
      </c>
      <c r="X42" s="186">
        <f t="shared" si="37"/>
        <v>1.0177233185978261</v>
      </c>
      <c r="Y42" s="186">
        <f t="shared" si="38"/>
        <v>0.56258051357010819</v>
      </c>
      <c r="Z42" s="187">
        <f t="shared" si="39"/>
        <v>0.58326894650443462</v>
      </c>
      <c r="AC42" s="185">
        <v>39</v>
      </c>
      <c r="AD42" s="195">
        <f t="shared" si="40"/>
        <v>0.92863523840041229</v>
      </c>
      <c r="AE42" s="195">
        <f t="shared" si="41"/>
        <v>1.0177233185978261</v>
      </c>
      <c r="AF42" s="186">
        <f t="shared" si="29"/>
        <v>7.13783171435904E-2</v>
      </c>
      <c r="AG42" s="186">
        <f t="shared" si="30"/>
        <v>7.8225954384880114E-2</v>
      </c>
      <c r="AH42" s="196">
        <f>SUM(AF$4:AF42)</f>
        <v>6.4379455834367452</v>
      </c>
      <c r="AI42" s="197">
        <f>SUM(AG$4:AG42)</f>
        <v>7.108929642285478</v>
      </c>
      <c r="AJ42" s="178"/>
      <c r="AK42" s="185">
        <v>39</v>
      </c>
      <c r="AL42" s="195">
        <f t="shared" si="42"/>
        <v>0.56258051357010819</v>
      </c>
      <c r="AM42" s="195">
        <f t="shared" si="43"/>
        <v>0.58326894650443462</v>
      </c>
      <c r="AN42" s="186">
        <f t="shared" si="16"/>
        <v>4.3242005747682513E-2</v>
      </c>
      <c r="AO42" s="186">
        <f t="shared" si="17"/>
        <v>4.4832194732685814E-2</v>
      </c>
      <c r="AP42" s="196">
        <f>SUM(AN$4:AN42)</f>
        <v>6.213592824183003</v>
      </c>
      <c r="AQ42" s="197">
        <f>SUM(AO$4:AO42)</f>
        <v>6.4177495885556066</v>
      </c>
      <c r="AR42" s="167"/>
      <c r="BH42" s="265">
        <v>39</v>
      </c>
      <c r="BI42" s="276"/>
      <c r="BJ42" s="276"/>
      <c r="BK42" s="278">
        <f t="shared" si="44"/>
        <v>1.0054496630291683</v>
      </c>
      <c r="BL42" s="278">
        <f t="shared" si="44"/>
        <v>1.0424242425260943</v>
      </c>
      <c r="BM42" s="279">
        <f>NPV($BK$1,BK$4:BK42)</f>
        <v>7.7108259091365499</v>
      </c>
      <c r="BN42" s="279">
        <f>NPV($BK$1,BL$4:BL42)</f>
        <v>7.9669414057515366</v>
      </c>
      <c r="BO42" s="279">
        <f t="shared" si="21"/>
        <v>9.1219999999999999E-3</v>
      </c>
      <c r="BP42" s="279">
        <f>NPV(BK$1,BO$4:BO42)</f>
        <v>0.12383602289398693</v>
      </c>
      <c r="BQ42" s="279">
        <f t="shared" si="45"/>
        <v>7.8346619320305368</v>
      </c>
      <c r="BR42" s="280">
        <f t="shared" si="46"/>
        <v>8.0907774286455236</v>
      </c>
      <c r="BS42" s="279">
        <f t="shared" si="47"/>
        <v>8.6181281252335911</v>
      </c>
      <c r="BT42" s="281">
        <f t="shared" si="48"/>
        <v>8.899855171510076</v>
      </c>
    </row>
    <row r="43" spans="1:72">
      <c r="A43" s="2">
        <v>40</v>
      </c>
      <c r="B43" s="2">
        <f t="shared" si="5"/>
        <v>9.1219999999999999E-3</v>
      </c>
      <c r="C43" s="2">
        <f t="shared" si="49"/>
        <v>6.5650790562629061E-4</v>
      </c>
      <c r="D43" s="2">
        <f>SUM(C$4:C43)</f>
        <v>0.12449253079961325</v>
      </c>
      <c r="E43" s="260">
        <f t="shared" si="6"/>
        <v>1.8140184086689415</v>
      </c>
      <c r="G43" s="185">
        <v>40</v>
      </c>
      <c r="H43" s="195">
        <f t="shared" si="35"/>
        <v>1.0252491500057024</v>
      </c>
      <c r="I43" s="195">
        <f t="shared" si="35"/>
        <v>1.0629725988804741</v>
      </c>
      <c r="J43" s="186">
        <f t="shared" si="9"/>
        <v>7.3786907719291639E-2</v>
      </c>
      <c r="K43" s="186">
        <f t="shared" si="10"/>
        <v>7.6501854267611843E-2</v>
      </c>
      <c r="L43" s="186">
        <f>SUM(J$4:J43)</f>
        <v>7.7846128168558435</v>
      </c>
      <c r="M43" s="186">
        <f>SUM(K$4:K43)</f>
        <v>8.0434432600191492</v>
      </c>
      <c r="N43" s="203">
        <f t="shared" si="11"/>
        <v>8.7000158824210025</v>
      </c>
      <c r="O43" s="203">
        <f t="shared" si="12"/>
        <v>8.9847293699006396</v>
      </c>
      <c r="P43" s="228">
        <v>1.1172907040370987</v>
      </c>
      <c r="R43" s="185">
        <v>40</v>
      </c>
      <c r="S43" s="186"/>
      <c r="T43" s="186"/>
      <c r="U43" s="186"/>
      <c r="V43" s="186"/>
      <c r="W43" s="186">
        <f t="shared" si="36"/>
        <v>0.95266687677173001</v>
      </c>
      <c r="X43" s="186">
        <f t="shared" si="37"/>
        <v>1.0437451789544292</v>
      </c>
      <c r="Y43" s="186">
        <f t="shared" si="38"/>
        <v>0.56518122699647211</v>
      </c>
      <c r="Z43" s="187">
        <f t="shared" si="39"/>
        <v>0.58597674301466562</v>
      </c>
      <c r="AC43" s="185">
        <v>40</v>
      </c>
      <c r="AD43" s="195">
        <f t="shared" si="40"/>
        <v>0.95266687677173001</v>
      </c>
      <c r="AE43" s="195">
        <f t="shared" si="41"/>
        <v>1.0437451789544292</v>
      </c>
      <c r="AF43" s="186">
        <f t="shared" si="29"/>
        <v>6.856318088455908E-2</v>
      </c>
      <c r="AG43" s="186">
        <f t="shared" si="30"/>
        <v>7.5118061986725521E-2</v>
      </c>
      <c r="AH43" s="196">
        <f>SUM(AF$4:AF43)</f>
        <v>6.5065087643213042</v>
      </c>
      <c r="AI43" s="197">
        <f>SUM(AG$4:AG43)</f>
        <v>7.1840477042722037</v>
      </c>
      <c r="AJ43" s="178"/>
      <c r="AK43" s="185">
        <v>40</v>
      </c>
      <c r="AL43" s="195">
        <f t="shared" si="42"/>
        <v>0.56518122699647211</v>
      </c>
      <c r="AM43" s="195">
        <f t="shared" si="43"/>
        <v>0.58597674301466562</v>
      </c>
      <c r="AN43" s="186">
        <f t="shared" si="16"/>
        <v>4.0675942077916145E-2</v>
      </c>
      <c r="AO43" s="186">
        <f t="shared" si="17"/>
        <v>4.2172589816079069E-2</v>
      </c>
      <c r="AP43" s="196">
        <f>SUM(AN$4:AN43)</f>
        <v>6.2542687662609193</v>
      </c>
      <c r="AQ43" s="197">
        <f>SUM(AO$4:AO43)</f>
        <v>6.459922178371686</v>
      </c>
      <c r="AR43" s="167"/>
      <c r="BH43" s="265">
        <v>40</v>
      </c>
      <c r="BI43" s="276"/>
      <c r="BJ43" s="276"/>
      <c r="BK43" s="278">
        <f t="shared" ref="BK43:BL48" si="50">((BK$23/BK$18)^(1/5))*BK42</f>
        <v>1.0252491500057024</v>
      </c>
      <c r="BL43" s="278">
        <f t="shared" si="50"/>
        <v>1.0629725988804741</v>
      </c>
      <c r="BM43" s="279">
        <f>NPV($BK$1,BK$4:BK43)</f>
        <v>7.7846128168558417</v>
      </c>
      <c r="BN43" s="279">
        <f>NPV($BK$1,BL$4:BL43)</f>
        <v>8.0434432600191492</v>
      </c>
      <c r="BO43" s="279">
        <f t="shared" si="21"/>
        <v>9.1219999999999999E-3</v>
      </c>
      <c r="BP43" s="279">
        <f>NPV(BK$1,BO$4:BO43)</f>
        <v>0.12449253079961321</v>
      </c>
      <c r="BQ43" s="279">
        <f t="shared" si="45"/>
        <v>7.9091053476554549</v>
      </c>
      <c r="BR43" s="280">
        <f t="shared" si="46"/>
        <v>8.1679357908187633</v>
      </c>
      <c r="BS43" s="279">
        <f t="shared" si="47"/>
        <v>8.7000158824210008</v>
      </c>
      <c r="BT43" s="281">
        <f t="shared" si="48"/>
        <v>8.9847293699006396</v>
      </c>
    </row>
    <row r="44" spans="1:72">
      <c r="A44" s="2">
        <v>41</v>
      </c>
      <c r="B44" s="2">
        <f t="shared" si="5"/>
        <v>9.1219999999999999E-3</v>
      </c>
      <c r="C44" s="2">
        <f t="shared" si="49"/>
        <v>6.1470777680364293E-4</v>
      </c>
      <c r="D44" s="2">
        <f>SUM(C$4:C44)</f>
        <v>0.1251072385764169</v>
      </c>
      <c r="E44" s="260">
        <f t="shared" si="6"/>
        <v>1.8412286847989754</v>
      </c>
      <c r="G44" s="185">
        <v>41</v>
      </c>
      <c r="H44" s="195">
        <f t="shared" si="35"/>
        <v>1.04543853187101</v>
      </c>
      <c r="I44" s="195">
        <f t="shared" si="35"/>
        <v>1.0839260062032039</v>
      </c>
      <c r="J44" s="186">
        <f t="shared" si="9"/>
        <v>7.044937466688149E-2</v>
      </c>
      <c r="K44" s="186">
        <f t="shared" si="10"/>
        <v>7.3042945131859591E-2</v>
      </c>
      <c r="L44" s="186">
        <f>SUM(J$4:J44)</f>
        <v>7.855062191522725</v>
      </c>
      <c r="M44" s="186">
        <f>SUM(K$4:K44)</f>
        <v>8.1164862051510092</v>
      </c>
      <c r="N44" s="203">
        <f t="shared" si="11"/>
        <v>8.7781863731090564</v>
      </c>
      <c r="O44" s="203">
        <f t="shared" si="12"/>
        <v>9.0657527881001698</v>
      </c>
      <c r="P44" s="229">
        <v>1.1172907040370987</v>
      </c>
      <c r="R44" s="185">
        <v>41</v>
      </c>
      <c r="S44" s="186"/>
      <c r="T44" s="186"/>
      <c r="U44" s="186"/>
      <c r="V44" s="186"/>
      <c r="W44" s="186">
        <f t="shared" si="36"/>
        <v>0.97732041663776648</v>
      </c>
      <c r="X44" s="186">
        <f t="shared" si="37"/>
        <v>1.0704323844043839</v>
      </c>
      <c r="Y44" s="186">
        <f t="shared" si="38"/>
        <v>0.56779396307588381</v>
      </c>
      <c r="Z44" s="187">
        <f t="shared" si="39"/>
        <v>0.58869711033289995</v>
      </c>
      <c r="AC44" s="185">
        <v>41</v>
      </c>
      <c r="AD44" s="195">
        <f t="shared" si="40"/>
        <v>0.97732041663776648</v>
      </c>
      <c r="AE44" s="195">
        <f t="shared" si="41"/>
        <v>1.0704323844043839</v>
      </c>
      <c r="AF44" s="186">
        <f t="shared" si="29"/>
        <v>6.5859072630586657E-2</v>
      </c>
      <c r="AG44" s="186">
        <f t="shared" si="30"/>
        <v>7.2133645169462982E-2</v>
      </c>
      <c r="AH44" s="196">
        <f>SUM(AF$4:AF44)</f>
        <v>6.5723678369518908</v>
      </c>
      <c r="AI44" s="197">
        <f>SUM(AG$4:AG44)</f>
        <v>7.2561813494416665</v>
      </c>
      <c r="AJ44" s="178"/>
      <c r="AK44" s="185">
        <v>41</v>
      </c>
      <c r="AL44" s="195">
        <f t="shared" si="42"/>
        <v>0.56779396307588381</v>
      </c>
      <c r="AM44" s="195">
        <f t="shared" si="43"/>
        <v>0.58869711033289995</v>
      </c>
      <c r="AN44" s="186">
        <f t="shared" si="16"/>
        <v>3.8262153554583012E-2</v>
      </c>
      <c r="AO44" s="186">
        <f t="shared" si="17"/>
        <v>3.9670762102989018E-2</v>
      </c>
      <c r="AP44" s="196">
        <f>SUM(AN$4:AN44)</f>
        <v>6.2925309198155022</v>
      </c>
      <c r="AQ44" s="197">
        <f>SUM(AO$4:AO44)</f>
        <v>6.4995929404746748</v>
      </c>
      <c r="AR44" s="167"/>
      <c r="BH44" s="265">
        <v>41</v>
      </c>
      <c r="BI44" s="276"/>
      <c r="BJ44" s="276"/>
      <c r="BK44" s="278">
        <f t="shared" si="50"/>
        <v>1.04543853187101</v>
      </c>
      <c r="BL44" s="278">
        <f t="shared" si="50"/>
        <v>1.0839260062032039</v>
      </c>
      <c r="BM44" s="279">
        <f>NPV($BK$1,BK$4:BK44)</f>
        <v>7.8550621915227241</v>
      </c>
      <c r="BN44" s="279">
        <f>NPV($BK$1,BL$4:BL44)</f>
        <v>8.1164862051510092</v>
      </c>
      <c r="BO44" s="279">
        <f t="shared" si="21"/>
        <v>9.1219999999999999E-3</v>
      </c>
      <c r="BP44" s="279">
        <f>NPV(BK$1,BO$4:BO44)</f>
        <v>0.12510723857641687</v>
      </c>
      <c r="BQ44" s="279">
        <f t="shared" si="45"/>
        <v>7.9801694300991413</v>
      </c>
      <c r="BR44" s="280">
        <f t="shared" si="46"/>
        <v>8.2415934437274263</v>
      </c>
      <c r="BS44" s="279">
        <f t="shared" si="47"/>
        <v>8.7781863731090564</v>
      </c>
      <c r="BT44" s="281">
        <f t="shared" si="48"/>
        <v>9.0657527881001698</v>
      </c>
    </row>
    <row r="45" spans="1:72">
      <c r="A45" s="2">
        <v>42</v>
      </c>
      <c r="B45" s="2">
        <f t="shared" si="5"/>
        <v>9.1219999999999999E-3</v>
      </c>
      <c r="C45" s="2">
        <f t="shared" si="49"/>
        <v>5.7556907940416006E-4</v>
      </c>
      <c r="D45" s="2">
        <f>SUM(C$4:C45)</f>
        <v>0.12568280765582104</v>
      </c>
      <c r="E45" s="260">
        <f t="shared" si="6"/>
        <v>1.8688471150709598</v>
      </c>
      <c r="G45" s="185">
        <v>42</v>
      </c>
      <c r="H45" s="195">
        <f t="shared" si="35"/>
        <v>1.0660254865020213</v>
      </c>
      <c r="I45" s="195">
        <f t="shared" si="35"/>
        <v>1.1052924488938205</v>
      </c>
      <c r="J45" s="186">
        <f t="shared" si="9"/>
        <v>6.7262805074253487E-2</v>
      </c>
      <c r="K45" s="186">
        <f t="shared" si="10"/>
        <v>6.9740425047378415E-2</v>
      </c>
      <c r="L45" s="186">
        <f>SUM(J$4:J45)</f>
        <v>7.9223249965969789</v>
      </c>
      <c r="M45" s="186">
        <f>SUM(K$4:K45)</f>
        <v>8.1862266301983873</v>
      </c>
      <c r="N45" s="203">
        <f t="shared" si="11"/>
        <v>8.8528085846780797</v>
      </c>
      <c r="O45" s="203">
        <f t="shared" si="12"/>
        <v>9.1431003816396288</v>
      </c>
      <c r="P45" s="229">
        <v>1.1172907040370987</v>
      </c>
      <c r="R45" s="185">
        <v>42</v>
      </c>
      <c r="S45" s="186"/>
      <c r="T45" s="186"/>
      <c r="U45" s="186"/>
      <c r="V45" s="186"/>
      <c r="W45" s="186">
        <f t="shared" si="36"/>
        <v>1.0026119518437753</v>
      </c>
      <c r="X45" s="186">
        <f t="shared" si="37"/>
        <v>1.0978019469555627</v>
      </c>
      <c r="Y45" s="186">
        <f t="shared" si="38"/>
        <v>0.57041877738701052</v>
      </c>
      <c r="Z45" s="187">
        <f t="shared" si="39"/>
        <v>0.59143010681847641</v>
      </c>
      <c r="AC45" s="185">
        <v>42</v>
      </c>
      <c r="AD45" s="195">
        <f t="shared" si="40"/>
        <v>1.0026119518437753</v>
      </c>
      <c r="AE45" s="195">
        <f t="shared" si="41"/>
        <v>1.0978019469555627</v>
      </c>
      <c r="AF45" s="186">
        <f t="shared" si="29"/>
        <v>6.3261613475370501E-2</v>
      </c>
      <c r="AG45" s="186">
        <f t="shared" si="30"/>
        <v>6.9267798287361071E-2</v>
      </c>
      <c r="AH45" s="196">
        <f>SUM(AF$4:AF45)</f>
        <v>6.6356294504272615</v>
      </c>
      <c r="AI45" s="197">
        <f>SUM(AG$4:AG45)</f>
        <v>7.325449147729028</v>
      </c>
      <c r="AJ45" s="178"/>
      <c r="AK45" s="185">
        <v>42</v>
      </c>
      <c r="AL45" s="195">
        <f t="shared" si="42"/>
        <v>0.57041877738701052</v>
      </c>
      <c r="AM45" s="195">
        <f t="shared" si="43"/>
        <v>0.59143010681847641</v>
      </c>
      <c r="AN45" s="186">
        <f t="shared" si="16"/>
        <v>3.5991603878040797E-2</v>
      </c>
      <c r="AO45" s="186">
        <f t="shared" si="17"/>
        <v>3.7317351689696833E-2</v>
      </c>
      <c r="AP45" s="196">
        <f>SUM(AN$4:AN45)</f>
        <v>6.3285225236935432</v>
      </c>
      <c r="AQ45" s="197">
        <f>SUM(AO$4:AO45)</f>
        <v>6.5369102921643716</v>
      </c>
      <c r="AR45" s="167"/>
      <c r="BH45" s="265">
        <v>42</v>
      </c>
      <c r="BI45" s="276"/>
      <c r="BJ45" s="276"/>
      <c r="BK45" s="278">
        <f t="shared" si="50"/>
        <v>1.0660254865020213</v>
      </c>
      <c r="BL45" s="278">
        <f t="shared" si="50"/>
        <v>1.1052924488938205</v>
      </c>
      <c r="BM45" s="279">
        <f>NPV($BK$1,BK$4:BK45)</f>
        <v>7.9223249965969771</v>
      </c>
      <c r="BN45" s="279">
        <f>NPV($BK$1,BL$4:BL45)</f>
        <v>8.1862266301983873</v>
      </c>
      <c r="BO45" s="279">
        <f t="shared" si="21"/>
        <v>9.1219999999999999E-3</v>
      </c>
      <c r="BP45" s="279">
        <f>NPV(BK$1,BO$4:BO45)</f>
        <v>0.12568280765582102</v>
      </c>
      <c r="BQ45" s="279">
        <f t="shared" si="45"/>
        <v>8.0480078042527978</v>
      </c>
      <c r="BR45" s="280">
        <f t="shared" si="46"/>
        <v>8.311909437854208</v>
      </c>
      <c r="BS45" s="279">
        <f t="shared" si="47"/>
        <v>8.852808584678078</v>
      </c>
      <c r="BT45" s="281">
        <f t="shared" si="48"/>
        <v>9.1431003816396288</v>
      </c>
    </row>
    <row r="46" spans="1:72">
      <c r="A46" s="2">
        <v>43</v>
      </c>
      <c r="B46" s="2">
        <f t="shared" si="5"/>
        <v>9.1219999999999999E-3</v>
      </c>
      <c r="C46" s="2">
        <f t="shared" si="49"/>
        <v>5.3892235899265922E-4</v>
      </c>
      <c r="D46" s="2">
        <f>SUM(C$4:C46)</f>
        <v>0.12622173001481371</v>
      </c>
      <c r="E46" s="260">
        <f t="shared" si="6"/>
        <v>1.896879821797024</v>
      </c>
      <c r="G46" s="185">
        <v>43</v>
      </c>
      <c r="H46" s="195">
        <f t="shared" si="35"/>
        <v>1.0870178429697344</v>
      </c>
      <c r="I46" s="195">
        <f t="shared" si="35"/>
        <v>1.1270800687410314</v>
      </c>
      <c r="J46" s="186">
        <f t="shared" si="9"/>
        <v>6.4220370554742515E-2</v>
      </c>
      <c r="K46" s="186">
        <f t="shared" si="10"/>
        <v>6.6587223133032794E-2</v>
      </c>
      <c r="L46" s="186">
        <f>SUM(J$4:J46)</f>
        <v>7.986545367151721</v>
      </c>
      <c r="M46" s="186">
        <f>SUM(K$4:K46)</f>
        <v>8.2528138533314195</v>
      </c>
      <c r="N46" s="203">
        <f t="shared" si="11"/>
        <v>8.9240438068831889</v>
      </c>
      <c r="O46" s="203">
        <f t="shared" si="12"/>
        <v>9.2169391416808573</v>
      </c>
      <c r="P46" s="229">
        <v>1.1172907040370987</v>
      </c>
      <c r="R46" s="185">
        <v>43</v>
      </c>
      <c r="S46" s="186"/>
      <c r="T46" s="186"/>
      <c r="U46" s="186"/>
      <c r="V46" s="186"/>
      <c r="W46" s="186">
        <f t="shared" si="36"/>
        <v>1.0285579927187409</v>
      </c>
      <c r="X46" s="186">
        <f t="shared" si="37"/>
        <v>1.125871313590733</v>
      </c>
      <c r="Y46" s="186">
        <f t="shared" si="38"/>
        <v>0.57305572576545027</v>
      </c>
      <c r="Z46" s="187">
        <f t="shared" si="39"/>
        <v>0.59417579110166396</v>
      </c>
      <c r="AC46" s="185">
        <v>43</v>
      </c>
      <c r="AD46" s="195">
        <f t="shared" si="40"/>
        <v>1.0285579927187409</v>
      </c>
      <c r="AE46" s="195">
        <f t="shared" si="41"/>
        <v>1.125871313590733</v>
      </c>
      <c r="AF46" s="186">
        <f t="shared" si="29"/>
        <v>6.0766597215165342E-2</v>
      </c>
      <c r="AG46" s="186">
        <f t="shared" si="30"/>
        <v>6.651581059444002E-2</v>
      </c>
      <c r="AH46" s="196">
        <f>SUM(AF$4:AF46)</f>
        <v>6.6963960476424269</v>
      </c>
      <c r="AI46" s="197">
        <f>SUM(AG$4:AG46)</f>
        <v>7.3919649583234683</v>
      </c>
      <c r="AJ46" s="178"/>
      <c r="AK46" s="185">
        <v>43</v>
      </c>
      <c r="AL46" s="195">
        <f t="shared" si="42"/>
        <v>0.57305572576545027</v>
      </c>
      <c r="AM46" s="195">
        <f t="shared" si="43"/>
        <v>0.59417579110166396</v>
      </c>
      <c r="AN46" s="186">
        <f t="shared" si="16"/>
        <v>3.3855792980022677E-2</v>
      </c>
      <c r="AO46" s="186">
        <f t="shared" si="17"/>
        <v>3.5103553935193842E-2</v>
      </c>
      <c r="AP46" s="196">
        <f>SUM(AN$4:AN46)</f>
        <v>6.3623783166735661</v>
      </c>
      <c r="AQ46" s="197">
        <f>SUM(AO$4:AO46)</f>
        <v>6.5720138460995656</v>
      </c>
      <c r="AR46" s="167"/>
      <c r="BH46" s="265">
        <v>43</v>
      </c>
      <c r="BI46" s="276"/>
      <c r="BJ46" s="276"/>
      <c r="BK46" s="278">
        <f t="shared" si="50"/>
        <v>1.0870178429697344</v>
      </c>
      <c r="BL46" s="278">
        <f t="shared" si="50"/>
        <v>1.1270800687410314</v>
      </c>
      <c r="BM46" s="279">
        <f>NPV($BK$1,BK$4:BK46)</f>
        <v>7.9865453671517193</v>
      </c>
      <c r="BN46" s="279">
        <f>NPV($BK$1,BL$4:BL46)</f>
        <v>8.2528138533314195</v>
      </c>
      <c r="BO46" s="279">
        <f t="shared" si="21"/>
        <v>9.1219999999999999E-3</v>
      </c>
      <c r="BP46" s="279">
        <f>NPV(BK$1,BO$4:BO46)</f>
        <v>0.12622173001481368</v>
      </c>
      <c r="BQ46" s="279">
        <f t="shared" si="45"/>
        <v>8.1127670971665324</v>
      </c>
      <c r="BR46" s="280">
        <f t="shared" si="46"/>
        <v>8.3790355833462336</v>
      </c>
      <c r="BS46" s="279">
        <f t="shared" si="47"/>
        <v>8.9240438068831871</v>
      </c>
      <c r="BT46" s="281">
        <f t="shared" si="48"/>
        <v>9.2169391416808573</v>
      </c>
    </row>
    <row r="47" spans="1:72">
      <c r="A47" s="2">
        <v>44</v>
      </c>
      <c r="B47" s="2">
        <f t="shared" si="5"/>
        <v>9.1219999999999999E-3</v>
      </c>
      <c r="C47" s="2">
        <f t="shared" si="49"/>
        <v>5.0460895036765841E-4</v>
      </c>
      <c r="D47" s="2">
        <f>SUM(C$4:C47)</f>
        <v>0.12672633896518137</v>
      </c>
      <c r="E47" s="260">
        <f t="shared" si="6"/>
        <v>1.9253330191239788</v>
      </c>
      <c r="G47" s="185">
        <v>44</v>
      </c>
      <c r="H47" s="195">
        <f t="shared" si="35"/>
        <v>1.1084235845165542</v>
      </c>
      <c r="I47" s="195">
        <f t="shared" si="35"/>
        <v>1.1492971680251838</v>
      </c>
      <c r="J47" s="186">
        <f t="shared" si="9"/>
        <v>6.1315551583606222E-2</v>
      </c>
      <c r="K47" s="186">
        <f t="shared" si="10"/>
        <v>6.3576588206282647E-2</v>
      </c>
      <c r="L47" s="186">
        <f>SUM(J$4:J47)</f>
        <v>8.0478609187353278</v>
      </c>
      <c r="M47" s="186">
        <f>SUM(K$4:K47)</f>
        <v>8.3163904415377026</v>
      </c>
      <c r="N47" s="203">
        <f t="shared" si="11"/>
        <v>8.9920459834705611</v>
      </c>
      <c r="O47" s="203">
        <f t="shared" si="12"/>
        <v>9.2874284585531726</v>
      </c>
      <c r="P47" s="229">
        <v>1.1172907040370987</v>
      </c>
      <c r="R47" s="185">
        <v>44</v>
      </c>
      <c r="S47" s="186"/>
      <c r="T47" s="186"/>
      <c r="U47" s="186"/>
      <c r="V47" s="186"/>
      <c r="W47" s="186">
        <f t="shared" si="36"/>
        <v>1.0551754768533319</v>
      </c>
      <c r="X47" s="186">
        <f t="shared" si="37"/>
        <v>1.1546583773892984</v>
      </c>
      <c r="Y47" s="186">
        <f t="shared" si="38"/>
        <v>0.57570486430491952</v>
      </c>
      <c r="Z47" s="187">
        <f t="shared" si="39"/>
        <v>0.59693422208491975</v>
      </c>
      <c r="AC47" s="185">
        <v>44</v>
      </c>
      <c r="AD47" s="195">
        <f t="shared" si="40"/>
        <v>1.0551754768533319</v>
      </c>
      <c r="AE47" s="195">
        <f t="shared" si="41"/>
        <v>1.1546583773892984</v>
      </c>
      <c r="AF47" s="186">
        <f t="shared" si="29"/>
        <v>5.8369983537453769E-2</v>
      </c>
      <c r="AG47" s="186">
        <f t="shared" si="30"/>
        <v>6.3873158501166136E-2</v>
      </c>
      <c r="AH47" s="196">
        <f>SUM(AF$4:AF47)</f>
        <v>6.7547660311798809</v>
      </c>
      <c r="AI47" s="197">
        <f>SUM(AG$4:AG47)</f>
        <v>7.4558381168246344</v>
      </c>
      <c r="AJ47" s="178"/>
      <c r="AK47" s="185">
        <v>44</v>
      </c>
      <c r="AL47" s="195">
        <f t="shared" si="42"/>
        <v>0.57570486430491952</v>
      </c>
      <c r="AM47" s="195">
        <f t="shared" si="43"/>
        <v>0.59693422208491975</v>
      </c>
      <c r="AN47" s="186">
        <f t="shared" si="16"/>
        <v>3.1846725202637649E-2</v>
      </c>
      <c r="AO47" s="186">
        <f t="shared" si="17"/>
        <v>3.3021086521026755E-2</v>
      </c>
      <c r="AP47" s="196">
        <f>SUM(AN$4:AN47)</f>
        <v>6.3942250418762034</v>
      </c>
      <c r="AQ47" s="197">
        <f>SUM(AO$4:AO47)</f>
        <v>6.6050349326205922</v>
      </c>
      <c r="AR47" s="167"/>
      <c r="BH47" s="265">
        <v>44</v>
      </c>
      <c r="BI47" s="276"/>
      <c r="BJ47" s="276"/>
      <c r="BK47" s="278">
        <f t="shared" si="50"/>
        <v>1.1084235845165542</v>
      </c>
      <c r="BL47" s="278">
        <f t="shared" si="50"/>
        <v>1.1492971680251838</v>
      </c>
      <c r="BM47" s="279">
        <f>NPV($BK$1,BK$4:BK47)</f>
        <v>8.0478609187353261</v>
      </c>
      <c r="BN47" s="279">
        <f>NPV($BK$1,BL$4:BL47)</f>
        <v>8.3163904415377026</v>
      </c>
      <c r="BO47" s="279">
        <f t="shared" si="21"/>
        <v>9.1219999999999999E-3</v>
      </c>
      <c r="BP47" s="279">
        <f>NPV(BK$1,BO$4:BO47)</f>
        <v>0.12672633896518135</v>
      </c>
      <c r="BQ47" s="279">
        <f t="shared" si="45"/>
        <v>8.174587257700507</v>
      </c>
      <c r="BR47" s="280">
        <f t="shared" si="46"/>
        <v>8.4431167805028835</v>
      </c>
      <c r="BS47" s="279">
        <f t="shared" si="47"/>
        <v>8.9920459834705593</v>
      </c>
      <c r="BT47" s="281">
        <f t="shared" si="48"/>
        <v>9.2874284585531726</v>
      </c>
    </row>
    <row r="48" spans="1:72" ht="13.5" thickBot="1">
      <c r="A48" s="2">
        <v>45</v>
      </c>
      <c r="B48" s="2">
        <f t="shared" si="5"/>
        <v>9.1219999999999999E-3</v>
      </c>
      <c r="C48" s="2">
        <f t="shared" si="49"/>
        <v>4.7248029060642174E-4</v>
      </c>
      <c r="D48" s="2">
        <f>SUM(C$4:C48)</f>
        <v>0.1271988192557878</v>
      </c>
      <c r="E48" s="260">
        <f t="shared" si="6"/>
        <v>1.9542130144108385</v>
      </c>
      <c r="G48" s="185">
        <v>45</v>
      </c>
      <c r="H48" s="195">
        <f t="shared" si="35"/>
        <v>1.1302508515922629</v>
      </c>
      <c r="I48" s="195">
        <f t="shared" si="35"/>
        <v>1.1719522126818893</v>
      </c>
      <c r="J48" s="186">
        <f t="shared" si="9"/>
        <v>5.85421235275672E-2</v>
      </c>
      <c r="K48" s="186">
        <f t="shared" si="10"/>
        <v>6.0702074328522038E-2</v>
      </c>
      <c r="L48" s="186">
        <f>SUM(J$4:J48)</f>
        <v>8.1064030422628957</v>
      </c>
      <c r="M48" s="186">
        <f>SUM(K$4:K48)</f>
        <v>8.3770925158662237</v>
      </c>
      <c r="N48" s="203">
        <f t="shared" si="11"/>
        <v>9.0569620476705541</v>
      </c>
      <c r="O48" s="203">
        <f t="shared" si="12"/>
        <v>9.3547204686342145</v>
      </c>
      <c r="P48" s="229">
        <v>1.1172907040370987</v>
      </c>
      <c r="R48" s="185">
        <v>45</v>
      </c>
      <c r="S48" s="186"/>
      <c r="T48" s="186"/>
      <c r="U48" s="186"/>
      <c r="V48" s="186"/>
      <c r="W48" s="186">
        <f t="shared" si="36"/>
        <v>1.0824817801567697</v>
      </c>
      <c r="X48" s="186">
        <f t="shared" si="37"/>
        <v>1.1841814889334092</v>
      </c>
      <c r="Y48" s="186">
        <f t="shared" si="38"/>
        <v>0.57836624935844616</v>
      </c>
      <c r="Z48" s="187">
        <f t="shared" si="39"/>
        <v>0.59970545894415261</v>
      </c>
      <c r="AC48" s="185">
        <v>45</v>
      </c>
      <c r="AD48" s="195">
        <f t="shared" si="40"/>
        <v>1.0824817801567697</v>
      </c>
      <c r="AE48" s="195">
        <f t="shared" si="41"/>
        <v>1.1841814889334092</v>
      </c>
      <c r="AF48" s="186">
        <f t="shared" si="29"/>
        <v>5.6067891478253369E-2</v>
      </c>
      <c r="AG48" s="186">
        <f t="shared" si="30"/>
        <v>6.133549813878561E-2</v>
      </c>
      <c r="AH48" s="196">
        <f>SUM(AF$4:AF48)</f>
        <v>6.8108339226581345</v>
      </c>
      <c r="AI48" s="197">
        <f>SUM(AG$4:AG48)</f>
        <v>7.5171736149634203</v>
      </c>
      <c r="AJ48" s="178"/>
      <c r="AK48" s="185">
        <v>45</v>
      </c>
      <c r="AL48" s="195">
        <f t="shared" si="42"/>
        <v>0.57836624935844616</v>
      </c>
      <c r="AM48" s="195">
        <f t="shared" si="43"/>
        <v>0.59970545894415261</v>
      </c>
      <c r="AN48" s="186">
        <f t="shared" si="16"/>
        <v>2.9956879365690071E-2</v>
      </c>
      <c r="AO48" s="186">
        <f t="shared" si="17"/>
        <v>3.106215846526976E-2</v>
      </c>
      <c r="AP48" s="196">
        <f>SUM(AN$4:AN48)</f>
        <v>6.4241819212418934</v>
      </c>
      <c r="AQ48" s="197">
        <f>SUM(AO$4:AO48)</f>
        <v>6.6360970910858619</v>
      </c>
      <c r="AR48" s="167"/>
      <c r="BH48" s="275">
        <v>45</v>
      </c>
      <c r="BI48" s="277"/>
      <c r="BJ48" s="277"/>
      <c r="BK48" s="282">
        <f t="shared" si="50"/>
        <v>1.1302508515922629</v>
      </c>
      <c r="BL48" s="282">
        <f t="shared" si="50"/>
        <v>1.1719522126818893</v>
      </c>
      <c r="BM48" s="283">
        <f>NPV($BK$1,BK$4:BK48)</f>
        <v>8.1064030422628939</v>
      </c>
      <c r="BN48" s="283">
        <f>NPV($BK$1,BL$4:BL48)</f>
        <v>8.3770925158662255</v>
      </c>
      <c r="BO48" s="283">
        <f t="shared" si="21"/>
        <v>9.1219999999999999E-3</v>
      </c>
      <c r="BP48" s="283">
        <f>NPV(BK$1,BO$4:BO48)</f>
        <v>0.12719881925578777</v>
      </c>
      <c r="BQ48" s="283">
        <f t="shared" si="45"/>
        <v>8.2336018615186823</v>
      </c>
      <c r="BR48" s="284">
        <f t="shared" si="46"/>
        <v>8.504291335122014</v>
      </c>
      <c r="BS48" s="283">
        <f t="shared" si="47"/>
        <v>9.0569620476705506</v>
      </c>
      <c r="BT48" s="285">
        <f t="shared" si="48"/>
        <v>9.3547204686342162</v>
      </c>
    </row>
    <row r="49" spans="1:44" ht="13.5" thickTop="1">
      <c r="A49" s="2">
        <v>46</v>
      </c>
      <c r="B49" s="2">
        <f t="shared" si="5"/>
        <v>9.1219999999999999E-3</v>
      </c>
      <c r="C49" s="2">
        <f t="shared" si="49"/>
        <v>4.4239727584870941E-4</v>
      </c>
      <c r="D49" s="2">
        <f>SUM(C$4:C49)</f>
        <v>0.12764121653163651</v>
      </c>
      <c r="E49" s="260">
        <f t="shared" si="6"/>
        <v>1.9835262096270005</v>
      </c>
      <c r="G49" s="185">
        <v>46</v>
      </c>
      <c r="H49" s="195">
        <f t="shared" si="35"/>
        <v>1.1525079449497735</v>
      </c>
      <c r="I49" s="195">
        <f t="shared" si="35"/>
        <v>1.1950538355280105</v>
      </c>
      <c r="J49" s="186">
        <f t="shared" si="9"/>
        <v>5.589414330626772E-2</v>
      </c>
      <c r="K49" s="186">
        <f t="shared" si="10"/>
        <v>5.7957527003962228E-2</v>
      </c>
      <c r="L49" s="186">
        <f>SUM(J$4:J49)</f>
        <v>8.1622971855691642</v>
      </c>
      <c r="M49" s="186">
        <f>SUM(K$4:K49)</f>
        <v>8.435050042870186</v>
      </c>
      <c r="N49" s="203">
        <f t="shared" si="11"/>
        <v>9.1189322423108816</v>
      </c>
      <c r="O49" s="203">
        <f t="shared" si="12"/>
        <v>9.4189603853420056</v>
      </c>
      <c r="P49" s="229">
        <v>1.1172907040370987</v>
      </c>
      <c r="R49" s="185">
        <v>46</v>
      </c>
      <c r="S49" s="186"/>
      <c r="T49" s="186"/>
      <c r="U49" s="186"/>
      <c r="V49" s="186"/>
      <c r="W49" s="186">
        <f t="shared" si="36"/>
        <v>1.1104947281998321</v>
      </c>
      <c r="X49" s="186">
        <f t="shared" si="37"/>
        <v>1.2144594680057119</v>
      </c>
      <c r="Y49" s="186">
        <f t="shared" si="38"/>
        <v>0.58103993753956873</v>
      </c>
      <c r="Z49" s="187">
        <f t="shared" si="39"/>
        <v>0.60248956112999241</v>
      </c>
      <c r="AC49" s="185">
        <v>46</v>
      </c>
      <c r="AD49" s="195">
        <f t="shared" si="40"/>
        <v>1.1104947281998321</v>
      </c>
      <c r="AE49" s="195">
        <f t="shared" si="41"/>
        <v>1.2144594680057119</v>
      </c>
      <c r="AF49" s="186">
        <f t="shared" si="29"/>
        <v>5.3856593137465325E-2</v>
      </c>
      <c r="AG49" s="186">
        <f t="shared" si="30"/>
        <v>5.8898658219074744E-2</v>
      </c>
      <c r="AH49" s="196">
        <f>SUM(AF$4:AF49)</f>
        <v>6.8646905157955995</v>
      </c>
      <c r="AI49" s="197">
        <f>SUM(AG$4:AG49)</f>
        <v>7.5760722731824952</v>
      </c>
      <c r="AJ49" s="178"/>
      <c r="AK49" s="185">
        <v>46</v>
      </c>
      <c r="AL49" s="195">
        <f t="shared" si="42"/>
        <v>0.58103993753956873</v>
      </c>
      <c r="AM49" s="195">
        <f t="shared" si="43"/>
        <v>0.60248956112999241</v>
      </c>
      <c r="AN49" s="186">
        <f t="shared" si="16"/>
        <v>2.8179180610261947E-2</v>
      </c>
      <c r="AO49" s="186">
        <f t="shared" si="17"/>
        <v>2.9219440974697777E-2</v>
      </c>
      <c r="AP49" s="196">
        <f>SUM(AN$4:AN49)</f>
        <v>6.4523611018521549</v>
      </c>
      <c r="AQ49" s="197">
        <f>SUM(AO$4:AO49)</f>
        <v>6.6653165320605599</v>
      </c>
      <c r="AR49" s="167"/>
    </row>
    <row r="50" spans="1:44">
      <c r="A50" s="2">
        <v>47</v>
      </c>
      <c r="B50" s="2">
        <f t="shared" si="5"/>
        <v>9.1219999999999999E-3</v>
      </c>
      <c r="C50" s="2">
        <f t="shared" si="49"/>
        <v>4.1422965903437211E-4</v>
      </c>
      <c r="D50" s="2">
        <f>SUM(C$4:C50)</f>
        <v>0.12805544619067089</v>
      </c>
      <c r="E50" s="260">
        <f t="shared" si="6"/>
        <v>2.0132791027714054</v>
      </c>
      <c r="G50" s="185">
        <v>47</v>
      </c>
      <c r="H50" s="195">
        <f t="shared" si="35"/>
        <v>1.1752033288018473</v>
      </c>
      <c r="I50" s="195">
        <f t="shared" si="35"/>
        <v>1.2186108395512389</v>
      </c>
      <c r="J50" s="186">
        <f t="shared" si="9"/>
        <v>5.3365936657054185E-2</v>
      </c>
      <c r="K50" s="186">
        <f t="shared" si="10"/>
        <v>5.5337070002510376E-2</v>
      </c>
      <c r="L50" s="186">
        <f>SUM(J$4:J50)</f>
        <v>8.2156631222262178</v>
      </c>
      <c r="M50" s="186">
        <f>SUM(K$4:K50)</f>
        <v>8.4903871128726962</v>
      </c>
      <c r="N50" s="203">
        <f t="shared" si="11"/>
        <v>9.1780904252585795</v>
      </c>
      <c r="O50" s="203">
        <f t="shared" si="12"/>
        <v>9.4802868149697055</v>
      </c>
      <c r="P50" s="229">
        <v>1.1172907040370987</v>
      </c>
      <c r="R50" s="185">
        <v>47</v>
      </c>
      <c r="S50" s="186"/>
      <c r="T50" s="186"/>
      <c r="U50" s="186"/>
      <c r="V50" s="186"/>
      <c r="W50" s="186">
        <f t="shared" si="36"/>
        <v>1.1392326078513968</v>
      </c>
      <c r="X50" s="186">
        <f t="shared" si="37"/>
        <v>1.2455116155861954</v>
      </c>
      <c r="Y50" s="186">
        <f t="shared" si="38"/>
        <v>0.5837259857235404</v>
      </c>
      <c r="Z50" s="187">
        <f t="shared" si="39"/>
        <v>0.60528658836906557</v>
      </c>
      <c r="AC50" s="185">
        <v>47</v>
      </c>
      <c r="AD50" s="195">
        <f t="shared" si="40"/>
        <v>1.1392326078513968</v>
      </c>
      <c r="AE50" s="195">
        <f t="shared" si="41"/>
        <v>1.2455116155861954</v>
      </c>
      <c r="AF50" s="186">
        <f t="shared" si="29"/>
        <v>5.1732507642087554E-2</v>
      </c>
      <c r="AG50" s="186">
        <f t="shared" si="30"/>
        <v>5.6558633177770185E-2</v>
      </c>
      <c r="AH50" s="196">
        <f>SUM(AF$4:AF50)</f>
        <v>6.9164230234376873</v>
      </c>
      <c r="AI50" s="197">
        <f>SUM(AG$4:AG50)</f>
        <v>7.6326309063602658</v>
      </c>
      <c r="AJ50" s="178"/>
      <c r="AK50" s="185">
        <v>47</v>
      </c>
      <c r="AL50" s="195">
        <f t="shared" si="42"/>
        <v>0.5837259857235404</v>
      </c>
      <c r="AM50" s="195">
        <f t="shared" si="43"/>
        <v>0.60528658836906557</v>
      </c>
      <c r="AN50" s="186">
        <f t="shared" si="16"/>
        <v>2.6506973913151162E-2</v>
      </c>
      <c r="AO50" s="186">
        <f t="shared" si="17"/>
        <v>2.7486040026112296E-2</v>
      </c>
      <c r="AP50" s="196">
        <f>SUM(AN$4:AN50)</f>
        <v>6.4788680757653063</v>
      </c>
      <c r="AQ50" s="197">
        <f>SUM(AO$4:AO50)</f>
        <v>6.6928025720866717</v>
      </c>
      <c r="AR50" s="167"/>
    </row>
    <row r="51" spans="1:44">
      <c r="A51" s="2">
        <v>48</v>
      </c>
      <c r="B51" s="2">
        <f t="shared" si="5"/>
        <v>9.1219999999999999E-3</v>
      </c>
      <c r="C51" s="2">
        <f t="shared" si="49"/>
        <v>3.8785548598723976E-4</v>
      </c>
      <c r="D51" s="2">
        <f>SUM(C$4:C51)</f>
        <v>0.12844330167665813</v>
      </c>
      <c r="E51" s="260">
        <f t="shared" si="6"/>
        <v>2.0434782893129761</v>
      </c>
      <c r="G51" s="185">
        <v>48</v>
      </c>
      <c r="H51" s="195">
        <f t="shared" si="35"/>
        <v>1.1983456340399732</v>
      </c>
      <c r="I51" s="195">
        <f t="shared" si="35"/>
        <v>1.2426322012645168</v>
      </c>
      <c r="J51" s="186">
        <f t="shared" si="9"/>
        <v>5.0952085975801441E-2</v>
      </c>
      <c r="K51" s="186">
        <f t="shared" si="10"/>
        <v>5.2835092778430459E-2</v>
      </c>
      <c r="L51" s="186">
        <f>SUM(J$4:J51)</f>
        <v>8.266615208202019</v>
      </c>
      <c r="M51" s="186">
        <f>SUM(K$4:K51)</f>
        <v>8.5432222056511264</v>
      </c>
      <c r="N51" s="203">
        <f t="shared" si="11"/>
        <v>9.2345643608665444</v>
      </c>
      <c r="O51" s="203">
        <f t="shared" si="12"/>
        <v>9.5388320580605637</v>
      </c>
      <c r="P51" s="229">
        <v>1.1172907040370987</v>
      </c>
      <c r="R51" s="185">
        <v>48</v>
      </c>
      <c r="S51" s="186"/>
      <c r="T51" s="186"/>
      <c r="U51" s="186"/>
      <c r="V51" s="186"/>
      <c r="W51" s="186">
        <f t="shared" si="36"/>
        <v>1.1687141792161193</v>
      </c>
      <c r="X51" s="186">
        <f t="shared" si="37"/>
        <v>1.27735772615578</v>
      </c>
      <c r="Y51" s="186">
        <f t="shared" si="38"/>
        <v>0.5864244510485388</v>
      </c>
      <c r="Z51" s="187">
        <f t="shared" si="39"/>
        <v>0.60809660066527638</v>
      </c>
      <c r="AC51" s="185">
        <v>48</v>
      </c>
      <c r="AD51" s="195">
        <f t="shared" si="40"/>
        <v>1.1687141792161193</v>
      </c>
      <c r="AE51" s="195">
        <f t="shared" si="41"/>
        <v>1.27735772615578</v>
      </c>
      <c r="AF51" s="186">
        <f t="shared" si="29"/>
        <v>4.9692195347516545E-2</v>
      </c>
      <c r="AG51" s="186">
        <f t="shared" si="30"/>
        <v>5.4311576590408417E-2</v>
      </c>
      <c r="AH51" s="196">
        <f>SUM(AF$4:AF51)</f>
        <v>6.9661152187852036</v>
      </c>
      <c r="AI51" s="197">
        <f>SUM(AG$4:AG51)</f>
        <v>7.6869424829506743</v>
      </c>
      <c r="AJ51" s="178"/>
      <c r="AK51" s="185">
        <v>48</v>
      </c>
      <c r="AL51" s="195">
        <f t="shared" si="42"/>
        <v>0.5864244510485388</v>
      </c>
      <c r="AM51" s="195">
        <f t="shared" si="43"/>
        <v>0.60809660066527638</v>
      </c>
      <c r="AN51" s="186">
        <f t="shared" si="16"/>
        <v>2.4933999173013737E-2</v>
      </c>
      <c r="AO51" s="186">
        <f t="shared" si="17"/>
        <v>2.5855470574240213E-2</v>
      </c>
      <c r="AP51" s="196">
        <f>SUM(AN$4:AN51)</f>
        <v>6.5038020749383199</v>
      </c>
      <c r="AQ51" s="197">
        <f>SUM(AO$4:AO51)</f>
        <v>6.7186580426609117</v>
      </c>
      <c r="AR51" s="167"/>
    </row>
    <row r="52" spans="1:44">
      <c r="A52" s="2">
        <v>49</v>
      </c>
      <c r="B52" s="2">
        <f t="shared" si="5"/>
        <v>9.1219999999999999E-3</v>
      </c>
      <c r="C52" s="2">
        <f t="shared" si="49"/>
        <v>3.631605674037825E-4</v>
      </c>
      <c r="D52" s="2">
        <f>SUM(C$4:C52)</f>
        <v>0.12880646224406192</v>
      </c>
      <c r="E52" s="260">
        <f t="shared" si="6"/>
        <v>2.0741304636526703</v>
      </c>
      <c r="G52" s="185">
        <v>49</v>
      </c>
      <c r="H52" s="195">
        <f t="shared" si="35"/>
        <v>1.2219436615166335</v>
      </c>
      <c r="I52" s="195">
        <f t="shared" si="35"/>
        <v>1.2671270741265814</v>
      </c>
      <c r="J52" s="186">
        <f t="shared" si="9"/>
        <v>4.8647418707721567E-2</v>
      </c>
      <c r="K52" s="186">
        <f t="shared" si="10"/>
        <v>5.0446238457849603E-2</v>
      </c>
      <c r="L52" s="186">
        <f>SUM(J$4:J52)</f>
        <v>8.3152626269097407</v>
      </c>
      <c r="M52" s="186">
        <f>SUM(K$4:K52)</f>
        <v>8.5936684441089763</v>
      </c>
      <c r="N52" s="203">
        <f t="shared" si="11"/>
        <v>9.2884759980691847</v>
      </c>
      <c r="O52" s="203">
        <f t="shared" si="12"/>
        <v>9.5947223969883435</v>
      </c>
      <c r="P52" s="229">
        <v>1.1172907040370987</v>
      </c>
      <c r="R52" s="185">
        <v>49</v>
      </c>
      <c r="S52" s="186"/>
      <c r="T52" s="186"/>
      <c r="U52" s="186"/>
      <c r="V52" s="186"/>
      <c r="W52" s="186">
        <f t="shared" si="36"/>
        <v>1.1989586878810412</v>
      </c>
      <c r="X52" s="186">
        <f t="shared" si="37"/>
        <v>1.3100181003144946</v>
      </c>
      <c r="Y52" s="186">
        <f t="shared" si="38"/>
        <v>0.58913539091688172</v>
      </c>
      <c r="Z52" s="187">
        <f t="shared" si="39"/>
        <v>0.61091965830109418</v>
      </c>
      <c r="AC52" s="185">
        <v>49</v>
      </c>
      <c r="AD52" s="195">
        <f t="shared" si="40"/>
        <v>1.1989586878810412</v>
      </c>
      <c r="AE52" s="195">
        <f t="shared" si="41"/>
        <v>1.3100181003144946</v>
      </c>
      <c r="AF52" s="186">
        <f t="shared" si="29"/>
        <v>4.7732352267548066E-2</v>
      </c>
      <c r="AG52" s="186">
        <f t="shared" si="30"/>
        <v>5.2153794849751932E-2</v>
      </c>
      <c r="AH52" s="196">
        <f>SUM(AF$4:AF52)</f>
        <v>7.0138475710527519</v>
      </c>
      <c r="AI52" s="197">
        <f>SUM(AG$4:AG52)</f>
        <v>7.7390962778004262</v>
      </c>
      <c r="AJ52" s="178"/>
      <c r="AK52" s="185">
        <v>49</v>
      </c>
      <c r="AL52" s="195">
        <f t="shared" si="42"/>
        <v>0.58913539091688172</v>
      </c>
      <c r="AM52" s="195">
        <f t="shared" si="43"/>
        <v>0.61091965830109418</v>
      </c>
      <c r="AN52" s="186">
        <f t="shared" si="16"/>
        <v>2.3454367774942333E-2</v>
      </c>
      <c r="AO52" s="186">
        <f t="shared" si="17"/>
        <v>2.4321632289711716E-2</v>
      </c>
      <c r="AP52" s="196">
        <f>SUM(AN$4:AN52)</f>
        <v>6.527256442713262</v>
      </c>
      <c r="AQ52" s="197">
        <f>SUM(AO$4:AO52)</f>
        <v>6.7429796749506234</v>
      </c>
      <c r="AR52" s="167"/>
    </row>
    <row r="53" spans="1:44" ht="13.5" thickBot="1">
      <c r="A53" s="2">
        <v>50</v>
      </c>
      <c r="B53" s="2">
        <f t="shared" si="5"/>
        <v>9.1219999999999999E-3</v>
      </c>
      <c r="C53" s="2">
        <f t="shared" si="49"/>
        <v>3.4003798446047051E-4</v>
      </c>
      <c r="D53" s="2">
        <f>SUM(C$4:C53)</f>
        <v>0.12914650022852239</v>
      </c>
      <c r="E53" s="260">
        <f t="shared" si="6"/>
        <v>2.1052424206074605</v>
      </c>
      <c r="G53" s="190">
        <v>50</v>
      </c>
      <c r="H53" s="198">
        <f t="shared" si="35"/>
        <v>1.2460063853922048</v>
      </c>
      <c r="I53" s="198">
        <f t="shared" si="35"/>
        <v>1.2921047920299369</v>
      </c>
      <c r="J53" s="191">
        <f t="shared" si="9"/>
        <v>4.6446996263280159E-2</v>
      </c>
      <c r="K53" s="191">
        <f t="shared" si="10"/>
        <v>4.8165392369389957E-2</v>
      </c>
      <c r="L53" s="191">
        <f>SUM(J$4:J53)</f>
        <v>8.3617096231730201</v>
      </c>
      <c r="M53" s="191">
        <f>SUM(K$4:K53)</f>
        <v>8.6418338364783658</v>
      </c>
      <c r="N53" s="205">
        <f t="shared" si="11"/>
        <v>9.3399417357416965</v>
      </c>
      <c r="O53" s="205">
        <f t="shared" si="12"/>
        <v>9.6480783703775774</v>
      </c>
      <c r="P53" s="230">
        <v>1.1172907040370987</v>
      </c>
      <c r="R53" s="190">
        <v>50</v>
      </c>
      <c r="S53" s="191"/>
      <c r="T53" s="191"/>
      <c r="U53" s="191"/>
      <c r="V53" s="191"/>
      <c r="W53" s="191">
        <f t="shared" si="36"/>
        <v>1.2299858774791199</v>
      </c>
      <c r="X53" s="191">
        <f t="shared" si="37"/>
        <v>1.3435135577222828</v>
      </c>
      <c r="Y53" s="191">
        <f t="shared" si="38"/>
        <v>0.59185886299624801</v>
      </c>
      <c r="Z53" s="192">
        <f t="shared" si="39"/>
        <v>0.61375582183884669</v>
      </c>
      <c r="AC53" s="190">
        <v>50</v>
      </c>
      <c r="AD53" s="198">
        <f t="shared" si="40"/>
        <v>1.2299858774791199</v>
      </c>
      <c r="AE53" s="198">
        <f t="shared" si="41"/>
        <v>1.3435135577222828</v>
      </c>
      <c r="AF53" s="191">
        <f t="shared" si="29"/>
        <v>4.5849804724056475E-2</v>
      </c>
      <c r="AG53" s="191">
        <f t="shared" si="30"/>
        <v>5.0081741094409236E-2</v>
      </c>
      <c r="AH53" s="199">
        <f>SUM(AF$4:AF53)</f>
        <v>7.0596973757768087</v>
      </c>
      <c r="AI53" s="200">
        <f>SUM(AG$4:AG53)</f>
        <v>7.7891780188948356</v>
      </c>
      <c r="AJ53" s="178"/>
      <c r="AK53" s="190">
        <v>50</v>
      </c>
      <c r="AL53" s="198">
        <f t="shared" si="42"/>
        <v>0.59185886299624801</v>
      </c>
      <c r="AM53" s="198">
        <f t="shared" si="43"/>
        <v>0.61375582183884669</v>
      </c>
      <c r="AN53" s="191">
        <f t="shared" si="16"/>
        <v>2.2062540545747637E-2</v>
      </c>
      <c r="AO53" s="191">
        <f t="shared" si="17"/>
        <v>2.2878786736347408E-2</v>
      </c>
      <c r="AP53" s="199">
        <f>SUM(AN$4:AN53)</f>
        <v>6.5493189832590097</v>
      </c>
      <c r="AQ53" s="200">
        <f>SUM(AO$4:AO53)</f>
        <v>6.765858461686971</v>
      </c>
      <c r="AR53" s="167"/>
    </row>
    <row r="56" spans="1:44">
      <c r="H56" s="126" t="s">
        <v>369</v>
      </c>
    </row>
    <row r="57" spans="1:44">
      <c r="H57" s="2" t="s">
        <v>370</v>
      </c>
    </row>
    <row r="58" spans="1:44">
      <c r="H58" s="165" t="s">
        <v>368</v>
      </c>
    </row>
    <row r="60" spans="1:44">
      <c r="J60" s="2" t="s">
        <v>393</v>
      </c>
      <c r="K60" s="2" t="s">
        <v>394</v>
      </c>
    </row>
    <row r="61" spans="1:44">
      <c r="G61" s="207">
        <f>N23</f>
        <v>6.0604972098156598</v>
      </c>
      <c r="H61" s="2" t="s">
        <v>390</v>
      </c>
      <c r="J61" s="208">
        <f>(G61*10)</f>
        <v>60.604972098156594</v>
      </c>
      <c r="K61" s="167">
        <f>J61/J63</f>
        <v>0.27997470949183201</v>
      </c>
    </row>
    <row r="62" spans="1:44">
      <c r="G62" s="207">
        <f>O23</f>
        <v>6.2497392502614728</v>
      </c>
      <c r="H62" s="2" t="s">
        <v>391</v>
      </c>
      <c r="J62" s="208">
        <f>(G62*10)</f>
        <v>62.49739250261473</v>
      </c>
      <c r="K62" s="167">
        <f>J62/J63</f>
        <v>0.28871705908183698</v>
      </c>
    </row>
    <row r="63" spans="1:44">
      <c r="G63" s="207">
        <f>P23</f>
        <v>0.73879805124699305</v>
      </c>
      <c r="H63" s="2" t="s">
        <v>392</v>
      </c>
      <c r="J63" s="208">
        <f>(1000000/3413)*G63</f>
        <v>216.46588082244153</v>
      </c>
      <c r="K63" s="167">
        <f>J63/J63</f>
        <v>1</v>
      </c>
    </row>
    <row r="67" spans="8:9">
      <c r="H67" s="212" t="s">
        <v>403</v>
      </c>
    </row>
    <row r="68" spans="8:9" ht="15">
      <c r="H68" s="209">
        <f>0.52/10</f>
        <v>5.2000000000000005E-2</v>
      </c>
      <c r="I68" t="s">
        <v>395</v>
      </c>
    </row>
    <row r="69" spans="8:9" ht="15">
      <c r="H69">
        <v>20</v>
      </c>
      <c r="I69" t="s">
        <v>396</v>
      </c>
    </row>
    <row r="70" spans="8:9" ht="15">
      <c r="H70" s="127">
        <v>6.8000000000000005E-2</v>
      </c>
      <c r="I70" t="s">
        <v>397</v>
      </c>
    </row>
    <row r="71" spans="8:9" ht="15">
      <c r="H71" s="210">
        <f>-PV(H70,H69,H68)</f>
        <v>0.55955689522949392</v>
      </c>
      <c r="I71" t="s">
        <v>398</v>
      </c>
    </row>
    <row r="72" spans="8:9" ht="15">
      <c r="H72" s="127">
        <f>H$71/VLOOKUP(H$69,G$4:P$53,8)</f>
        <v>9.232854596867536E-2</v>
      </c>
      <c r="I72" t="s">
        <v>404</v>
      </c>
    </row>
    <row r="73" spans="8:9" ht="15">
      <c r="H73" s="127">
        <f>H$71/VLOOKUP(H$69,G$4:P$53,9)</f>
        <v>8.9532838542997373E-2</v>
      </c>
      <c r="I73" t="s">
        <v>405</v>
      </c>
    </row>
    <row r="75" spans="8:9" ht="15">
      <c r="H75">
        <v>11.7</v>
      </c>
      <c r="I75" t="s">
        <v>399</v>
      </c>
    </row>
    <row r="76" spans="8:9" ht="15">
      <c r="H76" s="211">
        <v>8.8959278675964093</v>
      </c>
      <c r="I76" t="s">
        <v>400</v>
      </c>
    </row>
    <row r="77" spans="8:9" ht="15">
      <c r="H77"/>
      <c r="I77"/>
    </row>
    <row r="78" spans="8:9" ht="15">
      <c r="H78">
        <f>(H75/2000)</f>
        <v>5.8499999999999993E-3</v>
      </c>
      <c r="I78" t="s">
        <v>401</v>
      </c>
    </row>
    <row r="79" spans="8:9" ht="15">
      <c r="H79" s="209">
        <f>H76*H78</f>
        <v>5.2041178025438985E-2</v>
      </c>
      <c r="I79" t="s">
        <v>402</v>
      </c>
    </row>
    <row r="80" spans="8:9" ht="15">
      <c r="H80">
        <f>H69</f>
        <v>20</v>
      </c>
      <c r="I80" t="s">
        <v>396</v>
      </c>
    </row>
    <row r="81" spans="8:12" ht="15">
      <c r="H81" s="127">
        <f>H70</f>
        <v>6.8000000000000005E-2</v>
      </c>
      <c r="I81" t="s">
        <v>397</v>
      </c>
    </row>
    <row r="82" spans="8:12" ht="15">
      <c r="H82" s="210">
        <f>-PV(H81,H80,H79)</f>
        <v>0.56000000000000005</v>
      </c>
      <c r="I82" t="s">
        <v>398</v>
      </c>
    </row>
    <row r="85" spans="8:12">
      <c r="H85" s="2" t="s">
        <v>407</v>
      </c>
    </row>
    <row r="87" spans="8:12">
      <c r="H87" s="2" t="s">
        <v>408</v>
      </c>
    </row>
    <row r="89" spans="8:12" ht="15">
      <c r="H89"/>
      <c r="I89"/>
      <c r="J89"/>
      <c r="K89" s="127">
        <v>6.8000000000000005E-2</v>
      </c>
      <c r="L89"/>
    </row>
    <row r="90" spans="8:12" ht="15">
      <c r="H90"/>
      <c r="I90"/>
      <c r="J90" t="s">
        <v>409</v>
      </c>
      <c r="K90" t="s">
        <v>410</v>
      </c>
      <c r="L90" t="s">
        <v>411</v>
      </c>
    </row>
    <row r="91" spans="8:12" ht="15">
      <c r="H91">
        <v>2013</v>
      </c>
      <c r="I91">
        <v>1</v>
      </c>
      <c r="J91" s="213">
        <f>H$68</f>
        <v>5.2000000000000005E-2</v>
      </c>
      <c r="K91">
        <f>J91/((1+K$89)^I91)</f>
        <v>4.8689138576779027E-2</v>
      </c>
      <c r="L91"/>
    </row>
    <row r="92" spans="8:12" ht="15">
      <c r="H92">
        <v>2014</v>
      </c>
      <c r="I92">
        <v>2</v>
      </c>
      <c r="J92" s="213">
        <f t="shared" ref="J92:J97" si="51">H$68</f>
        <v>5.2000000000000005E-2</v>
      </c>
      <c r="K92">
        <f t="shared" ref="K92:K97" si="52">J92/((1+K$89)^I92)</f>
        <v>4.5589081064399836E-2</v>
      </c>
      <c r="L92"/>
    </row>
    <row r="93" spans="8:12" ht="15">
      <c r="H93">
        <v>2015</v>
      </c>
      <c r="I93">
        <v>3</v>
      </c>
      <c r="J93" s="213">
        <f t="shared" si="51"/>
        <v>5.2000000000000005E-2</v>
      </c>
      <c r="K93">
        <f t="shared" si="52"/>
        <v>4.2686405491011083E-2</v>
      </c>
      <c r="L93"/>
    </row>
    <row r="94" spans="8:12" ht="15">
      <c r="H94">
        <v>2016</v>
      </c>
      <c r="I94">
        <v>4</v>
      </c>
      <c r="J94" s="213">
        <f t="shared" si="51"/>
        <v>5.2000000000000005E-2</v>
      </c>
      <c r="K94">
        <f t="shared" si="52"/>
        <v>3.996854446723884E-2</v>
      </c>
      <c r="L94"/>
    </row>
    <row r="95" spans="8:12" ht="15">
      <c r="H95">
        <v>2017</v>
      </c>
      <c r="I95">
        <v>5</v>
      </c>
      <c r="J95" s="213">
        <f t="shared" si="51"/>
        <v>5.2000000000000005E-2</v>
      </c>
      <c r="K95">
        <f t="shared" si="52"/>
        <v>3.7423730774568197E-2</v>
      </c>
      <c r="L95"/>
    </row>
    <row r="96" spans="8:12" ht="15">
      <c r="H96">
        <v>2018</v>
      </c>
      <c r="I96">
        <v>6</v>
      </c>
      <c r="J96" s="213">
        <f t="shared" si="51"/>
        <v>5.2000000000000005E-2</v>
      </c>
      <c r="K96">
        <f t="shared" si="52"/>
        <v>3.5040946418135016E-2</v>
      </c>
      <c r="L96"/>
    </row>
    <row r="97" spans="8:13" ht="15">
      <c r="H97">
        <v>2019</v>
      </c>
      <c r="I97">
        <v>7</v>
      </c>
      <c r="J97" s="213">
        <f t="shared" si="51"/>
        <v>5.2000000000000005E-2</v>
      </c>
      <c r="K97">
        <f t="shared" si="52"/>
        <v>3.2809874923347387E-2</v>
      </c>
      <c r="L97">
        <f>SUM(K91:K97)</f>
        <v>0.28220772171547936</v>
      </c>
      <c r="M97" s="2" t="s">
        <v>412</v>
      </c>
    </row>
    <row r="98" spans="8:13" ht="15">
      <c r="I98"/>
      <c r="J98"/>
      <c r="K98"/>
      <c r="L98">
        <f>VLOOKUP(20,G$4:P$53,8)</f>
        <v>6.0604972098156598</v>
      </c>
      <c r="M98" s="2" t="s">
        <v>413</v>
      </c>
    </row>
    <row r="99" spans="8:13" ht="15">
      <c r="L99">
        <f>VLOOKUP(20,G$4:P$53,9)</f>
        <v>6.2497392502614728</v>
      </c>
      <c r="M99" s="2" t="s">
        <v>414</v>
      </c>
    </row>
    <row r="100" spans="8:13">
      <c r="L100" s="214">
        <f>L97/L98</f>
        <v>4.6565110410151184E-2</v>
      </c>
      <c r="M100" s="2" t="s">
        <v>415</v>
      </c>
    </row>
    <row r="101" spans="8:13">
      <c r="L101" s="214">
        <f>L97/L99</f>
        <v>4.515511934416664E-2</v>
      </c>
      <c r="M101" s="2" t="s">
        <v>416</v>
      </c>
    </row>
    <row r="107" spans="8:13" ht="15">
      <c r="H107"/>
    </row>
    <row r="108" spans="8:13" ht="15">
      <c r="H108">
        <v>9.1219999999999999E-3</v>
      </c>
      <c r="I108" s="2" t="s">
        <v>418</v>
      </c>
    </row>
    <row r="109" spans="8:13" ht="15">
      <c r="H109" s="127">
        <f>J2</f>
        <v>6.8000000000000005E-2</v>
      </c>
    </row>
    <row r="110" spans="8:13" ht="15">
      <c r="H110">
        <v>20</v>
      </c>
    </row>
    <row r="111" spans="8:13" ht="15">
      <c r="H111"/>
    </row>
    <row r="112" spans="8:13" ht="15">
      <c r="H112" s="215">
        <f>PV(H109,H110,-H108)</f>
        <v>9.8159192274681603E-2</v>
      </c>
      <c r="I112" s="2" t="s">
        <v>419</v>
      </c>
    </row>
    <row r="113" spans="8:9">
      <c r="H113" s="214">
        <f>H112/N23</f>
        <v>1.619655762165878E-2</v>
      </c>
      <c r="I113" s="2" t="s">
        <v>420</v>
      </c>
    </row>
    <row r="114" spans="8:9">
      <c r="H114" s="214">
        <f>H112/O23</f>
        <v>1.5706126022869655E-2</v>
      </c>
      <c r="I114" s="2" t="s">
        <v>421</v>
      </c>
    </row>
  </sheetData>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af0c028-e016-4365-948e-cc2e26d65303"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569DF439E91CC498A0358A75D779F91" ma:contentTypeVersion="139" ma:contentTypeDescription="" ma:contentTypeScope="" ma:versionID="3deab1e24ae15a9d4f350e9ab809c75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Response</DocumentSetType>
    <IsConfidential xmlns="dc463f71-b30c-4ab2-9473-d307f9d35888">false</IsConfidential>
    <AgendaOrder xmlns="dc463f71-b30c-4ab2-9473-d307f9d35888">false</AgendaOrder>
    <CaseType xmlns="dc463f71-b30c-4ab2-9473-d307f9d35888">Rulemaking</CaseType>
    <IndustryCode xmlns="dc463f71-b30c-4ab2-9473-d307f9d35888">150</IndustryCode>
    <CaseStatus xmlns="dc463f71-b30c-4ab2-9473-d307f9d35888">Pending</CaseStatus>
    <OpenedDate xmlns="dc463f71-b30c-4ab2-9473-d307f9d35888">2012-07-20T07:00:00+00:00</OpenedDate>
    <Date1 xmlns="dc463f71-b30c-4ab2-9473-d307f9d35888">2012-10-12T07:00:00+00:00</Date1>
    <IsDocumentOrder xmlns="dc463f71-b30c-4ab2-9473-d307f9d35888" xsi:nil="true"/>
    <IsHighlyConfidential xmlns="dc463f71-b30c-4ab2-9473-d307f9d35888">false</IsHighlyConfidential>
    <CaseCompanyNames xmlns="dc463f71-b30c-4ab2-9473-d307f9d35888" xsi:nil="true"/>
    <DocketNumber xmlns="dc463f71-b30c-4ab2-9473-d307f9d35888">121207</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2BF3B986-691E-4E3F-9333-864158B7E9B5}"/>
</file>

<file path=customXml/itemProps2.xml><?xml version="1.0" encoding="utf-8"?>
<ds:datastoreItem xmlns:ds="http://schemas.openxmlformats.org/officeDocument/2006/customXml" ds:itemID="{525775AA-2CB4-4AFB-86C8-12375054F35D}"/>
</file>

<file path=customXml/itemProps3.xml><?xml version="1.0" encoding="utf-8"?>
<ds:datastoreItem xmlns:ds="http://schemas.openxmlformats.org/officeDocument/2006/customXml" ds:itemID="{092744FA-98DC-4860-B529-A0C1FF7051E4}"/>
</file>

<file path=customXml/itemProps4.xml><?xml version="1.0" encoding="utf-8"?>
<ds:datastoreItem xmlns:ds="http://schemas.openxmlformats.org/officeDocument/2006/customXml" ds:itemID="{73A157D1-8452-42BD-A350-19DB629AA6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Calculations</vt:lpstr>
      <vt:lpstr>Site Specific</vt:lpstr>
      <vt:lpstr>Non res psc</vt:lpstr>
      <vt:lpstr>Residential</vt:lpstr>
      <vt:lpstr>Portfolio</vt:lpstr>
      <vt:lpstr>ACs</vt:lpstr>
      <vt:lpstr>Portfolio!Print_Area</vt:lpstr>
    </vt:vector>
  </TitlesOfParts>
  <Company>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jp4047</dc:creator>
  <cp:lastModifiedBy>Linda Gervais</cp:lastModifiedBy>
  <cp:lastPrinted>2012-07-20T20:43:59Z</cp:lastPrinted>
  <dcterms:created xsi:type="dcterms:W3CDTF">2012-06-11T20:47:13Z</dcterms:created>
  <dcterms:modified xsi:type="dcterms:W3CDTF">2012-10-11T17:59:29Z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0x0101006E56B4D1795A2E4DB2F0B01679ED314A00D569DF439E91CC498A0358A75D779F91</vt:lpwstr>
  </property>
  <property fmtid="{D5CDD505-2E9C-101B-9397-08002B2CF9AE}" pid="3" name="_docset_NoMedatataSyncRequired">
    <vt:lpwstr>False</vt:lpwstr>
  </property>
</Properties>
</file>