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Y\AppData\Local\Temp\Workshare\y2vp4ya3.x4u\5\"/>
    </mc:Choice>
  </mc:AlternateContent>
  <xr:revisionPtr revIDLastSave="0" documentId="13_ncr:1_{68E57682-9B66-4EA9-B76F-D542664EADFA}" xr6:coauthVersionLast="47" xr6:coauthVersionMax="47" xr10:uidLastSave="{00000000-0000-0000-0000-000000000000}"/>
  <bookViews>
    <workbookView xWindow="1710" yWindow="1710" windowWidth="21600" windowHeight="11100" xr2:uid="{0DBE897B-C1F7-43DC-BB52-6622380F3A5D}"/>
  </bookViews>
  <sheets>
    <sheet name="Summary" sheetId="1" r:id="rId1"/>
    <sheet name="2019 GRC, Mar20 Rates&gt;&gt;" sheetId="9" r:id="rId2"/>
    <sheet name="2018 Revenue Requirement" sheetId="3" r:id="rId3"/>
    <sheet name="Exh IDM-4 -Revenue Distribution" sheetId="6" r:id="rId4"/>
    <sheet name="2019 GRC Therm Sales" sheetId="7" r:id="rId5"/>
    <sheet name="Mar20-Jun21 As IF" sheetId="2" r:id="rId6"/>
    <sheet name="2020 GRC ,Jul 21 Rates&gt;&gt;" sheetId="10" r:id="rId7"/>
    <sheet name="2019 Revenue Requirement" sheetId="4" r:id="rId8"/>
    <sheet name="Exh 4, Revenue Distribution" sheetId="8" r:id="rId9"/>
    <sheet name="2020 GRC Therm Sales" sheetId="11" r:id="rId10"/>
    <sheet name="July 21 - Aug 22 As If" sheetId="5" r:id="rId11"/>
  </sheets>
  <externalReferences>
    <externalReference r:id="rId12"/>
    <externalReference r:id="rId1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1" l="1"/>
  <c r="P17" i="11"/>
  <c r="B20" i="11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2" i="7"/>
  <c r="C20" i="11" l="1"/>
  <c r="D20" i="11"/>
  <c r="E20" i="11"/>
  <c r="F20" i="11"/>
  <c r="G20" i="11"/>
  <c r="H20" i="11"/>
  <c r="I20" i="11"/>
  <c r="J20" i="11"/>
  <c r="K20" i="11"/>
  <c r="L20" i="11"/>
  <c r="M20" i="11"/>
  <c r="N20" i="11"/>
  <c r="O20" i="11"/>
  <c r="H16" i="5" l="1"/>
  <c r="H13" i="5"/>
  <c r="H12" i="5"/>
  <c r="H11" i="5"/>
  <c r="H10" i="5"/>
  <c r="H9" i="5"/>
  <c r="F16" i="5"/>
  <c r="F13" i="5"/>
  <c r="F12" i="5"/>
  <c r="F11" i="5"/>
  <c r="F10" i="5"/>
  <c r="F9" i="5"/>
  <c r="B19" i="5"/>
  <c r="B16" i="5"/>
  <c r="B13" i="5"/>
  <c r="B12" i="5"/>
  <c r="B11" i="5"/>
  <c r="B10" i="5"/>
  <c r="B9" i="5"/>
  <c r="G46" i="8"/>
  <c r="G38" i="8"/>
  <c r="G41" i="8" s="1"/>
  <c r="H37" i="8"/>
  <c r="H38" i="8" s="1"/>
  <c r="H36" i="8"/>
  <c r="H35" i="8"/>
  <c r="H34" i="8"/>
  <c r="G31" i="8"/>
  <c r="G43" i="8" s="1"/>
  <c r="G29" i="8"/>
  <c r="H28" i="8"/>
  <c r="H27" i="8"/>
  <c r="H29" i="8" s="1"/>
  <c r="G24" i="8"/>
  <c r="H23" i="8"/>
  <c r="H22" i="8"/>
  <c r="H24" i="8" s="1"/>
  <c r="H21" i="8"/>
  <c r="G18" i="8"/>
  <c r="H17" i="8"/>
  <c r="H18" i="8" s="1"/>
  <c r="H16" i="8"/>
  <c r="H15" i="8"/>
  <c r="G12" i="8"/>
  <c r="H11" i="8"/>
  <c r="H12" i="8" s="1"/>
  <c r="G8" i="8"/>
  <c r="H7" i="8"/>
  <c r="H8" i="8" s="1"/>
  <c r="P20" i="11" l="1"/>
  <c r="K43" i="8"/>
  <c r="E29" i="8"/>
  <c r="E18" i="8"/>
  <c r="H41" i="8"/>
  <c r="E38" i="8"/>
  <c r="E24" i="8"/>
  <c r="H31" i="8"/>
  <c r="Q38" i="8"/>
  <c r="Q43" i="8" s="1"/>
  <c r="K52" i="8" s="1"/>
  <c r="K8" i="8" l="1"/>
  <c r="C9" i="5" s="1"/>
  <c r="K41" i="8"/>
  <c r="K53" i="8"/>
  <c r="H43" i="8"/>
  <c r="K36" i="8"/>
  <c r="K22" i="8"/>
  <c r="K15" i="8"/>
  <c r="K35" i="8"/>
  <c r="K23" i="8"/>
  <c r="K27" i="8"/>
  <c r="K21" i="8"/>
  <c r="L43" i="8"/>
  <c r="K34" i="8"/>
  <c r="K28" i="8"/>
  <c r="K17" i="8"/>
  <c r="K37" i="8"/>
  <c r="K16" i="8"/>
  <c r="J8" i="8" l="1"/>
  <c r="J29" i="8"/>
  <c r="K29" i="8" s="1"/>
  <c r="C13" i="5" s="1"/>
  <c r="J18" i="8"/>
  <c r="K18" i="8" s="1"/>
  <c r="C11" i="5" s="1"/>
  <c r="J38" i="8"/>
  <c r="K38" i="8" s="1"/>
  <c r="C16" i="5" s="1"/>
  <c r="J12" i="8"/>
  <c r="K12" i="8" s="1"/>
  <c r="C10" i="5" s="1"/>
  <c r="J24" i="8"/>
  <c r="K24" i="8" s="1"/>
  <c r="C12" i="5" s="1"/>
  <c r="J31" i="8"/>
  <c r="J41" i="8"/>
  <c r="L41" i="8" s="1"/>
  <c r="J43" i="8" l="1"/>
  <c r="K31" i="8"/>
  <c r="L31" i="8" s="1"/>
  <c r="O24" i="8"/>
  <c r="G12" i="5" s="1"/>
  <c r="L24" i="8"/>
  <c r="O11" i="8"/>
  <c r="G10" i="5" s="1"/>
  <c r="L12" i="8"/>
  <c r="L38" i="8"/>
  <c r="O38" i="8"/>
  <c r="G16" i="5" s="1"/>
  <c r="O29" i="8"/>
  <c r="G13" i="5" s="1"/>
  <c r="L29" i="8"/>
  <c r="O18" i="8"/>
  <c r="G11" i="5" s="1"/>
  <c r="L18" i="8"/>
  <c r="O7" i="8"/>
  <c r="G9" i="5" s="1"/>
  <c r="I9" i="5" s="1"/>
  <c r="L8" i="8"/>
  <c r="I16" i="5" l="1"/>
  <c r="I13" i="5"/>
  <c r="I12" i="5"/>
  <c r="D12" i="5"/>
  <c r="I11" i="5"/>
  <c r="H14" i="5"/>
  <c r="H18" i="5" s="1"/>
  <c r="H19" i="5" s="1"/>
  <c r="B14" i="5"/>
  <c r="B11" i="2"/>
  <c r="B10" i="2"/>
  <c r="B9" i="2"/>
  <c r="C19" i="7"/>
  <c r="D19" i="7"/>
  <c r="H10" i="2" s="1"/>
  <c r="E19" i="7"/>
  <c r="H11" i="2" s="1"/>
  <c r="F19" i="7"/>
  <c r="G19" i="7"/>
  <c r="H9" i="2" s="1"/>
  <c r="H19" i="7"/>
  <c r="I19" i="7"/>
  <c r="J19" i="7"/>
  <c r="K19" i="7"/>
  <c r="H12" i="2" s="1"/>
  <c r="L19" i="7"/>
  <c r="H15" i="2" s="1"/>
  <c r="M19" i="7"/>
  <c r="N19" i="7"/>
  <c r="O19" i="7"/>
  <c r="B19" i="7"/>
  <c r="H8" i="2" s="1"/>
  <c r="P19" i="7" l="1"/>
  <c r="B18" i="5"/>
  <c r="I10" i="5"/>
  <c r="I14" i="5" s="1"/>
  <c r="I18" i="5" s="1"/>
  <c r="D11" i="5"/>
  <c r="D16" i="5"/>
  <c r="D13" i="5"/>
  <c r="D10" i="5"/>
  <c r="C14" i="5"/>
  <c r="D14" i="5" l="1"/>
  <c r="C18" i="5"/>
  <c r="C19" i="5" s="1"/>
  <c r="D9" i="5"/>
  <c r="D18" i="5" l="1"/>
  <c r="J20" i="3"/>
  <c r="F15" i="2"/>
  <c r="F12" i="2"/>
  <c r="F11" i="2"/>
  <c r="F10" i="2"/>
  <c r="F9" i="2"/>
  <c r="F8" i="2"/>
  <c r="B15" i="2"/>
  <c r="B12" i="2"/>
  <c r="B8" i="2"/>
  <c r="M50" i="6"/>
  <c r="M52" i="6" s="1"/>
  <c r="I38" i="6"/>
  <c r="I41" i="6" s="1"/>
  <c r="J37" i="6"/>
  <c r="J36" i="6"/>
  <c r="J35" i="6"/>
  <c r="J34" i="6"/>
  <c r="I29" i="6"/>
  <c r="J28" i="6"/>
  <c r="J27" i="6"/>
  <c r="J29" i="6" s="1"/>
  <c r="I24" i="6"/>
  <c r="J23" i="6"/>
  <c r="J22" i="6"/>
  <c r="J21" i="6"/>
  <c r="I18" i="6"/>
  <c r="J17" i="6"/>
  <c r="J16" i="6"/>
  <c r="J15" i="6"/>
  <c r="J18" i="6" s="1"/>
  <c r="I12" i="6"/>
  <c r="J11" i="6"/>
  <c r="J12" i="6" s="1"/>
  <c r="I8" i="6"/>
  <c r="I31" i="6" s="1"/>
  <c r="I43" i="6" s="1"/>
  <c r="J7" i="6"/>
  <c r="J8" i="6" s="1"/>
  <c r="M43" i="6" l="1"/>
  <c r="J38" i="6"/>
  <c r="J24" i="6"/>
  <c r="C18" i="2" l="1"/>
  <c r="M8" i="6"/>
  <c r="J31" i="6"/>
  <c r="J41" i="6"/>
  <c r="J43" i="6" l="1"/>
  <c r="L21" i="6" l="1"/>
  <c r="M21" i="6" s="1"/>
  <c r="N21" i="6" s="1"/>
  <c r="L37" i="6"/>
  <c r="M37" i="6" s="1"/>
  <c r="N37" i="6" s="1"/>
  <c r="F36" i="6" s="1"/>
  <c r="H36" i="6" s="1"/>
  <c r="K36" i="6" s="1"/>
  <c r="L27" i="6"/>
  <c r="M27" i="6" s="1"/>
  <c r="N27" i="6" s="1"/>
  <c r="L29" i="6"/>
  <c r="M29" i="6" s="1"/>
  <c r="L17" i="6"/>
  <c r="M17" i="6" s="1"/>
  <c r="N17" i="6" s="1"/>
  <c r="F16" i="6" s="1"/>
  <c r="H16" i="6" s="1"/>
  <c r="K16" i="6" s="1"/>
  <c r="L22" i="6"/>
  <c r="M22" i="6" s="1"/>
  <c r="N22" i="6" s="1"/>
  <c r="F21" i="6" s="1"/>
  <c r="H21" i="6" s="1"/>
  <c r="K21" i="6" s="1"/>
  <c r="M53" i="6"/>
  <c r="L23" i="6"/>
  <c r="M23" i="6" s="1"/>
  <c r="N23" i="6" s="1"/>
  <c r="F22" i="6" s="1"/>
  <c r="H22" i="6" s="1"/>
  <c r="K22" i="6" s="1"/>
  <c r="L8" i="6"/>
  <c r="L15" i="6"/>
  <c r="M15" i="6" s="1"/>
  <c r="N15" i="6" s="1"/>
  <c r="L28" i="6"/>
  <c r="M28" i="6" s="1"/>
  <c r="N28" i="6" s="1"/>
  <c r="F27" i="6" s="1"/>
  <c r="H27" i="6" s="1"/>
  <c r="K27" i="6" s="1"/>
  <c r="L12" i="6"/>
  <c r="M12" i="6" s="1"/>
  <c r="L34" i="6"/>
  <c r="M34" i="6" s="1"/>
  <c r="N34" i="6" s="1"/>
  <c r="L18" i="6"/>
  <c r="M18" i="6" s="1"/>
  <c r="L35" i="6"/>
  <c r="M35" i="6" s="1"/>
  <c r="N35" i="6" s="1"/>
  <c r="F34" i="6" s="1"/>
  <c r="H34" i="6" s="1"/>
  <c r="K34" i="6" s="1"/>
  <c r="L16" i="6"/>
  <c r="M16" i="6" s="1"/>
  <c r="N16" i="6" s="1"/>
  <c r="F15" i="6" s="1"/>
  <c r="H15" i="6" s="1"/>
  <c r="K15" i="6" s="1"/>
  <c r="L36" i="6"/>
  <c r="M36" i="6" s="1"/>
  <c r="N36" i="6" s="1"/>
  <c r="F35" i="6" s="1"/>
  <c r="H35" i="6" s="1"/>
  <c r="K35" i="6" s="1"/>
  <c r="L24" i="6"/>
  <c r="M24" i="6" s="1"/>
  <c r="L38" i="6"/>
  <c r="M38" i="6" s="1"/>
  <c r="N43" i="6"/>
  <c r="L31" i="6"/>
  <c r="L41" i="6"/>
  <c r="M41" i="6" s="1"/>
  <c r="N41" i="6" s="1"/>
  <c r="N8" i="6" l="1"/>
  <c r="F7" i="6" s="1"/>
  <c r="H7" i="6" s="1"/>
  <c r="K7" i="6" s="1"/>
  <c r="K8" i="6" s="1"/>
  <c r="O8" i="6"/>
  <c r="G8" i="2" s="1"/>
  <c r="O38" i="6"/>
  <c r="G15" i="2" s="1"/>
  <c r="N38" i="6"/>
  <c r="F37" i="6" s="1"/>
  <c r="H37" i="6" s="1"/>
  <c r="K37" i="6" s="1"/>
  <c r="M31" i="6"/>
  <c r="N31" i="6" s="1"/>
  <c r="L43" i="6"/>
  <c r="K38" i="6"/>
  <c r="K41" i="6" s="1"/>
  <c r="O12" i="6"/>
  <c r="G9" i="2" s="1"/>
  <c r="N12" i="6"/>
  <c r="F11" i="6" s="1"/>
  <c r="H11" i="6" s="1"/>
  <c r="K11" i="6" s="1"/>
  <c r="K12" i="6" s="1"/>
  <c r="O24" i="6"/>
  <c r="G11" i="2" s="1"/>
  <c r="N24" i="6"/>
  <c r="F23" i="6" s="1"/>
  <c r="H23" i="6" s="1"/>
  <c r="K23" i="6" s="1"/>
  <c r="K24" i="6" s="1"/>
  <c r="O29" i="6"/>
  <c r="G12" i="2" s="1"/>
  <c r="N29" i="6"/>
  <c r="F28" i="6" s="1"/>
  <c r="H28" i="6" s="1"/>
  <c r="K28" i="6" s="1"/>
  <c r="K29" i="6" s="1"/>
  <c r="O18" i="6"/>
  <c r="G10" i="2" s="1"/>
  <c r="N18" i="6"/>
  <c r="F17" i="6" s="1"/>
  <c r="H17" i="6" s="1"/>
  <c r="K17" i="6" s="1"/>
  <c r="K18" i="6" s="1"/>
  <c r="K31" i="6" l="1"/>
  <c r="K43" i="6" s="1"/>
  <c r="I15" i="2" l="1"/>
  <c r="I12" i="2"/>
  <c r="I11" i="2"/>
  <c r="I9" i="2"/>
  <c r="I8" i="2"/>
  <c r="H13" i="2" l="1"/>
  <c r="H17" i="2" s="1"/>
  <c r="H18" i="2" s="1"/>
  <c r="I10" i="2"/>
  <c r="I13" i="2" s="1"/>
  <c r="I17" i="2" s="1"/>
  <c r="H13" i="4"/>
  <c r="H16" i="4" s="1"/>
  <c r="H20" i="4" s="1"/>
  <c r="H24" i="4" s="1"/>
  <c r="D16" i="4"/>
  <c r="D13" i="4"/>
  <c r="H13" i="3"/>
  <c r="H16" i="3" s="1"/>
  <c r="H20" i="3" s="1"/>
  <c r="H24" i="3" s="1"/>
  <c r="D20" i="4" l="1"/>
  <c r="D24" i="4" s="1"/>
  <c r="J20" i="4" l="1"/>
  <c r="D13" i="3" l="1"/>
  <c r="D16" i="3" s="1"/>
  <c r="D20" i="3" s="1"/>
  <c r="D24" i="3" s="1"/>
  <c r="B13" i="2" l="1"/>
  <c r="B17" i="2" s="1"/>
  <c r="F18" i="1"/>
  <c r="J18" i="1"/>
  <c r="D18" i="1"/>
  <c r="C8" i="2" l="1"/>
  <c r="D8" i="2" s="1"/>
  <c r="B18" i="2"/>
  <c r="C12" i="2"/>
  <c r="D12" i="2" s="1"/>
  <c r="C11" i="2"/>
  <c r="D11" i="2" s="1"/>
  <c r="D17" i="2"/>
  <c r="C10" i="2"/>
  <c r="D10" i="2" s="1"/>
  <c r="C15" i="2"/>
  <c r="D15" i="2" s="1"/>
  <c r="C9" i="2"/>
  <c r="D9" i="2" s="1"/>
  <c r="H18" i="1"/>
  <c r="L18" i="1"/>
  <c r="C13" i="2" l="1"/>
  <c r="D13" i="2" s="1"/>
</calcChain>
</file>

<file path=xl/sharedStrings.xml><?xml version="1.0" encoding="utf-8"?>
<sst xmlns="http://schemas.openxmlformats.org/spreadsheetml/2006/main" count="285" uniqueCount="143">
  <si>
    <t xml:space="preserve">CNG Protected Plus EDIT Tariff Normalization </t>
  </si>
  <si>
    <t>Comparison of Protected Plus EDIT Tariff vs "As If" Protected Plus EDIT's included in GRC Base Rates</t>
  </si>
  <si>
    <t>Amount that</t>
  </si>
  <si>
    <t xml:space="preserve">Total </t>
  </si>
  <si>
    <t>should have been</t>
  </si>
  <si>
    <t>Over/(Under)</t>
  </si>
  <si>
    <t>Protected EDIT Base</t>
  </si>
  <si>
    <t>Gross Up on</t>
  </si>
  <si>
    <t xml:space="preserve">Returned </t>
  </si>
  <si>
    <t xml:space="preserve">incorporated in </t>
  </si>
  <si>
    <t xml:space="preserve">Refund </t>
  </si>
  <si>
    <t>General Rate Case</t>
  </si>
  <si>
    <t>Amortizations</t>
  </si>
  <si>
    <t xml:space="preserve"> Amortizations</t>
  </si>
  <si>
    <t>to Customers</t>
  </si>
  <si>
    <t>GRC rates</t>
  </si>
  <si>
    <t>Aug 18 - Feb 20</t>
  </si>
  <si>
    <t>2017 GRC, Rates Implemented 8/1/18, Based on 2016 Historical Test Year</t>
  </si>
  <si>
    <t>Mar 20 - Jun 21</t>
  </si>
  <si>
    <t>2019 GRC, Rates Implemented 3/1/20, Based on 2018 Historical Test Year</t>
  </si>
  <si>
    <t>July 21 - Aug 22</t>
  </si>
  <si>
    <t>2020 GRC, Rates Implemented 7/1/21, Based on 2019 Historical Test Year</t>
  </si>
  <si>
    <t>Total</t>
  </si>
  <si>
    <t>Original - Per Rate Case</t>
  </si>
  <si>
    <t>Revised - "As If" Protected Plus EDIT included in GRC</t>
  </si>
  <si>
    <t>Cascade Natural Gas</t>
  </si>
  <si>
    <t>Revenue Requirement Calculation</t>
  </si>
  <si>
    <t>12 Months ended December 31, 2018</t>
  </si>
  <si>
    <t>Difference</t>
  </si>
  <si>
    <t>Adjusted Rate Base</t>
  </si>
  <si>
    <t>Rate of Return</t>
  </si>
  <si>
    <t>Required Return (ln 1 x ln 2)</t>
  </si>
  <si>
    <t>Adjusted Net Income</t>
  </si>
  <si>
    <t>Required Net Income Increase (ln 3 - ln 4)</t>
  </si>
  <si>
    <t>Conversion Factor</t>
  </si>
  <si>
    <t>Revenue Increase Required (ln 5 / ln 6)</t>
  </si>
  <si>
    <t>Test Year Adjusted Revenue</t>
  </si>
  <si>
    <t>Overall Revenue Increase</t>
  </si>
  <si>
    <t>Cascade Natural Gas Corporation</t>
  </si>
  <si>
    <t>Revenue Distribution</t>
  </si>
  <si>
    <t>Line No.</t>
  </si>
  <si>
    <t>Description</t>
  </si>
  <si>
    <t>Rate Schedule</t>
  </si>
  <si>
    <t>Block Descriptions</t>
  </si>
  <si>
    <t>Current Rate</t>
  </si>
  <si>
    <t>Proposed Rate</t>
  </si>
  <si>
    <t>CRM 11/1/18</t>
  </si>
  <si>
    <t>Total Rate</t>
  </si>
  <si>
    <t>Test Year Adjusted Sales @ 12/31/2018</t>
  </si>
  <si>
    <t>Test Year  Revenue @ Current Rates</t>
  </si>
  <si>
    <t>Margin Revenue @ Proposed Rates</t>
  </si>
  <si>
    <t>Revenue Percentage by class @ 12/31/2018</t>
  </si>
  <si>
    <t>Proposed Revenue Increase</t>
  </si>
  <si>
    <t>Total Revenue % Increase</t>
  </si>
  <si>
    <t>581 Rate should be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</si>
  <si>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</si>
  <si>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</si>
  <si>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</si>
  <si>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</si>
  <si>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</si>
  <si>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</si>
  <si>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</si>
  <si>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</si>
  <si>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</si>
  <si>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</si>
  <si>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</si>
  <si>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Residential</t>
  </si>
  <si>
    <t xml:space="preserve">  Optional Service</t>
  </si>
  <si>
    <t xml:space="preserve"> </t>
  </si>
  <si>
    <t xml:space="preserve">     Total</t>
  </si>
  <si>
    <t>Commercial</t>
  </si>
  <si>
    <t xml:space="preserve">  General Service</t>
  </si>
  <si>
    <t>Industrial Firm</t>
  </si>
  <si>
    <t>First 500 therms/month</t>
  </si>
  <si>
    <t>Next 3,500 therms/month</t>
  </si>
  <si>
    <t>All over 4,000 therms/month</t>
  </si>
  <si>
    <t>Com-Ind Dual Service</t>
  </si>
  <si>
    <t xml:space="preserve">  Large Volume</t>
  </si>
  <si>
    <t>First 20,000 therms/month</t>
  </si>
  <si>
    <t>Next 80,000 therms/month</t>
  </si>
  <si>
    <t>All over 100,000 therms/month</t>
  </si>
  <si>
    <t xml:space="preserve">     Total </t>
  </si>
  <si>
    <t>Interruptible</t>
  </si>
  <si>
    <t xml:space="preserve">  General </t>
  </si>
  <si>
    <t>First 30,000 therms/month</t>
  </si>
  <si>
    <t>All over 30,000 therms/month</t>
  </si>
  <si>
    <t>Total Core</t>
  </si>
  <si>
    <t>Non-Core</t>
  </si>
  <si>
    <t xml:space="preserve">  Distribution Trans.</t>
  </si>
  <si>
    <t>First 100,000 therms/month</t>
  </si>
  <si>
    <t>Next 200,000 therms/month</t>
  </si>
  <si>
    <t>Over 500,000 therms/month</t>
  </si>
  <si>
    <t>Total Non-Core</t>
  </si>
  <si>
    <t>Rev. Increase</t>
  </si>
  <si>
    <t>Exh MCP-3</t>
  </si>
  <si>
    <t>2018 Protected EDIT ARAM amount</t>
  </si>
  <si>
    <t>Revenue Impact</t>
  </si>
  <si>
    <t>Revenue Change</t>
  </si>
  <si>
    <t>05LV</t>
  </si>
  <si>
    <t>04LV</t>
  </si>
  <si>
    <t>511/11LV</t>
  </si>
  <si>
    <t>6631/6632</t>
  </si>
  <si>
    <t>2019 General Rate Case</t>
  </si>
  <si>
    <t>Based on 2018 Historical Test Year</t>
  </si>
  <si>
    <t>Rates Implemented March 1, 2020</t>
  </si>
  <si>
    <t>Adjustment to Revenue</t>
  </si>
  <si>
    <t>Approved Revenue Requirement:</t>
  </si>
  <si>
    <t>Margin Revenue</t>
  </si>
  <si>
    <t>Requirement to Incorporate</t>
  </si>
  <si>
    <t>Adjusted</t>
  </si>
  <si>
    <t xml:space="preserve">Original </t>
  </si>
  <si>
    <t>Rate Adj</t>
  </si>
  <si>
    <t>Volumes</t>
  </si>
  <si>
    <t>"As if" EDIT return</t>
  </si>
  <si>
    <t>Per Rate Case</t>
  </si>
  <si>
    <t>EDITs in GRC</t>
  </si>
  <si>
    <t>Revenue Requirement</t>
  </si>
  <si>
    <t>Rate</t>
  </si>
  <si>
    <t>for EDITs</t>
  </si>
  <si>
    <t>0320-0621</t>
  </si>
  <si>
    <t>through base rates</t>
  </si>
  <si>
    <t>Residential (503)</t>
  </si>
  <si>
    <t>Commercial (504)</t>
  </si>
  <si>
    <t>Industrial Firm (505)</t>
  </si>
  <si>
    <t>Com-Ind Dual Service (511)</t>
  </si>
  <si>
    <t>Interruptible (570)</t>
  </si>
  <si>
    <t>NonCore (663)</t>
  </si>
  <si>
    <t>12 Months ended December 31, 2019</t>
  </si>
  <si>
    <t>Test Year Adjusted Sales @ 12/31/2019</t>
  </si>
  <si>
    <t>Revenue Percentage by class @ 12/31/2019</t>
  </si>
  <si>
    <t>Proposed Schedule 581 Rates</t>
  </si>
  <si>
    <t>Current Schedule 581 Rates</t>
  </si>
  <si>
    <t>Revenue from Current Schudule 581</t>
  </si>
  <si>
    <t>2019 Protected EDIT ARAM amount</t>
  </si>
  <si>
    <t>Conversion Factor UG-200568</t>
  </si>
  <si>
    <t>2020 General Rate Case</t>
  </si>
  <si>
    <t>Based on 2019 Historical Test Year</t>
  </si>
  <si>
    <t>Rates Implemented July 1, 2021</t>
  </si>
  <si>
    <t>07/21 - 08/22</t>
  </si>
  <si>
    <t>2021 GRC, Rates Implemented 9/1/22, Based on 2020 Historical Test Year</t>
  </si>
  <si>
    <t>Sept 22- Oct 22</t>
  </si>
  <si>
    <t>Est.</t>
  </si>
  <si>
    <t>08/01/18 - 08/31/22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</si>
</sst>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"/>
    <numFmt numFmtId="167" formatCode="0.0000%"/>
    <numFmt numFmtId="168" formatCode="0.00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#,##0.000000"/>
    <numFmt numFmtId="172" formatCode="_(&quot;$&quot;* #,##0.00000_);_(&quot;$&quot;* \(#,##0.00000\);_(&quot;$&quot;* &quot;-&quot;?????_);_(@_)"/>
    <numFmt numFmtId="173" formatCode="#,##0.00000"/>
    <numFmt numFmtId="174" formatCode="0.000000"/>
    <numFmt numFmtId="175" formatCode="0_);\(0\)"/>
    <numFmt numFmtId="176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/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3" fillId="0" borderId="1" xfId="0" applyFont="1" applyBorder="1"/>
    <xf numFmtId="4" fontId="3" fillId="0" borderId="2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2" fillId="0" borderId="0" xfId="1" applyFont="1" applyFill="1"/>
    <xf numFmtId="16" fontId="3" fillId="0" borderId="1" xfId="0" quotePrefix="1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9" fontId="9" fillId="0" borderId="0" xfId="3" applyNumberFormat="1" applyFont="1"/>
    <xf numFmtId="49" fontId="9" fillId="2" borderId="9" xfId="3" applyNumberFormat="1" applyFont="1" applyFill="1" applyBorder="1"/>
    <xf numFmtId="49" fontId="9" fillId="2" borderId="1" xfId="3" applyNumberFormat="1" applyFont="1" applyFill="1" applyBorder="1"/>
    <xf numFmtId="49" fontId="9" fillId="2" borderId="10" xfId="3" applyNumberFormat="1" applyFont="1" applyFill="1" applyBorder="1"/>
    <xf numFmtId="0" fontId="10" fillId="0" borderId="0" xfId="4" applyFont="1"/>
    <xf numFmtId="5" fontId="7" fillId="0" borderId="0" xfId="0" applyNumberFormat="1" applyFont="1"/>
    <xf numFmtId="10" fontId="7" fillId="0" borderId="1" xfId="0" applyNumberFormat="1" applyFont="1" applyBorder="1"/>
    <xf numFmtId="165" fontId="7" fillId="0" borderId="0" xfId="0" applyNumberFormat="1" applyFont="1"/>
    <xf numFmtId="165" fontId="7" fillId="0" borderId="1" xfId="0" applyNumberFormat="1" applyFont="1" applyBorder="1"/>
    <xf numFmtId="166" fontId="7" fillId="0" borderId="1" xfId="0" applyNumberFormat="1" applyFont="1" applyBorder="1"/>
    <xf numFmtId="165" fontId="11" fillId="0" borderId="11" xfId="0" applyNumberFormat="1" applyFont="1" applyBorder="1"/>
    <xf numFmtId="167" fontId="11" fillId="0" borderId="0" xfId="0" applyNumberFormat="1" applyFont="1"/>
    <xf numFmtId="0" fontId="5" fillId="0" borderId="0" xfId="0" applyFont="1"/>
    <xf numFmtId="168" fontId="11" fillId="0" borderId="0" xfId="0" applyNumberFormat="1" applyFont="1"/>
    <xf numFmtId="166" fontId="2" fillId="0" borderId="0" xfId="0" applyNumberFormat="1" applyFont="1"/>
    <xf numFmtId="169" fontId="2" fillId="0" borderId="0" xfId="1" applyNumberFormat="1" applyFont="1"/>
    <xf numFmtId="0" fontId="3" fillId="0" borderId="0" xfId="0" applyFont="1" applyAlignment="1">
      <alignment horizontal="right"/>
    </xf>
    <xf numFmtId="43" fontId="12" fillId="0" borderId="0" xfId="1" applyFont="1" applyFill="1"/>
    <xf numFmtId="170" fontId="2" fillId="0" borderId="0" xfId="2" applyNumberFormat="1" applyFont="1"/>
    <xf numFmtId="170" fontId="2" fillId="0" borderId="3" xfId="2" applyNumberFormat="1" applyFont="1" applyBorder="1"/>
    <xf numFmtId="170" fontId="2" fillId="0" borderId="2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10" fontId="0" fillId="0" borderId="12" xfId="0" applyNumberFormat="1" applyBorder="1" applyAlignment="1">
      <alignment horizontal="center" wrapText="1"/>
    </xf>
    <xf numFmtId="0" fontId="0" fillId="0" borderId="12" xfId="0" applyBorder="1"/>
    <xf numFmtId="0" fontId="0" fillId="0" borderId="14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4" xfId="0" applyBorder="1"/>
    <xf numFmtId="0" fontId="5" fillId="0" borderId="14" xfId="0" applyFont="1" applyBorder="1"/>
    <xf numFmtId="0" fontId="0" fillId="0" borderId="15" xfId="0" applyBorder="1"/>
    <xf numFmtId="0" fontId="0" fillId="0" borderId="6" xfId="0" applyBorder="1"/>
    <xf numFmtId="3" fontId="0" fillId="0" borderId="14" xfId="0" applyNumberFormat="1" applyBorder="1"/>
    <xf numFmtId="3" fontId="0" fillId="0" borderId="15" xfId="0" applyNumberFormat="1" applyBorder="1"/>
    <xf numFmtId="10" fontId="0" fillId="0" borderId="15" xfId="0" applyNumberFormat="1" applyBorder="1"/>
    <xf numFmtId="0" fontId="0" fillId="0" borderId="15" xfId="0" applyBorder="1" applyAlignment="1">
      <alignment horizontal="center"/>
    </xf>
    <xf numFmtId="166" fontId="0" fillId="0" borderId="15" xfId="0" applyNumberFormat="1" applyBorder="1"/>
    <xf numFmtId="3" fontId="0" fillId="0" borderId="8" xfId="0" applyNumberFormat="1" applyBorder="1"/>
    <xf numFmtId="170" fontId="0" fillId="0" borderId="15" xfId="2" applyNumberFormat="1" applyFont="1" applyBorder="1"/>
    <xf numFmtId="166" fontId="0" fillId="0" borderId="0" xfId="0" applyNumberFormat="1"/>
    <xf numFmtId="171" fontId="0" fillId="0" borderId="15" xfId="0" applyNumberFormat="1" applyBorder="1"/>
    <xf numFmtId="3" fontId="5" fillId="0" borderId="15" xfId="0" applyNumberFormat="1" applyFont="1" applyBorder="1"/>
    <xf numFmtId="172" fontId="0" fillId="0" borderId="0" xfId="0" applyNumberFormat="1"/>
    <xf numFmtId="10" fontId="0" fillId="0" borderId="0" xfId="5" applyNumberFormat="1" applyFont="1"/>
    <xf numFmtId="44" fontId="0" fillId="0" borderId="0" xfId="0" applyNumberFormat="1"/>
    <xf numFmtId="0" fontId="5" fillId="0" borderId="15" xfId="0" applyFont="1" applyBorder="1"/>
    <xf numFmtId="3" fontId="5" fillId="0" borderId="8" xfId="0" applyNumberFormat="1" applyFont="1" applyBorder="1"/>
    <xf numFmtId="171" fontId="5" fillId="0" borderId="15" xfId="0" applyNumberFormat="1" applyFont="1" applyBorder="1"/>
    <xf numFmtId="10" fontId="5" fillId="0" borderId="15" xfId="0" applyNumberFormat="1" applyFont="1" applyBorder="1"/>
    <xf numFmtId="0" fontId="0" fillId="0" borderId="8" xfId="0" applyBorder="1"/>
    <xf numFmtId="164" fontId="0" fillId="0" borderId="8" xfId="1" applyNumberFormat="1" applyFont="1" applyBorder="1"/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73" fontId="0" fillId="0" borderId="15" xfId="0" applyNumberFormat="1" applyBorder="1"/>
    <xf numFmtId="0" fontId="5" fillId="0" borderId="12" xfId="0" applyFont="1" applyBorder="1"/>
    <xf numFmtId="3" fontId="0" fillId="0" borderId="12" xfId="0" applyNumberFormat="1" applyBorder="1"/>
    <xf numFmtId="173" fontId="0" fillId="0" borderId="16" xfId="0" applyNumberFormat="1" applyBorder="1"/>
    <xf numFmtId="10" fontId="0" fillId="0" borderId="13" xfId="0" applyNumberFormat="1" applyBorder="1"/>
    <xf numFmtId="3" fontId="0" fillId="0" borderId="18" xfId="0" applyNumberFormat="1" applyBorder="1" applyAlignment="1">
      <alignment horizontal="center"/>
    </xf>
    <xf numFmtId="10" fontId="0" fillId="0" borderId="8" xfId="0" applyNumberFormat="1" applyBorder="1"/>
    <xf numFmtId="0" fontId="0" fillId="0" borderId="19" xfId="0" applyBorder="1"/>
    <xf numFmtId="0" fontId="0" fillId="0" borderId="1" xfId="0" applyBorder="1"/>
    <xf numFmtId="3" fontId="0" fillId="0" borderId="1" xfId="0" applyNumberFormat="1" applyBorder="1"/>
    <xf numFmtId="3" fontId="0" fillId="0" borderId="20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/>
    <xf numFmtId="173" fontId="0" fillId="0" borderId="0" xfId="0" applyNumberFormat="1"/>
    <xf numFmtId="165" fontId="0" fillId="0" borderId="0" xfId="0" applyNumberFormat="1"/>
    <xf numFmtId="174" fontId="2" fillId="0" borderId="0" xfId="0" applyNumberFormat="1" applyFont="1"/>
    <xf numFmtId="0" fontId="14" fillId="0" borderId="0" xfId="0" applyFont="1"/>
    <xf numFmtId="37" fontId="14" fillId="0" borderId="12" xfId="0" applyNumberFormat="1" applyFont="1" applyBorder="1" applyAlignment="1">
      <alignment horizontal="center"/>
    </xf>
    <xf numFmtId="37" fontId="14" fillId="0" borderId="3" xfId="0" applyNumberFormat="1" applyFont="1" applyBorder="1" applyAlignment="1">
      <alignment horizontal="center"/>
    </xf>
    <xf numFmtId="37" fontId="14" fillId="0" borderId="13" xfId="0" applyNumberFormat="1" applyFont="1" applyBorder="1" applyAlignment="1">
      <alignment horizontal="center"/>
    </xf>
    <xf numFmtId="175" fontId="14" fillId="0" borderId="12" xfId="0" quotePrefix="1" applyNumberFormat="1" applyFont="1" applyBorder="1" applyAlignment="1">
      <alignment horizontal="center"/>
    </xf>
    <xf numFmtId="175" fontId="14" fillId="0" borderId="3" xfId="0" applyNumberFormat="1" applyFont="1" applyBorder="1" applyAlignment="1">
      <alignment horizontal="center"/>
    </xf>
    <xf numFmtId="176" fontId="14" fillId="3" borderId="0" xfId="0" applyNumberFormat="1" applyFont="1" applyFill="1"/>
    <xf numFmtId="164" fontId="14" fillId="0" borderId="15" xfId="1" applyNumberFormat="1" applyFont="1" applyBorder="1"/>
    <xf numFmtId="164" fontId="14" fillId="0" borderId="0" xfId="1" applyNumberFormat="1" applyFont="1"/>
    <xf numFmtId="164" fontId="14" fillId="0" borderId="8" xfId="1" applyNumberFormat="1" applyFont="1" applyBorder="1"/>
    <xf numFmtId="176" fontId="14" fillId="0" borderId="0" xfId="0" applyNumberFormat="1" applyFont="1"/>
    <xf numFmtId="164" fontId="0" fillId="0" borderId="0" xfId="0" applyNumberFormat="1"/>
    <xf numFmtId="164" fontId="0" fillId="3" borderId="0" xfId="0" applyNumberFormat="1" applyFill="1"/>
    <xf numFmtId="164" fontId="14" fillId="3" borderId="12" xfId="1" applyNumberFormat="1" applyFont="1" applyFill="1" applyBorder="1"/>
    <xf numFmtId="3" fontId="15" fillId="0" borderId="15" xfId="0" applyNumberFormat="1" applyFont="1" applyBorder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5" fillId="0" borderId="0" xfId="0" applyFont="1"/>
    <xf numFmtId="170" fontId="0" fillId="0" borderId="15" xfId="2" applyNumberFormat="1" applyFont="1" applyFill="1" applyBorder="1"/>
    <xf numFmtId="166" fontId="15" fillId="0" borderId="0" xfId="0" applyNumberFormat="1" applyFont="1"/>
    <xf numFmtId="166" fontId="13" fillId="0" borderId="0" xfId="0" applyNumberFormat="1" applyFont="1"/>
    <xf numFmtId="3" fontId="0" fillId="0" borderId="0" xfId="2" applyNumberFormat="1" applyFont="1" applyFill="1"/>
    <xf numFmtId="164" fontId="15" fillId="0" borderId="15" xfId="1" applyNumberFormat="1" applyFont="1" applyFill="1" applyBorder="1"/>
    <xf numFmtId="10" fontId="0" fillId="0" borderId="10" xfId="0" applyNumberFormat="1" applyBorder="1"/>
    <xf numFmtId="43" fontId="0" fillId="0" borderId="0" xfId="1" applyFont="1"/>
    <xf numFmtId="176" fontId="14" fillId="4" borderId="0" xfId="0" applyNumberFormat="1" applyFont="1" applyFill="1"/>
    <xf numFmtId="164" fontId="16" fillId="4" borderId="3" xfId="0" applyNumberFormat="1" applyFont="1" applyFill="1" applyBorder="1"/>
    <xf numFmtId="0" fontId="5" fillId="3" borderId="0" xfId="0" applyFont="1" applyFill="1"/>
    <xf numFmtId="0" fontId="0" fillId="3" borderId="0" xfId="0" applyFill="1"/>
    <xf numFmtId="165" fontId="11" fillId="3" borderId="11" xfId="0" applyNumberFormat="1" applyFont="1" applyFill="1" applyBorder="1"/>
    <xf numFmtId="3" fontId="0" fillId="3" borderId="17" xfId="0" applyNumberFormat="1" applyFill="1" applyBorder="1"/>
    <xf numFmtId="164" fontId="14" fillId="0" borderId="0" xfId="1" applyNumberFormat="1" applyFont="1" applyBorder="1"/>
    <xf numFmtId="0" fontId="5" fillId="5" borderId="0" xfId="0" applyFont="1" applyFill="1"/>
    <xf numFmtId="0" fontId="0" fillId="5" borderId="0" xfId="0" applyFill="1"/>
    <xf numFmtId="165" fontId="11" fillId="5" borderId="11" xfId="0" applyNumberFormat="1" applyFont="1" applyFill="1" applyBorder="1"/>
    <xf numFmtId="3" fontId="0" fillId="5" borderId="17" xfId="0" applyNumberFormat="1" applyFill="1" applyBorder="1"/>
    <xf numFmtId="0" fontId="17" fillId="0" borderId="0" xfId="0" applyFont="1"/>
    <xf numFmtId="0" fontId="18" fillId="0" borderId="0" xfId="0" applyFont="1"/>
    <xf numFmtId="0" fontId="2" fillId="0" borderId="0" xfId="0" applyFont="1" applyAlignment="1">
      <alignment wrapText="1"/>
    </xf>
    <xf numFmtId="164" fontId="16" fillId="4" borderId="0" xfId="0" applyNumberFormat="1" applyFont="1" applyFill="1"/>
    <xf numFmtId="164" fontId="15" fillId="0" borderId="0" xfId="1" applyNumberFormat="1" applyFont="1"/>
    <xf numFmtId="164" fontId="15" fillId="0" borderId="7" xfId="1" applyNumberFormat="1" applyFont="1" applyBorder="1"/>
    <xf numFmtId="164" fontId="15" fillId="0" borderId="0" xfId="1" applyNumberFormat="1" applyFont="1" applyBorder="1"/>
    <xf numFmtId="164" fontId="14" fillId="0" borderId="15" xfId="1" applyNumberFormat="1" applyFont="1" applyFill="1" applyBorder="1"/>
    <xf numFmtId="165" fontId="2" fillId="0" borderId="0" xfId="0" applyNumberFormat="1" applyFont="1"/>
    <xf numFmtId="0" fontId="9" fillId="2" borderId="4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8" xfId="3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89" xfId="3" xr:uid="{3AD394E5-7F3F-4E81-9478-EDC215607854}"/>
    <cellStyle name="Normal 95" xfId="4" xr:uid="{5F8A9BC2-D747-44F1-B7F5-422920F3DD36}"/>
    <cellStyle name="Percent" xfId="5" builtinId="5"/>
  </cellStyles>
  <dxfs count="0"/>
  <tableStyles count="1" defaultTableStyle="TableStyleMedium2" defaultPivotStyle="PivotStyleLight16">
    <tableStyle name="Invisible" pivot="0" table="0" count="0" xr9:uid="{B044633D-10E6-4FEA-8FB4-8C272DAF0317}"/>
  </tableStyles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F:\FINRPT\DATA_REQ\2022\Regulatory\WA\Filing%20Summary\DEFSUMWATAX202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ept\Rates\UG-220198%20WA%20EDIT\Updated%20filing\10-3-22\Cascade-Resp-Staff-DR-001%20Attach%20C%2008-2022%20DEFSUMWATAX1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G12">
            <v>-801265.87</v>
          </cell>
        </row>
        <row r="14">
          <cell r="D14">
            <v>-92025.51999999999</v>
          </cell>
          <cell r="E14">
            <v>34981.630000000005</v>
          </cell>
        </row>
        <row r="15">
          <cell r="D15">
            <v>-111661.43</v>
          </cell>
          <cell r="E15">
            <v>53753.709999999992</v>
          </cell>
        </row>
        <row r="16">
          <cell r="D16">
            <v>-111661.42</v>
          </cell>
          <cell r="E16">
            <v>66520.710000000006</v>
          </cell>
        </row>
        <row r="17">
          <cell r="D17">
            <v>-111661.43</v>
          </cell>
          <cell r="E17">
            <v>86514.12</v>
          </cell>
        </row>
        <row r="18">
          <cell r="D18">
            <v>-184967.18</v>
          </cell>
          <cell r="E18">
            <v>170724.37999999998</v>
          </cell>
        </row>
        <row r="19">
          <cell r="D19">
            <v>-126096.29</v>
          </cell>
          <cell r="E19">
            <v>191670.15</v>
          </cell>
        </row>
        <row r="20">
          <cell r="D20">
            <v>-126096.29</v>
          </cell>
          <cell r="E20">
            <v>200335.82</v>
          </cell>
        </row>
        <row r="21">
          <cell r="D21">
            <v>-126096.29</v>
          </cell>
          <cell r="E21">
            <v>217106.23</v>
          </cell>
        </row>
        <row r="22">
          <cell r="D22">
            <v>-126096.29</v>
          </cell>
          <cell r="E22">
            <v>129029.56999999999</v>
          </cell>
        </row>
        <row r="23">
          <cell r="D23">
            <v>-126096.29</v>
          </cell>
          <cell r="E23">
            <v>83880.939999999988</v>
          </cell>
        </row>
        <row r="24">
          <cell r="D24">
            <v>-126096.29</v>
          </cell>
          <cell r="E24">
            <v>60084.77</v>
          </cell>
        </row>
        <row r="25">
          <cell r="D25">
            <v>-126096.29</v>
          </cell>
          <cell r="E25">
            <v>61861.409999999996</v>
          </cell>
        </row>
        <row r="26">
          <cell r="D26">
            <v>-126096.29</v>
          </cell>
          <cell r="E26">
            <v>63152.43</v>
          </cell>
        </row>
        <row r="27">
          <cell r="D27">
            <v>-126096.29</v>
          </cell>
          <cell r="E27">
            <v>60796.270000000011</v>
          </cell>
        </row>
        <row r="28">
          <cell r="D28">
            <v>-126096.29</v>
          </cell>
          <cell r="E28">
            <v>86035.85</v>
          </cell>
        </row>
        <row r="29">
          <cell r="D29">
            <v>-126096.29</v>
          </cell>
          <cell r="E29">
            <v>136594.44</v>
          </cell>
        </row>
        <row r="30">
          <cell r="D30">
            <v>-126096.29</v>
          </cell>
          <cell r="E30">
            <v>208864.79999999996</v>
          </cell>
        </row>
        <row r="31">
          <cell r="E31">
            <v>241582.44</v>
          </cell>
        </row>
        <row r="32">
          <cell r="E32">
            <v>201853.16000000003</v>
          </cell>
        </row>
        <row r="33">
          <cell r="E33">
            <v>210250.82</v>
          </cell>
        </row>
        <row r="34">
          <cell r="E34">
            <v>165155.15000000002</v>
          </cell>
        </row>
        <row r="35">
          <cell r="E35">
            <v>84774.720000000001</v>
          </cell>
        </row>
        <row r="36">
          <cell r="E36">
            <v>68891.88</v>
          </cell>
        </row>
        <row r="37">
          <cell r="E37">
            <v>68123.239999999991</v>
          </cell>
        </row>
        <row r="38">
          <cell r="E38">
            <v>63819.41</v>
          </cell>
        </row>
        <row r="39">
          <cell r="E39">
            <v>70220.72</v>
          </cell>
        </row>
        <row r="40">
          <cell r="E40">
            <v>76264.689999999988</v>
          </cell>
        </row>
        <row r="41">
          <cell r="E41">
            <v>119648.27999999998</v>
          </cell>
        </row>
        <row r="42">
          <cell r="E42">
            <v>187415.29000000004</v>
          </cell>
        </row>
        <row r="43">
          <cell r="E43">
            <v>195469.82000000007</v>
          </cell>
        </row>
        <row r="44">
          <cell r="E44">
            <v>183864.47999999998</v>
          </cell>
        </row>
        <row r="45">
          <cell r="E45">
            <v>201599.41000000003</v>
          </cell>
        </row>
        <row r="46">
          <cell r="E46">
            <v>148799.98000000004</v>
          </cell>
        </row>
        <row r="47">
          <cell r="E47">
            <v>80993.25</v>
          </cell>
        </row>
        <row r="48">
          <cell r="E48">
            <v>76272.47</v>
          </cell>
        </row>
      </sheetData>
      <sheetData sheetId="7"/>
      <sheetData sheetId="8">
        <row r="14">
          <cell r="E14">
            <v>11388.77</v>
          </cell>
        </row>
        <row r="15">
          <cell r="E15">
            <v>17498.43</v>
          </cell>
        </row>
        <row r="16">
          <cell r="E16">
            <v>21654.06</v>
          </cell>
        </row>
        <row r="17">
          <cell r="E17">
            <v>27988.36</v>
          </cell>
        </row>
        <row r="18">
          <cell r="E18">
            <v>55207.250000000007</v>
          </cell>
        </row>
        <row r="19">
          <cell r="E19">
            <v>62003.169999999991</v>
          </cell>
        </row>
        <row r="20">
          <cell r="E20">
            <v>64860.140000000007</v>
          </cell>
        </row>
        <row r="21">
          <cell r="E21">
            <v>70318.19</v>
          </cell>
        </row>
        <row r="22">
          <cell r="E22">
            <v>41714.250000000007</v>
          </cell>
        </row>
        <row r="23">
          <cell r="E23">
            <v>27050.95</v>
          </cell>
        </row>
        <row r="24">
          <cell r="E24">
            <v>19272.579999999998</v>
          </cell>
        </row>
        <row r="25">
          <cell r="E25">
            <v>19747.38</v>
          </cell>
        </row>
        <row r="26">
          <cell r="E26">
            <v>20108.5</v>
          </cell>
        </row>
        <row r="27">
          <cell r="E27">
            <v>19361.68</v>
          </cell>
        </row>
        <row r="28">
          <cell r="E28">
            <v>27682.620000000003</v>
          </cell>
        </row>
        <row r="29">
          <cell r="E29">
            <v>44105.55</v>
          </cell>
        </row>
        <row r="30">
          <cell r="E30">
            <v>67417.539999999994</v>
          </cell>
        </row>
        <row r="31">
          <cell r="E31">
            <v>78056.860000000015</v>
          </cell>
        </row>
        <row r="32">
          <cell r="E32">
            <v>65198.060000000012</v>
          </cell>
        </row>
        <row r="33">
          <cell r="E33">
            <v>67843.03</v>
          </cell>
        </row>
        <row r="34">
          <cell r="E34">
            <v>53269.95</v>
          </cell>
        </row>
        <row r="35">
          <cell r="E35">
            <v>27322.68</v>
          </cell>
        </row>
        <row r="36">
          <cell r="E36">
            <v>22174.95</v>
          </cell>
        </row>
        <row r="37">
          <cell r="E37">
            <v>21860.23</v>
          </cell>
        </row>
        <row r="38">
          <cell r="E38">
            <v>20393.449999999997</v>
          </cell>
        </row>
        <row r="39">
          <cell r="E39">
            <v>22438.249999999996</v>
          </cell>
        </row>
        <row r="40">
          <cell r="E40">
            <v>24445.530000000002</v>
          </cell>
        </row>
        <row r="41">
          <cell r="E41">
            <v>38522.17</v>
          </cell>
        </row>
        <row r="42">
          <cell r="E42">
            <v>60452.739999999991</v>
          </cell>
        </row>
        <row r="43">
          <cell r="E43">
            <v>63083.489999999991</v>
          </cell>
        </row>
        <row r="44">
          <cell r="E44">
            <v>59343.28</v>
          </cell>
        </row>
        <row r="45">
          <cell r="E45">
            <v>65017.179999999993</v>
          </cell>
        </row>
        <row r="46">
          <cell r="E46">
            <v>47904.69</v>
          </cell>
        </row>
        <row r="47">
          <cell r="E47">
            <v>26028.140000000003</v>
          </cell>
        </row>
        <row r="48">
          <cell r="E48">
            <v>24410.06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 22 AJE Correction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">
          <cell r="E49">
            <v>61843.22</v>
          </cell>
        </row>
        <row r="50">
          <cell r="E50">
            <v>58682.770000000004</v>
          </cell>
        </row>
        <row r="51">
          <cell r="E51">
            <v>62059.02</v>
          </cell>
        </row>
        <row r="52">
          <cell r="E52">
            <v>79716.850000000006</v>
          </cell>
        </row>
        <row r="53">
          <cell r="E53">
            <v>114027.53</v>
          </cell>
        </row>
        <row r="54">
          <cell r="E54">
            <v>169832.88</v>
          </cell>
        </row>
        <row r="55">
          <cell r="E55">
            <v>249604.49</v>
          </cell>
        </row>
        <row r="56">
          <cell r="E56">
            <v>197947.49</v>
          </cell>
        </row>
        <row r="57">
          <cell r="E57">
            <v>193059.3</v>
          </cell>
        </row>
        <row r="58">
          <cell r="E58">
            <v>135678.57</v>
          </cell>
        </row>
        <row r="59">
          <cell r="E59">
            <v>116390.05</v>
          </cell>
        </row>
        <row r="60">
          <cell r="E60">
            <v>76928.37</v>
          </cell>
        </row>
        <row r="61">
          <cell r="E61">
            <v>71452.76999999999</v>
          </cell>
        </row>
        <row r="62">
          <cell r="E62">
            <v>61483.68</v>
          </cell>
        </row>
      </sheetData>
      <sheetData sheetId="8"/>
      <sheetData sheetId="9">
        <row r="49">
          <cell r="E49">
            <v>19688.540000000005</v>
          </cell>
        </row>
        <row r="50">
          <cell r="E50">
            <v>18667.52</v>
          </cell>
        </row>
        <row r="51">
          <cell r="E51">
            <v>19761.5</v>
          </cell>
        </row>
        <row r="52">
          <cell r="E52">
            <v>25516.279999999995</v>
          </cell>
        </row>
        <row r="53">
          <cell r="E53">
            <v>37252.490000000005</v>
          </cell>
        </row>
        <row r="54">
          <cell r="E54">
            <v>55436.26</v>
          </cell>
        </row>
        <row r="55">
          <cell r="E55">
            <v>81357.119999999981</v>
          </cell>
        </row>
        <row r="56">
          <cell r="E56">
            <v>64558.049999999996</v>
          </cell>
        </row>
        <row r="57">
          <cell r="E57">
            <v>62970.1</v>
          </cell>
        </row>
        <row r="58">
          <cell r="E58">
            <v>44316.840000000004</v>
          </cell>
        </row>
        <row r="59">
          <cell r="E59">
            <v>38014.859999999993</v>
          </cell>
        </row>
        <row r="60">
          <cell r="E60">
            <v>25148.660000000003</v>
          </cell>
        </row>
        <row r="61">
          <cell r="E61">
            <v>19801.830000000002</v>
          </cell>
        </row>
        <row r="62">
          <cell r="E62">
            <v>20233.329999999998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659EB-55E2-4210-9545-EC3DE2568C0E}">
  <sheetPr>
    <tabColor rgb="FFC00000"/>
    <pageSetUpPr fitToPage="1"/>
  </sheetPr>
  <dimension ref="A1:N19"/>
  <sheetViews>
    <sheetView tabSelected="1" zoomScaleNormal="100" workbookViewId="0">
      <selection activeCell="N16" sqref="N16"/>
    </sheetView>
  </sheetViews>
  <sheetFormatPr defaultRowHeight="15.75" x14ac:dyDescent="0.25"/>
  <cols>
    <col min="1" max="1" width="8.140625" style="1" customWidth="1"/>
    <col min="2" max="2" width="21.85546875" style="1" bestFit="1" customWidth="1"/>
    <col min="3" max="3" width="21.85546875" style="1" customWidth="1"/>
    <col min="4" max="4" width="24.140625" style="1" bestFit="1" customWidth="1"/>
    <col min="5" max="5" width="4.5703125" style="1" customWidth="1"/>
    <col min="6" max="6" width="16" style="1" customWidth="1"/>
    <col min="7" max="7" width="3.140625" style="1" customWidth="1"/>
    <col min="8" max="8" width="17.140625" style="1" customWidth="1"/>
    <col min="9" max="9" width="3.85546875" style="1" customWidth="1"/>
    <col min="10" max="10" width="20.5703125" style="1" customWidth="1"/>
    <col min="11" max="11" width="3.7109375" style="1" customWidth="1"/>
    <col min="12" max="12" width="14.5703125" style="1" bestFit="1" customWidth="1"/>
    <col min="13" max="16384" width="9.140625" style="1"/>
  </cols>
  <sheetData>
    <row r="1" spans="1:14" ht="18.75" x14ac:dyDescent="0.3">
      <c r="A1" s="129" t="s">
        <v>0</v>
      </c>
    </row>
    <row r="2" spans="1:14" ht="18.75" x14ac:dyDescent="0.3">
      <c r="A2" s="129" t="s">
        <v>1</v>
      </c>
    </row>
    <row r="3" spans="1:14" ht="18.75" x14ac:dyDescent="0.3">
      <c r="A3" s="129" t="s">
        <v>142</v>
      </c>
    </row>
    <row r="5" spans="1:14" x14ac:dyDescent="0.25">
      <c r="D5" s="20"/>
      <c r="F5" s="20"/>
    </row>
    <row r="6" spans="1:14" x14ac:dyDescent="0.25">
      <c r="J6" s="2" t="s">
        <v>2</v>
      </c>
    </row>
    <row r="7" spans="1:14" x14ac:dyDescent="0.25">
      <c r="D7" s="2">
        <v>2540.2048100000002</v>
      </c>
      <c r="E7" s="3"/>
      <c r="F7" s="2">
        <v>2540.2048199999999</v>
      </c>
      <c r="G7" s="3"/>
      <c r="H7" s="2" t="s">
        <v>3</v>
      </c>
      <c r="J7" s="2" t="s">
        <v>4</v>
      </c>
      <c r="L7" s="7" t="s">
        <v>5</v>
      </c>
    </row>
    <row r="8" spans="1:14" x14ac:dyDescent="0.25">
      <c r="D8" s="2" t="s">
        <v>6</v>
      </c>
      <c r="E8" s="3"/>
      <c r="F8" s="2" t="s">
        <v>7</v>
      </c>
      <c r="G8" s="3"/>
      <c r="H8" s="2" t="s">
        <v>8</v>
      </c>
      <c r="J8" s="2" t="s">
        <v>9</v>
      </c>
      <c r="L8" s="7" t="s">
        <v>10</v>
      </c>
    </row>
    <row r="9" spans="1:14" x14ac:dyDescent="0.25">
      <c r="B9" s="4"/>
      <c r="C9" s="130" t="s">
        <v>11</v>
      </c>
      <c r="D9" s="18" t="s">
        <v>12</v>
      </c>
      <c r="E9" s="3"/>
      <c r="F9" s="5" t="s">
        <v>13</v>
      </c>
      <c r="G9" s="3"/>
      <c r="H9" s="6" t="s">
        <v>14</v>
      </c>
      <c r="J9" s="6" t="s">
        <v>15</v>
      </c>
      <c r="L9" s="11" t="s">
        <v>14</v>
      </c>
    </row>
    <row r="10" spans="1:14" ht="63" x14ac:dyDescent="0.25">
      <c r="B10" s="7" t="s">
        <v>16</v>
      </c>
      <c r="C10" s="131" t="s">
        <v>17</v>
      </c>
      <c r="D10" s="8">
        <f>SUM('[1]2540.20481'!$E$14:$E$32)</f>
        <v>2355342.83</v>
      </c>
      <c r="E10" s="19"/>
      <c r="F10" s="9">
        <f>SUM('[1]2540.20482'!$E$14:$E$32)</f>
        <v>760634.34000000008</v>
      </c>
      <c r="G10" s="19"/>
      <c r="H10" s="10">
        <f>+D10+F10</f>
        <v>3115977.17</v>
      </c>
      <c r="J10" s="17">
        <v>0</v>
      </c>
      <c r="L10" s="10">
        <f>+H10-J10</f>
        <v>3115977.17</v>
      </c>
    </row>
    <row r="11" spans="1:14" x14ac:dyDescent="0.25">
      <c r="E11" s="19"/>
      <c r="G11" s="19"/>
      <c r="L11" s="10"/>
    </row>
    <row r="12" spans="1:14" ht="63" x14ac:dyDescent="0.25">
      <c r="B12" s="7" t="s">
        <v>18</v>
      </c>
      <c r="C12" s="131" t="s">
        <v>19</v>
      </c>
      <c r="D12" s="8">
        <f>SUM('[1]2540.20481'!$E$33:$E$48)</f>
        <v>2001563.61</v>
      </c>
      <c r="E12" s="19"/>
      <c r="F12" s="9">
        <f>SUM('[1]2540.20482'!$E$33:$E$48)</f>
        <v>644509.81999999995</v>
      </c>
      <c r="G12" s="19"/>
      <c r="H12" s="10">
        <f>+D12+F12</f>
        <v>2646073.4300000002</v>
      </c>
      <c r="J12" s="39">
        <f>-'Mar20-Jun21 As IF'!I17</f>
        <v>2482776</v>
      </c>
      <c r="L12" s="10">
        <f>+H12-J12</f>
        <v>163297.43000000017</v>
      </c>
    </row>
    <row r="13" spans="1:14" x14ac:dyDescent="0.25">
      <c r="E13" s="19"/>
      <c r="G13" s="19"/>
      <c r="L13" s="10"/>
    </row>
    <row r="14" spans="1:14" ht="63" x14ac:dyDescent="0.25">
      <c r="B14" s="7" t="s">
        <v>20</v>
      </c>
      <c r="C14" s="131" t="s">
        <v>21</v>
      </c>
      <c r="D14" s="9">
        <f>SUM('[2]2540.20481'!$E$49:$E$62)</f>
        <v>1648706.99</v>
      </c>
      <c r="E14" s="19"/>
      <c r="F14" s="9">
        <f>SUM('[2]2540.20482'!$E$49:$E$62)</f>
        <v>532723.38</v>
      </c>
      <c r="G14" s="19"/>
      <c r="H14" s="10">
        <f>+D14+F14</f>
        <v>2181430.37</v>
      </c>
      <c r="J14" s="17">
        <f>-'July 21 - Aug 22 As If'!I18</f>
        <v>2192412</v>
      </c>
      <c r="L14" s="10">
        <f>+H14-+J14</f>
        <v>-10981.629999999888</v>
      </c>
    </row>
    <row r="15" spans="1:14" x14ac:dyDescent="0.25">
      <c r="B15" s="7"/>
      <c r="C15" s="131"/>
      <c r="D15" s="9"/>
      <c r="E15" s="19"/>
      <c r="F15" s="9"/>
      <c r="G15" s="19"/>
      <c r="H15" s="10"/>
      <c r="J15" s="17"/>
      <c r="L15" s="10"/>
    </row>
    <row r="16" spans="1:14" ht="63" x14ac:dyDescent="0.25">
      <c r="B16" s="7" t="s">
        <v>140</v>
      </c>
      <c r="C16" s="131" t="s">
        <v>139</v>
      </c>
      <c r="D16" s="9"/>
      <c r="E16" s="19"/>
      <c r="F16" s="9"/>
      <c r="G16" s="19"/>
      <c r="H16" s="10"/>
      <c r="J16" s="17"/>
      <c r="L16" s="10"/>
      <c r="M16" s="1" t="s">
        <v>141</v>
      </c>
      <c r="N16" s="137">
        <v>50000</v>
      </c>
    </row>
    <row r="18" spans="2:12" ht="16.5" thickBot="1" x14ac:dyDescent="0.3">
      <c r="B18" s="7" t="s">
        <v>22</v>
      </c>
      <c r="C18" s="7"/>
      <c r="D18" s="12">
        <f>SUM(D10:D17)</f>
        <v>6005613.4300000006</v>
      </c>
      <c r="E18" s="12"/>
      <c r="F18" s="12">
        <f t="shared" ref="F18:L18" si="0">SUM(F10:F17)</f>
        <v>1937867.54</v>
      </c>
      <c r="G18" s="12"/>
      <c r="H18" s="12">
        <f t="shared" si="0"/>
        <v>7943480.9699999997</v>
      </c>
      <c r="I18" s="12"/>
      <c r="J18" s="12">
        <f t="shared" si="0"/>
        <v>4675188</v>
      </c>
      <c r="K18" s="12"/>
      <c r="L18" s="12">
        <f t="shared" si="0"/>
        <v>3268292.97</v>
      </c>
    </row>
    <row r="19" spans="2:12" ht="16.5" thickTop="1" x14ac:dyDescent="0.25"/>
  </sheetData>
  <pageMargins left="0.7" right="0.7" top="0.75" bottom="0.75" header="0.3" footer="0.3"/>
  <pageSetup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D1EC-407D-4168-AD7D-22B908F7E1A9}">
  <sheetPr>
    <tabColor theme="8" tint="0.39997558519241921"/>
  </sheetPr>
  <dimension ref="A1:P20"/>
  <sheetViews>
    <sheetView workbookViewId="0">
      <selection activeCell="P16" sqref="P16"/>
    </sheetView>
  </sheetViews>
  <sheetFormatPr defaultRowHeight="15" x14ac:dyDescent="0.25"/>
  <cols>
    <col min="1" max="1" width="11" customWidth="1"/>
    <col min="2" max="2" width="13.28515625" bestFit="1" customWidth="1"/>
    <col min="3" max="6" width="11" customWidth="1"/>
    <col min="7" max="7" width="12" bestFit="1" customWidth="1"/>
    <col min="8" max="11" width="11" customWidth="1"/>
    <col min="12" max="14" width="12" bestFit="1" customWidth="1"/>
    <col min="15" max="15" width="11" customWidth="1"/>
    <col min="16" max="16" width="14.28515625" bestFit="1" customWidth="1"/>
  </cols>
  <sheetData>
    <row r="1" spans="1:16" x14ac:dyDescent="0.25">
      <c r="A1" s="94"/>
      <c r="B1" s="95">
        <v>503</v>
      </c>
      <c r="C1" s="96" t="s">
        <v>98</v>
      </c>
      <c r="D1" s="96">
        <v>505</v>
      </c>
      <c r="E1" s="97">
        <v>511</v>
      </c>
      <c r="F1" s="96" t="s">
        <v>99</v>
      </c>
      <c r="G1" s="96">
        <v>504</v>
      </c>
      <c r="H1" s="97" t="s">
        <v>100</v>
      </c>
      <c r="I1" s="96" t="s">
        <v>98</v>
      </c>
      <c r="J1" s="97">
        <v>570</v>
      </c>
      <c r="K1" s="95">
        <v>570</v>
      </c>
      <c r="L1" s="98" t="s">
        <v>101</v>
      </c>
      <c r="M1" s="99">
        <v>6631</v>
      </c>
      <c r="N1" s="99">
        <v>6633</v>
      </c>
      <c r="O1" s="99">
        <v>6635</v>
      </c>
    </row>
    <row r="2" spans="1:16" x14ac:dyDescent="0.25">
      <c r="A2" s="104"/>
      <c r="B2" s="101"/>
      <c r="C2" s="102"/>
      <c r="D2" s="102"/>
      <c r="E2" s="103"/>
      <c r="F2" s="102"/>
      <c r="G2" s="102"/>
      <c r="H2" s="103"/>
      <c r="I2" s="102"/>
      <c r="J2" s="103"/>
      <c r="K2" s="101"/>
      <c r="L2" s="101"/>
      <c r="M2" s="102"/>
      <c r="N2" s="102"/>
      <c r="O2" s="102"/>
    </row>
    <row r="3" spans="1:16" x14ac:dyDescent="0.25">
      <c r="A3" s="118">
        <v>44408</v>
      </c>
      <c r="B3" s="101">
        <v>3043741</v>
      </c>
      <c r="C3" s="102">
        <v>0</v>
      </c>
      <c r="D3" s="102">
        <v>496382</v>
      </c>
      <c r="E3" s="103">
        <v>260037</v>
      </c>
      <c r="F3" s="102">
        <v>1203</v>
      </c>
      <c r="G3" s="102">
        <v>2731524</v>
      </c>
      <c r="H3" s="103">
        <v>333326</v>
      </c>
      <c r="I3" s="102">
        <v>0</v>
      </c>
      <c r="J3" s="103">
        <v>0</v>
      </c>
      <c r="K3" s="101">
        <v>88811</v>
      </c>
      <c r="L3" s="101">
        <v>29641199</v>
      </c>
      <c r="M3" s="102">
        <v>14701743</v>
      </c>
      <c r="N3" s="102">
        <v>12217042</v>
      </c>
      <c r="O3" s="102">
        <v>8620267</v>
      </c>
    </row>
    <row r="4" spans="1:16" x14ac:dyDescent="0.25">
      <c r="A4" s="118">
        <v>44439</v>
      </c>
      <c r="B4" s="101">
        <v>2658664</v>
      </c>
      <c r="C4" s="102">
        <v>0</v>
      </c>
      <c r="D4" s="102">
        <v>465585</v>
      </c>
      <c r="E4" s="103">
        <v>315534</v>
      </c>
      <c r="F4" s="102">
        <v>1834</v>
      </c>
      <c r="G4" s="102">
        <v>2572912</v>
      </c>
      <c r="H4" s="103">
        <v>304207</v>
      </c>
      <c r="I4" s="102">
        <v>0</v>
      </c>
      <c r="J4" s="103">
        <v>0</v>
      </c>
      <c r="K4" s="101">
        <v>103033</v>
      </c>
      <c r="L4" s="101">
        <v>30352096</v>
      </c>
      <c r="M4" s="102">
        <v>14849398</v>
      </c>
      <c r="N4" s="102">
        <v>12371540</v>
      </c>
      <c r="O4" s="102">
        <v>6769382</v>
      </c>
    </row>
    <row r="5" spans="1:16" x14ac:dyDescent="0.25">
      <c r="A5" s="118">
        <v>44469</v>
      </c>
      <c r="B5" s="101">
        <v>3024586</v>
      </c>
      <c r="C5" s="102">
        <v>0</v>
      </c>
      <c r="D5" s="102">
        <v>585259</v>
      </c>
      <c r="E5" s="103">
        <v>292711</v>
      </c>
      <c r="F5" s="102">
        <v>2215</v>
      </c>
      <c r="G5" s="102">
        <v>2784423</v>
      </c>
      <c r="H5" s="103">
        <v>323275</v>
      </c>
      <c r="I5" s="102">
        <v>0</v>
      </c>
      <c r="J5" s="103">
        <v>0</v>
      </c>
      <c r="K5" s="101">
        <v>127498</v>
      </c>
      <c r="L5" s="101">
        <v>32241556</v>
      </c>
      <c r="M5" s="102">
        <v>13988315</v>
      </c>
      <c r="N5" s="102">
        <v>13923327</v>
      </c>
      <c r="O5" s="102">
        <v>4570873</v>
      </c>
    </row>
    <row r="6" spans="1:16" x14ac:dyDescent="0.25">
      <c r="A6" s="118">
        <v>44500</v>
      </c>
      <c r="B6" s="101">
        <v>5302722</v>
      </c>
      <c r="C6" s="102">
        <v>0</v>
      </c>
      <c r="D6" s="102">
        <v>1219426</v>
      </c>
      <c r="E6" s="103">
        <v>334722</v>
      </c>
      <c r="F6" s="102">
        <v>3066</v>
      </c>
      <c r="G6" s="102">
        <v>3968867</v>
      </c>
      <c r="H6" s="103">
        <v>529394</v>
      </c>
      <c r="I6" s="102">
        <v>0</v>
      </c>
      <c r="J6" s="103">
        <v>0</v>
      </c>
      <c r="K6" s="101">
        <v>188282</v>
      </c>
      <c r="L6" s="101">
        <v>36147853</v>
      </c>
      <c r="M6" s="102">
        <v>10167896</v>
      </c>
      <c r="N6" s="102">
        <v>10295353</v>
      </c>
      <c r="O6" s="102">
        <v>4181139</v>
      </c>
    </row>
    <row r="7" spans="1:16" x14ac:dyDescent="0.25">
      <c r="A7" s="118">
        <v>44530</v>
      </c>
      <c r="B7" s="101">
        <v>6875152</v>
      </c>
      <c r="C7" s="102">
        <v>0</v>
      </c>
      <c r="D7" s="102">
        <v>687044</v>
      </c>
      <c r="E7" s="103">
        <v>274192</v>
      </c>
      <c r="F7" s="102">
        <v>0</v>
      </c>
      <c r="G7" s="102">
        <v>4648667</v>
      </c>
      <c r="H7" s="103">
        <v>554223</v>
      </c>
      <c r="I7" s="102">
        <v>0</v>
      </c>
      <c r="J7" s="103">
        <v>0</v>
      </c>
      <c r="K7" s="101">
        <v>0</v>
      </c>
      <c r="L7" s="101">
        <v>0</v>
      </c>
      <c r="M7" s="102">
        <v>0</v>
      </c>
      <c r="N7" s="102">
        <v>0</v>
      </c>
      <c r="O7" s="102">
        <v>305909</v>
      </c>
    </row>
    <row r="8" spans="1:16" x14ac:dyDescent="0.25">
      <c r="A8" s="118">
        <v>44530</v>
      </c>
      <c r="B8" s="101">
        <v>3055417</v>
      </c>
      <c r="C8" s="102">
        <v>0</v>
      </c>
      <c r="D8" s="102">
        <v>241794</v>
      </c>
      <c r="E8" s="103">
        <v>98046</v>
      </c>
      <c r="F8" s="102">
        <v>5052</v>
      </c>
      <c r="G8" s="102">
        <v>1834948</v>
      </c>
      <c r="H8" s="103">
        <v>314142</v>
      </c>
      <c r="I8" s="102">
        <v>0</v>
      </c>
      <c r="J8" s="103">
        <v>0</v>
      </c>
      <c r="K8" s="101">
        <v>215369</v>
      </c>
      <c r="L8" s="101">
        <v>34679208</v>
      </c>
      <c r="M8" s="102">
        <v>13522374</v>
      </c>
      <c r="N8" s="102">
        <v>7960245</v>
      </c>
      <c r="O8" s="102">
        <v>449463</v>
      </c>
    </row>
    <row r="9" spans="1:16" x14ac:dyDescent="0.25">
      <c r="A9" s="118">
        <v>44561</v>
      </c>
      <c r="B9" s="101">
        <v>16399782</v>
      </c>
      <c r="C9" s="102">
        <v>0</v>
      </c>
      <c r="D9" s="102">
        <v>1371971</v>
      </c>
      <c r="E9" s="103">
        <v>456838</v>
      </c>
      <c r="F9" s="102">
        <v>14032</v>
      </c>
      <c r="G9" s="102">
        <v>10769619</v>
      </c>
      <c r="H9" s="103">
        <v>1248673</v>
      </c>
      <c r="I9" s="102">
        <v>0</v>
      </c>
      <c r="J9" s="103">
        <v>0</v>
      </c>
      <c r="K9" s="101">
        <v>271190</v>
      </c>
      <c r="L9" s="101">
        <v>33971503</v>
      </c>
      <c r="M9" s="102">
        <v>10372937</v>
      </c>
      <c r="N9" s="102">
        <v>8559438</v>
      </c>
      <c r="O9" s="102">
        <v>490739</v>
      </c>
    </row>
    <row r="10" spans="1:16" x14ac:dyDescent="0.25">
      <c r="A10" s="118">
        <v>44562</v>
      </c>
      <c r="B10" s="133">
        <v>25738243</v>
      </c>
      <c r="C10" s="134">
        <v>0</v>
      </c>
      <c r="D10" s="133">
        <v>1704248</v>
      </c>
      <c r="E10" s="133">
        <v>503777</v>
      </c>
      <c r="F10" s="134">
        <v>12713</v>
      </c>
      <c r="G10" s="133">
        <v>17429567</v>
      </c>
      <c r="H10" s="133">
        <v>1933704</v>
      </c>
      <c r="I10" s="134">
        <v>0</v>
      </c>
      <c r="J10" s="133">
        <v>0</v>
      </c>
      <c r="K10" s="134">
        <v>257267</v>
      </c>
      <c r="L10" s="134">
        <v>39152740</v>
      </c>
      <c r="M10" s="134">
        <v>2783061</v>
      </c>
      <c r="N10" s="133">
        <v>5418332</v>
      </c>
      <c r="O10" s="133">
        <v>479370</v>
      </c>
    </row>
    <row r="11" spans="1:16" x14ac:dyDescent="0.25">
      <c r="A11" s="118">
        <v>44593</v>
      </c>
      <c r="B11" s="133">
        <v>19530273</v>
      </c>
      <c r="C11" s="134">
        <v>0</v>
      </c>
      <c r="D11" s="133">
        <v>1365177</v>
      </c>
      <c r="E11" s="133">
        <v>438477</v>
      </c>
      <c r="F11" s="134">
        <v>6643</v>
      </c>
      <c r="G11" s="133">
        <v>13856753</v>
      </c>
      <c r="H11" s="133">
        <v>1383449</v>
      </c>
      <c r="I11" s="134">
        <v>0</v>
      </c>
      <c r="J11" s="133">
        <v>0</v>
      </c>
      <c r="K11" s="134">
        <v>227538</v>
      </c>
      <c r="L11" s="134">
        <v>35167746</v>
      </c>
      <c r="M11" s="134">
        <v>8980650</v>
      </c>
      <c r="N11" s="133">
        <v>3610543</v>
      </c>
      <c r="O11" s="133">
        <v>449992</v>
      </c>
    </row>
    <row r="12" spans="1:16" x14ac:dyDescent="0.25">
      <c r="A12" s="118">
        <v>44621</v>
      </c>
      <c r="B12" s="101">
        <v>18863108</v>
      </c>
      <c r="C12" s="135"/>
      <c r="D12" s="102">
        <v>1544890</v>
      </c>
      <c r="E12" s="103">
        <v>507616</v>
      </c>
      <c r="F12" s="102">
        <v>5669</v>
      </c>
      <c r="G12" s="102">
        <v>13353929</v>
      </c>
      <c r="H12" s="103">
        <v>1387408</v>
      </c>
      <c r="I12" s="135"/>
      <c r="J12" s="133"/>
      <c r="K12" s="101">
        <v>220931</v>
      </c>
      <c r="L12" s="101">
        <v>37545657</v>
      </c>
      <c r="M12" s="102">
        <v>10732336</v>
      </c>
      <c r="N12" s="102">
        <v>399625</v>
      </c>
      <c r="O12" s="102">
        <v>162178</v>
      </c>
    </row>
    <row r="13" spans="1:16" x14ac:dyDescent="0.25">
      <c r="A13" s="118">
        <v>44652</v>
      </c>
      <c r="B13" s="101">
        <v>12434900</v>
      </c>
      <c r="C13" s="135"/>
      <c r="D13" s="102">
        <v>1036159</v>
      </c>
      <c r="E13" s="103">
        <v>377750</v>
      </c>
      <c r="F13" s="102">
        <v>10961</v>
      </c>
      <c r="G13" s="102">
        <v>8644689</v>
      </c>
      <c r="H13" s="103">
        <v>982514</v>
      </c>
      <c r="I13" s="135"/>
      <c r="J13" s="133"/>
      <c r="K13" s="101">
        <v>211682</v>
      </c>
      <c r="L13" s="101">
        <v>37240011</v>
      </c>
      <c r="M13" s="102">
        <v>8681518</v>
      </c>
      <c r="N13" s="102">
        <v>0</v>
      </c>
      <c r="O13" s="102">
        <v>4411828</v>
      </c>
    </row>
    <row r="14" spans="1:16" x14ac:dyDescent="0.25">
      <c r="A14" s="118">
        <v>44682</v>
      </c>
      <c r="B14" s="101">
        <v>10496103</v>
      </c>
      <c r="C14" s="135"/>
      <c r="D14" s="102">
        <v>1008957</v>
      </c>
      <c r="E14" s="103">
        <v>328009</v>
      </c>
      <c r="F14" s="102">
        <v>5884</v>
      </c>
      <c r="G14" s="102">
        <v>7572813</v>
      </c>
      <c r="H14" s="103">
        <v>860586</v>
      </c>
      <c r="I14" s="135"/>
      <c r="J14" s="133"/>
      <c r="K14" s="101">
        <v>179840</v>
      </c>
      <c r="L14" s="101">
        <v>35254347</v>
      </c>
      <c r="M14" s="102">
        <v>6981169</v>
      </c>
      <c r="N14" s="102">
        <v>0</v>
      </c>
      <c r="O14" s="102">
        <v>782753</v>
      </c>
    </row>
    <row r="15" spans="1:16" x14ac:dyDescent="0.25">
      <c r="A15" s="118">
        <v>44713</v>
      </c>
      <c r="B15" s="101">
        <v>6329476</v>
      </c>
      <c r="C15" s="135"/>
      <c r="D15" s="102">
        <v>757107</v>
      </c>
      <c r="E15" s="103">
        <v>387432</v>
      </c>
      <c r="F15" s="102">
        <v>2608</v>
      </c>
      <c r="G15" s="102">
        <v>4956571</v>
      </c>
      <c r="H15" s="103">
        <v>590255</v>
      </c>
      <c r="I15" s="135"/>
      <c r="J15" s="133"/>
      <c r="K15" s="101">
        <v>115112</v>
      </c>
      <c r="L15" s="101">
        <v>31295997</v>
      </c>
      <c r="M15" s="102">
        <v>1361467</v>
      </c>
      <c r="N15" s="102">
        <v>1217442</v>
      </c>
      <c r="O15" s="102">
        <v>621285</v>
      </c>
    </row>
    <row r="16" spans="1:16" x14ac:dyDescent="0.25">
      <c r="A16" s="118">
        <v>44743</v>
      </c>
      <c r="B16" s="101">
        <v>4725200</v>
      </c>
      <c r="C16" s="135"/>
      <c r="D16" s="102">
        <v>510625</v>
      </c>
      <c r="E16" s="103">
        <v>380485</v>
      </c>
      <c r="F16" s="102">
        <v>1405</v>
      </c>
      <c r="G16" s="102">
        <v>4260295</v>
      </c>
      <c r="H16" s="103">
        <v>362939</v>
      </c>
      <c r="I16" s="135"/>
      <c r="J16" s="133"/>
      <c r="K16" s="101">
        <v>88882</v>
      </c>
      <c r="L16" s="101">
        <v>29720370</v>
      </c>
      <c r="M16" s="102">
        <v>13174665</v>
      </c>
      <c r="N16" s="102">
        <v>7356565</v>
      </c>
      <c r="O16" s="102">
        <v>0</v>
      </c>
      <c r="P16" s="105">
        <f>SUM(B16:O16)</f>
        <v>60581431</v>
      </c>
    </row>
    <row r="17" spans="1:16" x14ac:dyDescent="0.25">
      <c r="A17" s="118">
        <v>44795</v>
      </c>
      <c r="B17" s="136">
        <v>2930210</v>
      </c>
      <c r="C17" s="135"/>
      <c r="D17" s="133">
        <v>477547</v>
      </c>
      <c r="E17" s="133">
        <v>353311</v>
      </c>
      <c r="F17" s="135">
        <v>1532</v>
      </c>
      <c r="G17" s="133">
        <v>2963491</v>
      </c>
      <c r="H17" s="133">
        <v>333423</v>
      </c>
      <c r="I17" s="135"/>
      <c r="J17" s="133"/>
      <c r="K17" s="135">
        <v>101586</v>
      </c>
      <c r="L17" s="135">
        <v>33186006</v>
      </c>
      <c r="M17" s="135">
        <v>18226302</v>
      </c>
      <c r="N17" s="133">
        <v>10655815</v>
      </c>
      <c r="O17" s="133"/>
      <c r="P17" s="105">
        <f>SUM(B17:O17)</f>
        <v>69229223</v>
      </c>
    </row>
    <row r="18" spans="1:16" x14ac:dyDescent="0.25">
      <c r="A18" s="104"/>
      <c r="B18" s="133"/>
      <c r="C18" s="102"/>
      <c r="D18" s="102"/>
      <c r="E18" s="124"/>
      <c r="F18" s="102"/>
      <c r="G18" s="102"/>
      <c r="H18" s="124"/>
      <c r="I18" s="102"/>
      <c r="J18" s="124"/>
      <c r="K18" s="124"/>
      <c r="L18" s="124"/>
      <c r="M18" s="102"/>
      <c r="N18" s="102"/>
      <c r="O18" s="102"/>
    </row>
    <row r="19" spans="1:16" x14ac:dyDescent="0.25">
      <c r="A19" s="104"/>
      <c r="B19" s="124"/>
      <c r="C19" s="102"/>
      <c r="D19" s="102"/>
      <c r="E19" s="124"/>
      <c r="F19" s="102"/>
      <c r="G19" s="102"/>
      <c r="H19" s="124"/>
      <c r="I19" s="102"/>
      <c r="J19" s="124"/>
      <c r="K19" s="124"/>
      <c r="L19" s="124"/>
      <c r="M19" s="102"/>
      <c r="N19" s="102"/>
      <c r="O19" s="102"/>
    </row>
    <row r="20" spans="1:16" x14ac:dyDescent="0.25">
      <c r="B20" s="119">
        <f>SUM(B3:B19)</f>
        <v>141407577</v>
      </c>
      <c r="C20" s="119">
        <f t="shared" ref="C20:O20" si="0">SUM(C3:C19)</f>
        <v>0</v>
      </c>
      <c r="D20" s="119">
        <f t="shared" si="0"/>
        <v>13472171</v>
      </c>
      <c r="E20" s="119">
        <f t="shared" si="0"/>
        <v>5308937</v>
      </c>
      <c r="F20" s="119">
        <f t="shared" si="0"/>
        <v>74817</v>
      </c>
      <c r="G20" s="119">
        <f t="shared" si="0"/>
        <v>102349068</v>
      </c>
      <c r="H20" s="119">
        <f t="shared" si="0"/>
        <v>11441518</v>
      </c>
      <c r="I20" s="119">
        <f t="shared" si="0"/>
        <v>0</v>
      </c>
      <c r="J20" s="119">
        <f t="shared" si="0"/>
        <v>0</v>
      </c>
      <c r="K20" s="119">
        <f t="shared" si="0"/>
        <v>2397021</v>
      </c>
      <c r="L20" s="119">
        <f t="shared" si="0"/>
        <v>475596289</v>
      </c>
      <c r="M20" s="119">
        <f t="shared" si="0"/>
        <v>148523831</v>
      </c>
      <c r="N20" s="119">
        <f t="shared" si="0"/>
        <v>93985267</v>
      </c>
      <c r="O20" s="119">
        <f t="shared" si="0"/>
        <v>32295178</v>
      </c>
      <c r="P20" s="132">
        <f>SUM(B20:O20)</f>
        <v>1026851674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9097-B745-4EA7-809C-5C7026179BBB}">
  <sheetPr>
    <tabColor theme="8" tint="0.39997558519241921"/>
    <pageSetUpPr fitToPage="1"/>
  </sheetPr>
  <dimension ref="A1:I19"/>
  <sheetViews>
    <sheetView workbookViewId="0">
      <selection activeCell="H9" sqref="H9"/>
    </sheetView>
  </sheetViews>
  <sheetFormatPr defaultRowHeight="15" x14ac:dyDescent="0.25"/>
  <cols>
    <col min="1" max="1" width="35" bestFit="1" customWidth="1"/>
    <col min="2" max="2" width="17.28515625" bestFit="1" customWidth="1"/>
    <col min="3" max="3" width="29.140625" bestFit="1" customWidth="1"/>
    <col min="4" max="4" width="23.140625" bestFit="1" customWidth="1"/>
    <col min="6" max="6" width="9.5703125" bestFit="1" customWidth="1"/>
    <col min="7" max="7" width="10.5703125" bestFit="1" customWidth="1"/>
    <col min="8" max="8" width="26.140625" customWidth="1"/>
    <col min="9" max="9" width="19.7109375" bestFit="1" customWidth="1"/>
  </cols>
  <sheetData>
    <row r="1" spans="1:9" ht="15.75" x14ac:dyDescent="0.25">
      <c r="A1" s="7" t="s">
        <v>135</v>
      </c>
      <c r="B1" s="1"/>
      <c r="C1" s="1"/>
      <c r="D1" s="1"/>
    </row>
    <row r="2" spans="1:9" ht="15.75" x14ac:dyDescent="0.25">
      <c r="A2" s="7" t="s">
        <v>136</v>
      </c>
      <c r="B2" s="1"/>
      <c r="C2" s="1"/>
      <c r="D2" s="1"/>
    </row>
    <row r="3" spans="1:9" ht="15.75" x14ac:dyDescent="0.25">
      <c r="A3" s="7" t="s">
        <v>137</v>
      </c>
      <c r="B3" s="1"/>
      <c r="C3" s="1"/>
      <c r="D3" s="1"/>
    </row>
    <row r="4" spans="1:9" ht="15.75" x14ac:dyDescent="0.25">
      <c r="A4" s="1"/>
      <c r="B4" s="1"/>
      <c r="C4" s="1"/>
      <c r="D4" s="1"/>
    </row>
    <row r="5" spans="1:9" ht="15.75" x14ac:dyDescent="0.25">
      <c r="A5" s="1"/>
      <c r="B5" s="1"/>
      <c r="C5" s="1"/>
      <c r="D5" s="1"/>
    </row>
    <row r="6" spans="1:9" ht="15.75" x14ac:dyDescent="0.25">
      <c r="A6" s="1"/>
      <c r="B6" s="1"/>
      <c r="C6" s="38" t="s">
        <v>105</v>
      </c>
      <c r="D6" s="1"/>
      <c r="E6" s="1"/>
      <c r="F6" s="1"/>
      <c r="G6" s="1"/>
      <c r="H6" s="1"/>
      <c r="I6" s="38"/>
    </row>
    <row r="7" spans="1:9" ht="15.75" x14ac:dyDescent="0.25">
      <c r="A7" s="7" t="s">
        <v>106</v>
      </c>
      <c r="B7" s="38" t="s">
        <v>107</v>
      </c>
      <c r="C7" s="38" t="s">
        <v>108</v>
      </c>
      <c r="D7" s="38" t="s">
        <v>109</v>
      </c>
      <c r="E7" s="1"/>
      <c r="F7" s="38" t="s">
        <v>110</v>
      </c>
      <c r="G7" s="38" t="s">
        <v>111</v>
      </c>
      <c r="H7" s="38" t="s">
        <v>112</v>
      </c>
      <c r="I7" s="38" t="s">
        <v>113</v>
      </c>
    </row>
    <row r="8" spans="1:9" ht="15.75" x14ac:dyDescent="0.25">
      <c r="A8" s="1"/>
      <c r="B8" s="38" t="s">
        <v>114</v>
      </c>
      <c r="C8" s="38" t="s">
        <v>115</v>
      </c>
      <c r="D8" s="38" t="s">
        <v>116</v>
      </c>
      <c r="E8" s="1"/>
      <c r="F8" s="38" t="s">
        <v>117</v>
      </c>
      <c r="G8" s="38" t="s">
        <v>118</v>
      </c>
      <c r="H8" s="38" t="s">
        <v>138</v>
      </c>
      <c r="I8" s="38" t="s">
        <v>120</v>
      </c>
    </row>
    <row r="9" spans="1:9" ht="15.75" x14ac:dyDescent="0.25">
      <c r="A9" s="1" t="s">
        <v>121</v>
      </c>
      <c r="B9" s="13">
        <f>+'Exh 4, Revenue Distribution'!H8</f>
        <v>40936094.473177083</v>
      </c>
      <c r="C9" s="14">
        <f>+'Exh 4, Revenue Distribution'!K8</f>
        <v>-985041.38563675212</v>
      </c>
      <c r="D9" s="14">
        <f>+B9+C9</f>
        <v>39951053.087540329</v>
      </c>
      <c r="E9" s="1"/>
      <c r="F9" s="93">
        <f>+'Exh 4, Revenue Distribution'!J8</f>
        <v>0.49136992075161817</v>
      </c>
      <c r="G9" s="37">
        <f>+'Exh 4, Revenue Distribution'!O7</f>
        <v>-7.4770667230960371E-3</v>
      </c>
      <c r="H9" s="13">
        <f>+'2020 GRC Therm Sales'!B20</f>
        <v>141407577</v>
      </c>
      <c r="I9" s="40">
        <f>ROUND((+H9*G9),0)</f>
        <v>-1057314</v>
      </c>
    </row>
    <row r="10" spans="1:9" ht="15.75" x14ac:dyDescent="0.25">
      <c r="A10" s="1" t="s">
        <v>122</v>
      </c>
      <c r="B10" s="13">
        <f>+'Exh 4, Revenue Distribution'!H12</f>
        <v>24424893.666829117</v>
      </c>
      <c r="C10" s="14">
        <f>+'Exh 4, Revenue Distribution'!K12</f>
        <v>-587733.91578350053</v>
      </c>
      <c r="D10" s="14">
        <f t="shared" ref="D10:D18" si="0">+B10+C10</f>
        <v>23837159.751045614</v>
      </c>
      <c r="E10" s="1"/>
      <c r="F10" s="93">
        <f>+'Exh 4, Revenue Distribution'!J12</f>
        <v>0.29318033925538439</v>
      </c>
      <c r="G10" s="37">
        <f>+'Exh 4, Revenue Distribution'!O11</f>
        <v>-6.2996687416938899E-3</v>
      </c>
      <c r="H10" s="13">
        <f>+'2020 GRC Therm Sales'!G20+'2020 GRC Therm Sales'!F20</f>
        <v>102423885</v>
      </c>
      <c r="I10" s="40">
        <f t="shared" ref="I10:I13" si="1">ROUND((+H10*G10),0)</f>
        <v>-645237</v>
      </c>
    </row>
    <row r="11" spans="1:9" ht="15.75" x14ac:dyDescent="0.25">
      <c r="A11" s="1" t="s">
        <v>123</v>
      </c>
      <c r="B11" s="13">
        <f>+'Exh 4, Revenue Distribution'!H18</f>
        <v>2229507.4528516172</v>
      </c>
      <c r="C11" s="14">
        <f>+'Exh 4, Revenue Distribution'!K18</f>
        <v>-53648.427846076775</v>
      </c>
      <c r="D11" s="14">
        <f t="shared" si="0"/>
        <v>2175859.0250055403</v>
      </c>
      <c r="E11" s="1"/>
      <c r="F11" s="93">
        <f>+'Exh 4, Revenue Distribution'!J18</f>
        <v>2.6761539285108497E-2</v>
      </c>
      <c r="G11" s="37">
        <f>+'Exh 4, Revenue Distribution'!O18</f>
        <v>-4.029663270534758E-3</v>
      </c>
      <c r="H11" s="13">
        <f>+'2020 GRC Therm Sales'!D20</f>
        <v>13472171</v>
      </c>
      <c r="I11" s="40">
        <f t="shared" si="1"/>
        <v>-54288</v>
      </c>
    </row>
    <row r="12" spans="1:9" ht="15.75" x14ac:dyDescent="0.25">
      <c r="A12" s="1" t="s">
        <v>124</v>
      </c>
      <c r="B12" s="13">
        <f>+'Exh 4, Revenue Distribution'!H24</f>
        <v>2167281.17870312</v>
      </c>
      <c r="C12" s="14">
        <f>+'Exh 4, Revenue Distribution'!K24</f>
        <v>-52151.082872183106</v>
      </c>
      <c r="D12" s="14">
        <f t="shared" si="0"/>
        <v>2115130.0958309369</v>
      </c>
      <c r="E12" s="1"/>
      <c r="F12" s="93">
        <f>+'Exh 4, Revenue Distribution'!J24</f>
        <v>2.6014616067578544E-2</v>
      </c>
      <c r="G12" s="37">
        <f>+'Exh 4, Revenue Distribution'!O24</f>
        <v>-3.3635098672937427E-3</v>
      </c>
      <c r="H12" s="13">
        <f>+'2020 GRC Therm Sales'!E20+'2020 GRC Therm Sales'!H20</f>
        <v>16750455</v>
      </c>
      <c r="I12" s="40">
        <f t="shared" si="1"/>
        <v>-56340</v>
      </c>
    </row>
    <row r="13" spans="1:9" ht="15.75" x14ac:dyDescent="0.25">
      <c r="A13" s="1" t="s">
        <v>125</v>
      </c>
      <c r="B13" s="13">
        <f>+'Exh 4, Revenue Distribution'!H29</f>
        <v>145753.0832834192</v>
      </c>
      <c r="C13" s="14">
        <f>+'Exh 4, Revenue Distribution'!K29</f>
        <v>-3507.2427149200239</v>
      </c>
      <c r="D13" s="14">
        <f t="shared" si="0"/>
        <v>142245.84056849917</v>
      </c>
      <c r="E13" s="1"/>
      <c r="F13" s="93">
        <f>+'Exh 4, Revenue Distribution'!J29</f>
        <v>1.7495240301735437E-3</v>
      </c>
      <c r="G13" s="37">
        <f>+'Exh 4, Revenue Distribution'!O29</f>
        <v>-1.5026674422086996E-3</v>
      </c>
      <c r="H13" s="13">
        <f>+'2020 GRC Therm Sales'!K20</f>
        <v>2397021</v>
      </c>
      <c r="I13" s="40">
        <f t="shared" si="1"/>
        <v>-3602</v>
      </c>
    </row>
    <row r="14" spans="1:9" ht="15.75" x14ac:dyDescent="0.25">
      <c r="A14" s="1" t="s">
        <v>86</v>
      </c>
      <c r="B14" s="16">
        <f>SUM(B9:B13)</f>
        <v>69903529.854844362</v>
      </c>
      <c r="C14" s="16">
        <f>SUM(C9:C13)</f>
        <v>-1682082.0548534326</v>
      </c>
      <c r="D14" s="16">
        <f t="shared" si="0"/>
        <v>68221447.799990922</v>
      </c>
      <c r="E14" s="1"/>
      <c r="F14" s="93"/>
      <c r="G14" s="37"/>
      <c r="H14" s="16">
        <f>SUM(H9:H13)</f>
        <v>276451109</v>
      </c>
      <c r="I14" s="41">
        <f>SUM(I9:I13)</f>
        <v>-1816781</v>
      </c>
    </row>
    <row r="15" spans="1:9" ht="15.75" x14ac:dyDescent="0.25">
      <c r="A15" s="1"/>
      <c r="B15" s="14"/>
      <c r="C15" s="14"/>
      <c r="D15" s="14"/>
      <c r="E15" s="1"/>
      <c r="F15" s="93"/>
      <c r="G15" s="37"/>
      <c r="H15" s="1"/>
      <c r="I15" s="40"/>
    </row>
    <row r="16" spans="1:9" ht="15.75" x14ac:dyDescent="0.25">
      <c r="A16" s="1" t="s">
        <v>126</v>
      </c>
      <c r="B16" s="14">
        <f>+'Exh 4, Revenue Distribution'!H38</f>
        <v>13406605.227416411</v>
      </c>
      <c r="C16" s="14">
        <f>+'Exh 4, Revenue Distribution'!K38</f>
        <v>-322601.87885173829</v>
      </c>
      <c r="D16" s="14">
        <f t="shared" si="0"/>
        <v>13084003.348564673</v>
      </c>
      <c r="E16" s="1"/>
      <c r="F16" s="93">
        <f>+'Exh 4, Revenue Distribution'!J38</f>
        <v>0.16092406061013673</v>
      </c>
      <c r="G16" s="37">
        <f>+'Exh 4, Revenue Distribution'!O38</f>
        <v>-5.0057405750411458E-4</v>
      </c>
      <c r="H16" s="13">
        <f>+'2020 GRC Therm Sales'!L20+'2020 GRC Therm Sales'!M20+'2020 GRC Therm Sales'!N20+'2020 GRC Therm Sales'!O20</f>
        <v>750400565</v>
      </c>
      <c r="I16" s="40">
        <f t="shared" ref="I16" si="2">ROUND((+H16*G16),0)</f>
        <v>-375631</v>
      </c>
    </row>
    <row r="17" spans="1:9" ht="15.75" x14ac:dyDescent="0.25">
      <c r="A17" s="1"/>
      <c r="B17" s="14"/>
      <c r="C17" s="14"/>
      <c r="D17" s="14"/>
      <c r="E17" s="1"/>
      <c r="F17" s="1"/>
      <c r="G17" s="37"/>
      <c r="H17" s="1"/>
      <c r="I17" s="40"/>
    </row>
    <row r="18" spans="1:9" ht="16.5" thickBot="1" x14ac:dyDescent="0.3">
      <c r="A18" s="1" t="s">
        <v>22</v>
      </c>
      <c r="B18" s="15">
        <f>+B14+B16</f>
        <v>83310135.082260773</v>
      </c>
      <c r="C18" s="15">
        <f>+C16+C14</f>
        <v>-2004683.9337051709</v>
      </c>
      <c r="D18" s="15">
        <f t="shared" si="0"/>
        <v>81305451.148555607</v>
      </c>
      <c r="E18" s="1"/>
      <c r="F18" s="1"/>
      <c r="G18" s="36"/>
      <c r="H18" s="15">
        <f>+H14+H16</f>
        <v>1026851674</v>
      </c>
      <c r="I18" s="42">
        <f>+I14+I16</f>
        <v>-2192412</v>
      </c>
    </row>
    <row r="19" spans="1:9" ht="15.75" thickTop="1" x14ac:dyDescent="0.25">
      <c r="B19" s="117">
        <f>+B18-'Exh 4, Revenue Distribution'!H43</f>
        <v>0</v>
      </c>
      <c r="C19" s="117">
        <f>+C18-'Exh 4, Revenue Distribution'!K43</f>
        <v>0</v>
      </c>
      <c r="H19" s="105">
        <f>+H18-'2020 GRC Therm Sales'!P20</f>
        <v>0</v>
      </c>
    </row>
  </sheetData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0BD5-0D42-44A4-A297-4AD8B3D0B4BB}">
  <sheetPr>
    <tabColor theme="9" tint="0.39997558519241921"/>
  </sheetPr>
  <dimension ref="A1"/>
  <sheetViews>
    <sheetView workbookViewId="0">
      <selection activeCell="F31" sqref="F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94398-94EE-4708-A89A-B9184201ABAB}">
  <sheetPr>
    <tabColor theme="9" tint="0.39997558519241921"/>
    <pageSetUpPr fitToPage="1"/>
  </sheetPr>
  <dimension ref="A1:J24"/>
  <sheetViews>
    <sheetView zoomScaleNormal="100" workbookViewId="0">
      <selection activeCell="J20" sqref="J20"/>
    </sheetView>
  </sheetViews>
  <sheetFormatPr defaultRowHeight="15" x14ac:dyDescent="0.25"/>
  <cols>
    <col min="1" max="1" width="3.42578125" customWidth="1"/>
    <col min="2" max="2" width="17.140625" customWidth="1"/>
    <col min="3" max="3" width="25.42578125" customWidth="1"/>
    <col min="4" max="4" width="26.28515625" customWidth="1"/>
    <col min="6" max="6" width="6.42578125" customWidth="1"/>
    <col min="7" max="7" width="42.42578125" customWidth="1"/>
    <col min="8" max="8" width="25.5703125" customWidth="1"/>
    <col min="10" max="10" width="15" customWidth="1"/>
  </cols>
  <sheetData>
    <row r="1" spans="1:10" x14ac:dyDescent="0.25">
      <c r="B1" s="120" t="s">
        <v>23</v>
      </c>
      <c r="C1" s="121"/>
      <c r="D1" s="121"/>
      <c r="G1" s="120" t="s">
        <v>24</v>
      </c>
      <c r="H1" s="120"/>
      <c r="I1" s="34"/>
    </row>
    <row r="3" spans="1:10" ht="15.75" x14ac:dyDescent="0.25">
      <c r="A3" s="21"/>
      <c r="B3" s="21"/>
      <c r="C3" s="21"/>
      <c r="D3" s="21"/>
    </row>
    <row r="4" spans="1:10" ht="15.75" x14ac:dyDescent="0.25">
      <c r="A4" s="21"/>
      <c r="B4" s="138" t="s">
        <v>25</v>
      </c>
      <c r="C4" s="139"/>
      <c r="D4" s="140"/>
      <c r="F4" s="21"/>
      <c r="G4" s="138" t="s">
        <v>25</v>
      </c>
      <c r="H4" s="140"/>
    </row>
    <row r="5" spans="1:10" ht="15.75" x14ac:dyDescent="0.25">
      <c r="A5" s="21"/>
      <c r="B5" s="141" t="s">
        <v>26</v>
      </c>
      <c r="C5" s="142"/>
      <c r="D5" s="143"/>
      <c r="F5" s="21"/>
      <c r="G5" s="141" t="s">
        <v>26</v>
      </c>
      <c r="H5" s="143"/>
    </row>
    <row r="6" spans="1:10" ht="15.75" x14ac:dyDescent="0.25">
      <c r="A6" s="21"/>
      <c r="B6" s="141" t="s">
        <v>27</v>
      </c>
      <c r="C6" s="142"/>
      <c r="D6" s="143"/>
      <c r="F6" s="21"/>
      <c r="G6" s="141" t="s">
        <v>27</v>
      </c>
      <c r="H6" s="143"/>
    </row>
    <row r="7" spans="1:10" ht="15.75" x14ac:dyDescent="0.25">
      <c r="A7" s="22"/>
      <c r="B7" s="23"/>
      <c r="C7" s="24"/>
      <c r="D7" s="25"/>
      <c r="F7" s="22"/>
      <c r="G7" s="23"/>
      <c r="H7" s="25"/>
      <c r="J7" s="120" t="s">
        <v>28</v>
      </c>
    </row>
    <row r="8" spans="1:10" ht="15.75" x14ac:dyDescent="0.25">
      <c r="A8" s="26"/>
      <c r="B8" s="26"/>
      <c r="C8" s="26"/>
      <c r="D8" s="26"/>
      <c r="F8" s="26"/>
      <c r="G8" s="26"/>
      <c r="H8" s="26"/>
    </row>
    <row r="9" spans="1:10" ht="15.75" x14ac:dyDescent="0.25">
      <c r="A9" s="21"/>
      <c r="B9" s="21"/>
      <c r="C9" s="21"/>
      <c r="D9" s="21"/>
      <c r="F9" s="21"/>
      <c r="G9" s="21"/>
      <c r="H9" s="21"/>
    </row>
    <row r="10" spans="1:10" ht="15.75" x14ac:dyDescent="0.25">
      <c r="A10" s="21">
        <v>1</v>
      </c>
      <c r="B10" s="21" t="s">
        <v>29</v>
      </c>
      <c r="C10" s="21"/>
      <c r="D10" s="27">
        <v>405155119</v>
      </c>
      <c r="F10" s="21">
        <v>1</v>
      </c>
      <c r="G10" s="21" t="s">
        <v>29</v>
      </c>
      <c r="H10" s="27">
        <v>405155119</v>
      </c>
    </row>
    <row r="11" spans="1:10" ht="15.75" x14ac:dyDescent="0.25">
      <c r="A11" s="21">
        <v>2</v>
      </c>
      <c r="B11" s="21" t="s">
        <v>30</v>
      </c>
      <c r="C11" s="21"/>
      <c r="D11" s="28">
        <v>7.2389999999999996E-2</v>
      </c>
      <c r="F11" s="21">
        <v>2</v>
      </c>
      <c r="G11" s="21" t="s">
        <v>30</v>
      </c>
      <c r="H11" s="28">
        <v>7.2389999999999996E-2</v>
      </c>
    </row>
    <row r="12" spans="1:10" ht="15.75" x14ac:dyDescent="0.25">
      <c r="A12" s="21"/>
      <c r="B12" s="21"/>
      <c r="C12" s="21"/>
      <c r="D12" s="21"/>
      <c r="F12" s="21"/>
      <c r="G12" s="21"/>
      <c r="H12" s="21"/>
    </row>
    <row r="13" spans="1:10" ht="15.75" x14ac:dyDescent="0.25">
      <c r="A13" s="21">
        <v>3</v>
      </c>
      <c r="B13" s="21" t="s">
        <v>31</v>
      </c>
      <c r="C13" s="21"/>
      <c r="D13" s="29">
        <f>+D10*D11</f>
        <v>29329179.064409997</v>
      </c>
      <c r="F13" s="21">
        <v>3</v>
      </c>
      <c r="G13" s="21" t="s">
        <v>31</v>
      </c>
      <c r="H13" s="29">
        <f>+H10*H11</f>
        <v>29329179.064409997</v>
      </c>
    </row>
    <row r="14" spans="1:10" ht="15.75" x14ac:dyDescent="0.25">
      <c r="A14" s="21">
        <v>4</v>
      </c>
      <c r="B14" s="21" t="s">
        <v>32</v>
      </c>
      <c r="C14" s="21"/>
      <c r="D14" s="30">
        <v>24418149</v>
      </c>
      <c r="F14" s="21">
        <v>4</v>
      </c>
      <c r="G14" s="21" t="s">
        <v>32</v>
      </c>
      <c r="H14" s="30">
        <v>25831392</v>
      </c>
    </row>
    <row r="15" spans="1:10" ht="15.75" x14ac:dyDescent="0.25">
      <c r="A15" s="21"/>
      <c r="B15" s="21"/>
      <c r="C15" s="21"/>
      <c r="D15" s="29"/>
      <c r="F15" s="21"/>
      <c r="G15" s="21"/>
      <c r="H15" s="29"/>
    </row>
    <row r="16" spans="1:10" ht="15.75" x14ac:dyDescent="0.25">
      <c r="A16" s="21">
        <v>5</v>
      </c>
      <c r="B16" s="21" t="s">
        <v>33</v>
      </c>
      <c r="C16" s="21"/>
      <c r="D16" s="29">
        <f>+D13-D14</f>
        <v>4911030.0644099973</v>
      </c>
      <c r="F16" s="21">
        <v>5</v>
      </c>
      <c r="G16" s="21" t="s">
        <v>33</v>
      </c>
      <c r="H16" s="29">
        <f>+H13-H14</f>
        <v>3497787.0644099973</v>
      </c>
    </row>
    <row r="17" spans="1:10" ht="15.75" x14ac:dyDescent="0.25">
      <c r="A17" s="21"/>
      <c r="B17" s="21"/>
      <c r="C17" s="21"/>
      <c r="D17" s="21"/>
      <c r="F17" s="21"/>
      <c r="G17" s="21"/>
      <c r="H17" s="21"/>
    </row>
    <row r="18" spans="1:10" ht="15.75" x14ac:dyDescent="0.25">
      <c r="A18" s="21">
        <v>6</v>
      </c>
      <c r="B18" s="21" t="s">
        <v>34</v>
      </c>
      <c r="C18" s="21"/>
      <c r="D18" s="31">
        <v>0.75554308000000003</v>
      </c>
      <c r="F18" s="21">
        <v>6</v>
      </c>
      <c r="G18" s="21" t="s">
        <v>34</v>
      </c>
      <c r="H18" s="31">
        <v>0.75554308000000003</v>
      </c>
    </row>
    <row r="19" spans="1:10" ht="15.75" x14ac:dyDescent="0.25">
      <c r="A19" s="21"/>
      <c r="B19" s="21"/>
      <c r="C19" s="21"/>
      <c r="D19" s="21"/>
      <c r="F19" s="21"/>
      <c r="G19" s="21"/>
      <c r="H19" s="21"/>
    </row>
    <row r="20" spans="1:10" ht="16.5" thickBot="1" x14ac:dyDescent="0.3">
      <c r="A20" s="21">
        <v>7</v>
      </c>
      <c r="B20" s="21" t="s">
        <v>35</v>
      </c>
      <c r="C20" s="21"/>
      <c r="D20" s="32">
        <f>+D16/D18</f>
        <v>6500000.0587789081</v>
      </c>
      <c r="F20" s="21">
        <v>7</v>
      </c>
      <c r="G20" s="21" t="s">
        <v>35</v>
      </c>
      <c r="H20" s="32">
        <f>+H16/H18</f>
        <v>4629500.497059674</v>
      </c>
      <c r="J20" s="122">
        <f>+H20-D20</f>
        <v>-1870499.5617192341</v>
      </c>
    </row>
    <row r="21" spans="1:10" ht="16.5" thickTop="1" x14ac:dyDescent="0.25">
      <c r="A21" s="21"/>
      <c r="B21" s="21"/>
      <c r="C21" s="21"/>
      <c r="D21" s="29"/>
      <c r="F21" s="21"/>
      <c r="G21" s="21"/>
      <c r="H21" s="29"/>
    </row>
    <row r="22" spans="1:10" ht="15.75" x14ac:dyDescent="0.25">
      <c r="A22" s="21">
        <v>8</v>
      </c>
      <c r="B22" s="21" t="s">
        <v>36</v>
      </c>
      <c r="C22" s="21"/>
      <c r="D22" s="29">
        <v>228581669</v>
      </c>
      <c r="F22" s="21">
        <v>8</v>
      </c>
      <c r="G22" s="21" t="s">
        <v>36</v>
      </c>
      <c r="H22" s="29">
        <v>230403469</v>
      </c>
    </row>
    <row r="23" spans="1:10" ht="15.75" x14ac:dyDescent="0.25">
      <c r="A23" s="21"/>
      <c r="B23" s="21"/>
      <c r="C23" s="21"/>
      <c r="D23" s="21"/>
      <c r="F23" s="21"/>
      <c r="G23" s="21"/>
      <c r="H23" s="21"/>
    </row>
    <row r="24" spans="1:10" ht="15.75" x14ac:dyDescent="0.25">
      <c r="A24" s="21">
        <v>9</v>
      </c>
      <c r="B24" s="21" t="s">
        <v>37</v>
      </c>
      <c r="C24" s="21"/>
      <c r="D24" s="33">
        <f>+D20/D22</f>
        <v>2.8436226260903311E-2</v>
      </c>
      <c r="F24" s="21">
        <v>9</v>
      </c>
      <c r="G24" s="21" t="s">
        <v>37</v>
      </c>
      <c r="H24" s="33">
        <f>+H20/H22</f>
        <v>2.0093015600644772E-2</v>
      </c>
    </row>
  </sheetData>
  <mergeCells count="6">
    <mergeCell ref="B4:D4"/>
    <mergeCell ref="B5:D5"/>
    <mergeCell ref="B6:D6"/>
    <mergeCell ref="G4:H4"/>
    <mergeCell ref="G5:H5"/>
    <mergeCell ref="G6:H6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DD7B-4FDB-45DD-86F7-E5E538D98ECF}">
  <sheetPr>
    <tabColor theme="9" tint="0.39997558519241921"/>
    <pageSetUpPr fitToPage="1"/>
  </sheetPr>
  <dimension ref="A1:P53"/>
  <sheetViews>
    <sheetView workbookViewId="0">
      <selection activeCell="M48" sqref="M48"/>
    </sheetView>
  </sheetViews>
  <sheetFormatPr defaultRowHeight="15" x14ac:dyDescent="0.25"/>
  <cols>
    <col min="2" max="2" width="28.5703125" customWidth="1"/>
    <col min="3" max="3" width="15.85546875" customWidth="1"/>
    <col min="4" max="4" width="28.7109375" customWidth="1"/>
    <col min="5" max="5" width="19.140625" customWidth="1"/>
    <col min="6" max="8" width="10.28515625" customWidth="1"/>
    <col min="9" max="9" width="15.28515625" bestFit="1" customWidth="1"/>
    <col min="10" max="10" width="15.140625" style="77" customWidth="1"/>
    <col min="11" max="12" width="11.5703125" style="77" customWidth="1"/>
    <col min="13" max="13" width="13.7109375" style="77" customWidth="1"/>
    <col min="14" max="14" width="12.5703125" style="90" customWidth="1"/>
    <col min="15" max="15" width="17.7109375" customWidth="1"/>
  </cols>
  <sheetData>
    <row r="1" spans="1:16" x14ac:dyDescent="0.25">
      <c r="A1" s="144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6" x14ac:dyDescent="0.25">
      <c r="A2" s="147" t="s">
        <v>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6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6" ht="60" x14ac:dyDescent="0.25">
      <c r="A4" s="43" t="s">
        <v>40</v>
      </c>
      <c r="B4" s="44" t="s">
        <v>41</v>
      </c>
      <c r="C4" s="45" t="s">
        <v>42</v>
      </c>
      <c r="D4" s="45" t="s">
        <v>43</v>
      </c>
      <c r="E4" s="45" t="s">
        <v>44</v>
      </c>
      <c r="F4" s="45" t="s">
        <v>45</v>
      </c>
      <c r="G4" s="45" t="s">
        <v>46</v>
      </c>
      <c r="H4" s="45" t="s">
        <v>47</v>
      </c>
      <c r="I4" s="45" t="s">
        <v>48</v>
      </c>
      <c r="J4" s="46" t="s">
        <v>49</v>
      </c>
      <c r="K4" s="47" t="s">
        <v>50</v>
      </c>
      <c r="L4" s="46" t="s">
        <v>51</v>
      </c>
      <c r="M4" s="46" t="s">
        <v>52</v>
      </c>
      <c r="N4" s="47" t="s">
        <v>53</v>
      </c>
      <c r="O4" t="s">
        <v>54</v>
      </c>
    </row>
    <row r="5" spans="1:16" x14ac:dyDescent="0.25">
      <c r="A5" s="48"/>
      <c r="B5" s="43" t="s">
        <v>55</v>
      </c>
      <c r="C5" s="43" t="s">
        <v>56</v>
      </c>
      <c r="D5" s="43" t="s">
        <v>57</v>
      </c>
      <c r="E5" s="43" t="s">
        <v>58</v>
      </c>
      <c r="F5" s="43" t="s">
        <v>59</v>
      </c>
      <c r="G5" s="43"/>
      <c r="H5" s="49"/>
      <c r="I5" s="50" t="s">
        <v>60</v>
      </c>
      <c r="J5" s="51" t="s">
        <v>61</v>
      </c>
      <c r="K5" s="52" t="s">
        <v>62</v>
      </c>
      <c r="L5" s="50" t="s">
        <v>63</v>
      </c>
      <c r="M5" s="52" t="s">
        <v>64</v>
      </c>
      <c r="N5" s="52" t="s">
        <v>65</v>
      </c>
    </row>
    <row r="6" spans="1:16" x14ac:dyDescent="0.25">
      <c r="A6" s="53"/>
      <c r="B6" s="54" t="s">
        <v>66</v>
      </c>
      <c r="C6" s="53"/>
      <c r="D6" s="53"/>
      <c r="E6" s="53"/>
      <c r="F6" s="53"/>
      <c r="G6" s="53"/>
      <c r="H6" s="55"/>
      <c r="I6" s="56"/>
      <c r="J6" s="57"/>
      <c r="K6" s="58"/>
      <c r="L6" s="58"/>
      <c r="M6" s="58"/>
      <c r="N6" s="59"/>
    </row>
    <row r="7" spans="1:16" x14ac:dyDescent="0.25">
      <c r="A7" s="55">
        <v>1</v>
      </c>
      <c r="B7" s="55" t="s">
        <v>67</v>
      </c>
      <c r="C7" s="60">
        <v>503</v>
      </c>
      <c r="D7" s="60"/>
      <c r="E7" s="55">
        <v>0.27205000000000001</v>
      </c>
      <c r="F7" s="61">
        <f>E7*(1+N8)</f>
        <v>0.26475652200244781</v>
      </c>
      <c r="G7" s="61">
        <v>1.341E-2</v>
      </c>
      <c r="H7" s="61">
        <f>G7+F7</f>
        <v>0.27816652200244779</v>
      </c>
      <c r="I7" s="62">
        <v>131567022.09012201</v>
      </c>
      <c r="J7" s="63">
        <f>I7*E7</f>
        <v>35792808.359617695</v>
      </c>
      <c r="K7" s="58">
        <f>H7*I7</f>
        <v>36597540.945028462</v>
      </c>
      <c r="L7" s="58"/>
      <c r="M7" s="58" t="s">
        <v>68</v>
      </c>
      <c r="N7" s="59" t="s">
        <v>68</v>
      </c>
      <c r="P7" s="64"/>
    </row>
    <row r="8" spans="1:16" x14ac:dyDescent="0.25">
      <c r="A8" s="55">
        <v>2</v>
      </c>
      <c r="B8" s="55" t="s">
        <v>69</v>
      </c>
      <c r="C8" s="60"/>
      <c r="D8" s="60"/>
      <c r="E8" s="55"/>
      <c r="F8" s="61"/>
      <c r="G8" s="61"/>
      <c r="H8" s="61"/>
      <c r="I8" s="62">
        <f>SUM(I7)</f>
        <v>131567022.09012201</v>
      </c>
      <c r="J8" s="63">
        <f>SUM(J7)</f>
        <v>35792808.359617695</v>
      </c>
      <c r="K8" s="58">
        <f>SUM(K7)</f>
        <v>36597540.945028462</v>
      </c>
      <c r="L8" s="65">
        <f>J8/$J$43</f>
        <v>0.51300802326019035</v>
      </c>
      <c r="M8" s="66">
        <f>L8*$M$43</f>
        <v>-959581.18081777357</v>
      </c>
      <c r="N8" s="59">
        <f>M8/J8</f>
        <v>-2.680932915843497E-2</v>
      </c>
      <c r="O8" s="67">
        <f>+M8/I8</f>
        <v>-7.2934779975522331E-3</v>
      </c>
      <c r="P8" s="68"/>
    </row>
    <row r="9" spans="1:16" x14ac:dyDescent="0.25">
      <c r="A9" s="55">
        <v>3</v>
      </c>
      <c r="B9" s="55"/>
      <c r="C9" s="60"/>
      <c r="D9" s="60"/>
      <c r="E9" s="55"/>
      <c r="F9" s="61"/>
      <c r="G9" s="61"/>
      <c r="H9" s="61"/>
      <c r="I9" s="62"/>
      <c r="J9" s="58"/>
      <c r="K9" s="58"/>
      <c r="L9" s="58"/>
      <c r="M9" s="58"/>
      <c r="N9" s="59"/>
      <c r="O9" s="69"/>
      <c r="P9" s="68"/>
    </row>
    <row r="10" spans="1:16" x14ac:dyDescent="0.25">
      <c r="A10" s="55">
        <v>4</v>
      </c>
      <c r="B10" s="70" t="s">
        <v>70</v>
      </c>
      <c r="C10" s="60"/>
      <c r="D10" s="60"/>
      <c r="E10" s="55"/>
      <c r="F10" s="61"/>
      <c r="G10" s="61"/>
      <c r="H10" s="61"/>
      <c r="I10" s="62"/>
      <c r="J10" s="58"/>
      <c r="K10" s="58"/>
      <c r="L10" s="58"/>
      <c r="M10" s="58"/>
      <c r="N10" s="59"/>
      <c r="O10" s="69"/>
      <c r="P10" s="68"/>
    </row>
    <row r="11" spans="1:16" x14ac:dyDescent="0.25">
      <c r="A11" s="55">
        <v>5</v>
      </c>
      <c r="B11" s="55" t="s">
        <v>71</v>
      </c>
      <c r="C11" s="60">
        <v>504</v>
      </c>
      <c r="D11" s="60"/>
      <c r="E11" s="55">
        <v>0.23141999999999999</v>
      </c>
      <c r="F11" s="61">
        <f>E11*(1+N12)</f>
        <v>0.22521578504615497</v>
      </c>
      <c r="G11" s="61">
        <v>9.0900000000000009E-3</v>
      </c>
      <c r="H11" s="61">
        <f>G11+F11</f>
        <v>0.23430578504615496</v>
      </c>
      <c r="I11" s="62">
        <v>92551660.677303553</v>
      </c>
      <c r="J11" s="63">
        <f>I11*E11</f>
        <v>21418305.313941587</v>
      </c>
      <c r="K11" s="58">
        <f>H11*I11</f>
        <v>21685389.512320958</v>
      </c>
      <c r="L11" s="58"/>
      <c r="M11" s="58"/>
      <c r="N11" s="59" t="s">
        <v>68</v>
      </c>
      <c r="O11" s="69"/>
      <c r="P11" s="68"/>
    </row>
    <row r="12" spans="1:16" x14ac:dyDescent="0.25">
      <c r="A12" s="55">
        <v>6</v>
      </c>
      <c r="B12" s="55" t="s">
        <v>69</v>
      </c>
      <c r="C12" s="60"/>
      <c r="D12" s="60"/>
      <c r="E12" s="55"/>
      <c r="F12" s="61"/>
      <c r="G12" s="61"/>
      <c r="H12" s="61"/>
      <c r="I12" s="62">
        <f>SUM(I11)</f>
        <v>92551660.677303553</v>
      </c>
      <c r="J12" s="63">
        <f>SUM(J11)</f>
        <v>21418305.313941587</v>
      </c>
      <c r="K12" s="58">
        <f>SUM(K11)</f>
        <v>21685389.512320958</v>
      </c>
      <c r="L12" s="65">
        <f>J12/$J$43</f>
        <v>0.30698240720013076</v>
      </c>
      <c r="M12" s="66">
        <f t="shared" ref="M12:M41" si="0">L12*$M$43</f>
        <v>-574210.39717731683</v>
      </c>
      <c r="N12" s="59">
        <f>M12/J12</f>
        <v>-2.680932915843497E-2</v>
      </c>
      <c r="O12" s="67">
        <f>+M12/I12</f>
        <v>-6.2042149538450199E-3</v>
      </c>
      <c r="P12" s="68"/>
    </row>
    <row r="13" spans="1:16" x14ac:dyDescent="0.25">
      <c r="A13" s="55">
        <v>7</v>
      </c>
      <c r="B13" s="55"/>
      <c r="C13" s="60"/>
      <c r="D13" s="60"/>
      <c r="E13" s="55"/>
      <c r="F13" s="61"/>
      <c r="G13" s="61"/>
      <c r="H13" s="61"/>
      <c r="I13" s="62"/>
      <c r="J13" s="58"/>
      <c r="K13" s="58"/>
      <c r="L13" s="65"/>
      <c r="M13" s="58"/>
      <c r="N13" s="59"/>
      <c r="O13" s="69"/>
      <c r="P13" s="68"/>
    </row>
    <row r="14" spans="1:16" x14ac:dyDescent="0.25">
      <c r="A14" s="55">
        <v>8</v>
      </c>
      <c r="B14" s="70" t="s">
        <v>72</v>
      </c>
      <c r="C14" s="60"/>
      <c r="D14" s="60"/>
      <c r="E14" s="55"/>
      <c r="F14" s="61"/>
      <c r="G14" s="61"/>
      <c r="H14" s="61"/>
      <c r="I14" s="62"/>
      <c r="J14" s="58"/>
      <c r="K14" s="58"/>
      <c r="L14" s="58"/>
      <c r="M14" s="58"/>
      <c r="N14" s="59"/>
      <c r="O14" s="69"/>
      <c r="P14" s="68"/>
    </row>
    <row r="15" spans="1:16" x14ac:dyDescent="0.25">
      <c r="A15" s="55">
        <v>9</v>
      </c>
      <c r="B15" s="55" t="s">
        <v>71</v>
      </c>
      <c r="C15" s="60">
        <v>505</v>
      </c>
      <c r="D15" s="60" t="s">
        <v>73</v>
      </c>
      <c r="E15" s="55">
        <v>0.17851</v>
      </c>
      <c r="F15" s="61">
        <f>E15*(1+N16)</f>
        <v>0.17372426665192778</v>
      </c>
      <c r="G15" s="61">
        <v>6.8399999999999997E-3</v>
      </c>
      <c r="H15" s="61">
        <f>G15+F15</f>
        <v>0.18056426665192779</v>
      </c>
      <c r="I15" s="62">
        <v>1733986.7760029139</v>
      </c>
      <c r="J15" s="63">
        <f>I15*E15</f>
        <v>309533.97938428016</v>
      </c>
      <c r="K15" s="58">
        <f>H15*I15</f>
        <v>313096.05059310672</v>
      </c>
      <c r="L15" s="65">
        <f>J15/$J$43</f>
        <v>4.4364614617651687E-3</v>
      </c>
      <c r="M15" s="58">
        <f>L15*$M$43</f>
        <v>-8298.3983390333906</v>
      </c>
      <c r="N15" s="59">
        <f t="shared" ref="N15:N17" si="1">M15/J15</f>
        <v>-2.680932915843497E-2</v>
      </c>
      <c r="O15" s="69"/>
      <c r="P15" s="68"/>
    </row>
    <row r="16" spans="1:16" x14ac:dyDescent="0.25">
      <c r="A16" s="55">
        <v>10</v>
      </c>
      <c r="B16" s="55"/>
      <c r="C16" s="60"/>
      <c r="D16" s="60" t="s">
        <v>74</v>
      </c>
      <c r="E16" s="55">
        <v>0.14457</v>
      </c>
      <c r="F16" s="61">
        <f>E16*(1+N17)</f>
        <v>0.14069417528356506</v>
      </c>
      <c r="G16" s="61">
        <v>6.8399999999999997E-3</v>
      </c>
      <c r="H16" s="61">
        <f t="shared" ref="H16:H17" si="2">G16+F16</f>
        <v>0.14753417528356508</v>
      </c>
      <c r="I16" s="62">
        <v>5632622.0203854125</v>
      </c>
      <c r="J16" s="63">
        <f>I16*E16</f>
        <v>814308.16548711911</v>
      </c>
      <c r="K16" s="58">
        <f>H16*I16</f>
        <v>831004.24446160987</v>
      </c>
      <c r="L16" s="65">
        <f t="shared" ref="L16:L17" si="3">J16/$J$43</f>
        <v>1.1671244628362011E-2</v>
      </c>
      <c r="M16" s="58">
        <f t="shared" si="0"/>
        <v>-21831.055644945507</v>
      </c>
      <c r="N16" s="59">
        <f t="shared" si="1"/>
        <v>-2.6809329158434966E-2</v>
      </c>
      <c r="O16" s="69"/>
      <c r="P16" s="68"/>
    </row>
    <row r="17" spans="1:16" x14ac:dyDescent="0.25">
      <c r="A17" s="55">
        <v>11</v>
      </c>
      <c r="B17" s="55"/>
      <c r="C17" s="60"/>
      <c r="D17" s="60" t="s">
        <v>75</v>
      </c>
      <c r="E17" s="55">
        <v>0.13944000000000001</v>
      </c>
      <c r="F17" s="61">
        <f>E17*(1+N18)</f>
        <v>0.13570170714214785</v>
      </c>
      <c r="G17" s="61">
        <v>6.8399999999999997E-3</v>
      </c>
      <c r="H17" s="61">
        <f t="shared" si="2"/>
        <v>0.14254170714214787</v>
      </c>
      <c r="I17" s="62">
        <v>4781351.3038846143</v>
      </c>
      <c r="J17" s="63">
        <f>I17*E17</f>
        <v>666711.62581367069</v>
      </c>
      <c r="K17" s="58">
        <f>H17*I17</f>
        <v>681541.97730204754</v>
      </c>
      <c r="L17" s="65">
        <f t="shared" si="3"/>
        <v>9.5557858943849609E-3</v>
      </c>
      <c r="M17" s="58">
        <f t="shared" si="0"/>
        <v>-17874.091430194025</v>
      </c>
      <c r="N17" s="59">
        <f t="shared" si="1"/>
        <v>-2.6809329158434966E-2</v>
      </c>
      <c r="O17" s="69"/>
      <c r="P17" s="68"/>
    </row>
    <row r="18" spans="1:16" x14ac:dyDescent="0.25">
      <c r="A18" s="55">
        <v>12</v>
      </c>
      <c r="B18" s="55" t="s">
        <v>69</v>
      </c>
      <c r="C18" s="60"/>
      <c r="D18" s="60"/>
      <c r="E18" s="55"/>
      <c r="F18" s="61"/>
      <c r="G18" s="61"/>
      <c r="H18" s="61"/>
      <c r="I18" s="62">
        <f>SUM(I15:I17)</f>
        <v>12147960.10027294</v>
      </c>
      <c r="J18" s="63">
        <f>SUM(J15:J17)</f>
        <v>1790553.77068507</v>
      </c>
      <c r="K18" s="58">
        <f>SUM(K15:K17)</f>
        <v>1825642.2723567639</v>
      </c>
      <c r="L18" s="65">
        <f>J18/$J$43</f>
        <v>2.5663491984512139E-2</v>
      </c>
      <c r="M18" s="66">
        <f t="shared" si="0"/>
        <v>-48003.545414172921</v>
      </c>
      <c r="N18" s="59">
        <f>M18/J18</f>
        <v>-2.6809329158434966E-2</v>
      </c>
      <c r="O18" s="67">
        <f>+M18/I18</f>
        <v>-3.9515725288803323E-3</v>
      </c>
      <c r="P18" s="68"/>
    </row>
    <row r="19" spans="1:16" x14ac:dyDescent="0.25">
      <c r="A19" s="55">
        <v>13</v>
      </c>
      <c r="B19" s="55"/>
      <c r="C19" s="60"/>
      <c r="D19" s="60"/>
      <c r="E19" s="55"/>
      <c r="F19" s="61"/>
      <c r="G19" s="61"/>
      <c r="H19" s="61"/>
      <c r="I19" s="62"/>
      <c r="J19" s="58"/>
      <c r="K19" s="58"/>
      <c r="L19" s="58"/>
      <c r="M19" s="58"/>
      <c r="N19" s="59"/>
      <c r="O19" s="69"/>
      <c r="P19" s="68"/>
    </row>
    <row r="20" spans="1:16" x14ac:dyDescent="0.25">
      <c r="A20" s="55">
        <v>14</v>
      </c>
      <c r="B20" s="70" t="s">
        <v>76</v>
      </c>
      <c r="C20" s="60"/>
      <c r="D20" s="60"/>
      <c r="E20" s="55"/>
      <c r="F20" s="61"/>
      <c r="G20" s="61"/>
      <c r="H20" s="61"/>
      <c r="I20" s="62"/>
      <c r="J20" s="58"/>
      <c r="K20" s="58"/>
      <c r="L20" s="58"/>
      <c r="M20" s="58"/>
      <c r="N20" s="59"/>
      <c r="O20" s="69"/>
      <c r="P20" s="68"/>
    </row>
    <row r="21" spans="1:16" x14ac:dyDescent="0.25">
      <c r="A21" s="55">
        <v>15</v>
      </c>
      <c r="B21" s="55" t="s">
        <v>77</v>
      </c>
      <c r="C21" s="60">
        <v>511</v>
      </c>
      <c r="D21" s="60" t="s">
        <v>78</v>
      </c>
      <c r="E21" s="55">
        <v>0.14330000000000001</v>
      </c>
      <c r="F21" s="61">
        <f>E21*(1+N22)</f>
        <v>0.13945822313159628</v>
      </c>
      <c r="G21" s="61">
        <v>4.7299999999999998E-3</v>
      </c>
      <c r="H21" s="61">
        <f t="shared" ref="H21:H23" si="4">G21+F21</f>
        <v>0.14418822313159629</v>
      </c>
      <c r="I21" s="62">
        <v>8739570.5516426321</v>
      </c>
      <c r="J21" s="63">
        <f>I21*E21</f>
        <v>1252380.4600503892</v>
      </c>
      <c r="K21" s="58">
        <f>H21*I21</f>
        <v>1260143.1487745759</v>
      </c>
      <c r="L21" s="65">
        <f>J21/$J$43</f>
        <v>1.7950008776204344E-2</v>
      </c>
      <c r="M21" s="58">
        <f t="shared" si="0"/>
        <v>-33575.479985083097</v>
      </c>
      <c r="N21" s="59">
        <f t="shared" ref="N21:N23" si="5">M21/J21</f>
        <v>-2.6809329158434966E-2</v>
      </c>
      <c r="O21" s="69"/>
      <c r="P21" s="68"/>
    </row>
    <row r="22" spans="1:16" x14ac:dyDescent="0.25">
      <c r="A22" s="55">
        <v>16</v>
      </c>
      <c r="B22" s="55"/>
      <c r="C22" s="60"/>
      <c r="D22" s="60" t="s">
        <v>79</v>
      </c>
      <c r="E22" s="55">
        <v>0.10983999999999999</v>
      </c>
      <c r="F22" s="61">
        <f>E22*(1+N23)</f>
        <v>0.1068952632852375</v>
      </c>
      <c r="G22" s="61">
        <v>4.7299999999999998E-3</v>
      </c>
      <c r="H22" s="61">
        <f t="shared" si="4"/>
        <v>0.1116252632852375</v>
      </c>
      <c r="I22" s="62">
        <v>4503350.1030213647</v>
      </c>
      <c r="J22" s="63">
        <f>I22*E22</f>
        <v>494647.97531586664</v>
      </c>
      <c r="K22" s="58">
        <f>H22*I22</f>
        <v>502687.64091536123</v>
      </c>
      <c r="L22" s="65">
        <f t="shared" ref="L22:L23" si="6">J22/$J$43</f>
        <v>7.0896471010848212E-3</v>
      </c>
      <c r="M22" s="58">
        <f t="shared" si="0"/>
        <v>-13261.180387796483</v>
      </c>
      <c r="N22" s="59">
        <f t="shared" si="5"/>
        <v>-2.6809329158434966E-2</v>
      </c>
      <c r="O22" s="69"/>
      <c r="P22" s="68"/>
    </row>
    <row r="23" spans="1:16" x14ac:dyDescent="0.25">
      <c r="A23" s="55">
        <v>17</v>
      </c>
      <c r="B23" s="55"/>
      <c r="C23" s="60"/>
      <c r="D23" s="60" t="s">
        <v>80</v>
      </c>
      <c r="E23" s="55">
        <v>2.7089999999999999E-2</v>
      </c>
      <c r="F23" s="61">
        <f>E23*(1+N24)</f>
        <v>2.6363735273097998E-2</v>
      </c>
      <c r="G23" s="61">
        <v>4.7299999999999998E-3</v>
      </c>
      <c r="H23" s="61">
        <f t="shared" si="4"/>
        <v>3.1093735273098E-2</v>
      </c>
      <c r="I23" s="62">
        <v>771997.67252671276</v>
      </c>
      <c r="J23" s="63">
        <f>I23*E23</f>
        <v>20913.416948748647</v>
      </c>
      <c r="K23" s="58">
        <f>H23*I23</f>
        <v>24004.291260993406</v>
      </c>
      <c r="L23" s="65">
        <f t="shared" si="6"/>
        <v>2.997459875374892E-4</v>
      </c>
      <c r="M23" s="58">
        <f t="shared" si="0"/>
        <v>-560.67467880659513</v>
      </c>
      <c r="N23" s="59">
        <f t="shared" si="5"/>
        <v>-2.6809329158434966E-2</v>
      </c>
      <c r="O23" s="69"/>
      <c r="P23" s="68"/>
    </row>
    <row r="24" spans="1:16" x14ac:dyDescent="0.25">
      <c r="A24" s="55">
        <v>18</v>
      </c>
      <c r="B24" s="55" t="s">
        <v>81</v>
      </c>
      <c r="C24" s="60"/>
      <c r="D24" s="60"/>
      <c r="E24" s="55"/>
      <c r="F24" s="61"/>
      <c r="G24" s="61"/>
      <c r="H24" s="61"/>
      <c r="I24" s="62">
        <f>SUM(I21:I23)</f>
        <v>14014918.32719071</v>
      </c>
      <c r="J24" s="63">
        <f>SUM(J21:J23)</f>
        <v>1767941.8523150044</v>
      </c>
      <c r="K24" s="58">
        <f>SUM(K21:K23)</f>
        <v>1786835.0809509305</v>
      </c>
      <c r="L24" s="65">
        <f>J24/$J$43</f>
        <v>2.5339401864826656E-2</v>
      </c>
      <c r="M24" s="66">
        <f t="shared" si="0"/>
        <v>-47397.335051686176</v>
      </c>
      <c r="N24" s="59">
        <f>M24/J24</f>
        <v>-2.6809329158434966E-2</v>
      </c>
      <c r="O24" s="67">
        <f>+M24/I24</f>
        <v>-3.3819201757122881E-3</v>
      </c>
      <c r="P24" s="68"/>
    </row>
    <row r="25" spans="1:16" x14ac:dyDescent="0.25">
      <c r="A25" s="55">
        <v>19</v>
      </c>
      <c r="B25" s="55"/>
      <c r="C25" s="60"/>
      <c r="D25" s="60"/>
      <c r="E25" s="55"/>
      <c r="F25" s="61"/>
      <c r="G25" s="61"/>
      <c r="H25" s="61"/>
      <c r="I25" s="62"/>
      <c r="J25" s="58"/>
      <c r="K25" s="58"/>
      <c r="L25" s="65"/>
      <c r="M25" s="58"/>
      <c r="N25" s="59"/>
      <c r="O25" s="69"/>
      <c r="P25" s="68"/>
    </row>
    <row r="26" spans="1:16" x14ac:dyDescent="0.25">
      <c r="A26" s="55">
        <v>20</v>
      </c>
      <c r="B26" s="70" t="s">
        <v>82</v>
      </c>
      <c r="C26" s="60"/>
      <c r="D26" s="60"/>
      <c r="E26" s="55"/>
      <c r="F26" s="61"/>
      <c r="G26" s="61"/>
      <c r="H26" s="61"/>
      <c r="I26" s="62"/>
      <c r="J26" s="58"/>
      <c r="K26" s="58"/>
      <c r="L26" s="58"/>
      <c r="M26" s="58"/>
      <c r="N26" s="59"/>
      <c r="O26" s="69"/>
      <c r="P26" s="68"/>
    </row>
    <row r="27" spans="1:16" x14ac:dyDescent="0.25">
      <c r="A27" s="55">
        <v>21</v>
      </c>
      <c r="B27" s="55" t="s">
        <v>83</v>
      </c>
      <c r="C27" s="60">
        <v>570</v>
      </c>
      <c r="D27" s="60" t="s">
        <v>84</v>
      </c>
      <c r="E27" s="55">
        <v>7.8950000000000006E-2</v>
      </c>
      <c r="F27" s="61">
        <f>E27*(1+N28)</f>
        <v>7.6833403462941569E-2</v>
      </c>
      <c r="G27" s="61">
        <v>3.3999999999999998E-3</v>
      </c>
      <c r="H27" s="61">
        <f t="shared" ref="H27:H28" si="7">G27+F27</f>
        <v>8.0233403462941569E-2</v>
      </c>
      <c r="I27" s="62">
        <v>1159981.0421854148</v>
      </c>
      <c r="J27" s="63">
        <f>I27*E27</f>
        <v>91580.503280538513</v>
      </c>
      <c r="K27" s="58">
        <f>H27*I27</f>
        <v>93069.226967025825</v>
      </c>
      <c r="L27" s="65">
        <f>J27/$J$43</f>
        <v>1.3125970023108923E-3</v>
      </c>
      <c r="M27" s="58">
        <f t="shared" si="0"/>
        <v>-2455.21185694309</v>
      </c>
      <c r="N27" s="59">
        <f t="shared" ref="N27:N28" si="8">M27/J27</f>
        <v>-2.6809329158434963E-2</v>
      </c>
      <c r="O27" s="69"/>
      <c r="P27" s="68"/>
    </row>
    <row r="28" spans="1:16" x14ac:dyDescent="0.25">
      <c r="A28" s="55">
        <v>22</v>
      </c>
      <c r="B28" s="55"/>
      <c r="C28" s="60"/>
      <c r="D28" s="60" t="s">
        <v>85</v>
      </c>
      <c r="E28" s="55">
        <v>2.248E-2</v>
      </c>
      <c r="F28" s="61">
        <f>E28*(1+N29)</f>
        <v>2.1877326280518382E-2</v>
      </c>
      <c r="G28" s="61">
        <v>3.3999999999999998E-3</v>
      </c>
      <c r="H28" s="61">
        <f t="shared" si="7"/>
        <v>2.5277326280518382E-2</v>
      </c>
      <c r="I28" s="62">
        <v>866598.96930392005</v>
      </c>
      <c r="J28" s="63">
        <f>I28*E28</f>
        <v>19481.144829952122</v>
      </c>
      <c r="K28" s="58">
        <f>H28*I28</f>
        <v>21905.304901456122</v>
      </c>
      <c r="L28" s="65">
        <f>J28/$J$43</f>
        <v>2.7921764337817832E-4</v>
      </c>
      <c r="M28" s="58">
        <f t="shared" si="0"/>
        <v>-522.27642412932994</v>
      </c>
      <c r="N28" s="59">
        <f t="shared" si="8"/>
        <v>-2.6809329158434963E-2</v>
      </c>
      <c r="O28" s="69"/>
      <c r="P28" s="68"/>
    </row>
    <row r="29" spans="1:16" x14ac:dyDescent="0.25">
      <c r="A29" s="55">
        <v>23</v>
      </c>
      <c r="B29" s="55" t="s">
        <v>69</v>
      </c>
      <c r="C29" s="60"/>
      <c r="D29" s="60"/>
      <c r="E29" s="55"/>
      <c r="F29" s="61"/>
      <c r="G29" s="61"/>
      <c r="H29" s="61"/>
      <c r="I29" s="62">
        <f>SUM(I27:I28)</f>
        <v>2026580.011489335</v>
      </c>
      <c r="J29" s="63">
        <f>SUM(J27:J28)</f>
        <v>111061.64811049064</v>
      </c>
      <c r="K29" s="58">
        <f>SUM(K27:K28)</f>
        <v>114974.53186848195</v>
      </c>
      <c r="L29" s="65">
        <f>J29/$J$43</f>
        <v>1.5918146456890708E-3</v>
      </c>
      <c r="M29" s="66">
        <f t="shared" si="0"/>
        <v>-2977.4882810724202</v>
      </c>
      <c r="N29" s="59">
        <f>M29/J29</f>
        <v>-2.6809329158434966E-2</v>
      </c>
      <c r="O29" s="67">
        <f>+M29/I29</f>
        <v>-1.4692182219266351E-3</v>
      </c>
      <c r="P29" s="68"/>
    </row>
    <row r="30" spans="1:16" x14ac:dyDescent="0.25">
      <c r="A30" s="55">
        <v>24</v>
      </c>
      <c r="B30" s="55"/>
      <c r="C30" s="60"/>
      <c r="D30" s="60"/>
      <c r="E30" s="55"/>
      <c r="F30" s="61"/>
      <c r="G30" s="61"/>
      <c r="H30" s="61"/>
      <c r="I30" s="62"/>
      <c r="J30" s="58"/>
      <c r="K30" s="58"/>
      <c r="L30" s="65"/>
      <c r="M30" s="58"/>
      <c r="N30" s="59"/>
      <c r="O30" s="69"/>
      <c r="P30" s="68"/>
    </row>
    <row r="31" spans="1:16" x14ac:dyDescent="0.25">
      <c r="A31" s="55">
        <v>25</v>
      </c>
      <c r="B31" s="70" t="s">
        <v>86</v>
      </c>
      <c r="C31" s="60"/>
      <c r="D31" s="60"/>
      <c r="E31" s="55"/>
      <c r="F31" s="61"/>
      <c r="G31" s="61"/>
      <c r="H31" s="61"/>
      <c r="I31" s="71">
        <f>I8+I12+I24+I18+I29</f>
        <v>252308141.20637855</v>
      </c>
      <c r="J31" s="66">
        <f t="shared" ref="J31" si="9">J8+J12+J24+J18+J29</f>
        <v>60880670.944669843</v>
      </c>
      <c r="K31" s="66">
        <f>K8+K12+K24+K18+K29</f>
        <v>62010382.342525594</v>
      </c>
      <c r="L31" s="72">
        <f>J31/$J$43</f>
        <v>0.87258513895534884</v>
      </c>
      <c r="M31" s="66">
        <f t="shared" si="0"/>
        <v>-1632169.9467420217</v>
      </c>
      <c r="N31" s="73">
        <f>M31/J31</f>
        <v>-2.6809329158434966E-2</v>
      </c>
      <c r="O31" s="69"/>
      <c r="P31" s="68"/>
    </row>
    <row r="32" spans="1:16" x14ac:dyDescent="0.25">
      <c r="A32" s="55">
        <v>26</v>
      </c>
      <c r="B32" s="55"/>
      <c r="C32" s="60"/>
      <c r="D32" s="60"/>
      <c r="E32" s="55"/>
      <c r="F32" s="61"/>
      <c r="G32" s="61"/>
      <c r="H32" s="61"/>
      <c r="I32" s="74"/>
      <c r="J32" s="58"/>
      <c r="K32" s="58"/>
      <c r="L32" s="58"/>
      <c r="M32" s="58"/>
      <c r="N32" s="59"/>
      <c r="O32" s="69"/>
      <c r="P32" s="68"/>
    </row>
    <row r="33" spans="1:16" x14ac:dyDescent="0.25">
      <c r="A33" s="55">
        <v>27</v>
      </c>
      <c r="B33" s="70" t="s">
        <v>87</v>
      </c>
      <c r="C33" s="60"/>
      <c r="D33" s="60"/>
      <c r="E33" s="55"/>
      <c r="F33" s="61"/>
      <c r="G33" s="61"/>
      <c r="H33" s="61"/>
      <c r="I33" s="74"/>
      <c r="J33" s="58"/>
      <c r="K33" s="58"/>
      <c r="L33" s="58"/>
      <c r="M33" s="58"/>
      <c r="N33" s="59"/>
      <c r="O33" s="69"/>
      <c r="P33" s="68"/>
    </row>
    <row r="34" spans="1:16" x14ac:dyDescent="0.25">
      <c r="A34" s="55">
        <v>28</v>
      </c>
      <c r="B34" s="55" t="s">
        <v>88</v>
      </c>
      <c r="C34" s="60">
        <v>663</v>
      </c>
      <c r="D34" s="60" t="s">
        <v>89</v>
      </c>
      <c r="E34" s="55">
        <v>5.3310000000000003E-2</v>
      </c>
      <c r="F34" s="61">
        <f>E34*(1+N35)</f>
        <v>5.1880794662563838E-2</v>
      </c>
      <c r="G34" s="61">
        <v>1.7099999999999999E-3</v>
      </c>
      <c r="H34" s="61">
        <f t="shared" ref="H34:H37" si="10">G34+F34</f>
        <v>5.3590794662563841E-2</v>
      </c>
      <c r="I34" s="75">
        <v>98378564.891732141</v>
      </c>
      <c r="J34" s="63">
        <f>I34*E34</f>
        <v>5244561.2943782406</v>
      </c>
      <c r="K34" s="58">
        <f>H34*I34</f>
        <v>5272185.4703105297</v>
      </c>
      <c r="L34" s="65">
        <f>J34/$J$43</f>
        <v>7.516878797170258E-2</v>
      </c>
      <c r="M34" s="58">
        <f t="shared" si="0"/>
        <v>-140603.17003257398</v>
      </c>
      <c r="N34" s="59">
        <f t="shared" ref="N34:N37" si="11">M34/J34</f>
        <v>-2.6809329158434963E-2</v>
      </c>
      <c r="O34" s="69"/>
      <c r="P34" s="68"/>
    </row>
    <row r="35" spans="1:16" x14ac:dyDescent="0.25">
      <c r="A35" s="55">
        <v>29</v>
      </c>
      <c r="B35" s="55"/>
      <c r="C35" s="60"/>
      <c r="D35" s="60" t="s">
        <v>90</v>
      </c>
      <c r="E35" s="55">
        <v>1.9449999999999999E-2</v>
      </c>
      <c r="F35" s="61">
        <f>E35*(1+N36)</f>
        <v>1.892855854786844E-2</v>
      </c>
      <c r="G35" s="61">
        <v>1.7099999999999999E-3</v>
      </c>
      <c r="H35" s="61">
        <f t="shared" si="10"/>
        <v>2.0638558547868439E-2</v>
      </c>
      <c r="I35" s="75">
        <v>71561496.231790751</v>
      </c>
      <c r="J35" s="63">
        <f>I35*E35</f>
        <v>1391871.10170833</v>
      </c>
      <c r="K35" s="58">
        <f>H35*I35</f>
        <v>1476926.1297528802</v>
      </c>
      <c r="L35" s="65">
        <f t="shared" ref="L35:L37" si="12">J35/$J$43</f>
        <v>1.9949288006301621E-2</v>
      </c>
      <c r="M35" s="58">
        <f t="shared" si="0"/>
        <v>-37315.130511812131</v>
      </c>
      <c r="N35" s="59">
        <f t="shared" si="11"/>
        <v>-2.6809329158434966E-2</v>
      </c>
      <c r="O35" s="69"/>
      <c r="P35" s="68"/>
    </row>
    <row r="36" spans="1:16" x14ac:dyDescent="0.25">
      <c r="A36" s="55">
        <v>30</v>
      </c>
      <c r="B36" s="55"/>
      <c r="C36" s="60"/>
      <c r="D36" s="60" t="s">
        <v>90</v>
      </c>
      <c r="E36" s="55">
        <v>1.1820000000000001E-2</v>
      </c>
      <c r="F36" s="61">
        <f>E36*(1+N37)</f>
        <v>1.15031137293473E-2</v>
      </c>
      <c r="G36" s="61">
        <v>1.7099999999999999E-3</v>
      </c>
      <c r="H36" s="61">
        <f t="shared" si="10"/>
        <v>1.32131137293473E-2</v>
      </c>
      <c r="I36" s="75">
        <v>38711378.628469028</v>
      </c>
      <c r="J36" s="63">
        <f>I36*E36</f>
        <v>457568.49538850394</v>
      </c>
      <c r="K36" s="58">
        <f t="shared" ref="K36:K37" si="13">H36*I36</f>
        <v>511497.84843778575</v>
      </c>
      <c r="L36" s="65">
        <f t="shared" si="12"/>
        <v>6.5581975844687017E-3</v>
      </c>
      <c r="M36" s="58">
        <f t="shared" si="0"/>
        <v>-12267.104405400234</v>
      </c>
      <c r="N36" s="59">
        <f t="shared" si="11"/>
        <v>-2.6809329158434966E-2</v>
      </c>
      <c r="O36" s="69"/>
      <c r="P36" s="68"/>
    </row>
    <row r="37" spans="1:16" x14ac:dyDescent="0.25">
      <c r="A37" s="55">
        <v>31</v>
      </c>
      <c r="B37" s="55"/>
      <c r="C37" s="60"/>
      <c r="D37" s="60" t="s">
        <v>91</v>
      </c>
      <c r="E37" s="55">
        <v>5.62E-3</v>
      </c>
      <c r="F37" s="61">
        <f>E37*(1+N38)</f>
        <v>5.4693315701295955E-3</v>
      </c>
      <c r="G37" s="61">
        <v>1.7099999999999999E-3</v>
      </c>
      <c r="H37" s="61">
        <f t="shared" si="10"/>
        <v>7.1793315701295952E-3</v>
      </c>
      <c r="I37" s="75">
        <v>319536159.87201685</v>
      </c>
      <c r="J37" s="63">
        <f>I37*E37</f>
        <v>1795793.2184807346</v>
      </c>
      <c r="K37" s="58">
        <f t="shared" si="13"/>
        <v>2294056.0403671479</v>
      </c>
      <c r="L37" s="65">
        <f t="shared" si="12"/>
        <v>2.5738587482178128E-2</v>
      </c>
      <c r="M37" s="58">
        <f t="shared" si="0"/>
        <v>-48144.011494735329</v>
      </c>
      <c r="N37" s="59">
        <f t="shared" si="11"/>
        <v>-2.6809329158434963E-2</v>
      </c>
      <c r="O37" s="69"/>
      <c r="P37" s="68"/>
    </row>
    <row r="38" spans="1:16" x14ac:dyDescent="0.25">
      <c r="A38" s="55">
        <v>32</v>
      </c>
      <c r="B38" s="55" t="s">
        <v>22</v>
      </c>
      <c r="C38" s="60"/>
      <c r="D38" s="60"/>
      <c r="E38" s="55"/>
      <c r="F38" s="61"/>
      <c r="G38" s="61"/>
      <c r="H38" s="61"/>
      <c r="I38" s="62">
        <f>SUM(I34:I37)</f>
        <v>528187599.62400877</v>
      </c>
      <c r="J38" s="63">
        <f>SUM(J34:J37)</f>
        <v>8889794.10995581</v>
      </c>
      <c r="K38" s="58">
        <f>SUM(K34:K37)</f>
        <v>9554665.4888683446</v>
      </c>
      <c r="L38" s="65">
        <f>J38/$J$43</f>
        <v>0.12741486104465105</v>
      </c>
      <c r="M38" s="66">
        <f t="shared" si="0"/>
        <v>-238329.41644452172</v>
      </c>
      <c r="N38" s="59">
        <f>M38/J38</f>
        <v>-2.6809329158434966E-2</v>
      </c>
      <c r="O38" s="67">
        <f>+M38/I38</f>
        <v>-4.5122115061803212E-4</v>
      </c>
      <c r="P38" s="68"/>
    </row>
    <row r="39" spans="1:16" x14ac:dyDescent="0.25">
      <c r="A39" s="55">
        <v>33</v>
      </c>
      <c r="B39" s="55"/>
      <c r="C39" s="60"/>
      <c r="D39" s="60" t="s">
        <v>68</v>
      </c>
      <c r="E39" s="55"/>
      <c r="F39" s="61"/>
      <c r="G39" s="61"/>
      <c r="H39" s="61"/>
      <c r="I39" s="55"/>
      <c r="J39" s="62"/>
      <c r="K39" s="58"/>
      <c r="L39" s="58"/>
      <c r="M39" s="58"/>
      <c r="N39" s="59"/>
      <c r="P39" s="64"/>
    </row>
    <row r="40" spans="1:16" x14ac:dyDescent="0.25">
      <c r="A40" s="55">
        <v>34</v>
      </c>
      <c r="C40" s="76"/>
      <c r="D40" s="55"/>
      <c r="E40" s="55"/>
      <c r="F40" s="55"/>
      <c r="G40" s="55"/>
      <c r="H40" s="55"/>
      <c r="I40" s="55"/>
      <c r="J40"/>
      <c r="K40" s="58"/>
      <c r="M40" s="58"/>
      <c r="N40" s="59"/>
      <c r="P40" s="64"/>
    </row>
    <row r="41" spans="1:16" x14ac:dyDescent="0.25">
      <c r="A41" s="55">
        <v>35</v>
      </c>
      <c r="B41" s="70" t="s">
        <v>92</v>
      </c>
      <c r="C41" s="55"/>
      <c r="D41" s="55"/>
      <c r="E41" s="55"/>
      <c r="F41" s="55"/>
      <c r="G41" s="55"/>
      <c r="H41" s="55"/>
      <c r="I41" s="66">
        <f>SUM(I38:I39)</f>
        <v>528187599.62400877</v>
      </c>
      <c r="J41" s="71">
        <f>SUM(J38:J39)</f>
        <v>8889794.10995581</v>
      </c>
      <c r="K41" s="66">
        <f>+K38</f>
        <v>9554665.4888683446</v>
      </c>
      <c r="L41" s="72">
        <f>J41/$J$43</f>
        <v>0.12741486104465105</v>
      </c>
      <c r="M41" s="66">
        <f t="shared" si="0"/>
        <v>-238329.41644452172</v>
      </c>
      <c r="N41" s="73">
        <f>M41/J41</f>
        <v>-2.6809329158434966E-2</v>
      </c>
      <c r="P41" s="64"/>
    </row>
    <row r="42" spans="1:16" ht="15.75" thickBot="1" x14ac:dyDescent="0.3">
      <c r="A42" s="55">
        <v>36</v>
      </c>
      <c r="B42" s="70"/>
      <c r="C42" s="55"/>
      <c r="D42" s="55"/>
      <c r="E42" s="55"/>
      <c r="F42" s="55"/>
      <c r="G42" s="55"/>
      <c r="H42" s="55"/>
      <c r="I42" s="58"/>
      <c r="J42" s="58"/>
      <c r="K42" s="58"/>
      <c r="L42" s="65"/>
      <c r="M42" s="78"/>
      <c r="N42" s="59"/>
      <c r="P42" s="64"/>
    </row>
    <row r="43" spans="1:16" x14ac:dyDescent="0.25">
      <c r="A43" s="55">
        <v>37</v>
      </c>
      <c r="B43" s="79" t="s">
        <v>22</v>
      </c>
      <c r="C43" s="48"/>
      <c r="D43" s="48"/>
      <c r="E43" s="48"/>
      <c r="F43" s="48"/>
      <c r="G43" s="48"/>
      <c r="H43" s="48"/>
      <c r="I43" s="80">
        <f>I31+I41</f>
        <v>780495740.83038735</v>
      </c>
      <c r="J43" s="80">
        <f>J31+J41</f>
        <v>69770465.05462566</v>
      </c>
      <c r="K43" s="80">
        <f>+K31+K41</f>
        <v>71565047.831393942</v>
      </c>
      <c r="L43" s="81">
        <f>L31+L41</f>
        <v>0.99999999999999989</v>
      </c>
      <c r="M43" s="123">
        <f>+M52</f>
        <v>-1870499.3631865436</v>
      </c>
      <c r="N43" s="82">
        <f>M43/J43</f>
        <v>-2.6809329158434966E-2</v>
      </c>
      <c r="O43" s="69"/>
    </row>
    <row r="44" spans="1:16" x14ac:dyDescent="0.25">
      <c r="A44" s="55">
        <v>38</v>
      </c>
      <c r="M44" s="83" t="s">
        <v>93</v>
      </c>
      <c r="N44" s="84"/>
    </row>
    <row r="45" spans="1:16" x14ac:dyDescent="0.25">
      <c r="A45" s="85">
        <v>39</v>
      </c>
      <c r="B45" s="86"/>
      <c r="C45" s="86"/>
      <c r="D45" s="86"/>
      <c r="E45" s="86"/>
      <c r="F45" s="86"/>
      <c r="G45" s="86"/>
      <c r="H45" s="86"/>
      <c r="I45" s="86"/>
      <c r="J45" s="87"/>
      <c r="K45" s="87"/>
      <c r="L45" s="87"/>
      <c r="M45" s="88" t="s">
        <v>94</v>
      </c>
      <c r="N45" s="89"/>
    </row>
    <row r="46" spans="1:16" x14ac:dyDescent="0.25">
      <c r="O46" s="77"/>
    </row>
    <row r="47" spans="1:16" x14ac:dyDescent="0.25">
      <c r="O47" s="69"/>
    </row>
    <row r="48" spans="1:16" x14ac:dyDescent="0.25">
      <c r="J48" s="77" t="s">
        <v>95</v>
      </c>
      <c r="M48" s="77">
        <f>SUM('[1]2540.20481'!$G$12,'[1]2540.20481'!$D$14:$D$18)</f>
        <v>-1413242.8499999999</v>
      </c>
    </row>
    <row r="49" spans="10:15" x14ac:dyDescent="0.25">
      <c r="J49" s="77" t="s">
        <v>34</v>
      </c>
      <c r="M49" s="91">
        <v>0.75554308000000003</v>
      </c>
      <c r="O49" s="91"/>
    </row>
    <row r="50" spans="10:15" x14ac:dyDescent="0.25">
      <c r="J50" s="77" t="s">
        <v>96</v>
      </c>
      <c r="M50" s="77">
        <f>+M48/M49</f>
        <v>-1870499.3631865436</v>
      </c>
    </row>
    <row r="52" spans="10:15" x14ac:dyDescent="0.25">
      <c r="J52" s="77" t="s">
        <v>97</v>
      </c>
      <c r="M52" s="92">
        <f>+M50-S45</f>
        <v>-1870499.3631865436</v>
      </c>
    </row>
    <row r="53" spans="10:15" x14ac:dyDescent="0.25">
      <c r="M53" s="90">
        <f>+M52/J43</f>
        <v>-2.6809329158434966E-2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0FE3-AA93-4EBE-B1EF-C78F66FE7157}">
  <sheetPr>
    <tabColor theme="9" tint="0.39997558519241921"/>
    <pageSetUpPr fitToPage="1"/>
  </sheetPr>
  <dimension ref="A1:P20"/>
  <sheetViews>
    <sheetView topLeftCell="D1" workbookViewId="0">
      <selection activeCell="P2" sqref="P2:P18"/>
    </sheetView>
  </sheetViews>
  <sheetFormatPr defaultRowHeight="15" x14ac:dyDescent="0.25"/>
  <cols>
    <col min="1" max="1" width="11" customWidth="1"/>
    <col min="2" max="2" width="12" bestFit="1" customWidth="1"/>
    <col min="3" max="6" width="11" customWidth="1"/>
    <col min="7" max="7" width="12" bestFit="1" customWidth="1"/>
    <col min="8" max="11" width="11" customWidth="1"/>
    <col min="12" max="14" width="12" bestFit="1" customWidth="1"/>
    <col min="15" max="15" width="11" customWidth="1"/>
    <col min="16" max="16" width="14.28515625" bestFit="1" customWidth="1"/>
  </cols>
  <sheetData>
    <row r="1" spans="1:16" x14ac:dyDescent="0.25">
      <c r="A1" s="94"/>
      <c r="B1" s="95">
        <v>503</v>
      </c>
      <c r="C1" s="96" t="s">
        <v>98</v>
      </c>
      <c r="D1" s="96">
        <v>505</v>
      </c>
      <c r="E1" s="97">
        <v>511</v>
      </c>
      <c r="F1" s="96" t="s">
        <v>99</v>
      </c>
      <c r="G1" s="96">
        <v>504</v>
      </c>
      <c r="H1" s="97" t="s">
        <v>100</v>
      </c>
      <c r="I1" s="96" t="s">
        <v>98</v>
      </c>
      <c r="J1" s="97">
        <v>570</v>
      </c>
      <c r="K1" s="95">
        <v>570</v>
      </c>
      <c r="L1" s="98" t="s">
        <v>101</v>
      </c>
      <c r="M1" s="99">
        <v>6631</v>
      </c>
      <c r="N1" s="99">
        <v>6633</v>
      </c>
      <c r="O1" s="99">
        <v>6635</v>
      </c>
    </row>
    <row r="2" spans="1:16" x14ac:dyDescent="0.25">
      <c r="A2" s="100">
        <v>43921</v>
      </c>
      <c r="B2" s="101">
        <v>17635811</v>
      </c>
      <c r="C2" s="102">
        <v>0</v>
      </c>
      <c r="D2" s="102">
        <v>1356275</v>
      </c>
      <c r="E2" s="103">
        <v>297569</v>
      </c>
      <c r="F2" s="102">
        <v>4903</v>
      </c>
      <c r="G2" s="102">
        <v>11812961</v>
      </c>
      <c r="H2" s="103">
        <v>3033699</v>
      </c>
      <c r="I2" s="102">
        <v>182</v>
      </c>
      <c r="J2" s="103">
        <v>0</v>
      </c>
      <c r="K2" s="101">
        <v>229265</v>
      </c>
      <c r="L2" s="101">
        <v>32606618</v>
      </c>
      <c r="M2" s="102">
        <v>15670834</v>
      </c>
      <c r="N2" s="102">
        <v>14229128</v>
      </c>
      <c r="O2" s="102">
        <v>3004872</v>
      </c>
      <c r="P2" s="105">
        <f>SUM(B2:O2)</f>
        <v>99882117</v>
      </c>
    </row>
    <row r="3" spans="1:16" x14ac:dyDescent="0.25">
      <c r="A3" s="100">
        <v>43951</v>
      </c>
      <c r="B3" s="101">
        <v>13930299</v>
      </c>
      <c r="C3" s="102">
        <v>0</v>
      </c>
      <c r="D3" s="102">
        <v>1128418</v>
      </c>
      <c r="E3" s="103">
        <v>537766</v>
      </c>
      <c r="F3" s="102">
        <v>3889</v>
      </c>
      <c r="G3" s="102">
        <v>8554564</v>
      </c>
      <c r="H3" s="103">
        <v>2377971</v>
      </c>
      <c r="I3" s="102">
        <v>193</v>
      </c>
      <c r="J3" s="103">
        <v>0</v>
      </c>
      <c r="K3" s="101">
        <v>189521</v>
      </c>
      <c r="L3" s="101">
        <v>27153616</v>
      </c>
      <c r="M3" s="102">
        <v>13569738</v>
      </c>
      <c r="N3" s="102">
        <v>11001952</v>
      </c>
      <c r="O3" s="102">
        <v>3430843</v>
      </c>
      <c r="P3" s="105">
        <f t="shared" ref="P3:P18" si="0">SUM(B3:O3)</f>
        <v>81878770</v>
      </c>
    </row>
    <row r="4" spans="1:16" x14ac:dyDescent="0.25">
      <c r="A4" s="100">
        <v>43982</v>
      </c>
      <c r="B4" s="101">
        <v>6809502</v>
      </c>
      <c r="C4" s="102">
        <v>0</v>
      </c>
      <c r="D4" s="102">
        <v>713209</v>
      </c>
      <c r="E4" s="103">
        <v>222952</v>
      </c>
      <c r="F4" s="102">
        <v>2219</v>
      </c>
      <c r="G4" s="102">
        <v>4127918</v>
      </c>
      <c r="H4" s="103">
        <v>1489675</v>
      </c>
      <c r="I4" s="102">
        <v>0</v>
      </c>
      <c r="J4" s="103">
        <v>0</v>
      </c>
      <c r="K4" s="101">
        <v>139474</v>
      </c>
      <c r="L4" s="101">
        <v>29220834</v>
      </c>
      <c r="M4" s="102">
        <v>2198918</v>
      </c>
      <c r="N4" s="102">
        <v>791584</v>
      </c>
      <c r="O4" s="102">
        <v>447784</v>
      </c>
      <c r="P4" s="105">
        <f t="shared" si="0"/>
        <v>46164069</v>
      </c>
    </row>
    <row r="5" spans="1:16" x14ac:dyDescent="0.25">
      <c r="A5" s="100">
        <v>44012</v>
      </c>
      <c r="B5" s="101">
        <v>5005480</v>
      </c>
      <c r="C5" s="102">
        <v>0</v>
      </c>
      <c r="D5" s="102">
        <v>637229</v>
      </c>
      <c r="E5" s="103">
        <v>433558</v>
      </c>
      <c r="F5" s="102">
        <v>2099</v>
      </c>
      <c r="G5" s="102">
        <v>3158885</v>
      </c>
      <c r="H5" s="103">
        <v>1216237</v>
      </c>
      <c r="I5" s="102">
        <v>0</v>
      </c>
      <c r="J5" s="103">
        <v>0</v>
      </c>
      <c r="K5" s="101">
        <v>109505</v>
      </c>
      <c r="L5" s="101">
        <v>27661973</v>
      </c>
      <c r="M5" s="102">
        <v>3015900</v>
      </c>
      <c r="N5" s="102">
        <v>1306946</v>
      </c>
      <c r="O5" s="102">
        <v>736401</v>
      </c>
      <c r="P5" s="105">
        <f t="shared" si="0"/>
        <v>43284213</v>
      </c>
    </row>
    <row r="6" spans="1:16" x14ac:dyDescent="0.25">
      <c r="A6" s="100">
        <v>44043</v>
      </c>
      <c r="B6" s="101">
        <v>4024864</v>
      </c>
      <c r="C6" s="102">
        <v>0</v>
      </c>
      <c r="D6" s="102">
        <v>562464</v>
      </c>
      <c r="E6" s="103">
        <v>335278</v>
      </c>
      <c r="F6" s="102">
        <v>943</v>
      </c>
      <c r="G6" s="102">
        <v>2836474</v>
      </c>
      <c r="H6" s="103">
        <v>1217402</v>
      </c>
      <c r="I6" s="102">
        <v>0</v>
      </c>
      <c r="J6" s="103">
        <v>0</v>
      </c>
      <c r="K6" s="101">
        <v>106383</v>
      </c>
      <c r="L6" s="101">
        <v>28966911</v>
      </c>
      <c r="M6" s="102">
        <v>9874110</v>
      </c>
      <c r="N6" s="102">
        <v>5180231</v>
      </c>
      <c r="O6" s="102">
        <v>1984278</v>
      </c>
      <c r="P6" s="105">
        <f t="shared" si="0"/>
        <v>55089338</v>
      </c>
    </row>
    <row r="7" spans="1:16" x14ac:dyDescent="0.25">
      <c r="A7" s="100">
        <v>44074</v>
      </c>
      <c r="B7" s="101">
        <v>2732363</v>
      </c>
      <c r="C7" s="102">
        <v>0</v>
      </c>
      <c r="D7" s="102">
        <v>497342</v>
      </c>
      <c r="E7" s="103">
        <v>298740</v>
      </c>
      <c r="F7" s="102">
        <v>816</v>
      </c>
      <c r="G7" s="102">
        <v>2165794</v>
      </c>
      <c r="H7" s="103">
        <v>956939</v>
      </c>
      <c r="I7" s="102">
        <v>0</v>
      </c>
      <c r="J7" s="103">
        <v>0</v>
      </c>
      <c r="K7" s="101">
        <v>100500</v>
      </c>
      <c r="L7" s="101">
        <v>32340707</v>
      </c>
      <c r="M7" s="102">
        <v>13157147</v>
      </c>
      <c r="N7" s="102">
        <v>10278160</v>
      </c>
      <c r="O7" s="102">
        <v>4334957</v>
      </c>
      <c r="P7" s="105">
        <f t="shared" si="0"/>
        <v>66863465</v>
      </c>
    </row>
    <row r="8" spans="1:16" x14ac:dyDescent="0.25">
      <c r="A8" s="100">
        <v>44104</v>
      </c>
      <c r="B8" s="101">
        <v>2948480</v>
      </c>
      <c r="C8" s="102">
        <v>0</v>
      </c>
      <c r="D8" s="102">
        <v>620797</v>
      </c>
      <c r="E8" s="103">
        <v>341767</v>
      </c>
      <c r="F8" s="102">
        <v>643</v>
      </c>
      <c r="G8" s="102">
        <v>2450387</v>
      </c>
      <c r="H8" s="103">
        <v>933559</v>
      </c>
      <c r="I8" s="102">
        <v>0</v>
      </c>
      <c r="J8" s="103">
        <v>0</v>
      </c>
      <c r="K8" s="101">
        <v>94559</v>
      </c>
      <c r="L8" s="101">
        <v>34240639</v>
      </c>
      <c r="M8" s="102">
        <v>14061705</v>
      </c>
      <c r="N8" s="102">
        <v>12575104</v>
      </c>
      <c r="O8" s="102">
        <v>5435910</v>
      </c>
      <c r="P8" s="105">
        <f t="shared" si="0"/>
        <v>73703550</v>
      </c>
    </row>
    <row r="9" spans="1:16" x14ac:dyDescent="0.25">
      <c r="A9" s="100">
        <v>44135</v>
      </c>
      <c r="B9" s="101">
        <v>4232461</v>
      </c>
      <c r="C9" s="102">
        <v>0</v>
      </c>
      <c r="D9" s="102">
        <v>1000739</v>
      </c>
      <c r="E9" s="103">
        <v>374010</v>
      </c>
      <c r="F9" s="102">
        <v>3290</v>
      </c>
      <c r="G9" s="102">
        <v>3183599</v>
      </c>
      <c r="H9" s="103">
        <v>506452</v>
      </c>
      <c r="I9" s="102">
        <v>0</v>
      </c>
      <c r="J9" s="103">
        <v>0</v>
      </c>
      <c r="K9" s="101">
        <v>178840</v>
      </c>
      <c r="L9" s="101">
        <v>36890125</v>
      </c>
      <c r="M9" s="102">
        <v>9459059</v>
      </c>
      <c r="N9" s="102">
        <v>8268305</v>
      </c>
      <c r="O9" s="102">
        <v>1590604</v>
      </c>
      <c r="P9" s="105">
        <f t="shared" si="0"/>
        <v>65687484</v>
      </c>
    </row>
    <row r="10" spans="1:16" x14ac:dyDescent="0.25">
      <c r="A10" s="100">
        <v>44165</v>
      </c>
      <c r="B10" s="101">
        <v>6886950</v>
      </c>
      <c r="C10" s="102">
        <v>0</v>
      </c>
      <c r="D10" s="102">
        <v>615235</v>
      </c>
      <c r="E10" s="103">
        <v>224068</v>
      </c>
      <c r="F10" s="102">
        <v>0</v>
      </c>
      <c r="G10" s="102">
        <v>4428383</v>
      </c>
      <c r="H10" s="103">
        <v>570674</v>
      </c>
      <c r="I10" s="102">
        <v>0</v>
      </c>
      <c r="J10" s="103">
        <v>0</v>
      </c>
      <c r="K10" s="101">
        <v>0</v>
      </c>
      <c r="L10" s="101">
        <v>-43037</v>
      </c>
      <c r="M10" s="102">
        <v>0</v>
      </c>
      <c r="N10" s="102">
        <v>0</v>
      </c>
      <c r="O10" s="102">
        <v>0</v>
      </c>
      <c r="P10" s="105">
        <f t="shared" si="0"/>
        <v>12682273</v>
      </c>
    </row>
    <row r="11" spans="1:16" x14ac:dyDescent="0.25">
      <c r="A11" s="100">
        <v>44165</v>
      </c>
      <c r="B11" s="101">
        <v>3564962</v>
      </c>
      <c r="C11" s="102">
        <v>0</v>
      </c>
      <c r="D11" s="102">
        <v>255052</v>
      </c>
      <c r="E11" s="103">
        <v>108414</v>
      </c>
      <c r="F11" s="102">
        <v>5658</v>
      </c>
      <c r="G11" s="102">
        <v>2059842</v>
      </c>
      <c r="H11" s="103">
        <v>341335</v>
      </c>
      <c r="I11" s="102">
        <v>0</v>
      </c>
      <c r="J11" s="103">
        <v>0</v>
      </c>
      <c r="K11" s="101">
        <v>220318</v>
      </c>
      <c r="L11" s="101">
        <v>38203799</v>
      </c>
      <c r="M11" s="102">
        <v>7516479</v>
      </c>
      <c r="N11" s="102">
        <v>2419246</v>
      </c>
      <c r="O11" s="102">
        <v>916410</v>
      </c>
      <c r="P11" s="105">
        <f t="shared" si="0"/>
        <v>55611515</v>
      </c>
    </row>
    <row r="12" spans="1:16" x14ac:dyDescent="0.25">
      <c r="A12" s="100">
        <v>44196</v>
      </c>
      <c r="B12" s="101">
        <v>18475354</v>
      </c>
      <c r="C12" s="102">
        <v>0</v>
      </c>
      <c r="D12" s="102">
        <v>1356324</v>
      </c>
      <c r="E12" s="103">
        <v>419977</v>
      </c>
      <c r="F12" s="102">
        <v>7535</v>
      </c>
      <c r="G12" s="102">
        <v>12051598</v>
      </c>
      <c r="H12" s="103">
        <v>1502233</v>
      </c>
      <c r="I12" s="102">
        <v>0</v>
      </c>
      <c r="J12" s="103">
        <v>0</v>
      </c>
      <c r="K12" s="101">
        <v>244469</v>
      </c>
      <c r="L12" s="101">
        <v>37243979</v>
      </c>
      <c r="M12" s="102">
        <v>13353201</v>
      </c>
      <c r="N12" s="102">
        <v>9176642</v>
      </c>
      <c r="O12" s="102">
        <v>764453</v>
      </c>
      <c r="P12" s="105">
        <f t="shared" si="0"/>
        <v>94595765</v>
      </c>
    </row>
    <row r="13" spans="1:16" x14ac:dyDescent="0.25">
      <c r="A13" s="100">
        <v>44227</v>
      </c>
      <c r="B13" s="101">
        <v>19685299</v>
      </c>
      <c r="C13" s="102">
        <v>0</v>
      </c>
      <c r="D13" s="102">
        <v>1264480</v>
      </c>
      <c r="E13" s="103">
        <v>431368</v>
      </c>
      <c r="F13" s="102">
        <v>12694</v>
      </c>
      <c r="G13" s="102">
        <v>12849986</v>
      </c>
      <c r="H13" s="103">
        <v>1460025</v>
      </c>
      <c r="I13" s="102">
        <v>0</v>
      </c>
      <c r="J13" s="103">
        <v>0</v>
      </c>
      <c r="K13" s="101">
        <v>248648</v>
      </c>
      <c r="L13" s="101">
        <v>39534451</v>
      </c>
      <c r="M13" s="102">
        <v>12333204</v>
      </c>
      <c r="N13" s="102">
        <v>5190781</v>
      </c>
      <c r="O13" s="102">
        <v>252622</v>
      </c>
      <c r="P13" s="105">
        <f t="shared" si="0"/>
        <v>93263558</v>
      </c>
    </row>
    <row r="14" spans="1:16" x14ac:dyDescent="0.25">
      <c r="A14" s="100">
        <v>44255</v>
      </c>
      <c r="B14" s="101">
        <v>18599534</v>
      </c>
      <c r="C14" s="102">
        <v>0</v>
      </c>
      <c r="D14" s="102">
        <v>1226133</v>
      </c>
      <c r="E14" s="103">
        <v>372501</v>
      </c>
      <c r="F14" s="102">
        <v>7553</v>
      </c>
      <c r="G14" s="102">
        <v>12050270</v>
      </c>
      <c r="H14" s="103">
        <v>1413677</v>
      </c>
      <c r="I14" s="102">
        <v>0</v>
      </c>
      <c r="J14" s="103">
        <v>0</v>
      </c>
      <c r="K14" s="101">
        <v>239855</v>
      </c>
      <c r="L14" s="101">
        <v>36249518</v>
      </c>
      <c r="M14" s="102">
        <v>10471909</v>
      </c>
      <c r="N14" s="102">
        <v>5382227</v>
      </c>
      <c r="O14" s="102">
        <v>982292</v>
      </c>
      <c r="P14" s="105">
        <f t="shared" si="0"/>
        <v>86995469</v>
      </c>
    </row>
    <row r="15" spans="1:16" x14ac:dyDescent="0.25">
      <c r="A15" s="100">
        <v>44286</v>
      </c>
      <c r="B15" s="101">
        <v>19676756</v>
      </c>
      <c r="C15" s="102">
        <v>0</v>
      </c>
      <c r="D15" s="102">
        <v>1362750</v>
      </c>
      <c r="E15" s="103">
        <v>456093</v>
      </c>
      <c r="F15" s="102">
        <v>3998</v>
      </c>
      <c r="G15" s="102">
        <v>13158991</v>
      </c>
      <c r="H15" s="103">
        <v>1484437</v>
      </c>
      <c r="I15" s="102">
        <v>0</v>
      </c>
      <c r="J15" s="103">
        <v>0</v>
      </c>
      <c r="K15" s="101">
        <v>234583</v>
      </c>
      <c r="L15" s="101">
        <v>38737982</v>
      </c>
      <c r="M15" s="102">
        <v>15050505</v>
      </c>
      <c r="N15" s="102">
        <v>10973891</v>
      </c>
      <c r="O15" s="102">
        <v>2069033</v>
      </c>
      <c r="P15" s="105">
        <f t="shared" si="0"/>
        <v>103209019</v>
      </c>
    </row>
    <row r="16" spans="1:16" x14ac:dyDescent="0.25">
      <c r="A16" s="100">
        <v>44316</v>
      </c>
      <c r="B16" s="101">
        <v>13567783</v>
      </c>
      <c r="C16" s="102">
        <v>0</v>
      </c>
      <c r="D16" s="102">
        <v>1066951</v>
      </c>
      <c r="E16" s="103">
        <v>426217</v>
      </c>
      <c r="F16" s="102">
        <v>2200</v>
      </c>
      <c r="G16" s="102">
        <v>9154067</v>
      </c>
      <c r="H16" s="103">
        <v>1134637</v>
      </c>
      <c r="I16" s="102">
        <v>0</v>
      </c>
      <c r="J16" s="103">
        <v>0</v>
      </c>
      <c r="K16" s="101">
        <v>180576</v>
      </c>
      <c r="L16" s="101">
        <v>36210898</v>
      </c>
      <c r="M16" s="102">
        <v>6562711</v>
      </c>
      <c r="N16" s="102">
        <v>12896888</v>
      </c>
      <c r="O16" s="102">
        <v>8378207</v>
      </c>
      <c r="P16" s="105">
        <f t="shared" si="0"/>
        <v>89581135</v>
      </c>
    </row>
    <row r="17" spans="1:16" x14ac:dyDescent="0.25">
      <c r="A17" s="100">
        <v>44347</v>
      </c>
      <c r="B17" s="101">
        <v>6623364</v>
      </c>
      <c r="C17" s="102">
        <v>0</v>
      </c>
      <c r="D17" s="102">
        <v>680086</v>
      </c>
      <c r="E17" s="103">
        <v>286219</v>
      </c>
      <c r="F17" s="102">
        <v>3602</v>
      </c>
      <c r="G17" s="102">
        <v>4930955</v>
      </c>
      <c r="H17" s="103">
        <v>641375</v>
      </c>
      <c r="I17" s="102">
        <v>0</v>
      </c>
      <c r="J17" s="103">
        <v>0</v>
      </c>
      <c r="K17" s="101">
        <v>143789</v>
      </c>
      <c r="L17" s="101">
        <v>34143279</v>
      </c>
      <c r="M17" s="102">
        <v>364</v>
      </c>
      <c r="N17" s="102">
        <v>5871337</v>
      </c>
      <c r="O17" s="102">
        <v>2903752</v>
      </c>
      <c r="P17" s="105">
        <f t="shared" si="0"/>
        <v>56228122</v>
      </c>
    </row>
    <row r="18" spans="1:16" x14ac:dyDescent="0.25">
      <c r="A18" s="100">
        <v>44377</v>
      </c>
      <c r="B18" s="101">
        <v>5165480</v>
      </c>
      <c r="C18" s="102">
        <v>0</v>
      </c>
      <c r="D18" s="102">
        <v>585095</v>
      </c>
      <c r="E18" s="103">
        <v>448138</v>
      </c>
      <c r="F18" s="102">
        <v>1512</v>
      </c>
      <c r="G18" s="102">
        <v>4017478</v>
      </c>
      <c r="H18" s="103">
        <v>510200</v>
      </c>
      <c r="I18" s="102">
        <v>0</v>
      </c>
      <c r="J18" s="103">
        <v>0</v>
      </c>
      <c r="K18" s="101">
        <v>104510</v>
      </c>
      <c r="L18" s="101">
        <v>32699223</v>
      </c>
      <c r="M18" s="102">
        <v>10580854</v>
      </c>
      <c r="N18" s="102">
        <v>9297912</v>
      </c>
      <c r="O18" s="102">
        <v>5368620</v>
      </c>
      <c r="P18" s="105">
        <f t="shared" si="0"/>
        <v>68779022</v>
      </c>
    </row>
    <row r="19" spans="1:16" x14ac:dyDescent="0.25">
      <c r="A19" s="100" t="s">
        <v>22</v>
      </c>
      <c r="B19" s="107">
        <f>SUM(B2:B18)</f>
        <v>169564742</v>
      </c>
      <c r="C19" s="107">
        <f t="shared" ref="C19:O19" si="1">SUM(C2:C18)</f>
        <v>0</v>
      </c>
      <c r="D19" s="107">
        <f t="shared" si="1"/>
        <v>14928579</v>
      </c>
      <c r="E19" s="107">
        <f t="shared" si="1"/>
        <v>6014635</v>
      </c>
      <c r="F19" s="107">
        <f t="shared" si="1"/>
        <v>63554</v>
      </c>
      <c r="G19" s="107">
        <f t="shared" si="1"/>
        <v>112992152</v>
      </c>
      <c r="H19" s="107">
        <f t="shared" si="1"/>
        <v>20790527</v>
      </c>
      <c r="I19" s="107">
        <f t="shared" si="1"/>
        <v>375</v>
      </c>
      <c r="J19" s="107">
        <f t="shared" si="1"/>
        <v>0</v>
      </c>
      <c r="K19" s="107">
        <f t="shared" si="1"/>
        <v>2764795</v>
      </c>
      <c r="L19" s="107">
        <f t="shared" si="1"/>
        <v>542061515</v>
      </c>
      <c r="M19" s="107">
        <f t="shared" si="1"/>
        <v>156876638</v>
      </c>
      <c r="N19" s="107">
        <f t="shared" si="1"/>
        <v>124840334</v>
      </c>
      <c r="O19" s="107">
        <f t="shared" si="1"/>
        <v>42601038</v>
      </c>
      <c r="P19" s="106">
        <f>SUM(B19:O19)</f>
        <v>1193498884</v>
      </c>
    </row>
    <row r="20" spans="1:16" x14ac:dyDescent="0.25">
      <c r="A20" s="104"/>
      <c r="B20" s="101"/>
      <c r="C20" s="102"/>
      <c r="D20" s="102"/>
      <c r="E20" s="103"/>
      <c r="F20" s="102"/>
      <c r="G20" s="102"/>
      <c r="H20" s="103"/>
      <c r="I20" s="102"/>
      <c r="J20" s="103"/>
      <c r="K20" s="101"/>
      <c r="L20" s="101"/>
      <c r="M20" s="102"/>
      <c r="N20" s="102"/>
      <c r="O20" s="102"/>
    </row>
  </sheetData>
  <pageMargins left="0.7" right="0.7" top="0.75" bottom="0.75" header="0.3" footer="0.3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2620-1C66-4BEB-8302-F525E3CC984D}">
  <sheetPr>
    <tabColor theme="9" tint="0.39997558519241921"/>
    <pageSetUpPr fitToPage="1"/>
  </sheetPr>
  <dimension ref="A1:I18"/>
  <sheetViews>
    <sheetView workbookViewId="0">
      <selection activeCell="H8" sqref="H8"/>
    </sheetView>
  </sheetViews>
  <sheetFormatPr defaultRowHeight="15.75" x14ac:dyDescent="0.25"/>
  <cols>
    <col min="1" max="1" width="37.5703125" style="1" customWidth="1"/>
    <col min="2" max="2" width="18.28515625" style="1" customWidth="1"/>
    <col min="3" max="3" width="29.140625" style="1" bestFit="1" customWidth="1"/>
    <col min="4" max="4" width="24.140625" style="1" customWidth="1"/>
    <col min="5" max="5" width="3.42578125" style="1" customWidth="1"/>
    <col min="6" max="6" width="15.7109375" style="1" customWidth="1"/>
    <col min="7" max="7" width="15.28515625" style="1" customWidth="1"/>
    <col min="8" max="8" width="16.85546875" style="1" bestFit="1" customWidth="1"/>
    <col min="9" max="9" width="21" style="1" customWidth="1"/>
    <col min="10" max="16384" width="9.140625" style="1"/>
  </cols>
  <sheetData>
    <row r="1" spans="1:9" x14ac:dyDescent="0.25">
      <c r="A1" s="7" t="s">
        <v>102</v>
      </c>
    </row>
    <row r="2" spans="1:9" x14ac:dyDescent="0.25">
      <c r="A2" s="7" t="s">
        <v>103</v>
      </c>
    </row>
    <row r="3" spans="1:9" x14ac:dyDescent="0.25">
      <c r="A3" s="7" t="s">
        <v>104</v>
      </c>
    </row>
    <row r="5" spans="1:9" x14ac:dyDescent="0.25">
      <c r="C5" s="38" t="s">
        <v>105</v>
      </c>
      <c r="I5" s="38"/>
    </row>
    <row r="6" spans="1:9" x14ac:dyDescent="0.25">
      <c r="A6" s="7" t="s">
        <v>106</v>
      </c>
      <c r="B6" s="38" t="s">
        <v>107</v>
      </c>
      <c r="C6" s="38" t="s">
        <v>108</v>
      </c>
      <c r="D6" s="38" t="s">
        <v>109</v>
      </c>
      <c r="F6" s="38" t="s">
        <v>110</v>
      </c>
      <c r="G6" s="38" t="s">
        <v>111</v>
      </c>
      <c r="H6" s="38" t="s">
        <v>112</v>
      </c>
      <c r="I6" s="38" t="s">
        <v>113</v>
      </c>
    </row>
    <row r="7" spans="1:9" x14ac:dyDescent="0.25">
      <c r="B7" s="38" t="s">
        <v>114</v>
      </c>
      <c r="C7" s="38" t="s">
        <v>115</v>
      </c>
      <c r="D7" s="38" t="s">
        <v>116</v>
      </c>
      <c r="F7" s="38" t="s">
        <v>117</v>
      </c>
      <c r="G7" s="38" t="s">
        <v>118</v>
      </c>
      <c r="H7" s="38" t="s">
        <v>119</v>
      </c>
      <c r="I7" s="38" t="s">
        <v>120</v>
      </c>
    </row>
    <row r="8" spans="1:9" x14ac:dyDescent="0.25">
      <c r="A8" s="1" t="s">
        <v>121</v>
      </c>
      <c r="B8" s="13">
        <f>+'Exh IDM-4 -Revenue Distribution'!J8</f>
        <v>35792808.359617695</v>
      </c>
      <c r="C8" s="14">
        <f>ROUND(((B8/$B$17)*$C$17),0)</f>
        <v>-959582</v>
      </c>
      <c r="D8" s="14">
        <f>+B8+C8</f>
        <v>34833226.359617695</v>
      </c>
      <c r="F8" s="93">
        <f>+'Exh IDM-4 -Revenue Distribution'!L8</f>
        <v>0.51300802326019035</v>
      </c>
      <c r="G8" s="37">
        <f>+'Exh IDM-4 -Revenue Distribution'!O8</f>
        <v>-7.2934779975522331E-3</v>
      </c>
      <c r="H8" s="13">
        <f>+'2019 GRC Therm Sales'!B19</f>
        <v>169564742</v>
      </c>
      <c r="I8" s="40">
        <f>ROUND((+H8*G8),0)</f>
        <v>-1236717</v>
      </c>
    </row>
    <row r="9" spans="1:9" x14ac:dyDescent="0.25">
      <c r="A9" s="1" t="s">
        <v>122</v>
      </c>
      <c r="B9" s="13">
        <f>+'Exh IDM-4 -Revenue Distribution'!J12</f>
        <v>21418305.313941587</v>
      </c>
      <c r="C9" s="14">
        <f>ROUND(((B9/$B$17)*$C$17),0)</f>
        <v>-574211</v>
      </c>
      <c r="D9" s="14">
        <f t="shared" ref="D9:D17" si="0">+B9+C9</f>
        <v>20844094.313941587</v>
      </c>
      <c r="F9" s="93">
        <f>+'Exh IDM-4 -Revenue Distribution'!L12</f>
        <v>0.30698240720013076</v>
      </c>
      <c r="G9" s="37">
        <f>+'Exh IDM-4 -Revenue Distribution'!O12</f>
        <v>-6.2042149538450199E-3</v>
      </c>
      <c r="H9" s="13">
        <f>+'2019 GRC Therm Sales'!G19+'2019 GRC Therm Sales'!F19</f>
        <v>113055706</v>
      </c>
      <c r="I9" s="40">
        <f t="shared" ref="I9:I12" si="1">ROUND((+H9*G9),0)</f>
        <v>-701422</v>
      </c>
    </row>
    <row r="10" spans="1:9" x14ac:dyDescent="0.25">
      <c r="A10" s="1" t="s">
        <v>123</v>
      </c>
      <c r="B10" s="13">
        <f>+'Exh IDM-4 -Revenue Distribution'!J18</f>
        <v>1790553.77068507</v>
      </c>
      <c r="C10" s="14">
        <f>ROUND(((B10/$B$17)*$C$17),0)</f>
        <v>-48004</v>
      </c>
      <c r="D10" s="14">
        <f t="shared" si="0"/>
        <v>1742549.77068507</v>
      </c>
      <c r="F10" s="93">
        <f>+'Exh IDM-4 -Revenue Distribution'!L18</f>
        <v>2.5663491984512139E-2</v>
      </c>
      <c r="G10" s="37">
        <f>+'Exh IDM-4 -Revenue Distribution'!O18</f>
        <v>-3.9515725288803323E-3</v>
      </c>
      <c r="H10" s="13">
        <f>+'2019 GRC Therm Sales'!D19+'2019 GRC Therm Sales'!I19</f>
        <v>14928954</v>
      </c>
      <c r="I10" s="40">
        <f t="shared" si="1"/>
        <v>-58993</v>
      </c>
    </row>
    <row r="11" spans="1:9" x14ac:dyDescent="0.25">
      <c r="A11" s="1" t="s">
        <v>124</v>
      </c>
      <c r="B11" s="13">
        <f>+'Exh IDM-4 -Revenue Distribution'!J24</f>
        <v>1767941.8523150044</v>
      </c>
      <c r="C11" s="14">
        <f>ROUND(((B11/$B$17)*$C$17),0)</f>
        <v>-47397</v>
      </c>
      <c r="D11" s="14">
        <f t="shared" si="0"/>
        <v>1720544.8523150044</v>
      </c>
      <c r="F11" s="93">
        <f>+'Exh IDM-4 -Revenue Distribution'!L24</f>
        <v>2.5339401864826656E-2</v>
      </c>
      <c r="G11" s="37">
        <f>+'Exh IDM-4 -Revenue Distribution'!O24</f>
        <v>-3.3819201757122881E-3</v>
      </c>
      <c r="H11" s="13">
        <f>+'2019 GRC Therm Sales'!E19+'2019 GRC Therm Sales'!H19</f>
        <v>26805162</v>
      </c>
      <c r="I11" s="40">
        <f t="shared" si="1"/>
        <v>-90653</v>
      </c>
    </row>
    <row r="12" spans="1:9" x14ac:dyDescent="0.25">
      <c r="A12" s="1" t="s">
        <v>125</v>
      </c>
      <c r="B12" s="13">
        <f>+'Exh IDM-4 -Revenue Distribution'!J29</f>
        <v>111061.64811049064</v>
      </c>
      <c r="C12" s="14">
        <f>ROUND(((B12/$B$17)*$C$17),0)</f>
        <v>-2977</v>
      </c>
      <c r="D12" s="14">
        <f t="shared" si="0"/>
        <v>108084.64811049064</v>
      </c>
      <c r="F12" s="93">
        <f>+'Exh IDM-4 -Revenue Distribution'!L31</f>
        <v>0.87258513895534884</v>
      </c>
      <c r="G12" s="37">
        <f>+'Exh IDM-4 -Revenue Distribution'!O29</f>
        <v>-1.4692182219266351E-3</v>
      </c>
      <c r="H12" s="13">
        <f>+'2019 GRC Therm Sales'!K19</f>
        <v>2764795</v>
      </c>
      <c r="I12" s="40">
        <f t="shared" si="1"/>
        <v>-4062</v>
      </c>
    </row>
    <row r="13" spans="1:9" x14ac:dyDescent="0.25">
      <c r="A13" s="1" t="s">
        <v>86</v>
      </c>
      <c r="B13" s="16">
        <f>SUM(B8:B12)</f>
        <v>60880670.944669843</v>
      </c>
      <c r="C13" s="16">
        <f>SUM(C8:C12)</f>
        <v>-1632171</v>
      </c>
      <c r="D13" s="16">
        <f t="shared" si="0"/>
        <v>59248499.944669843</v>
      </c>
      <c r="F13" s="93"/>
      <c r="G13" s="37"/>
      <c r="H13" s="16">
        <f>SUM(H8:H12)</f>
        <v>327119359</v>
      </c>
      <c r="I13" s="41">
        <f>SUM(I8:I12)</f>
        <v>-2091847</v>
      </c>
    </row>
    <row r="14" spans="1:9" x14ac:dyDescent="0.25">
      <c r="B14" s="14"/>
      <c r="C14" s="14"/>
      <c r="D14" s="14"/>
      <c r="F14" s="93"/>
      <c r="G14" s="37"/>
      <c r="I14" s="40"/>
    </row>
    <row r="15" spans="1:9" x14ac:dyDescent="0.25">
      <c r="A15" s="1" t="s">
        <v>126</v>
      </c>
      <c r="B15" s="14">
        <f>+'Exh IDM-4 -Revenue Distribution'!J38</f>
        <v>8889794.10995581</v>
      </c>
      <c r="C15" s="14">
        <f>ROUND(((B15/$B$17)*C17),0)</f>
        <v>-238329</v>
      </c>
      <c r="D15" s="14">
        <f t="shared" si="0"/>
        <v>8651465.10995581</v>
      </c>
      <c r="F15" s="93">
        <f>+'Exh IDM-4 -Revenue Distribution'!L38</f>
        <v>0.12741486104465105</v>
      </c>
      <c r="G15" s="37">
        <f>+'Exh IDM-4 -Revenue Distribution'!O38</f>
        <v>-4.5122115061803212E-4</v>
      </c>
      <c r="H15" s="13">
        <f>+'2019 GRC Therm Sales'!L19+'2019 GRC Therm Sales'!M19+'2019 GRC Therm Sales'!N19+'2019 GRC Therm Sales'!O19</f>
        <v>866379525</v>
      </c>
      <c r="I15" s="40">
        <f t="shared" ref="I15" si="2">ROUND((+H15*G15),0)</f>
        <v>-390929</v>
      </c>
    </row>
    <row r="16" spans="1:9" x14ac:dyDescent="0.25">
      <c r="B16" s="14"/>
      <c r="C16" s="14"/>
      <c r="D16" s="14"/>
      <c r="G16" s="37"/>
      <c r="I16" s="40"/>
    </row>
    <row r="17" spans="1:9" ht="16.5" thickBot="1" x14ac:dyDescent="0.3">
      <c r="A17" s="1" t="s">
        <v>22</v>
      </c>
      <c r="B17" s="15">
        <f>+B13+B15</f>
        <v>69770465.05462566</v>
      </c>
      <c r="C17" s="15">
        <v>-1870500</v>
      </c>
      <c r="D17" s="15">
        <f t="shared" si="0"/>
        <v>67899965.05462566</v>
      </c>
      <c r="G17" s="36"/>
      <c r="H17" s="15">
        <f>+H13+H15</f>
        <v>1193498884</v>
      </c>
      <c r="I17" s="42">
        <f>+I13+I15</f>
        <v>-2482776</v>
      </c>
    </row>
    <row r="18" spans="1:9" ht="16.5" thickTop="1" x14ac:dyDescent="0.25">
      <c r="B18" s="9">
        <f>ROUND((+B17-'Exh IDM-4 -Revenue Distribution'!J43),0)</f>
        <v>0</v>
      </c>
      <c r="C18" s="9">
        <f>ROUND((+C17-'Exh IDM-4 -Revenue Distribution'!M43),0)</f>
        <v>-1</v>
      </c>
      <c r="G18" s="36"/>
      <c r="H18" s="14">
        <f>+H17-'2019 GRC Therm Sales'!P19</f>
        <v>0</v>
      </c>
    </row>
  </sheetData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73BD-5239-4EDC-BA7E-3C52131529A3}">
  <sheetPr>
    <tabColor theme="8" tint="0.39997558519241921"/>
  </sheetPr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B1D4B-5E8B-4192-BEA0-F1B698EE0F7D}">
  <sheetPr>
    <tabColor theme="8" tint="0.39997558519241921"/>
  </sheetPr>
  <dimension ref="A1:J24"/>
  <sheetViews>
    <sheetView topLeftCell="D1" workbookViewId="0">
      <selection activeCell="J20" sqref="J20"/>
    </sheetView>
  </sheetViews>
  <sheetFormatPr defaultRowHeight="15" x14ac:dyDescent="0.25"/>
  <cols>
    <col min="1" max="1" width="3.42578125" customWidth="1"/>
    <col min="2" max="2" width="17.140625" customWidth="1"/>
    <col min="3" max="3" width="25.42578125" customWidth="1"/>
    <col min="4" max="4" width="26.28515625" customWidth="1"/>
    <col min="6" max="6" width="6.42578125" customWidth="1"/>
    <col min="7" max="7" width="42.42578125" customWidth="1"/>
    <col min="8" max="8" width="25.5703125" customWidth="1"/>
    <col min="10" max="10" width="15" customWidth="1"/>
  </cols>
  <sheetData>
    <row r="1" spans="1:10" x14ac:dyDescent="0.25">
      <c r="B1" s="125" t="s">
        <v>23</v>
      </c>
      <c r="C1" s="126"/>
      <c r="D1" s="126"/>
      <c r="G1" s="125" t="s">
        <v>24</v>
      </c>
      <c r="H1" s="125"/>
      <c r="I1" s="34"/>
    </row>
    <row r="3" spans="1:10" ht="15.75" x14ac:dyDescent="0.25">
      <c r="A3" s="21"/>
      <c r="B3" s="21"/>
      <c r="C3" s="21"/>
      <c r="D3" s="21"/>
    </row>
    <row r="4" spans="1:10" ht="15.75" x14ac:dyDescent="0.25">
      <c r="A4" s="21"/>
      <c r="B4" s="138" t="s">
        <v>25</v>
      </c>
      <c r="C4" s="139"/>
      <c r="D4" s="140"/>
      <c r="F4" s="21"/>
      <c r="G4" s="138" t="s">
        <v>25</v>
      </c>
      <c r="H4" s="140"/>
    </row>
    <row r="5" spans="1:10" ht="15.75" x14ac:dyDescent="0.25">
      <c r="A5" s="21"/>
      <c r="B5" s="141" t="s">
        <v>26</v>
      </c>
      <c r="C5" s="142"/>
      <c r="D5" s="143"/>
      <c r="F5" s="21"/>
      <c r="G5" s="141" t="s">
        <v>26</v>
      </c>
      <c r="H5" s="143"/>
    </row>
    <row r="6" spans="1:10" ht="15.75" x14ac:dyDescent="0.25">
      <c r="A6" s="21"/>
      <c r="B6" s="141" t="s">
        <v>127</v>
      </c>
      <c r="C6" s="142"/>
      <c r="D6" s="143"/>
      <c r="F6" s="21"/>
      <c r="G6" s="141" t="s">
        <v>127</v>
      </c>
      <c r="H6" s="143"/>
    </row>
    <row r="7" spans="1:10" ht="15.75" x14ac:dyDescent="0.25">
      <c r="A7" s="22"/>
      <c r="B7" s="23"/>
      <c r="C7" s="24"/>
      <c r="D7" s="25"/>
      <c r="F7" s="22"/>
      <c r="G7" s="23"/>
      <c r="H7" s="25"/>
      <c r="J7" s="125" t="s">
        <v>28</v>
      </c>
    </row>
    <row r="8" spans="1:10" ht="15.75" x14ac:dyDescent="0.25">
      <c r="A8" s="26"/>
      <c r="B8" s="26"/>
      <c r="C8" s="26"/>
      <c r="D8" s="26"/>
      <c r="F8" s="26"/>
      <c r="G8" s="26"/>
      <c r="H8" s="26"/>
    </row>
    <row r="9" spans="1:10" ht="15.75" x14ac:dyDescent="0.25">
      <c r="A9" s="21"/>
      <c r="B9" s="21"/>
      <c r="C9" s="21"/>
      <c r="D9" s="21"/>
      <c r="F9" s="21"/>
      <c r="G9" s="21"/>
      <c r="H9" s="21"/>
    </row>
    <row r="10" spans="1:10" ht="15.75" x14ac:dyDescent="0.25">
      <c r="A10" s="21">
        <v>1</v>
      </c>
      <c r="B10" s="21" t="s">
        <v>29</v>
      </c>
      <c r="C10" s="21"/>
      <c r="D10" s="27">
        <v>409282453</v>
      </c>
      <c r="F10" s="21">
        <v>1</v>
      </c>
      <c r="G10" s="21" t="s">
        <v>29</v>
      </c>
      <c r="H10" s="27">
        <v>409282452.81</v>
      </c>
    </row>
    <row r="11" spans="1:10" ht="15.75" x14ac:dyDescent="0.25">
      <c r="A11" s="21">
        <v>2</v>
      </c>
      <c r="B11" s="21" t="s">
        <v>30</v>
      </c>
      <c r="C11" s="21"/>
      <c r="D11" s="28">
        <v>6.9510000000000002E-2</v>
      </c>
      <c r="F11" s="21">
        <v>2</v>
      </c>
      <c r="G11" s="21" t="s">
        <v>30</v>
      </c>
      <c r="H11" s="28">
        <v>6.9510000000000002E-2</v>
      </c>
    </row>
    <row r="12" spans="1:10" ht="15.75" x14ac:dyDescent="0.25">
      <c r="A12" s="21"/>
      <c r="B12" s="21"/>
      <c r="C12" s="21"/>
      <c r="D12" s="21"/>
      <c r="F12" s="21"/>
      <c r="G12" s="21"/>
      <c r="H12" s="21"/>
    </row>
    <row r="13" spans="1:10" ht="15.75" x14ac:dyDescent="0.25">
      <c r="A13" s="21">
        <v>3</v>
      </c>
      <c r="B13" s="21" t="s">
        <v>31</v>
      </c>
      <c r="C13" s="21"/>
      <c r="D13" s="29">
        <f>+D10*D11</f>
        <v>28449223.308030002</v>
      </c>
      <c r="F13" s="21">
        <v>3</v>
      </c>
      <c r="G13" s="21" t="s">
        <v>31</v>
      </c>
      <c r="H13" s="29">
        <f>+H10*H11</f>
        <v>28449223.294823103</v>
      </c>
    </row>
    <row r="14" spans="1:10" ht="15.75" x14ac:dyDescent="0.25">
      <c r="A14" s="21">
        <v>4</v>
      </c>
      <c r="B14" s="21" t="s">
        <v>32</v>
      </c>
      <c r="C14" s="21"/>
      <c r="D14" s="30">
        <v>28744025.449999999</v>
      </c>
      <c r="F14" s="21">
        <v>4</v>
      </c>
      <c r="G14" s="21" t="s">
        <v>32</v>
      </c>
      <c r="H14" s="30">
        <v>30257180.5</v>
      </c>
    </row>
    <row r="15" spans="1:10" ht="15.75" x14ac:dyDescent="0.25">
      <c r="A15" s="21"/>
      <c r="B15" s="21"/>
      <c r="C15" s="21"/>
      <c r="D15" s="29"/>
      <c r="F15" s="21"/>
      <c r="G15" s="21"/>
      <c r="H15" s="29"/>
    </row>
    <row r="16" spans="1:10" ht="15.75" x14ac:dyDescent="0.25">
      <c r="A16" s="21">
        <v>5</v>
      </c>
      <c r="B16" s="21" t="s">
        <v>33</v>
      </c>
      <c r="C16" s="21"/>
      <c r="D16" s="29">
        <f>+D13-D14</f>
        <v>-294802.14196999744</v>
      </c>
      <c r="F16" s="21">
        <v>5</v>
      </c>
      <c r="G16" s="21" t="s">
        <v>33</v>
      </c>
      <c r="H16" s="29">
        <f>+H13-H14</f>
        <v>-1807957.2051768973</v>
      </c>
    </row>
    <row r="17" spans="1:10" ht="15.75" x14ac:dyDescent="0.25">
      <c r="A17" s="21"/>
      <c r="B17" s="21"/>
      <c r="C17" s="21"/>
      <c r="D17" s="21"/>
      <c r="F17" s="21"/>
      <c r="G17" s="21"/>
      <c r="H17" s="21"/>
    </row>
    <row r="18" spans="1:10" ht="15.75" x14ac:dyDescent="0.25">
      <c r="A18" s="21">
        <v>6</v>
      </c>
      <c r="B18" s="21" t="s">
        <v>34</v>
      </c>
      <c r="C18" s="21"/>
      <c r="D18" s="31">
        <v>0.75481349214399995</v>
      </c>
      <c r="F18" s="21">
        <v>6</v>
      </c>
      <c r="G18" s="21" t="s">
        <v>34</v>
      </c>
      <c r="H18" s="31">
        <v>0.75481339999999997</v>
      </c>
    </row>
    <row r="19" spans="1:10" ht="15.75" x14ac:dyDescent="0.25">
      <c r="A19" s="21"/>
      <c r="B19" s="21"/>
      <c r="C19" s="21"/>
      <c r="D19" s="21"/>
      <c r="F19" s="21"/>
      <c r="G19" s="21"/>
      <c r="H19" s="21"/>
    </row>
    <row r="20" spans="1:10" ht="16.5" thickBot="1" x14ac:dyDescent="0.3">
      <c r="A20" s="21">
        <v>7</v>
      </c>
      <c r="B20" s="21" t="s">
        <v>35</v>
      </c>
      <c r="C20" s="21"/>
      <c r="D20" s="32">
        <f>+D16/D18</f>
        <v>-390562.89406357933</v>
      </c>
      <c r="F20" s="21">
        <v>7</v>
      </c>
      <c r="G20" s="21" t="s">
        <v>35</v>
      </c>
      <c r="H20" s="32">
        <f>+H16/H18</f>
        <v>-2395237.2933189813</v>
      </c>
      <c r="J20" s="127">
        <f>+H20-D20</f>
        <v>-2004674.3992554019</v>
      </c>
    </row>
    <row r="21" spans="1:10" ht="16.5" thickTop="1" x14ac:dyDescent="0.25">
      <c r="A21" s="21"/>
      <c r="B21" s="21"/>
      <c r="C21" s="21"/>
      <c r="D21" s="29"/>
      <c r="F21" s="21"/>
      <c r="G21" s="21"/>
      <c r="H21" s="29"/>
    </row>
    <row r="22" spans="1:10" ht="15.75" x14ac:dyDescent="0.25">
      <c r="A22" s="21">
        <v>8</v>
      </c>
      <c r="B22" s="21" t="s">
        <v>36</v>
      </c>
      <c r="C22" s="21"/>
      <c r="D22" s="29">
        <v>260664042</v>
      </c>
      <c r="F22" s="21">
        <v>8</v>
      </c>
      <c r="G22" s="21" t="s">
        <v>36</v>
      </c>
      <c r="H22" s="29">
        <v>262668726</v>
      </c>
    </row>
    <row r="23" spans="1:10" ht="15.75" x14ac:dyDescent="0.25">
      <c r="A23" s="21"/>
      <c r="B23" s="21"/>
      <c r="C23" s="21"/>
      <c r="D23" s="21"/>
      <c r="F23" s="21"/>
      <c r="G23" s="21"/>
      <c r="H23" s="21"/>
    </row>
    <row r="24" spans="1:10" ht="15.75" x14ac:dyDescent="0.25">
      <c r="A24" s="21">
        <v>9</v>
      </c>
      <c r="B24" s="21" t="s">
        <v>37</v>
      </c>
      <c r="C24" s="21"/>
      <c r="D24" s="35">
        <f>+D20/D22</f>
        <v>-1.4983382098539672E-3</v>
      </c>
      <c r="F24" s="21">
        <v>9</v>
      </c>
      <c r="G24" s="21" t="s">
        <v>37</v>
      </c>
      <c r="H24" s="35">
        <f>+H20/H22</f>
        <v>-9.1188522128019967E-3</v>
      </c>
    </row>
  </sheetData>
  <mergeCells count="6">
    <mergeCell ref="B4:D4"/>
    <mergeCell ref="G4:H4"/>
    <mergeCell ref="B5:D5"/>
    <mergeCell ref="G5:H5"/>
    <mergeCell ref="B6:D6"/>
    <mergeCell ref="G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08FC-D0A4-404C-8210-9503CCB0FBFB}">
  <sheetPr>
    <tabColor theme="8" tint="0.39997558519241921"/>
  </sheetPr>
  <dimension ref="A1:W53"/>
  <sheetViews>
    <sheetView topLeftCell="A22" workbookViewId="0">
      <selection activeCell="Q7" sqref="Q7:Q32"/>
    </sheetView>
  </sheetViews>
  <sheetFormatPr defaultColWidth="8.85546875" defaultRowHeight="15" x14ac:dyDescent="0.25"/>
  <cols>
    <col min="2" max="2" width="28.5703125" customWidth="1"/>
    <col min="3" max="3" width="15.85546875" customWidth="1"/>
    <col min="4" max="4" width="28.7109375" customWidth="1"/>
    <col min="7" max="7" width="15.28515625" bestFit="1" customWidth="1"/>
    <col min="8" max="8" width="15.140625" style="77" customWidth="1"/>
    <col min="9" max="10" width="11.5703125" style="77" customWidth="1"/>
    <col min="11" max="11" width="13.7109375" style="77" customWidth="1"/>
    <col min="12" max="12" width="12.5703125" style="90" customWidth="1"/>
    <col min="13" max="13" width="2.5703125" customWidth="1"/>
    <col min="14" max="14" width="2.42578125" customWidth="1"/>
    <col min="15" max="15" width="14.42578125" bestFit="1" customWidth="1"/>
    <col min="16" max="16" width="14.7109375" customWidth="1"/>
    <col min="17" max="17" width="20" bestFit="1" customWidth="1"/>
    <col min="23" max="23" width="10.85546875" bestFit="1" customWidth="1"/>
  </cols>
  <sheetData>
    <row r="1" spans="1:17" x14ac:dyDescent="0.25">
      <c r="A1" s="144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7" x14ac:dyDescent="0.25">
      <c r="A2" s="147" t="s">
        <v>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7" x14ac:dyDescent="0.2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7" ht="60" x14ac:dyDescent="0.25">
      <c r="A4" s="43" t="s">
        <v>40</v>
      </c>
      <c r="B4" s="44" t="s">
        <v>41</v>
      </c>
      <c r="C4" s="45" t="s">
        <v>42</v>
      </c>
      <c r="D4" s="45" t="s">
        <v>43</v>
      </c>
      <c r="E4" s="45" t="s">
        <v>44</v>
      </c>
      <c r="F4" s="45"/>
      <c r="G4" s="45" t="s">
        <v>128</v>
      </c>
      <c r="H4" s="46" t="s">
        <v>49</v>
      </c>
      <c r="I4" s="47"/>
      <c r="J4" s="46" t="s">
        <v>129</v>
      </c>
      <c r="K4" s="46" t="s">
        <v>52</v>
      </c>
      <c r="L4" s="47" t="s">
        <v>53</v>
      </c>
      <c r="M4" s="108"/>
      <c r="N4" s="108"/>
      <c r="O4" s="109" t="s">
        <v>130</v>
      </c>
      <c r="P4" s="109" t="s">
        <v>131</v>
      </c>
      <c r="Q4" s="109" t="s">
        <v>132</v>
      </c>
    </row>
    <row r="5" spans="1:17" x14ac:dyDescent="0.25">
      <c r="A5" s="48"/>
      <c r="B5" s="43" t="s">
        <v>55</v>
      </c>
      <c r="C5" s="43" t="s">
        <v>56</v>
      </c>
      <c r="D5" s="43" t="s">
        <v>57</v>
      </c>
      <c r="E5" s="43" t="s">
        <v>58</v>
      </c>
      <c r="F5" s="43" t="s">
        <v>59</v>
      </c>
      <c r="G5" s="50" t="s">
        <v>60</v>
      </c>
      <c r="H5" s="51" t="s">
        <v>61</v>
      </c>
      <c r="I5" s="52" t="s">
        <v>62</v>
      </c>
      <c r="J5" s="50" t="s">
        <v>63</v>
      </c>
      <c r="K5" s="52" t="s">
        <v>64</v>
      </c>
      <c r="L5" s="52" t="s">
        <v>65</v>
      </c>
      <c r="M5" s="110"/>
      <c r="N5" s="110"/>
      <c r="O5" s="110"/>
    </row>
    <row r="6" spans="1:17" x14ac:dyDescent="0.25">
      <c r="A6" s="53"/>
      <c r="B6" s="54" t="s">
        <v>66</v>
      </c>
      <c r="C6" s="53"/>
      <c r="D6" s="53"/>
      <c r="E6" s="53"/>
      <c r="F6" s="53"/>
      <c r="G6" s="53"/>
      <c r="H6" s="57"/>
      <c r="I6" s="58"/>
      <c r="J6" s="58"/>
      <c r="K6" s="58"/>
      <c r="L6" s="59"/>
      <c r="M6" s="110"/>
      <c r="N6" s="110"/>
      <c r="O6" s="110"/>
    </row>
    <row r="7" spans="1:17" x14ac:dyDescent="0.25">
      <c r="A7" s="55">
        <v>1</v>
      </c>
      <c r="B7" s="55" t="s">
        <v>67</v>
      </c>
      <c r="C7" s="60">
        <v>503</v>
      </c>
      <c r="D7" s="60"/>
      <c r="E7" s="55">
        <v>0.31073000000000001</v>
      </c>
      <c r="F7" s="61"/>
      <c r="G7" s="58">
        <v>131741687.23064102</v>
      </c>
      <c r="H7" s="111">
        <f>G7*E7</f>
        <v>40936094.473177083</v>
      </c>
      <c r="I7" s="58"/>
      <c r="J7" s="58"/>
      <c r="K7" s="58" t="s">
        <v>68</v>
      </c>
      <c r="L7" s="59" t="s">
        <v>68</v>
      </c>
      <c r="M7" s="110"/>
      <c r="N7" s="112"/>
      <c r="O7" s="112">
        <f>+K8/G8</f>
        <v>-7.4770667230960371E-3</v>
      </c>
      <c r="P7" s="64">
        <v>-7.3299999999999997E-3</v>
      </c>
      <c r="Q7" s="77">
        <f>P7*G8</f>
        <v>-965666.56740059867</v>
      </c>
    </row>
    <row r="8" spans="1:17" x14ac:dyDescent="0.25">
      <c r="A8" s="55">
        <v>2</v>
      </c>
      <c r="B8" s="55" t="s">
        <v>69</v>
      </c>
      <c r="C8" s="60"/>
      <c r="D8" s="60"/>
      <c r="E8" s="55"/>
      <c r="F8" s="61"/>
      <c r="G8" s="58">
        <f>SUM(G7)</f>
        <v>131741687.23064102</v>
      </c>
      <c r="H8" s="111">
        <f>SUM(H7)</f>
        <v>40936094.473177083</v>
      </c>
      <c r="I8" s="58"/>
      <c r="J8" s="65">
        <f>H8/$H$43</f>
        <v>0.49136992075161817</v>
      </c>
      <c r="K8" s="66">
        <f>J8*$K$43</f>
        <v>-985041.38563675212</v>
      </c>
      <c r="L8" s="59">
        <f>K8/H8</f>
        <v>-2.4062905812428918E-2</v>
      </c>
      <c r="M8" s="110"/>
      <c r="N8" s="112"/>
      <c r="O8" s="112"/>
      <c r="P8" s="64"/>
      <c r="Q8" s="77"/>
    </row>
    <row r="9" spans="1:17" x14ac:dyDescent="0.25">
      <c r="A9" s="55">
        <v>3</v>
      </c>
      <c r="B9" s="55"/>
      <c r="C9" s="60"/>
      <c r="D9" s="60"/>
      <c r="E9" s="55"/>
      <c r="F9" s="61"/>
      <c r="G9" s="58"/>
      <c r="H9" s="58"/>
      <c r="I9" s="58"/>
      <c r="J9" s="58"/>
      <c r="K9" s="58"/>
      <c r="L9" s="59"/>
      <c r="M9" s="110"/>
      <c r="N9" s="112"/>
      <c r="O9" s="112"/>
      <c r="P9" s="64"/>
      <c r="Q9" s="77"/>
    </row>
    <row r="10" spans="1:17" x14ac:dyDescent="0.25">
      <c r="A10" s="55">
        <v>4</v>
      </c>
      <c r="B10" s="70" t="s">
        <v>70</v>
      </c>
      <c r="C10" s="60"/>
      <c r="D10" s="60"/>
      <c r="E10" s="55"/>
      <c r="F10" s="61"/>
      <c r="G10" s="58"/>
      <c r="H10" s="58"/>
      <c r="I10" s="58"/>
      <c r="J10" s="58"/>
      <c r="K10" s="58"/>
      <c r="L10" s="59"/>
      <c r="M10" s="110"/>
      <c r="N10" s="112"/>
      <c r="O10" s="112"/>
      <c r="P10" s="64"/>
      <c r="Q10" s="77"/>
    </row>
    <row r="11" spans="1:17" x14ac:dyDescent="0.25">
      <c r="A11" s="55">
        <v>5</v>
      </c>
      <c r="B11" s="55" t="s">
        <v>71</v>
      </c>
      <c r="C11" s="60">
        <v>504</v>
      </c>
      <c r="D11" s="60"/>
      <c r="E11" s="55">
        <v>0.26179999999999998</v>
      </c>
      <c r="F11" s="61"/>
      <c r="G11" s="58">
        <v>93296003.311035588</v>
      </c>
      <c r="H11" s="111">
        <f>G11*E11</f>
        <v>24424893.666829117</v>
      </c>
      <c r="I11" s="58"/>
      <c r="J11" s="58"/>
      <c r="K11" s="58"/>
      <c r="L11" s="59" t="s">
        <v>68</v>
      </c>
      <c r="M11" s="110"/>
      <c r="N11" s="112"/>
      <c r="O11" s="112">
        <f>+K12/G12</f>
        <v>-6.2996687416938899E-3</v>
      </c>
      <c r="P11" s="64">
        <v>-5.6299999999999996E-3</v>
      </c>
      <c r="Q11" s="77">
        <f>P11*G12</f>
        <v>-525256.49864113028</v>
      </c>
    </row>
    <row r="12" spans="1:17" x14ac:dyDescent="0.25">
      <c r="A12" s="55">
        <v>6</v>
      </c>
      <c r="B12" s="55" t="s">
        <v>69</v>
      </c>
      <c r="C12" s="60"/>
      <c r="D12" s="60"/>
      <c r="E12" s="55"/>
      <c r="F12" s="61"/>
      <c r="G12" s="58">
        <f>SUM(G11)</f>
        <v>93296003.311035588</v>
      </c>
      <c r="H12" s="111">
        <f>SUM(H11)</f>
        <v>24424893.666829117</v>
      </c>
      <c r="I12" s="58"/>
      <c r="J12" s="65">
        <f>H12/$H$43</f>
        <v>0.29318033925538439</v>
      </c>
      <c r="K12" s="66">
        <f t="shared" ref="K12:K37" si="0">J12*$K$43</f>
        <v>-587733.91578350053</v>
      </c>
      <c r="L12" s="59">
        <f>K12/H12</f>
        <v>-2.4062905812428915E-2</v>
      </c>
      <c r="M12" s="110"/>
      <c r="N12" s="112"/>
      <c r="O12" s="112"/>
      <c r="P12" s="64"/>
      <c r="Q12" s="77"/>
    </row>
    <row r="13" spans="1:17" x14ac:dyDescent="0.25">
      <c r="A13" s="55">
        <v>7</v>
      </c>
      <c r="B13" s="55"/>
      <c r="C13" s="60"/>
      <c r="D13" s="60"/>
      <c r="E13" s="55"/>
      <c r="F13" s="61"/>
      <c r="G13" s="58"/>
      <c r="H13" s="58"/>
      <c r="I13" s="58"/>
      <c r="J13" s="65"/>
      <c r="K13" s="58"/>
      <c r="L13" s="59"/>
      <c r="M13" s="110"/>
      <c r="N13" s="112"/>
      <c r="O13" s="112"/>
      <c r="P13" s="64"/>
      <c r="Q13" s="77"/>
    </row>
    <row r="14" spans="1:17" x14ac:dyDescent="0.25">
      <c r="A14" s="55">
        <v>8</v>
      </c>
      <c r="B14" s="70" t="s">
        <v>72</v>
      </c>
      <c r="C14" s="60"/>
      <c r="D14" s="60"/>
      <c r="E14" s="55"/>
      <c r="F14" s="61"/>
      <c r="G14" s="58"/>
      <c r="H14" s="58"/>
      <c r="I14" s="58"/>
      <c r="J14" s="58"/>
      <c r="K14" s="58"/>
      <c r="L14" s="59"/>
      <c r="M14" s="110"/>
      <c r="N14" s="112"/>
      <c r="O14" s="112"/>
      <c r="P14" s="64"/>
      <c r="Q14" s="77"/>
    </row>
    <row r="15" spans="1:17" x14ac:dyDescent="0.25">
      <c r="A15" s="55">
        <v>9</v>
      </c>
      <c r="B15" s="55" t="s">
        <v>71</v>
      </c>
      <c r="C15" s="60">
        <v>505</v>
      </c>
      <c r="D15" s="60" t="s">
        <v>73</v>
      </c>
      <c r="E15" s="55">
        <v>0.20175999999999999</v>
      </c>
      <c r="F15" s="61"/>
      <c r="G15" s="58">
        <v>1796054.322900241</v>
      </c>
      <c r="H15" s="111">
        <f>G15*E15</f>
        <v>362371.92018835264</v>
      </c>
      <c r="I15" s="58"/>
      <c r="J15" s="65"/>
      <c r="K15" s="58">
        <f>J15*$K$43</f>
        <v>0</v>
      </c>
      <c r="L15" s="59"/>
      <c r="M15" s="110"/>
      <c r="N15" s="112"/>
      <c r="O15" s="112"/>
      <c r="P15" s="64"/>
      <c r="Q15" s="77"/>
    </row>
    <row r="16" spans="1:17" x14ac:dyDescent="0.25">
      <c r="A16" s="55">
        <v>10</v>
      </c>
      <c r="B16" s="55"/>
      <c r="C16" s="60"/>
      <c r="D16" s="60" t="s">
        <v>74</v>
      </c>
      <c r="E16" s="55">
        <v>0.16481000000000001</v>
      </c>
      <c r="F16" s="61"/>
      <c r="G16" s="58">
        <v>5955588.143686397</v>
      </c>
      <c r="H16" s="111">
        <f>G16*E16</f>
        <v>981540.48196095519</v>
      </c>
      <c r="I16" s="58"/>
      <c r="J16" s="65"/>
      <c r="K16" s="58">
        <f t="shared" si="0"/>
        <v>0</v>
      </c>
      <c r="L16" s="59"/>
      <c r="M16" s="110"/>
      <c r="N16" s="112"/>
      <c r="O16" s="112"/>
      <c r="P16" s="64"/>
      <c r="Q16" s="77"/>
    </row>
    <row r="17" spans="1:17" x14ac:dyDescent="0.25">
      <c r="A17" s="55">
        <v>11</v>
      </c>
      <c r="B17" s="55"/>
      <c r="C17" s="60"/>
      <c r="D17" s="60" t="s">
        <v>75</v>
      </c>
      <c r="E17" s="55">
        <v>0.15923000000000001</v>
      </c>
      <c r="F17" s="61"/>
      <c r="G17" s="58">
        <v>5561734.9161735196</v>
      </c>
      <c r="H17" s="111">
        <f>G17*E17</f>
        <v>885595.05070230959</v>
      </c>
      <c r="I17" s="58"/>
      <c r="J17" s="65"/>
      <c r="K17" s="58">
        <f t="shared" si="0"/>
        <v>0</v>
      </c>
      <c r="L17" s="59"/>
      <c r="M17" s="110"/>
      <c r="N17" s="112"/>
      <c r="O17" s="112"/>
      <c r="P17" s="64"/>
      <c r="Q17" s="77"/>
    </row>
    <row r="18" spans="1:17" x14ac:dyDescent="0.25">
      <c r="A18" s="55">
        <v>12</v>
      </c>
      <c r="B18" s="55" t="s">
        <v>69</v>
      </c>
      <c r="C18" s="60"/>
      <c r="D18" s="60"/>
      <c r="E18" s="55">
        <f>+H18/G18</f>
        <v>0.16746370126476434</v>
      </c>
      <c r="F18" s="61"/>
      <c r="G18" s="58">
        <f>SUM(G15:G17)</f>
        <v>13313377.382760158</v>
      </c>
      <c r="H18" s="111">
        <f>SUM(H15:H17)</f>
        <v>2229507.4528516172</v>
      </c>
      <c r="I18" s="58"/>
      <c r="J18" s="65">
        <f>H18/$H$43</f>
        <v>2.6761539285108497E-2</v>
      </c>
      <c r="K18" s="66">
        <f t="shared" si="0"/>
        <v>-53648.427846076775</v>
      </c>
      <c r="L18" s="59">
        <f>K18/H18</f>
        <v>-2.4062905812428918E-2</v>
      </c>
      <c r="M18" s="110"/>
      <c r="N18" s="112"/>
      <c r="O18" s="112">
        <f>+K18/G18</f>
        <v>-4.029663270534758E-3</v>
      </c>
      <c r="P18" s="64">
        <v>-3.5599999999999998E-3</v>
      </c>
      <c r="Q18" s="77">
        <f>P18*G18</f>
        <v>-47395.623482626157</v>
      </c>
    </row>
    <row r="19" spans="1:17" x14ac:dyDescent="0.25">
      <c r="A19" s="55">
        <v>13</v>
      </c>
      <c r="B19" s="55"/>
      <c r="C19" s="60"/>
      <c r="D19" s="60"/>
      <c r="E19" s="55"/>
      <c r="F19" s="61"/>
      <c r="G19" s="58"/>
      <c r="H19" s="58"/>
      <c r="I19" s="58"/>
      <c r="J19" s="58"/>
      <c r="K19" s="58"/>
      <c r="L19" s="59"/>
      <c r="M19" s="110"/>
      <c r="N19" s="112"/>
      <c r="O19" s="112"/>
      <c r="P19" s="64"/>
      <c r="Q19" s="77"/>
    </row>
    <row r="20" spans="1:17" x14ac:dyDescent="0.25">
      <c r="A20" s="55">
        <v>14</v>
      </c>
      <c r="B20" s="70" t="s">
        <v>76</v>
      </c>
      <c r="C20" s="60"/>
      <c r="D20" s="60"/>
      <c r="E20" s="55"/>
      <c r="F20" s="61"/>
      <c r="G20" s="58"/>
      <c r="H20" s="58"/>
      <c r="I20" s="58"/>
      <c r="J20" s="58"/>
      <c r="K20" s="58"/>
      <c r="L20" s="59"/>
      <c r="M20" s="110"/>
      <c r="N20" s="112"/>
      <c r="O20" s="112"/>
      <c r="P20" s="64"/>
      <c r="Q20" s="77"/>
    </row>
    <row r="21" spans="1:17" x14ac:dyDescent="0.25">
      <c r="A21" s="55">
        <v>15</v>
      </c>
      <c r="B21" s="55" t="s">
        <v>77</v>
      </c>
      <c r="C21" s="60">
        <v>511</v>
      </c>
      <c r="D21" s="60" t="s">
        <v>78</v>
      </c>
      <c r="E21" s="55">
        <v>0.16113</v>
      </c>
      <c r="F21" s="61"/>
      <c r="G21" s="58">
        <v>9393316.614548726</v>
      </c>
      <c r="H21" s="111">
        <f>G21*E21</f>
        <v>1513545.1061022361</v>
      </c>
      <c r="I21" s="58"/>
      <c r="J21" s="65"/>
      <c r="K21" s="58">
        <f t="shared" si="0"/>
        <v>0</v>
      </c>
      <c r="L21" s="59"/>
      <c r="M21" s="110"/>
      <c r="N21" s="112"/>
      <c r="O21" s="112"/>
      <c r="P21" s="64"/>
      <c r="Q21" s="77"/>
    </row>
    <row r="22" spans="1:17" x14ac:dyDescent="0.25">
      <c r="A22" s="55">
        <v>16</v>
      </c>
      <c r="B22" s="55"/>
      <c r="C22" s="60"/>
      <c r="D22" s="60" t="s">
        <v>79</v>
      </c>
      <c r="E22" s="55">
        <v>0.12471</v>
      </c>
      <c r="F22" s="61"/>
      <c r="G22" s="58">
        <v>4907613.8275464717</v>
      </c>
      <c r="H22" s="111">
        <f>G22*E22</f>
        <v>612028.52043332055</v>
      </c>
      <c r="I22" s="58"/>
      <c r="J22" s="65"/>
      <c r="K22" s="58">
        <f t="shared" si="0"/>
        <v>0</v>
      </c>
      <c r="L22" s="59"/>
      <c r="M22" s="110"/>
      <c r="N22" s="113"/>
      <c r="O22" s="113"/>
      <c r="P22" s="64"/>
      <c r="Q22" s="77"/>
    </row>
    <row r="23" spans="1:17" x14ac:dyDescent="0.25">
      <c r="A23" s="55">
        <v>17</v>
      </c>
      <c r="B23" s="55"/>
      <c r="C23" s="60"/>
      <c r="D23" s="60" t="s">
        <v>80</v>
      </c>
      <c r="E23" s="55">
        <v>3.4639999999999997E-2</v>
      </c>
      <c r="F23" s="61"/>
      <c r="G23" s="58">
        <v>1204028.6422506776</v>
      </c>
      <c r="H23" s="111">
        <f>G23*E23</f>
        <v>41707.552167563466</v>
      </c>
      <c r="I23" s="58"/>
      <c r="J23" s="65"/>
      <c r="K23" s="58">
        <f t="shared" si="0"/>
        <v>0</v>
      </c>
      <c r="L23" s="59"/>
      <c r="M23" s="110"/>
      <c r="N23" s="112"/>
      <c r="O23" s="112"/>
      <c r="P23" s="64"/>
      <c r="Q23" s="77"/>
    </row>
    <row r="24" spans="1:17" x14ac:dyDescent="0.25">
      <c r="A24" s="55">
        <v>18</v>
      </c>
      <c r="B24" s="55" t="s">
        <v>81</v>
      </c>
      <c r="C24" s="60"/>
      <c r="D24" s="60"/>
      <c r="E24" s="55">
        <f>+H24/G24</f>
        <v>0.13977987087313579</v>
      </c>
      <c r="F24" s="61"/>
      <c r="G24" s="58">
        <f>SUM(G21:G23)</f>
        <v>15504959.084345875</v>
      </c>
      <c r="H24" s="111">
        <f>SUM(H21:H23)</f>
        <v>2167281.17870312</v>
      </c>
      <c r="I24" s="58"/>
      <c r="J24" s="65">
        <f>H24/$H$43</f>
        <v>2.6014616067578544E-2</v>
      </c>
      <c r="K24" s="66">
        <f t="shared" si="0"/>
        <v>-52151.082872183106</v>
      </c>
      <c r="L24" s="59">
        <f>K24/H24</f>
        <v>-2.4062905812428918E-2</v>
      </c>
      <c r="M24" s="110"/>
      <c r="N24" s="112"/>
      <c r="O24" s="112">
        <f>+K24/G24</f>
        <v>-3.3635098672937427E-3</v>
      </c>
      <c r="P24" s="64">
        <v>-2.9299999999999999E-3</v>
      </c>
      <c r="Q24" s="77">
        <f>P24*G24</f>
        <v>-45429.530117133414</v>
      </c>
    </row>
    <row r="25" spans="1:17" x14ac:dyDescent="0.25">
      <c r="A25" s="55">
        <v>19</v>
      </c>
      <c r="B25" s="55"/>
      <c r="C25" s="60"/>
      <c r="D25" s="60"/>
      <c r="E25" s="55"/>
      <c r="F25" s="61"/>
      <c r="G25" s="58"/>
      <c r="H25" s="58"/>
      <c r="I25" s="58"/>
      <c r="J25" s="65"/>
      <c r="K25" s="58"/>
      <c r="L25" s="59"/>
      <c r="M25" s="110"/>
      <c r="N25" s="112"/>
      <c r="O25" s="112"/>
      <c r="P25" s="64"/>
      <c r="Q25" s="77"/>
    </row>
    <row r="26" spans="1:17" x14ac:dyDescent="0.25">
      <c r="A26" s="55">
        <v>20</v>
      </c>
      <c r="B26" s="70" t="s">
        <v>82</v>
      </c>
      <c r="C26" s="60"/>
      <c r="D26" s="60"/>
      <c r="E26" s="55"/>
      <c r="F26" s="61"/>
      <c r="G26" s="58"/>
      <c r="H26" s="58"/>
      <c r="I26" s="58"/>
      <c r="J26" s="58"/>
      <c r="K26" s="58"/>
      <c r="L26" s="59"/>
      <c r="M26" s="110"/>
      <c r="N26" s="112"/>
      <c r="O26" s="112"/>
      <c r="P26" s="64"/>
      <c r="Q26" s="77"/>
    </row>
    <row r="27" spans="1:17" x14ac:dyDescent="0.25">
      <c r="A27" s="55">
        <v>21</v>
      </c>
      <c r="B27" s="55" t="s">
        <v>83</v>
      </c>
      <c r="C27" s="60">
        <v>570</v>
      </c>
      <c r="D27" s="60" t="s">
        <v>84</v>
      </c>
      <c r="E27" s="55">
        <v>8.9639999999999997E-2</v>
      </c>
      <c r="F27" s="61"/>
      <c r="G27" s="58">
        <v>1301512.7114810457</v>
      </c>
      <c r="H27" s="111">
        <f>G27*E27</f>
        <v>116667.59945716093</v>
      </c>
      <c r="I27" s="58"/>
      <c r="J27" s="65"/>
      <c r="K27" s="58">
        <f t="shared" si="0"/>
        <v>0</v>
      </c>
      <c r="L27" s="59"/>
      <c r="M27" s="110"/>
      <c r="N27" s="112"/>
      <c r="O27" s="112"/>
      <c r="P27" s="64"/>
      <c r="Q27" s="77"/>
    </row>
    <row r="28" spans="1:17" x14ac:dyDescent="0.25">
      <c r="A28" s="55">
        <v>22</v>
      </c>
      <c r="B28" s="55"/>
      <c r="C28" s="60"/>
      <c r="D28" s="60" t="s">
        <v>85</v>
      </c>
      <c r="E28" s="55">
        <v>2.8170000000000001E-2</v>
      </c>
      <c r="F28" s="61"/>
      <c r="G28" s="58">
        <v>1032498.538383325</v>
      </c>
      <c r="H28" s="111">
        <f>G28*E28</f>
        <v>29085.483826258267</v>
      </c>
      <c r="I28" s="58"/>
      <c r="J28" s="65"/>
      <c r="K28" s="58">
        <f t="shared" si="0"/>
        <v>0</v>
      </c>
      <c r="L28" s="59"/>
      <c r="M28" s="110"/>
      <c r="N28" s="112"/>
      <c r="O28" s="112"/>
      <c r="P28" s="64"/>
      <c r="Q28" s="77"/>
    </row>
    <row r="29" spans="1:17" x14ac:dyDescent="0.25">
      <c r="A29" s="55">
        <v>23</v>
      </c>
      <c r="B29" s="55" t="s">
        <v>69</v>
      </c>
      <c r="C29" s="60"/>
      <c r="D29" s="60"/>
      <c r="E29" s="55">
        <f>+H29/G29</f>
        <v>6.2447463906563826E-2</v>
      </c>
      <c r="F29" s="61"/>
      <c r="G29" s="58">
        <f>SUM(G27:G28)</f>
        <v>2334011.2498643706</v>
      </c>
      <c r="H29" s="111">
        <f>SUM(H27:H28)</f>
        <v>145753.0832834192</v>
      </c>
      <c r="I29" s="58"/>
      <c r="J29" s="65">
        <f>H29/$H$43</f>
        <v>1.7495240301735437E-3</v>
      </c>
      <c r="K29" s="66">
        <f t="shared" si="0"/>
        <v>-3507.2427149200239</v>
      </c>
      <c r="L29" s="59">
        <f>K29/H29</f>
        <v>-2.4062905812428918E-2</v>
      </c>
      <c r="M29" s="110"/>
      <c r="N29" s="112"/>
      <c r="O29" s="112">
        <f>+K29/G29</f>
        <v>-1.5026674422086996E-3</v>
      </c>
      <c r="P29" s="64">
        <v>-1.08E-3</v>
      </c>
      <c r="Q29" s="77">
        <f>P29*G29</f>
        <v>-2520.7321498535202</v>
      </c>
    </row>
    <row r="30" spans="1:17" x14ac:dyDescent="0.25">
      <c r="A30" s="55">
        <v>24</v>
      </c>
      <c r="B30" s="55"/>
      <c r="C30" s="60"/>
      <c r="D30" s="60"/>
      <c r="E30" s="55"/>
      <c r="F30" s="61"/>
      <c r="G30" s="58"/>
      <c r="H30" s="58"/>
      <c r="I30" s="58"/>
      <c r="J30" s="65"/>
      <c r="K30" s="58"/>
      <c r="L30" s="59"/>
      <c r="M30" s="110"/>
      <c r="N30" s="112"/>
      <c r="O30" s="112"/>
      <c r="P30" s="64"/>
      <c r="Q30" s="77"/>
    </row>
    <row r="31" spans="1:17" x14ac:dyDescent="0.25">
      <c r="A31" s="55">
        <v>25</v>
      </c>
      <c r="B31" s="70" t="s">
        <v>86</v>
      </c>
      <c r="C31" s="60"/>
      <c r="D31" s="60"/>
      <c r="E31" s="55"/>
      <c r="F31" s="61"/>
      <c r="G31" s="66">
        <f>G8+G12+G24+G18+G29</f>
        <v>256190038.25864702</v>
      </c>
      <c r="H31" s="66">
        <f>H8+H12+H24+H18+H29</f>
        <v>69903529.854844362</v>
      </c>
      <c r="I31" s="66"/>
      <c r="J31" s="72">
        <f>H31/$H$43</f>
        <v>0.83907593938986325</v>
      </c>
      <c r="K31" s="66">
        <f t="shared" si="0"/>
        <v>-1682082.0548534328</v>
      </c>
      <c r="L31" s="73">
        <f>K31/H31</f>
        <v>-2.4062905812428918E-2</v>
      </c>
      <c r="M31" s="110"/>
      <c r="N31" s="112"/>
      <c r="O31" s="112"/>
      <c r="P31" s="64"/>
      <c r="Q31" s="77"/>
    </row>
    <row r="32" spans="1:17" x14ac:dyDescent="0.25">
      <c r="A32" s="55">
        <v>26</v>
      </c>
      <c r="B32" s="55"/>
      <c r="C32" s="60"/>
      <c r="D32" s="60"/>
      <c r="E32" s="55"/>
      <c r="F32" s="61"/>
      <c r="G32" s="55"/>
      <c r="H32" s="58"/>
      <c r="I32" s="58"/>
      <c r="J32" s="58"/>
      <c r="K32" s="58"/>
      <c r="L32" s="59"/>
      <c r="M32" s="110"/>
      <c r="N32" s="112"/>
      <c r="O32" s="112"/>
      <c r="P32" s="64"/>
      <c r="Q32" s="114"/>
    </row>
    <row r="33" spans="1:23" x14ac:dyDescent="0.25">
      <c r="A33" s="55">
        <v>27</v>
      </c>
      <c r="B33" s="70" t="s">
        <v>87</v>
      </c>
      <c r="C33" s="60"/>
      <c r="D33" s="60"/>
      <c r="E33" s="55"/>
      <c r="F33" s="61"/>
      <c r="G33" s="55"/>
      <c r="H33" s="58"/>
      <c r="I33" s="58"/>
      <c r="J33" s="58"/>
      <c r="K33" s="58"/>
      <c r="L33" s="59"/>
      <c r="M33" s="110"/>
      <c r="N33" s="112"/>
      <c r="O33" s="112"/>
      <c r="P33" s="64"/>
      <c r="Q33" s="77"/>
    </row>
    <row r="34" spans="1:23" x14ac:dyDescent="0.25">
      <c r="A34" s="55">
        <v>28</v>
      </c>
      <c r="B34" s="55" t="s">
        <v>88</v>
      </c>
      <c r="C34" s="60">
        <v>663</v>
      </c>
      <c r="D34" s="60" t="s">
        <v>89</v>
      </c>
      <c r="E34" s="55">
        <v>5.9889999999999999E-2</v>
      </c>
      <c r="F34" s="61"/>
      <c r="G34" s="115">
        <v>125670307.7394866</v>
      </c>
      <c r="H34" s="111">
        <f>G34*E34</f>
        <v>7526394.7305178531</v>
      </c>
      <c r="I34" s="58"/>
      <c r="J34" s="65"/>
      <c r="K34" s="58">
        <f>J34*$K$43</f>
        <v>0</v>
      </c>
      <c r="L34" s="59"/>
      <c r="M34" s="110"/>
      <c r="N34" s="112"/>
      <c r="O34" s="112"/>
      <c r="P34" s="64"/>
      <c r="Q34" s="77"/>
    </row>
    <row r="35" spans="1:23" x14ac:dyDescent="0.25">
      <c r="A35" s="55">
        <v>29</v>
      </c>
      <c r="B35" s="55"/>
      <c r="C35" s="60"/>
      <c r="D35" s="60" t="s">
        <v>90</v>
      </c>
      <c r="E35" s="55">
        <v>2.3029999999999998E-2</v>
      </c>
      <c r="F35" s="61"/>
      <c r="G35" s="115">
        <v>99243995.968259618</v>
      </c>
      <c r="H35" s="111">
        <f>G35*E35</f>
        <v>2285589.227149019</v>
      </c>
      <c r="I35" s="58"/>
      <c r="J35" s="65"/>
      <c r="K35" s="58">
        <f t="shared" si="0"/>
        <v>0</v>
      </c>
      <c r="L35" s="59"/>
      <c r="M35" s="110"/>
      <c r="N35" s="112"/>
      <c r="O35" s="112"/>
      <c r="P35" s="64"/>
      <c r="Q35" s="77"/>
    </row>
    <row r="36" spans="1:23" x14ac:dyDescent="0.25">
      <c r="A36" s="55">
        <v>30</v>
      </c>
      <c r="B36" s="55"/>
      <c r="C36" s="60"/>
      <c r="D36" s="60" t="s">
        <v>90</v>
      </c>
      <c r="E36" s="55">
        <v>1.473E-2</v>
      </c>
      <c r="F36" s="61"/>
      <c r="G36" s="115">
        <v>36535700.346506834</v>
      </c>
      <c r="H36" s="111">
        <f>G36*E36</f>
        <v>538170.86610404565</v>
      </c>
      <c r="I36" s="58"/>
      <c r="J36" s="65"/>
      <c r="K36" s="58">
        <f t="shared" si="0"/>
        <v>0</v>
      </c>
      <c r="L36" s="59"/>
      <c r="M36" s="110"/>
      <c r="N36" s="112"/>
      <c r="O36" s="112"/>
      <c r="P36" s="64"/>
      <c r="Q36" s="77"/>
    </row>
    <row r="37" spans="1:23" x14ac:dyDescent="0.25">
      <c r="A37" s="55">
        <v>31</v>
      </c>
      <c r="B37" s="55"/>
      <c r="C37" s="60"/>
      <c r="D37" s="60" t="s">
        <v>91</v>
      </c>
      <c r="E37" s="55">
        <v>7.9799999999999992E-3</v>
      </c>
      <c r="F37" s="61"/>
      <c r="G37" s="115">
        <v>383013835.04329479</v>
      </c>
      <c r="H37" s="111">
        <f>G37*E37</f>
        <v>3056450.4036454922</v>
      </c>
      <c r="I37" s="58"/>
      <c r="J37" s="65"/>
      <c r="K37" s="58">
        <f t="shared" si="0"/>
        <v>0</v>
      </c>
      <c r="L37" s="59"/>
      <c r="M37" s="110"/>
      <c r="N37" s="112"/>
      <c r="O37" s="112"/>
      <c r="P37" s="64"/>
      <c r="Q37" s="77"/>
    </row>
    <row r="38" spans="1:23" x14ac:dyDescent="0.25">
      <c r="A38" s="55">
        <v>32</v>
      </c>
      <c r="B38" s="55" t="s">
        <v>22</v>
      </c>
      <c r="C38" s="60"/>
      <c r="D38" s="60"/>
      <c r="E38" s="55">
        <f>+H38/G38</f>
        <v>2.0802726877880189E-2</v>
      </c>
      <c r="F38" s="61"/>
      <c r="G38" s="58">
        <f>SUM(G34:G37)</f>
        <v>644463839.09754777</v>
      </c>
      <c r="H38" s="111">
        <f>SUM(H34:H37)</f>
        <v>13406605.227416411</v>
      </c>
      <c r="I38" s="58"/>
      <c r="J38" s="65">
        <f>H38/$H$43</f>
        <v>0.16092406061013673</v>
      </c>
      <c r="K38" s="66">
        <f>J38*$K$43</f>
        <v>-322601.87885173829</v>
      </c>
      <c r="L38" s="59">
        <f>K38/H38</f>
        <v>-2.4062905812428918E-2</v>
      </c>
      <c r="M38" s="110"/>
      <c r="N38" s="112"/>
      <c r="O38" s="112">
        <f>+K38/G38</f>
        <v>-5.0057405750411458E-4</v>
      </c>
      <c r="P38" s="64">
        <v>6.4000000000000005E-4</v>
      </c>
      <c r="Q38" s="77">
        <f>-P38*G38</f>
        <v>-412456.85702243063</v>
      </c>
    </row>
    <row r="39" spans="1:23" x14ac:dyDescent="0.25">
      <c r="A39" s="55">
        <v>33</v>
      </c>
      <c r="B39" s="55"/>
      <c r="C39" s="60"/>
      <c r="D39" s="60"/>
      <c r="E39" s="55"/>
      <c r="F39" s="61"/>
      <c r="H39" s="58"/>
      <c r="I39" s="58"/>
      <c r="J39" s="58"/>
      <c r="K39" s="58"/>
      <c r="L39" s="59"/>
      <c r="M39" s="110"/>
      <c r="N39" s="112"/>
      <c r="O39" s="112"/>
      <c r="P39" s="64"/>
      <c r="Q39" s="77"/>
    </row>
    <row r="40" spans="1:23" x14ac:dyDescent="0.25">
      <c r="A40" s="55">
        <v>34</v>
      </c>
      <c r="C40" s="76"/>
      <c r="D40" s="55"/>
      <c r="E40" s="55"/>
      <c r="F40" s="55"/>
      <c r="H40"/>
      <c r="I40" s="58"/>
      <c r="K40" s="58"/>
      <c r="L40" s="59"/>
      <c r="M40" s="110"/>
      <c r="N40" s="112"/>
      <c r="O40" s="112"/>
      <c r="P40" s="64"/>
      <c r="Q40" s="77"/>
      <c r="W40" s="77"/>
    </row>
    <row r="41" spans="1:23" x14ac:dyDescent="0.25">
      <c r="A41" s="55">
        <v>35</v>
      </c>
      <c r="B41" s="70" t="s">
        <v>92</v>
      </c>
      <c r="C41" s="55"/>
      <c r="D41" s="55"/>
      <c r="E41" s="55"/>
      <c r="F41" s="55"/>
      <c r="G41" s="66">
        <f>SUM(G38:G39)</f>
        <v>644463839.09754777</v>
      </c>
      <c r="H41" s="66">
        <f>SUM(H38:H39)</f>
        <v>13406605.227416411</v>
      </c>
      <c r="I41" s="66"/>
      <c r="J41" s="72">
        <f>H41/$H$43</f>
        <v>0.16092406061013673</v>
      </c>
      <c r="K41" s="66">
        <f>J41*$K$43</f>
        <v>-322601.87885173829</v>
      </c>
      <c r="L41" s="73">
        <f>K41/H41</f>
        <v>-2.4062905812428918E-2</v>
      </c>
      <c r="M41" s="110"/>
      <c r="N41" s="112"/>
      <c r="O41" s="112"/>
      <c r="P41" s="64"/>
      <c r="Q41" s="77"/>
    </row>
    <row r="42" spans="1:23" ht="15.75" thickBot="1" x14ac:dyDescent="0.3">
      <c r="A42" s="55">
        <v>36</v>
      </c>
      <c r="B42" s="70"/>
      <c r="C42" s="55"/>
      <c r="D42" s="55"/>
      <c r="E42" s="55"/>
      <c r="F42" s="55"/>
      <c r="G42" s="58"/>
      <c r="H42" s="58"/>
      <c r="I42" s="58"/>
      <c r="J42" s="65"/>
      <c r="K42" s="78"/>
      <c r="L42" s="59"/>
      <c r="M42" s="110"/>
      <c r="N42" s="112"/>
      <c r="O42" s="112"/>
      <c r="P42" s="64"/>
      <c r="Q42" s="77"/>
    </row>
    <row r="43" spans="1:23" x14ac:dyDescent="0.25">
      <c r="A43" s="55">
        <v>37</v>
      </c>
      <c r="B43" s="79" t="s">
        <v>22</v>
      </c>
      <c r="C43" s="48"/>
      <c r="D43" s="48"/>
      <c r="E43" s="48"/>
      <c r="F43" s="48"/>
      <c r="G43" s="80">
        <f>G31+G41</f>
        <v>900653877.35619473</v>
      </c>
      <c r="H43" s="80">
        <f>H31+H41</f>
        <v>83310135.082260773</v>
      </c>
      <c r="I43" s="80"/>
      <c r="J43" s="81">
        <f>J31+J41</f>
        <v>1</v>
      </c>
      <c r="K43" s="128">
        <f>+K50</f>
        <v>-2004683.9337051711</v>
      </c>
      <c r="L43" s="82">
        <f>K43/H43</f>
        <v>-2.4062905812428918E-2</v>
      </c>
      <c r="M43" s="110"/>
      <c r="N43" s="110"/>
      <c r="O43" s="110"/>
      <c r="Q43" s="77">
        <f>SUM(Q7:Q42)</f>
        <v>-1998725.8088137726</v>
      </c>
    </row>
    <row r="44" spans="1:23" x14ac:dyDescent="0.25">
      <c r="A44" s="55">
        <v>38</v>
      </c>
      <c r="K44" s="83" t="s">
        <v>93</v>
      </c>
      <c r="L44" s="84"/>
      <c r="M44" s="110"/>
      <c r="N44" s="110"/>
      <c r="O44" s="110"/>
    </row>
    <row r="45" spans="1:23" x14ac:dyDescent="0.25">
      <c r="A45" s="85">
        <v>39</v>
      </c>
      <c r="B45" s="86"/>
      <c r="C45" s="86"/>
      <c r="D45" s="86"/>
      <c r="E45" s="86"/>
      <c r="F45" s="86"/>
      <c r="G45" s="86"/>
      <c r="H45" s="87"/>
      <c r="I45" s="87"/>
      <c r="J45" s="87"/>
      <c r="K45" s="88"/>
      <c r="L45" s="116"/>
      <c r="M45" s="110"/>
      <c r="N45" s="110"/>
      <c r="O45" s="110"/>
    </row>
    <row r="46" spans="1:23" x14ac:dyDescent="0.25">
      <c r="G46">
        <f>1105865644-216766399</f>
        <v>889099245</v>
      </c>
    </row>
    <row r="48" spans="1:23" x14ac:dyDescent="0.25">
      <c r="H48" s="77" t="s">
        <v>133</v>
      </c>
      <c r="K48" s="77">
        <f>SUM('[1]2540.20481'!$D$19:$D$30)</f>
        <v>-1513155.4800000002</v>
      </c>
    </row>
    <row r="49" spans="8:17" x14ac:dyDescent="0.25">
      <c r="H49" s="77" t="s">
        <v>134</v>
      </c>
      <c r="K49" s="91">
        <v>0.75480999999999998</v>
      </c>
    </row>
    <row r="50" spans="8:17" x14ac:dyDescent="0.25">
      <c r="H50" s="77" t="s">
        <v>96</v>
      </c>
      <c r="K50" s="77">
        <f>+K48/K49</f>
        <v>-2004683.9337051711</v>
      </c>
      <c r="Q50" s="77"/>
    </row>
    <row r="52" spans="8:17" x14ac:dyDescent="0.25">
      <c r="H52" s="77" t="s">
        <v>97</v>
      </c>
      <c r="K52" s="92">
        <f>+K50-Q43</f>
        <v>-5958.1248913984746</v>
      </c>
    </row>
    <row r="53" spans="8:17" x14ac:dyDescent="0.25">
      <c r="K53" s="90">
        <f>+K52/H43</f>
        <v>-7.1517407642124185E-5</v>
      </c>
    </row>
  </sheetData>
  <mergeCells count="3">
    <mergeCell ref="A1:L1"/>
    <mergeCell ref="A2:L2"/>
    <mergeCell ref="A3:L3"/>
  </mergeCells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B25BB-21E0-4547-98C8-197FCC594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3C1F22-5A96-4CBC-ABAD-FD5377137BC2}"/>
</file>

<file path=customXml/itemProps3.xml><?xml version="1.0" encoding="utf-8"?>
<ds:datastoreItem xmlns:ds="http://schemas.openxmlformats.org/officeDocument/2006/customXml" ds:itemID="{61B7EE54-4A75-4EB8-BA38-E2F0E07E57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44B04BB-6F2B-4315-9E9E-A3FF8F8E9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2019 GRC, Mar20 Rates&gt;&gt;</vt:lpstr>
      <vt:lpstr>2018 Revenue Requirement</vt:lpstr>
      <vt:lpstr>Exh IDM-4 -Revenue Distribution</vt:lpstr>
      <vt:lpstr>2019 GRC Therm Sales</vt:lpstr>
      <vt:lpstr>Mar20-Jun21 As IF</vt:lpstr>
      <vt:lpstr>2020 GRC ,Jul 21 Rates&gt;&gt;</vt:lpstr>
      <vt:lpstr>2019 Revenue Requirement</vt:lpstr>
      <vt:lpstr>Exh 4, Revenue Distribution</vt:lpstr>
      <vt:lpstr>2020 GRC Therm Sales</vt:lpstr>
      <vt:lpstr>July 21 - Aug 22 As If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