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88" yWindow="65524" windowWidth="9576" windowHeight="8112" activeTab="0"/>
  </bookViews>
  <sheets>
    <sheet name="KF WA DFIT" sheetId="1" r:id="rId1"/>
    <sheet name="KF WA" sheetId="2" r:id="rId2"/>
    <sheet name="KF ID" sheetId="3" r:id="rId3"/>
  </sheets>
  <definedNames>
    <definedName name="All_Years">'KF ID'!$A$1:$G$56</definedName>
    <definedName name="AMA_Calc">'KF WA'!$A$54:$J$87</definedName>
    <definedName name="AMA_Monthly_DFIT">'KF WA DFIT'!$K$73:$P$107</definedName>
    <definedName name="amort">'KF WA'!$A$1:$J$53</definedName>
    <definedName name="Amort_Schedule">'KF WA'!$A$1:$J$45</definedName>
    <definedName name="DFIT_Schedule">'KF WA DFIT'!$B$1:$J$72</definedName>
    <definedName name="ID12xx">'KF ID'!$A$1:$G$56,'KF ID'!$J$1:$N$51</definedName>
    <definedName name="ID6xx">'KF ID'!$A$1:$G$60</definedName>
    <definedName name="Monthly">'KF ID'!$I$1:$N$51</definedName>
    <definedName name="_xlnm.Print_Area" localSheetId="2">'KF ID'!$A$1:$G$55,'KF ID'!$J$1:$N$51</definedName>
    <definedName name="_xlnm.Print_Area" localSheetId="1">'KF WA'!$A$1:$L$86</definedName>
    <definedName name="_xlnm.Print_Area" localSheetId="0">'KF WA DFIT'!$B$1:$J$83</definedName>
    <definedName name="_xlnm.Print_Titles" localSheetId="1">'KF WA'!$1:$2</definedName>
  </definedNames>
  <calcPr fullCalcOnLoad="1" fullPrecision="0"/>
</workbook>
</file>

<file path=xl/comments1.xml><?xml version="1.0" encoding="utf-8"?>
<comments xmlns="http://schemas.openxmlformats.org/spreadsheetml/2006/main">
  <authors>
    <author>rzk7kq</author>
  </authors>
  <commentList>
    <comment ref="H39" authorId="0">
      <text>
        <r>
          <rPr>
            <b/>
            <sz val="8"/>
            <rFont val="Tahoma"/>
            <family val="0"/>
          </rPr>
          <t>rzk7kq:</t>
        </r>
        <r>
          <rPr>
            <sz val="8"/>
            <rFont val="Tahoma"/>
            <family val="0"/>
          </rPr>
          <t xml:space="preserve">
blended rate - weighted average for 46%, 34%, 35% - used a blend of the historical actual rates rather than force to new 35% rate. </t>
        </r>
      </text>
    </comment>
  </commentList>
</comments>
</file>

<file path=xl/sharedStrings.xml><?xml version="1.0" encoding="utf-8"?>
<sst xmlns="http://schemas.openxmlformats.org/spreadsheetml/2006/main" count="181" uniqueCount="104">
  <si>
    <t>Kettle Falls</t>
  </si>
  <si>
    <t>Reserve Balance and Amortization</t>
  </si>
  <si>
    <t>State of Washington</t>
  </si>
  <si>
    <t>December 1986 - December 2018</t>
  </si>
  <si>
    <t>Washington</t>
  </si>
  <si>
    <t>Reserve</t>
  </si>
  <si>
    <t>Amortization</t>
  </si>
  <si>
    <t>Cumulative</t>
  </si>
  <si>
    <t>Accumulated</t>
  </si>
  <si>
    <t>Balance</t>
  </si>
  <si>
    <t>(32 Years)</t>
  </si>
  <si>
    <t>Depreciation</t>
  </si>
  <si>
    <t>Test Period Amortization</t>
  </si>
  <si>
    <t>AMA Cumulative Amortization</t>
  </si>
  <si>
    <t>AMA Accumulated Depreciation</t>
  </si>
  <si>
    <t>set print range to amort for 6/xx year ends</t>
  </si>
  <si>
    <t>Total AMA Amort &amp; Depr</t>
  </si>
  <si>
    <t>AMA Disallowance</t>
  </si>
  <si>
    <t>Disallowance</t>
  </si>
  <si>
    <t>Total</t>
  </si>
  <si>
    <t>Divide by 2</t>
  </si>
  <si>
    <t>Average</t>
  </si>
  <si>
    <t>Divide by 12</t>
  </si>
  <si>
    <t>Average of Monthly Averages</t>
  </si>
  <si>
    <t>Total AMA Cum. Amort. &amp; Accum. Depr.</t>
  </si>
  <si>
    <t xml:space="preserve">Deferred FIT Associated with the </t>
  </si>
  <si>
    <t>Kettle Falls Disallowance</t>
  </si>
  <si>
    <t>***************</t>
  </si>
  <si>
    <t>Tax Basis at 95%</t>
  </si>
  <si>
    <t>(Reflects ITC basis reduction.)</t>
  </si>
  <si>
    <t>Book Depreciation Rates</t>
  </si>
  <si>
    <t>*******************</t>
  </si>
  <si>
    <t>Deferred taxes have been adjusted to a 35-year life.</t>
  </si>
  <si>
    <t>(In service for 1 month.)</t>
  </si>
  <si>
    <t>1984-2017</t>
  </si>
  <si>
    <t xml:space="preserve"> 1/35*11/12=</t>
  </si>
  <si>
    <t>Book Deprec.</t>
  </si>
  <si>
    <t>Tax Deprec.</t>
  </si>
  <si>
    <t>Book-Tax</t>
  </si>
  <si>
    <t>Tax</t>
  </si>
  <si>
    <t>Deferred</t>
  </si>
  <si>
    <t xml:space="preserve">Deferred Tax </t>
  </si>
  <si>
    <t>Year</t>
  </si>
  <si>
    <t>Rate</t>
  </si>
  <si>
    <t>Amount</t>
  </si>
  <si>
    <t>Tax Expense</t>
  </si>
  <si>
    <t>****</t>
  </si>
  <si>
    <t>*********</t>
  </si>
  <si>
    <t>Adjust to 35% Tax Rate</t>
  </si>
  <si>
    <t>12/92 Balance</t>
  </si>
  <si>
    <t>Book Acc Depr</t>
  </si>
  <si>
    <t>Net Disallow</t>
  </si>
  <si>
    <t>Tax Accum Depr</t>
  </si>
  <si>
    <t>Book - Tax</t>
  </si>
  <si>
    <t xml:space="preserve"> @ -35%</t>
  </si>
  <si>
    <t>Deferred Tax</t>
  </si>
  <si>
    <t>Adjustment</t>
  </si>
  <si>
    <t>Tax Depreciation</t>
  </si>
  <si>
    <t>Current</t>
  </si>
  <si>
    <t>Book-Tax Depreciation</t>
  </si>
  <si>
    <t>Book Depreciation</t>
  </si>
  <si>
    <t>Net</t>
  </si>
  <si>
    <t>Tax Expense Recorded for the Test Period</t>
  </si>
  <si>
    <t>State of Idaho</t>
  </si>
  <si>
    <t>Average Monthly Average Calculation</t>
  </si>
  <si>
    <t>1983 - 2019</t>
  </si>
  <si>
    <t>Production Plant Rate Base</t>
  </si>
  <si>
    <t>Depreciation Rates</t>
  </si>
  <si>
    <t>Percent Disallowance</t>
  </si>
  <si>
    <t>Disallowance Amount - System</t>
  </si>
  <si>
    <t>Idaho Allocation Percentage</t>
  </si>
  <si>
    <t>Disallowance Amount - Idaho</t>
  </si>
  <si>
    <t>1985-2018</t>
  </si>
  <si>
    <t>Depreciation Amount</t>
  </si>
  <si>
    <t>Net Balance End</t>
  </si>
  <si>
    <t>Accum. Depr.</t>
  </si>
  <si>
    <t>of Period</t>
  </si>
  <si>
    <t>Monthly</t>
  </si>
  <si>
    <t>*************</t>
  </si>
  <si>
    <t>Month</t>
  </si>
  <si>
    <t>Average Monthly Average</t>
  </si>
  <si>
    <t>Plant</t>
  </si>
  <si>
    <t>A/D</t>
  </si>
  <si>
    <t>AMA Net Disallowance</t>
  </si>
  <si>
    <t>set print range to Amort_Schedule for 12/xx year ends</t>
  </si>
  <si>
    <t>Only include this worksheet (AMA_Calc) with 12/xx year ends</t>
  </si>
  <si>
    <t>AVISTA UTILITIES</t>
  </si>
  <si>
    <t>Tax Expense Recorded for the 7/1/97-12/31/99</t>
  </si>
  <si>
    <t>Tax Expense Recorded for the 1/1/98-12/31/2003</t>
  </si>
  <si>
    <t>-$163,992 + $28,932 =</t>
  </si>
  <si>
    <t>(Remaining 14 Years)</t>
  </si>
  <si>
    <t>net amortization of the write-off (amort &amp; Depr)</t>
  </si>
  <si>
    <t xml:space="preserve"> will already be recorded</t>
  </si>
  <si>
    <t>FOR 2006 CBR</t>
  </si>
  <si>
    <t>This adjustment will not be necessary - Corp.</t>
  </si>
  <si>
    <t xml:space="preserve">started recording on the books in 2006 to </t>
  </si>
  <si>
    <t>account 407 rather than 426</t>
  </si>
  <si>
    <t>(see Tara)</t>
  </si>
  <si>
    <t>AMA</t>
  </si>
  <si>
    <t>Amortization per ROO</t>
  </si>
  <si>
    <t>1983 - 2008</t>
  </si>
  <si>
    <t>Deferred Tax Balance at September 30, 2007</t>
  </si>
  <si>
    <t>Deferred Tax Balance at September 30, 2008</t>
  </si>
  <si>
    <t>Twelve Months Ended September 30,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</si>
</sst>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\ ;\(#,##0\)"/>
    <numFmt numFmtId="166" formatCode="&quot;÷ &quot;0"/>
    <numFmt numFmtId="167" formatCode="mmm\ yyyy"/>
    <numFmt numFmtId="168" formatCode="#,##0.0"/>
    <numFmt numFmtId="169" formatCode="m/yy"/>
    <numFmt numFmtId="170" formatCode="mm/yy"/>
    <numFmt numFmtId="171" formatCode="&quot;$&quot;#,##0;\(&quot;$&quot;#,##0\)"/>
    <numFmt numFmtId="172" formatCode="0.000000"/>
    <numFmt numFmtId="173" formatCode="&quot;$&quot;#,##0;&quot;$&quot;\-#,##0"/>
    <numFmt numFmtId="174" formatCode="#,##0;\(#,##0\)"/>
    <numFmt numFmtId="175" formatCode="0.000%"/>
    <numFmt numFmtId="176" formatCode="&quot;$&quot;#,##0.00"/>
  </numFmts>
  <fonts count="2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Calisto MT"/>
      <family val="0"/>
    </font>
    <font>
      <b/>
      <sz val="9"/>
      <name val="Calisto MT"/>
      <family val="0"/>
    </font>
    <font>
      <b/>
      <u val="single"/>
      <sz val="9"/>
      <name val="Calisto MT"/>
      <family val="0"/>
    </font>
    <font>
      <sz val="9"/>
      <color indexed="14"/>
      <name val="Calisto MT"/>
      <family val="1"/>
    </font>
    <font>
      <b/>
      <u val="single"/>
      <sz val="9"/>
      <color indexed="48"/>
      <name val="Calisto MT"/>
      <family val="1"/>
    </font>
    <font>
      <b/>
      <sz val="9"/>
      <color indexed="48"/>
      <name val="Calisto MT"/>
      <family val="1"/>
    </font>
    <font>
      <sz val="9"/>
      <color indexed="48"/>
      <name val="Calisto MT"/>
      <family val="1"/>
    </font>
    <font>
      <b/>
      <sz val="9"/>
      <name val="Times New Roman"/>
      <family val="0"/>
    </font>
    <font>
      <sz val="9"/>
      <name val="Times New Roman"/>
      <family val="1"/>
    </font>
    <font>
      <sz val="9"/>
      <color indexed="14"/>
      <name val="Times New Roman"/>
      <family val="1"/>
    </font>
    <font>
      <u val="single"/>
      <sz val="9"/>
      <name val="Times New Roman"/>
      <family val="1"/>
    </font>
    <font>
      <b/>
      <sz val="9"/>
      <color indexed="10"/>
      <name val="Calisto MT"/>
      <family val="1"/>
    </font>
    <font>
      <sz val="9"/>
      <color indexed="48"/>
      <name val="Times New Roman"/>
      <family val="1"/>
    </font>
    <font>
      <u val="single"/>
      <sz val="9"/>
      <color indexed="14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Times New Roman"/>
      <family val="1"/>
    </font>
    <font>
      <sz val="7"/>
      <name val="Calisto MT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9"/>
      <color indexed="10"/>
      <name val="Calisto MT"/>
      <family val="0"/>
    </font>
    <font>
      <sz val="9"/>
      <color indexed="8"/>
      <name val="Calisto MT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5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7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64" fontId="4" fillId="0" borderId="2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7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3" fontId="6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7" fontId="7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16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5" fontId="11" fillId="0" borderId="0" xfId="0" applyNumberFormat="1" applyFont="1" applyAlignment="1">
      <alignment horizontal="left"/>
    </xf>
    <xf numFmtId="15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1" fontId="12" fillId="0" borderId="0" xfId="0" applyNumberFormat="1" applyFont="1" applyAlignment="1">
      <alignment/>
    </xf>
    <xf numFmtId="0" fontId="12" fillId="0" borderId="3" xfId="0" applyFont="1" applyBorder="1" applyAlignment="1">
      <alignment/>
    </xf>
    <xf numFmtId="0" fontId="12" fillId="0" borderId="2" xfId="0" applyFont="1" applyBorder="1" applyAlignment="1">
      <alignment/>
    </xf>
    <xf numFmtId="171" fontId="12" fillId="0" borderId="4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1" xfId="0" applyFont="1" applyBorder="1" applyAlignment="1">
      <alignment/>
    </xf>
    <xf numFmtId="173" fontId="12" fillId="0" borderId="6" xfId="0" applyNumberFormat="1" applyFont="1" applyBorder="1" applyAlignment="1">
      <alignment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7" xfId="0" applyFont="1" applyBorder="1" applyAlignment="1">
      <alignment horizontal="center"/>
    </xf>
    <xf numFmtId="172" fontId="12" fillId="0" borderId="0" xfId="0" applyNumberFormat="1" applyFont="1" applyAlignment="1">
      <alignment horizontal="center"/>
    </xf>
    <xf numFmtId="172" fontId="12" fillId="0" borderId="8" xfId="0" applyNumberFormat="1" applyFont="1" applyBorder="1" applyAlignment="1">
      <alignment/>
    </xf>
    <xf numFmtId="172" fontId="12" fillId="0" borderId="0" xfId="0" applyNumberFormat="1" applyFont="1" applyAlignment="1">
      <alignment horizontal="right"/>
    </xf>
    <xf numFmtId="172" fontId="12" fillId="0" borderId="8" xfId="0" applyNumberFormat="1" applyFont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172" fontId="12" fillId="0" borderId="1" xfId="0" applyNumberFormat="1" applyFont="1" applyBorder="1" applyAlignment="1">
      <alignment horizontal="right"/>
    </xf>
    <xf numFmtId="172" fontId="12" fillId="0" borderId="6" xfId="0" applyNumberFormat="1" applyFont="1" applyBorder="1" applyAlignment="1">
      <alignment/>
    </xf>
    <xf numFmtId="172" fontId="12" fillId="0" borderId="2" xfId="0" applyNumberFormat="1" applyFont="1" applyBorder="1" applyAlignment="1">
      <alignment horizontal="right"/>
    </xf>
    <xf numFmtId="172" fontId="12" fillId="0" borderId="2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37" fontId="12" fillId="0" borderId="0" xfId="16" applyNumberFormat="1" applyFont="1" applyAlignment="1">
      <alignment/>
    </xf>
    <xf numFmtId="37" fontId="12" fillId="0" borderId="0" xfId="0" applyNumberFormat="1" applyFont="1" applyAlignment="1">
      <alignment/>
    </xf>
    <xf numFmtId="3" fontId="12" fillId="0" borderId="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5" fontId="12" fillId="0" borderId="0" xfId="0" applyNumberFormat="1" applyFont="1" applyAlignment="1">
      <alignment/>
    </xf>
    <xf numFmtId="0" fontId="12" fillId="0" borderId="1" xfId="0" applyFont="1" applyBorder="1" applyAlignment="1">
      <alignment horizontal="center"/>
    </xf>
    <xf numFmtId="174" fontId="12" fillId="0" borderId="1" xfId="0" applyNumberFormat="1" applyFont="1" applyBorder="1" applyAlignment="1">
      <alignment/>
    </xf>
    <xf numFmtId="14" fontId="12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5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5" fontId="13" fillId="0" borderId="0" xfId="0" applyNumberFormat="1" applyFont="1" applyAlignment="1">
      <alignment/>
    </xf>
    <xf numFmtId="5" fontId="13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centerContinuous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2" fillId="0" borderId="7" xfId="0" applyFont="1" applyBorder="1" applyAlignment="1">
      <alignment/>
    </xf>
    <xf numFmtId="10" fontId="12" fillId="0" borderId="6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171" fontId="12" fillId="0" borderId="8" xfId="0" applyNumberFormat="1" applyFont="1" applyBorder="1" applyAlignment="1">
      <alignment/>
    </xf>
    <xf numFmtId="175" fontId="12" fillId="0" borderId="6" xfId="0" applyNumberFormat="1" applyFont="1" applyBorder="1" applyAlignment="1">
      <alignment/>
    </xf>
    <xf numFmtId="0" fontId="12" fillId="0" borderId="3" xfId="0" applyFont="1" applyBorder="1" applyAlignment="1">
      <alignment horizontal="left"/>
    </xf>
    <xf numFmtId="171" fontId="12" fillId="0" borderId="2" xfId="0" applyNumberFormat="1" applyFont="1" applyBorder="1" applyAlignment="1">
      <alignment/>
    </xf>
    <xf numFmtId="171" fontId="12" fillId="0" borderId="6" xfId="0" applyNumberFormat="1" applyFont="1" applyBorder="1" applyAlignment="1">
      <alignment/>
    </xf>
    <xf numFmtId="0" fontId="12" fillId="0" borderId="5" xfId="0" applyFont="1" applyBorder="1" applyAlignment="1">
      <alignment horizontal="left"/>
    </xf>
    <xf numFmtId="7" fontId="12" fillId="0" borderId="6" xfId="0" applyNumberFormat="1" applyFont="1" applyBorder="1" applyAlignment="1">
      <alignment/>
    </xf>
    <xf numFmtId="172" fontId="12" fillId="0" borderId="1" xfId="0" applyNumberFormat="1" applyFont="1" applyBorder="1" applyAlignment="1">
      <alignment/>
    </xf>
    <xf numFmtId="0" fontId="12" fillId="0" borderId="6" xfId="0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17" fontId="12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/>
    </xf>
    <xf numFmtId="17" fontId="12" fillId="0" borderId="0" xfId="0" applyNumberFormat="1" applyFont="1" applyAlignment="1">
      <alignment/>
    </xf>
    <xf numFmtId="176" fontId="12" fillId="0" borderId="2" xfId="0" applyNumberFormat="1" applyFont="1" applyBorder="1" applyAlignment="1">
      <alignment/>
    </xf>
    <xf numFmtId="166" fontId="12" fillId="0" borderId="1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171" fontId="12" fillId="0" borderId="0" xfId="0" applyNumberFormat="1" applyFont="1" applyBorder="1" applyAlignment="1">
      <alignment/>
    </xf>
    <xf numFmtId="17" fontId="1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71" fontId="13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76" fontId="13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/>
    </xf>
    <xf numFmtId="5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7" fontId="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7" fontId="13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5" fontId="19" fillId="0" borderId="0" xfId="0" applyNumberFormat="1" applyFont="1" applyAlignment="1">
      <alignment/>
    </xf>
    <xf numFmtId="174" fontId="19" fillId="0" borderId="1" xfId="0" applyNumberFormat="1" applyFont="1" applyBorder="1" applyAlignment="1">
      <alignment/>
    </xf>
    <xf numFmtId="37" fontId="12" fillId="0" borderId="1" xfId="0" applyNumberFormat="1" applyFont="1" applyBorder="1" applyAlignment="1">
      <alignment/>
    </xf>
    <xf numFmtId="5" fontId="5" fillId="0" borderId="0" xfId="0" applyNumberFormat="1" applyFont="1" applyAlignment="1">
      <alignment/>
    </xf>
    <xf numFmtId="37" fontId="5" fillId="0" borderId="2" xfId="0" applyNumberFormat="1" applyFont="1" applyBorder="1" applyAlignment="1">
      <alignment/>
    </xf>
    <xf numFmtId="5" fontId="11" fillId="0" borderId="0" xfId="0" applyNumberFormat="1" applyFont="1" applyAlignment="1">
      <alignment/>
    </xf>
    <xf numFmtId="37" fontId="11" fillId="0" borderId="1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5" fontId="11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right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5" fontId="13" fillId="0" borderId="1" xfId="0" applyNumberFormat="1" applyFont="1" applyBorder="1" applyAlignment="1">
      <alignment/>
    </xf>
    <xf numFmtId="5" fontId="5" fillId="0" borderId="9" xfId="0" applyNumberFormat="1" applyFont="1" applyBorder="1" applyAlignment="1">
      <alignment/>
    </xf>
    <xf numFmtId="167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165" fontId="24" fillId="0" borderId="0" xfId="0" applyNumberFormat="1" applyFont="1" applyAlignment="1">
      <alignment/>
    </xf>
    <xf numFmtId="3" fontId="24" fillId="0" borderId="0" xfId="15" applyNumberFormat="1" applyFont="1" applyAlignment="1">
      <alignment/>
    </xf>
    <xf numFmtId="3" fontId="12" fillId="2" borderId="0" xfId="0" applyNumberFormat="1" applyFont="1" applyFill="1" applyAlignment="1">
      <alignment/>
    </xf>
    <xf numFmtId="4" fontId="12" fillId="2" borderId="0" xfId="0" applyNumberFormat="1" applyFont="1" applyFill="1" applyAlignment="1">
      <alignment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5" fontId="4" fillId="2" borderId="0" xfId="0" applyNumberFormat="1" applyFont="1" applyFill="1" applyAlignment="1">
      <alignment/>
    </xf>
    <xf numFmtId="171" fontId="11" fillId="2" borderId="4" xfId="0" applyNumberFormat="1" applyFont="1" applyFill="1" applyBorder="1" applyAlignment="1">
      <alignment/>
    </xf>
    <xf numFmtId="5" fontId="12" fillId="2" borderId="0" xfId="0" applyNumberFormat="1" applyFont="1" applyFill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workbookViewId="0" topLeftCell="A1">
      <selection activeCell="G64" sqref="G64"/>
    </sheetView>
  </sheetViews>
  <sheetFormatPr defaultColWidth="9.00390625" defaultRowHeight="12.75"/>
  <cols>
    <col min="1" max="1" width="5.00390625" style="34" customWidth="1"/>
    <col min="2" max="2" width="9.50390625" style="33" customWidth="1"/>
    <col min="3" max="5" width="11.50390625" style="34" customWidth="1"/>
    <col min="6" max="6" width="10.625" style="34" customWidth="1"/>
    <col min="7" max="7" width="11.875" style="34" customWidth="1"/>
    <col min="8" max="11" width="11.50390625" style="34" customWidth="1"/>
    <col min="12" max="12" width="12.00390625" style="34" customWidth="1"/>
    <col min="13" max="13" width="1.625" style="34" customWidth="1"/>
    <col min="14" max="14" width="11.50390625" style="34" customWidth="1"/>
    <col min="15" max="15" width="1.625" style="64" customWidth="1"/>
    <col min="16" max="16384" width="11.50390625" style="34" customWidth="1"/>
  </cols>
  <sheetData>
    <row r="1" spans="2:15" s="30" customFormat="1" ht="12">
      <c r="B1" s="29"/>
      <c r="F1" s="29" t="s">
        <v>86</v>
      </c>
      <c r="J1" s="31"/>
      <c r="O1" s="77"/>
    </row>
    <row r="2" spans="2:15" s="30" customFormat="1" ht="12">
      <c r="B2" s="29"/>
      <c r="F2" s="29"/>
      <c r="G2" s="32"/>
      <c r="H2" s="32"/>
      <c r="O2" s="77"/>
    </row>
    <row r="3" spans="2:15" s="30" customFormat="1" ht="12">
      <c r="B3" s="29"/>
      <c r="F3" s="29" t="s">
        <v>25</v>
      </c>
      <c r="G3" s="32"/>
      <c r="O3" s="77"/>
    </row>
    <row r="4" spans="2:15" s="30" customFormat="1" ht="12">
      <c r="B4" s="29"/>
      <c r="F4" s="29" t="s">
        <v>26</v>
      </c>
      <c r="O4" s="77"/>
    </row>
    <row r="5" spans="2:15" s="30" customFormat="1" ht="12">
      <c r="B5" s="29"/>
      <c r="F5" s="29" t="s">
        <v>2</v>
      </c>
      <c r="O5" s="77"/>
    </row>
    <row r="6" spans="2:15" s="30" customFormat="1" ht="12">
      <c r="B6" s="29"/>
      <c r="F6" s="129" t="s">
        <v>100</v>
      </c>
      <c r="O6" s="77"/>
    </row>
    <row r="7" ht="12">
      <c r="F7" s="33" t="s">
        <v>27</v>
      </c>
    </row>
    <row r="8" spans="4:6" ht="12">
      <c r="D8" s="35"/>
      <c r="E8" s="33"/>
      <c r="F8" s="33"/>
    </row>
    <row r="9" spans="2:5" ht="12">
      <c r="B9" s="36" t="s">
        <v>18</v>
      </c>
      <c r="C9" s="37"/>
      <c r="D9" s="165">
        <v>5247725</v>
      </c>
      <c r="E9" s="33"/>
    </row>
    <row r="10" spans="2:5" ht="12">
      <c r="B10" s="39" t="s">
        <v>28</v>
      </c>
      <c r="C10" s="40"/>
      <c r="D10" s="41">
        <f>D9*0.95</f>
        <v>4985339</v>
      </c>
      <c r="E10" s="42" t="s">
        <v>29</v>
      </c>
    </row>
    <row r="11" spans="2:5" ht="12">
      <c r="B11" s="34"/>
      <c r="D11" s="43"/>
      <c r="E11" s="44"/>
    </row>
    <row r="12" ht="12">
      <c r="B12" s="34"/>
    </row>
    <row r="13" spans="2:10" ht="12">
      <c r="B13" s="36"/>
      <c r="C13" s="45" t="s">
        <v>30</v>
      </c>
      <c r="D13" s="46"/>
      <c r="J13" s="33"/>
    </row>
    <row r="14" spans="2:10" ht="12">
      <c r="B14" s="47"/>
      <c r="C14" s="48" t="s">
        <v>31</v>
      </c>
      <c r="D14" s="49"/>
      <c r="E14" s="34" t="s">
        <v>32</v>
      </c>
      <c r="J14" s="33"/>
    </row>
    <row r="15" spans="2:10" ht="12">
      <c r="B15" s="47">
        <v>1983</v>
      </c>
      <c r="C15" s="50" t="str">
        <f>"1/35/12="</f>
        <v>1/35/12=</v>
      </c>
      <c r="D15" s="51">
        <f>1/35/12</f>
        <v>0.002381</v>
      </c>
      <c r="E15" s="34" t="s">
        <v>33</v>
      </c>
      <c r="J15" s="33"/>
    </row>
    <row r="16" spans="2:10" ht="12">
      <c r="B16" s="47" t="s">
        <v>34</v>
      </c>
      <c r="C16" s="52" t="str">
        <f>"1/35="</f>
        <v>1/35=</v>
      </c>
      <c r="D16" s="51">
        <f>1/35</f>
        <v>0.028571</v>
      </c>
      <c r="J16" s="33"/>
    </row>
    <row r="17" spans="2:10" ht="12" hidden="1">
      <c r="B17" s="53">
        <v>2018</v>
      </c>
      <c r="C17" s="54" t="s">
        <v>35</v>
      </c>
      <c r="D17" s="55">
        <f>1/35*11/12</f>
        <v>0.02619</v>
      </c>
      <c r="E17" s="42"/>
      <c r="F17" s="33"/>
      <c r="G17" s="33"/>
      <c r="H17" s="33"/>
      <c r="I17" s="33"/>
      <c r="J17" s="33"/>
    </row>
    <row r="18" spans="2:10" ht="12">
      <c r="B18" s="45"/>
      <c r="C18" s="56"/>
      <c r="D18" s="57"/>
      <c r="E18" s="33"/>
      <c r="F18" s="33"/>
      <c r="G18" s="33"/>
      <c r="H18" s="33"/>
      <c r="I18" s="33"/>
      <c r="J18" s="33"/>
    </row>
    <row r="19" spans="3:10" ht="12">
      <c r="C19" s="50"/>
      <c r="D19" s="58"/>
      <c r="E19" s="33"/>
      <c r="F19" s="33"/>
      <c r="G19" s="33"/>
      <c r="H19" s="33"/>
      <c r="I19" s="33"/>
      <c r="J19" s="33"/>
    </row>
    <row r="20" spans="3:10" ht="12">
      <c r="C20" s="50"/>
      <c r="D20" s="58"/>
      <c r="E20" s="33"/>
      <c r="F20" s="33"/>
      <c r="G20" s="33"/>
      <c r="H20" s="33"/>
      <c r="I20" s="33"/>
      <c r="J20" s="33"/>
    </row>
    <row r="21" spans="2:10" ht="12">
      <c r="B21" s="34"/>
      <c r="C21" s="33" t="s">
        <v>36</v>
      </c>
      <c r="D21" s="33" t="s">
        <v>36</v>
      </c>
      <c r="E21" s="33" t="s">
        <v>37</v>
      </c>
      <c r="F21" s="33" t="s">
        <v>37</v>
      </c>
      <c r="G21" s="33" t="s">
        <v>38</v>
      </c>
      <c r="H21" s="33" t="s">
        <v>39</v>
      </c>
      <c r="I21" s="33" t="s">
        <v>40</v>
      </c>
      <c r="J21" s="33" t="s">
        <v>41</v>
      </c>
    </row>
    <row r="22" spans="2:10" ht="12">
      <c r="B22" s="33" t="s">
        <v>42</v>
      </c>
      <c r="C22" s="33" t="s">
        <v>43</v>
      </c>
      <c r="D22" s="33" t="s">
        <v>44</v>
      </c>
      <c r="E22" s="33" t="s">
        <v>43</v>
      </c>
      <c r="F22" s="33" t="s">
        <v>44</v>
      </c>
      <c r="G22" s="33" t="s">
        <v>11</v>
      </c>
      <c r="H22" s="33" t="s">
        <v>43</v>
      </c>
      <c r="I22" s="33" t="s">
        <v>45</v>
      </c>
      <c r="J22" s="33" t="s">
        <v>9</v>
      </c>
    </row>
    <row r="23" spans="2:10" ht="12">
      <c r="B23" s="33" t="s">
        <v>46</v>
      </c>
      <c r="C23" s="33" t="s">
        <v>47</v>
      </c>
      <c r="D23" s="33" t="s">
        <v>47</v>
      </c>
      <c r="E23" s="33" t="s">
        <v>47</v>
      </c>
      <c r="F23" s="33" t="s">
        <v>47</v>
      </c>
      <c r="G23" s="33" t="s">
        <v>47</v>
      </c>
      <c r="H23" s="33" t="s">
        <v>47</v>
      </c>
      <c r="I23" s="33" t="s">
        <v>47</v>
      </c>
      <c r="J23" s="33" t="s">
        <v>47</v>
      </c>
    </row>
    <row r="24" spans="1:11" ht="12">
      <c r="A24" s="34">
        <v>1</v>
      </c>
      <c r="B24" s="33">
        <v>1983</v>
      </c>
      <c r="C24" s="34">
        <f>D$15</f>
        <v>0.002381</v>
      </c>
      <c r="D24" s="35">
        <f>$D$10*C24</f>
        <v>11870</v>
      </c>
      <c r="E24" s="59">
        <v>0.05</v>
      </c>
      <c r="F24" s="35">
        <f aca="true" t="shared" si="0" ref="F24:F59">$D$10*E24</f>
        <v>249267</v>
      </c>
      <c r="G24" s="35">
        <f aca="true" t="shared" si="1" ref="G24:G59">D24-F24</f>
        <v>-237397</v>
      </c>
      <c r="H24" s="58">
        <v>0.46</v>
      </c>
      <c r="I24" s="44">
        <f aca="true" t="shared" si="2" ref="I24:I59">G24*H24*-1</f>
        <v>109203</v>
      </c>
      <c r="J24" s="35">
        <f>I24*-1</f>
        <v>-109203</v>
      </c>
      <c r="K24" s="34" t="s">
        <v>48</v>
      </c>
    </row>
    <row r="25" spans="1:10" ht="12">
      <c r="A25" s="34">
        <v>2</v>
      </c>
      <c r="B25" s="33">
        <v>1984</v>
      </c>
      <c r="C25" s="58">
        <f aca="true" t="shared" si="3" ref="C25:C58">D$16</f>
        <v>0.028571</v>
      </c>
      <c r="D25" s="43">
        <f aca="true" t="shared" si="4" ref="D25:D58">D$10*C25</f>
        <v>142436</v>
      </c>
      <c r="E25" s="59">
        <v>0.1</v>
      </c>
      <c r="F25" s="43">
        <f t="shared" si="0"/>
        <v>498534</v>
      </c>
      <c r="G25" s="60">
        <f t="shared" si="1"/>
        <v>-356098</v>
      </c>
      <c r="H25" s="58">
        <v>0.46</v>
      </c>
      <c r="I25" s="43">
        <f t="shared" si="2"/>
        <v>163805</v>
      </c>
      <c r="J25" s="60">
        <f aca="true" t="shared" si="5" ref="J25:J59">J24+I25*-1</f>
        <v>-273008</v>
      </c>
    </row>
    <row r="26" spans="1:12" ht="12">
      <c r="A26" s="34">
        <v>3</v>
      </c>
      <c r="B26" s="33">
        <f aca="true" t="shared" si="6" ref="B26:B31">B25+1</f>
        <v>1985</v>
      </c>
      <c r="C26" s="58">
        <f t="shared" si="3"/>
        <v>0.028571</v>
      </c>
      <c r="D26" s="43">
        <f t="shared" si="4"/>
        <v>142436</v>
      </c>
      <c r="E26" s="59">
        <v>0.09</v>
      </c>
      <c r="F26" s="43">
        <f t="shared" si="0"/>
        <v>448681</v>
      </c>
      <c r="G26" s="60">
        <f t="shared" si="1"/>
        <v>-306245</v>
      </c>
      <c r="H26" s="58">
        <v>0.46</v>
      </c>
      <c r="I26" s="43">
        <f t="shared" si="2"/>
        <v>140873</v>
      </c>
      <c r="J26" s="60">
        <f t="shared" si="5"/>
        <v>-413881</v>
      </c>
      <c r="L26" s="34" t="s">
        <v>49</v>
      </c>
    </row>
    <row r="27" spans="1:10" ht="12">
      <c r="A27" s="34">
        <v>4</v>
      </c>
      <c r="B27" s="33">
        <f t="shared" si="6"/>
        <v>1986</v>
      </c>
      <c r="C27" s="58">
        <f t="shared" si="3"/>
        <v>0.028571</v>
      </c>
      <c r="D27" s="43">
        <f t="shared" si="4"/>
        <v>142436</v>
      </c>
      <c r="E27" s="59">
        <v>0.08</v>
      </c>
      <c r="F27" s="43">
        <f t="shared" si="0"/>
        <v>398827</v>
      </c>
      <c r="G27" s="60">
        <f t="shared" si="1"/>
        <v>-256391</v>
      </c>
      <c r="H27" s="58">
        <v>0.46</v>
      </c>
      <c r="I27" s="43">
        <f t="shared" si="2"/>
        <v>117940</v>
      </c>
      <c r="J27" s="60">
        <f t="shared" si="5"/>
        <v>-531821</v>
      </c>
    </row>
    <row r="28" spans="1:12" ht="12">
      <c r="A28" s="34">
        <v>5</v>
      </c>
      <c r="B28" s="33">
        <f t="shared" si="6"/>
        <v>1987</v>
      </c>
      <c r="C28" s="58">
        <f t="shared" si="3"/>
        <v>0.028571</v>
      </c>
      <c r="D28" s="43">
        <f t="shared" si="4"/>
        <v>142436</v>
      </c>
      <c r="E28" s="59">
        <v>0.07</v>
      </c>
      <c r="F28" s="43">
        <f t="shared" si="0"/>
        <v>348974</v>
      </c>
      <c r="G28" s="60">
        <f t="shared" si="1"/>
        <v>-206538</v>
      </c>
      <c r="H28" s="58">
        <v>0.4</v>
      </c>
      <c r="I28" s="43">
        <f t="shared" si="2"/>
        <v>82615</v>
      </c>
      <c r="J28" s="60">
        <f t="shared" si="5"/>
        <v>-614436</v>
      </c>
      <c r="K28" s="34" t="s">
        <v>50</v>
      </c>
      <c r="L28" s="35">
        <f>SUM(D24:D33)</f>
        <v>1293794</v>
      </c>
    </row>
    <row r="29" spans="1:12" ht="12">
      <c r="A29" s="34">
        <v>6</v>
      </c>
      <c r="B29" s="33">
        <f t="shared" si="6"/>
        <v>1988</v>
      </c>
      <c r="C29" s="58">
        <f t="shared" si="3"/>
        <v>0.028571</v>
      </c>
      <c r="D29" s="43">
        <f t="shared" si="4"/>
        <v>142436</v>
      </c>
      <c r="E29" s="59">
        <v>0.07</v>
      </c>
      <c r="F29" s="43">
        <f t="shared" si="0"/>
        <v>348974</v>
      </c>
      <c r="G29" s="60">
        <f t="shared" si="1"/>
        <v>-206538</v>
      </c>
      <c r="H29" s="58">
        <v>0.34</v>
      </c>
      <c r="I29" s="43">
        <f t="shared" si="2"/>
        <v>70223</v>
      </c>
      <c r="J29" s="60">
        <f t="shared" si="5"/>
        <v>-684659</v>
      </c>
      <c r="K29" s="34" t="s">
        <v>51</v>
      </c>
      <c r="L29" s="44">
        <f>$D$10-L28</f>
        <v>3691545</v>
      </c>
    </row>
    <row r="30" spans="1:10" ht="12">
      <c r="A30" s="34">
        <v>7</v>
      </c>
      <c r="B30" s="33">
        <f t="shared" si="6"/>
        <v>1989</v>
      </c>
      <c r="C30" s="58">
        <f t="shared" si="3"/>
        <v>0.028571</v>
      </c>
      <c r="D30" s="43">
        <f t="shared" si="4"/>
        <v>142436</v>
      </c>
      <c r="E30" s="34">
        <v>0.06</v>
      </c>
      <c r="F30" s="43">
        <f t="shared" si="0"/>
        <v>299120</v>
      </c>
      <c r="G30" s="60">
        <f t="shared" si="1"/>
        <v>-156684</v>
      </c>
      <c r="H30" s="58">
        <v>0.34</v>
      </c>
      <c r="I30" s="43">
        <f t="shared" si="2"/>
        <v>53273</v>
      </c>
      <c r="J30" s="60">
        <f t="shared" si="5"/>
        <v>-737932</v>
      </c>
    </row>
    <row r="31" spans="1:12" ht="12">
      <c r="A31" s="34">
        <v>8</v>
      </c>
      <c r="B31" s="33">
        <f t="shared" si="6"/>
        <v>1990</v>
      </c>
      <c r="C31" s="58">
        <f t="shared" si="3"/>
        <v>0.028571</v>
      </c>
      <c r="D31" s="43">
        <f t="shared" si="4"/>
        <v>142436</v>
      </c>
      <c r="E31" s="34">
        <v>0.06</v>
      </c>
      <c r="F31" s="43">
        <f t="shared" si="0"/>
        <v>299120</v>
      </c>
      <c r="G31" s="60">
        <f t="shared" si="1"/>
        <v>-156684</v>
      </c>
      <c r="H31" s="58">
        <v>0.34</v>
      </c>
      <c r="I31" s="43">
        <f t="shared" si="2"/>
        <v>53273</v>
      </c>
      <c r="J31" s="60">
        <f t="shared" si="5"/>
        <v>-791205</v>
      </c>
      <c r="K31" s="34" t="s">
        <v>52</v>
      </c>
      <c r="L31" s="35">
        <f>SUM(F24:F33)</f>
        <v>3489737</v>
      </c>
    </row>
    <row r="32" spans="1:12" ht="12">
      <c r="A32" s="34">
        <v>9</v>
      </c>
      <c r="B32" s="33">
        <v>1991</v>
      </c>
      <c r="C32" s="58">
        <f t="shared" si="3"/>
        <v>0.028571</v>
      </c>
      <c r="D32" s="43">
        <f t="shared" si="4"/>
        <v>142436</v>
      </c>
      <c r="E32" s="34">
        <v>0.06</v>
      </c>
      <c r="F32" s="43">
        <f t="shared" si="0"/>
        <v>299120</v>
      </c>
      <c r="G32" s="60">
        <f t="shared" si="1"/>
        <v>-156684</v>
      </c>
      <c r="H32" s="58">
        <v>0.34</v>
      </c>
      <c r="I32" s="43">
        <f t="shared" si="2"/>
        <v>53273</v>
      </c>
      <c r="J32" s="60">
        <f t="shared" si="5"/>
        <v>-844478</v>
      </c>
      <c r="K32" s="34" t="s">
        <v>51</v>
      </c>
      <c r="L32" s="44">
        <f>$D$10-L31</f>
        <v>1495602</v>
      </c>
    </row>
    <row r="33" spans="1:10" ht="12">
      <c r="A33" s="34">
        <v>10</v>
      </c>
      <c r="B33" s="33">
        <v>1992</v>
      </c>
      <c r="C33" s="58">
        <f t="shared" si="3"/>
        <v>0.028571</v>
      </c>
      <c r="D33" s="43">
        <f t="shared" si="4"/>
        <v>142436</v>
      </c>
      <c r="E33" s="34">
        <v>0.06</v>
      </c>
      <c r="F33" s="43">
        <f t="shared" si="0"/>
        <v>299120</v>
      </c>
      <c r="G33" s="60">
        <f t="shared" si="1"/>
        <v>-156684</v>
      </c>
      <c r="H33" s="58">
        <v>0.34</v>
      </c>
      <c r="I33" s="43">
        <f t="shared" si="2"/>
        <v>53273</v>
      </c>
      <c r="J33" s="60">
        <f t="shared" si="5"/>
        <v>-897751</v>
      </c>
    </row>
    <row r="34" spans="1:12" ht="12">
      <c r="A34" s="34">
        <v>11</v>
      </c>
      <c r="B34" s="33">
        <v>1993</v>
      </c>
      <c r="C34" s="58">
        <f t="shared" si="3"/>
        <v>0.028571</v>
      </c>
      <c r="D34" s="43">
        <f t="shared" si="4"/>
        <v>142436</v>
      </c>
      <c r="E34" s="34">
        <v>0.06</v>
      </c>
      <c r="F34" s="43">
        <f t="shared" si="0"/>
        <v>299120</v>
      </c>
      <c r="G34" s="60">
        <f t="shared" si="1"/>
        <v>-156684</v>
      </c>
      <c r="H34" s="58">
        <v>0.35</v>
      </c>
      <c r="I34" s="43">
        <f t="shared" si="2"/>
        <v>54839</v>
      </c>
      <c r="J34" s="60">
        <f t="shared" si="5"/>
        <v>-952590</v>
      </c>
      <c r="K34" s="34" t="s">
        <v>53</v>
      </c>
      <c r="L34" s="44">
        <f>L29-L32</f>
        <v>2195943</v>
      </c>
    </row>
    <row r="35" spans="1:12" ht="12">
      <c r="A35" s="34">
        <v>12</v>
      </c>
      <c r="B35" s="33">
        <v>1994</v>
      </c>
      <c r="C35" s="58">
        <f t="shared" si="3"/>
        <v>0.028571</v>
      </c>
      <c r="D35" s="43">
        <f t="shared" si="4"/>
        <v>142436</v>
      </c>
      <c r="E35" s="34">
        <v>0.06</v>
      </c>
      <c r="F35" s="43">
        <f t="shared" si="0"/>
        <v>299120</v>
      </c>
      <c r="G35" s="60">
        <f t="shared" si="1"/>
        <v>-156684</v>
      </c>
      <c r="H35" s="58">
        <v>0.35</v>
      </c>
      <c r="I35" s="43">
        <f t="shared" si="2"/>
        <v>54839</v>
      </c>
      <c r="J35" s="60">
        <f t="shared" si="5"/>
        <v>-1007429</v>
      </c>
      <c r="K35" s="34" t="s">
        <v>54</v>
      </c>
      <c r="L35" s="61">
        <f>L34*-0.35</f>
        <v>-768580</v>
      </c>
    </row>
    <row r="36" spans="1:10" ht="12">
      <c r="A36" s="34">
        <v>13</v>
      </c>
      <c r="B36" s="33">
        <v>1995</v>
      </c>
      <c r="C36" s="58">
        <f t="shared" si="3"/>
        <v>0.028571</v>
      </c>
      <c r="D36" s="43">
        <f t="shared" si="4"/>
        <v>142436</v>
      </c>
      <c r="E36" s="34">
        <v>0.06</v>
      </c>
      <c r="F36" s="43">
        <f t="shared" si="0"/>
        <v>299120</v>
      </c>
      <c r="G36" s="60">
        <f t="shared" si="1"/>
        <v>-156684</v>
      </c>
      <c r="H36" s="58">
        <v>0.35</v>
      </c>
      <c r="I36" s="43">
        <f t="shared" si="2"/>
        <v>54839</v>
      </c>
      <c r="J36" s="60">
        <f t="shared" si="5"/>
        <v>-1062268</v>
      </c>
    </row>
    <row r="37" spans="1:12" ht="12.75" customHeight="1">
      <c r="A37" s="34">
        <v>14</v>
      </c>
      <c r="B37" s="33">
        <v>1996</v>
      </c>
      <c r="C37" s="58">
        <f t="shared" si="3"/>
        <v>0.028571</v>
      </c>
      <c r="D37" s="43">
        <f t="shared" si="4"/>
        <v>142436</v>
      </c>
      <c r="E37" s="34">
        <v>0.06</v>
      </c>
      <c r="F37" s="43">
        <f t="shared" si="0"/>
        <v>299120</v>
      </c>
      <c r="G37" s="60">
        <f t="shared" si="1"/>
        <v>-156684</v>
      </c>
      <c r="H37" s="58">
        <v>0.35</v>
      </c>
      <c r="I37" s="43">
        <f t="shared" si="2"/>
        <v>54839</v>
      </c>
      <c r="J37" s="60">
        <f t="shared" si="5"/>
        <v>-1117107</v>
      </c>
      <c r="K37" s="34" t="s">
        <v>55</v>
      </c>
      <c r="L37" s="60">
        <f>J33</f>
        <v>-897751</v>
      </c>
    </row>
    <row r="38" spans="1:10" ht="12.75" customHeight="1">
      <c r="A38" s="34">
        <v>15</v>
      </c>
      <c r="B38" s="33">
        <v>1997</v>
      </c>
      <c r="C38" s="58">
        <f t="shared" si="3"/>
        <v>0.028571</v>
      </c>
      <c r="D38" s="43">
        <f t="shared" si="4"/>
        <v>142436</v>
      </c>
      <c r="E38" s="34">
        <v>0.06</v>
      </c>
      <c r="F38" s="43">
        <f t="shared" si="0"/>
        <v>299120</v>
      </c>
      <c r="G38" s="60">
        <f t="shared" si="1"/>
        <v>-156684</v>
      </c>
      <c r="H38" s="58">
        <v>0.35</v>
      </c>
      <c r="I38" s="43">
        <f t="shared" si="2"/>
        <v>54839</v>
      </c>
      <c r="J38" s="60">
        <f t="shared" si="5"/>
        <v>-1171946</v>
      </c>
    </row>
    <row r="39" spans="1:12" ht="12.75" customHeight="1">
      <c r="A39" s="34">
        <v>16</v>
      </c>
      <c r="B39" s="33">
        <v>1998</v>
      </c>
      <c r="C39" s="58">
        <f t="shared" si="3"/>
        <v>0.028571</v>
      </c>
      <c r="D39" s="43">
        <f t="shared" si="4"/>
        <v>142436</v>
      </c>
      <c r="E39" s="34">
        <v>0</v>
      </c>
      <c r="F39" s="43">
        <f t="shared" si="0"/>
        <v>0</v>
      </c>
      <c r="G39" s="60">
        <f t="shared" si="1"/>
        <v>142436</v>
      </c>
      <c r="H39" s="58">
        <v>0.393355</v>
      </c>
      <c r="I39" s="43">
        <f t="shared" si="2"/>
        <v>-56028</v>
      </c>
      <c r="J39" s="60">
        <f t="shared" si="5"/>
        <v>-1115918</v>
      </c>
      <c r="K39" s="34" t="s">
        <v>56</v>
      </c>
      <c r="L39" s="62">
        <f>L35-L37</f>
        <v>129171</v>
      </c>
    </row>
    <row r="40" spans="1:10" ht="12.75" customHeight="1">
      <c r="A40" s="34">
        <v>17</v>
      </c>
      <c r="B40" s="33">
        <v>1999</v>
      </c>
      <c r="C40" s="58">
        <f t="shared" si="3"/>
        <v>0.028571</v>
      </c>
      <c r="D40" s="43">
        <f t="shared" si="4"/>
        <v>142436</v>
      </c>
      <c r="E40" s="34">
        <v>0</v>
      </c>
      <c r="F40" s="43">
        <f t="shared" si="0"/>
        <v>0</v>
      </c>
      <c r="G40" s="60">
        <f t="shared" si="1"/>
        <v>142436</v>
      </c>
      <c r="H40" s="58">
        <f aca="true" t="shared" si="7" ref="H40:H59">H39</f>
        <v>0.393355</v>
      </c>
      <c r="I40" s="43">
        <f t="shared" si="2"/>
        <v>-56028</v>
      </c>
      <c r="J40" s="60">
        <f t="shared" si="5"/>
        <v>-1059890</v>
      </c>
    </row>
    <row r="41" spans="1:10" ht="12">
      <c r="A41" s="34">
        <v>18</v>
      </c>
      <c r="B41" s="33">
        <v>2000</v>
      </c>
      <c r="C41" s="58">
        <f t="shared" si="3"/>
        <v>0.028571</v>
      </c>
      <c r="D41" s="43">
        <f t="shared" si="4"/>
        <v>142436</v>
      </c>
      <c r="E41" s="34">
        <v>0</v>
      </c>
      <c r="F41" s="43">
        <f t="shared" si="0"/>
        <v>0</v>
      </c>
      <c r="G41" s="60">
        <f t="shared" si="1"/>
        <v>142436</v>
      </c>
      <c r="H41" s="58">
        <f t="shared" si="7"/>
        <v>0.393355</v>
      </c>
      <c r="I41" s="43">
        <f t="shared" si="2"/>
        <v>-56028</v>
      </c>
      <c r="J41" s="60">
        <f t="shared" si="5"/>
        <v>-1003862</v>
      </c>
    </row>
    <row r="42" spans="1:10" ht="12">
      <c r="A42" s="34">
        <v>19</v>
      </c>
      <c r="B42" s="33">
        <v>2001</v>
      </c>
      <c r="C42" s="58">
        <f t="shared" si="3"/>
        <v>0.028571</v>
      </c>
      <c r="D42" s="43">
        <f t="shared" si="4"/>
        <v>142436</v>
      </c>
      <c r="E42" s="34">
        <v>0</v>
      </c>
      <c r="F42" s="43">
        <f t="shared" si="0"/>
        <v>0</v>
      </c>
      <c r="G42" s="60">
        <f t="shared" si="1"/>
        <v>142436</v>
      </c>
      <c r="H42" s="58">
        <f t="shared" si="7"/>
        <v>0.393355</v>
      </c>
      <c r="I42" s="43">
        <f t="shared" si="2"/>
        <v>-56028</v>
      </c>
      <c r="J42" s="60">
        <f t="shared" si="5"/>
        <v>-947834</v>
      </c>
    </row>
    <row r="43" spans="1:10" ht="12">
      <c r="A43" s="34">
        <v>20</v>
      </c>
      <c r="B43" s="33">
        <v>2002</v>
      </c>
      <c r="C43" s="58">
        <f t="shared" si="3"/>
        <v>0.028571</v>
      </c>
      <c r="D43" s="43">
        <f t="shared" si="4"/>
        <v>142436</v>
      </c>
      <c r="E43" s="34">
        <v>0</v>
      </c>
      <c r="F43" s="43">
        <f t="shared" si="0"/>
        <v>0</v>
      </c>
      <c r="G43" s="60">
        <f t="shared" si="1"/>
        <v>142436</v>
      </c>
      <c r="H43" s="58">
        <f t="shared" si="7"/>
        <v>0.393355</v>
      </c>
      <c r="I43" s="43">
        <f t="shared" si="2"/>
        <v>-56028</v>
      </c>
      <c r="J43" s="60">
        <f t="shared" si="5"/>
        <v>-891806</v>
      </c>
    </row>
    <row r="44" spans="1:10" ht="12">
      <c r="A44" s="34">
        <v>21</v>
      </c>
      <c r="B44" s="33">
        <v>2003</v>
      </c>
      <c r="C44" s="58">
        <f t="shared" si="3"/>
        <v>0.028571</v>
      </c>
      <c r="D44" s="43">
        <f t="shared" si="4"/>
        <v>142436</v>
      </c>
      <c r="E44" s="34">
        <v>0</v>
      </c>
      <c r="F44" s="43">
        <f t="shared" si="0"/>
        <v>0</v>
      </c>
      <c r="G44" s="60">
        <f t="shared" si="1"/>
        <v>142436</v>
      </c>
      <c r="H44" s="58">
        <f t="shared" si="7"/>
        <v>0.393355</v>
      </c>
      <c r="I44" s="43">
        <f t="shared" si="2"/>
        <v>-56028</v>
      </c>
      <c r="J44" s="60">
        <f t="shared" si="5"/>
        <v>-835778</v>
      </c>
    </row>
    <row r="45" spans="1:10" ht="12">
      <c r="A45" s="34">
        <v>22</v>
      </c>
      <c r="B45" s="33">
        <v>2004</v>
      </c>
      <c r="C45" s="58">
        <f t="shared" si="3"/>
        <v>0.028571</v>
      </c>
      <c r="D45" s="43">
        <f t="shared" si="4"/>
        <v>142436</v>
      </c>
      <c r="E45" s="34">
        <v>0</v>
      </c>
      <c r="F45" s="43">
        <f t="shared" si="0"/>
        <v>0</v>
      </c>
      <c r="G45" s="60">
        <f t="shared" si="1"/>
        <v>142436</v>
      </c>
      <c r="H45" s="58">
        <f t="shared" si="7"/>
        <v>0.393355</v>
      </c>
      <c r="I45" s="43">
        <f t="shared" si="2"/>
        <v>-56028</v>
      </c>
      <c r="J45" s="60">
        <f t="shared" si="5"/>
        <v>-779750</v>
      </c>
    </row>
    <row r="46" spans="1:10" ht="12.75" customHeight="1">
      <c r="A46" s="34">
        <v>23</v>
      </c>
      <c r="B46" s="33">
        <v>2005</v>
      </c>
      <c r="C46" s="58">
        <f t="shared" si="3"/>
        <v>0.028571</v>
      </c>
      <c r="D46" s="43">
        <f t="shared" si="4"/>
        <v>142436</v>
      </c>
      <c r="E46" s="34">
        <v>0</v>
      </c>
      <c r="F46" s="43">
        <f t="shared" si="0"/>
        <v>0</v>
      </c>
      <c r="G46" s="60">
        <f t="shared" si="1"/>
        <v>142436</v>
      </c>
      <c r="H46" s="58">
        <f t="shared" si="7"/>
        <v>0.393355</v>
      </c>
      <c r="I46" s="43">
        <f t="shared" si="2"/>
        <v>-56028</v>
      </c>
      <c r="J46" s="60">
        <f t="shared" si="5"/>
        <v>-723722</v>
      </c>
    </row>
    <row r="47" spans="1:10" ht="12">
      <c r="A47" s="34">
        <v>24</v>
      </c>
      <c r="B47" s="33">
        <v>2006</v>
      </c>
      <c r="C47" s="58">
        <f t="shared" si="3"/>
        <v>0.028571</v>
      </c>
      <c r="D47" s="43">
        <f t="shared" si="4"/>
        <v>142436</v>
      </c>
      <c r="E47" s="34">
        <v>0</v>
      </c>
      <c r="F47" s="43">
        <f t="shared" si="0"/>
        <v>0</v>
      </c>
      <c r="G47" s="60">
        <f t="shared" si="1"/>
        <v>142436</v>
      </c>
      <c r="H47" s="58">
        <f t="shared" si="7"/>
        <v>0.393355</v>
      </c>
      <c r="I47" s="43">
        <f t="shared" si="2"/>
        <v>-56028</v>
      </c>
      <c r="J47" s="60">
        <f t="shared" si="5"/>
        <v>-667694</v>
      </c>
    </row>
    <row r="48" spans="1:10" ht="12">
      <c r="A48" s="34">
        <v>25</v>
      </c>
      <c r="B48" s="33">
        <v>2007</v>
      </c>
      <c r="C48" s="58">
        <f t="shared" si="3"/>
        <v>0.028571</v>
      </c>
      <c r="D48" s="43">
        <f t="shared" si="4"/>
        <v>142436</v>
      </c>
      <c r="E48" s="34">
        <v>0</v>
      </c>
      <c r="F48" s="43">
        <f t="shared" si="0"/>
        <v>0</v>
      </c>
      <c r="G48" s="60">
        <f t="shared" si="1"/>
        <v>142436</v>
      </c>
      <c r="H48" s="58">
        <f t="shared" si="7"/>
        <v>0.393355</v>
      </c>
      <c r="I48" s="43">
        <f t="shared" si="2"/>
        <v>-56028</v>
      </c>
      <c r="J48" s="60">
        <f>J47+I48*-1</f>
        <v>-611666</v>
      </c>
    </row>
    <row r="49" spans="1:10" ht="12">
      <c r="A49" s="34">
        <v>26</v>
      </c>
      <c r="B49" s="33">
        <v>2008</v>
      </c>
      <c r="C49" s="58">
        <f t="shared" si="3"/>
        <v>0.028571</v>
      </c>
      <c r="D49" s="43">
        <f t="shared" si="4"/>
        <v>142436</v>
      </c>
      <c r="E49" s="34">
        <v>0</v>
      </c>
      <c r="F49" s="43">
        <f t="shared" si="0"/>
        <v>0</v>
      </c>
      <c r="G49" s="60">
        <f t="shared" si="1"/>
        <v>142436</v>
      </c>
      <c r="H49" s="58">
        <f t="shared" si="7"/>
        <v>0.393355</v>
      </c>
      <c r="I49" s="43">
        <f t="shared" si="2"/>
        <v>-56028</v>
      </c>
      <c r="J49" s="60">
        <f t="shared" si="5"/>
        <v>-555638</v>
      </c>
    </row>
    <row r="50" spans="1:10" ht="12">
      <c r="A50" s="34">
        <v>27</v>
      </c>
      <c r="B50" s="33">
        <v>2009</v>
      </c>
      <c r="C50" s="58">
        <f t="shared" si="3"/>
        <v>0.028571</v>
      </c>
      <c r="D50" s="43">
        <f t="shared" si="4"/>
        <v>142436</v>
      </c>
      <c r="E50" s="34">
        <v>0</v>
      </c>
      <c r="F50" s="43">
        <f t="shared" si="0"/>
        <v>0</v>
      </c>
      <c r="G50" s="60">
        <f t="shared" si="1"/>
        <v>142436</v>
      </c>
      <c r="H50" s="58">
        <f t="shared" si="7"/>
        <v>0.393355</v>
      </c>
      <c r="I50" s="43">
        <f t="shared" si="2"/>
        <v>-56028</v>
      </c>
      <c r="J50" s="60">
        <f t="shared" si="5"/>
        <v>-499610</v>
      </c>
    </row>
    <row r="51" spans="1:10" ht="12">
      <c r="A51" s="34">
        <v>28</v>
      </c>
      <c r="B51" s="33">
        <v>2010</v>
      </c>
      <c r="C51" s="58">
        <f t="shared" si="3"/>
        <v>0.028571</v>
      </c>
      <c r="D51" s="43">
        <f t="shared" si="4"/>
        <v>142436</v>
      </c>
      <c r="E51" s="34">
        <v>0</v>
      </c>
      <c r="F51" s="43">
        <f t="shared" si="0"/>
        <v>0</v>
      </c>
      <c r="G51" s="60">
        <f t="shared" si="1"/>
        <v>142436</v>
      </c>
      <c r="H51" s="58">
        <f t="shared" si="7"/>
        <v>0.393355</v>
      </c>
      <c r="I51" s="43">
        <f t="shared" si="2"/>
        <v>-56028</v>
      </c>
      <c r="J51" s="60">
        <f t="shared" si="5"/>
        <v>-443582</v>
      </c>
    </row>
    <row r="52" spans="1:10" ht="12">
      <c r="A52" s="34">
        <v>29</v>
      </c>
      <c r="B52" s="33">
        <v>2011</v>
      </c>
      <c r="C52" s="58">
        <f t="shared" si="3"/>
        <v>0.028571</v>
      </c>
      <c r="D52" s="43">
        <f t="shared" si="4"/>
        <v>142436</v>
      </c>
      <c r="E52" s="34">
        <v>0</v>
      </c>
      <c r="F52" s="43">
        <f t="shared" si="0"/>
        <v>0</v>
      </c>
      <c r="G52" s="60">
        <f t="shared" si="1"/>
        <v>142436</v>
      </c>
      <c r="H52" s="58">
        <f t="shared" si="7"/>
        <v>0.393355</v>
      </c>
      <c r="I52" s="43">
        <f t="shared" si="2"/>
        <v>-56028</v>
      </c>
      <c r="J52" s="60">
        <f t="shared" si="5"/>
        <v>-387554</v>
      </c>
    </row>
    <row r="53" spans="1:10" ht="12">
      <c r="A53" s="34">
        <v>30</v>
      </c>
      <c r="B53" s="33">
        <v>2012</v>
      </c>
      <c r="C53" s="58">
        <f t="shared" si="3"/>
        <v>0.028571</v>
      </c>
      <c r="D53" s="43">
        <f t="shared" si="4"/>
        <v>142436</v>
      </c>
      <c r="E53" s="34">
        <v>0</v>
      </c>
      <c r="F53" s="43">
        <f t="shared" si="0"/>
        <v>0</v>
      </c>
      <c r="G53" s="60">
        <f t="shared" si="1"/>
        <v>142436</v>
      </c>
      <c r="H53" s="58">
        <f t="shared" si="7"/>
        <v>0.393355</v>
      </c>
      <c r="I53" s="43">
        <f t="shared" si="2"/>
        <v>-56028</v>
      </c>
      <c r="J53" s="60">
        <f t="shared" si="5"/>
        <v>-331526</v>
      </c>
    </row>
    <row r="54" spans="1:10" ht="12">
      <c r="A54" s="34">
        <v>31</v>
      </c>
      <c r="B54" s="33">
        <v>2013</v>
      </c>
      <c r="C54" s="58">
        <f t="shared" si="3"/>
        <v>0.028571</v>
      </c>
      <c r="D54" s="43">
        <f t="shared" si="4"/>
        <v>142436</v>
      </c>
      <c r="E54" s="34">
        <v>0</v>
      </c>
      <c r="F54" s="43">
        <f t="shared" si="0"/>
        <v>0</v>
      </c>
      <c r="G54" s="60">
        <f t="shared" si="1"/>
        <v>142436</v>
      </c>
      <c r="H54" s="58">
        <f t="shared" si="7"/>
        <v>0.393355</v>
      </c>
      <c r="I54" s="43">
        <f t="shared" si="2"/>
        <v>-56028</v>
      </c>
      <c r="J54" s="60">
        <f t="shared" si="5"/>
        <v>-275498</v>
      </c>
    </row>
    <row r="55" spans="1:10" ht="12">
      <c r="A55" s="34">
        <v>32</v>
      </c>
      <c r="B55" s="33">
        <v>2014</v>
      </c>
      <c r="C55" s="58">
        <f t="shared" si="3"/>
        <v>0.028571</v>
      </c>
      <c r="D55" s="43">
        <f t="shared" si="4"/>
        <v>142436</v>
      </c>
      <c r="E55" s="34">
        <v>0</v>
      </c>
      <c r="F55" s="43">
        <f t="shared" si="0"/>
        <v>0</v>
      </c>
      <c r="G55" s="60">
        <f t="shared" si="1"/>
        <v>142436</v>
      </c>
      <c r="H55" s="58">
        <f t="shared" si="7"/>
        <v>0.393355</v>
      </c>
      <c r="I55" s="43">
        <f t="shared" si="2"/>
        <v>-56028</v>
      </c>
      <c r="J55" s="60">
        <f t="shared" si="5"/>
        <v>-219470</v>
      </c>
    </row>
    <row r="56" spans="1:10" ht="12">
      <c r="A56" s="34">
        <v>33</v>
      </c>
      <c r="B56" s="33">
        <v>2015</v>
      </c>
      <c r="C56" s="58">
        <f t="shared" si="3"/>
        <v>0.028571</v>
      </c>
      <c r="D56" s="43">
        <f t="shared" si="4"/>
        <v>142436</v>
      </c>
      <c r="E56" s="34">
        <v>0</v>
      </c>
      <c r="F56" s="43">
        <f t="shared" si="0"/>
        <v>0</v>
      </c>
      <c r="G56" s="60">
        <f t="shared" si="1"/>
        <v>142436</v>
      </c>
      <c r="H56" s="58">
        <f t="shared" si="7"/>
        <v>0.393355</v>
      </c>
      <c r="I56" s="43">
        <f t="shared" si="2"/>
        <v>-56028</v>
      </c>
      <c r="J56" s="60">
        <f t="shared" si="5"/>
        <v>-163442</v>
      </c>
    </row>
    <row r="57" spans="1:10" ht="12">
      <c r="A57" s="34">
        <v>34</v>
      </c>
      <c r="B57" s="33">
        <v>2016</v>
      </c>
      <c r="C57" s="58">
        <f t="shared" si="3"/>
        <v>0.028571</v>
      </c>
      <c r="D57" s="43">
        <f t="shared" si="4"/>
        <v>142436</v>
      </c>
      <c r="E57" s="34">
        <v>0</v>
      </c>
      <c r="F57" s="43">
        <f t="shared" si="0"/>
        <v>0</v>
      </c>
      <c r="G57" s="60">
        <f t="shared" si="1"/>
        <v>142436</v>
      </c>
      <c r="H57" s="58">
        <f t="shared" si="7"/>
        <v>0.393355</v>
      </c>
      <c r="I57" s="43">
        <f t="shared" si="2"/>
        <v>-56028</v>
      </c>
      <c r="J57" s="60">
        <f t="shared" si="5"/>
        <v>-107414</v>
      </c>
    </row>
    <row r="58" spans="1:10" ht="12">
      <c r="A58" s="34">
        <v>35</v>
      </c>
      <c r="B58" s="33">
        <v>2017</v>
      </c>
      <c r="C58" s="58">
        <f t="shared" si="3"/>
        <v>0.028571</v>
      </c>
      <c r="D58" s="43">
        <f t="shared" si="4"/>
        <v>142436</v>
      </c>
      <c r="E58" s="34">
        <v>0</v>
      </c>
      <c r="F58" s="43">
        <f t="shared" si="0"/>
        <v>0</v>
      </c>
      <c r="G58" s="60">
        <f t="shared" si="1"/>
        <v>142436</v>
      </c>
      <c r="H58" s="58">
        <f t="shared" si="7"/>
        <v>0.393355</v>
      </c>
      <c r="I58" s="43">
        <f t="shared" si="2"/>
        <v>-56028</v>
      </c>
      <c r="J58" s="60">
        <f t="shared" si="5"/>
        <v>-51386</v>
      </c>
    </row>
    <row r="59" spans="1:10" ht="12">
      <c r="A59" s="34">
        <v>36</v>
      </c>
      <c r="B59" s="33">
        <v>2018</v>
      </c>
      <c r="C59" s="58">
        <f>D$17</f>
        <v>0.02619</v>
      </c>
      <c r="D59" s="43">
        <f>D$10*C59+79</f>
        <v>130645</v>
      </c>
      <c r="E59" s="34">
        <v>0</v>
      </c>
      <c r="F59" s="43">
        <f t="shared" si="0"/>
        <v>0</v>
      </c>
      <c r="G59" s="60">
        <f t="shared" si="1"/>
        <v>130645</v>
      </c>
      <c r="H59" s="58">
        <f t="shared" si="7"/>
        <v>0.393355</v>
      </c>
      <c r="I59" s="43">
        <f t="shared" si="2"/>
        <v>-51390</v>
      </c>
      <c r="J59" s="60">
        <f t="shared" si="5"/>
        <v>4</v>
      </c>
    </row>
    <row r="60" spans="3:10" ht="12">
      <c r="C60" s="58"/>
      <c r="D60" s="63">
        <f>SUM(D24:D59)</f>
        <v>4985339</v>
      </c>
      <c r="E60" s="64"/>
      <c r="F60" s="63">
        <f>SUM(F24:F59)</f>
        <v>4985337</v>
      </c>
      <c r="G60" s="60"/>
      <c r="H60" s="58"/>
      <c r="I60" s="63">
        <f>SUM(I24:I59)</f>
        <v>-4</v>
      </c>
      <c r="J60" s="60"/>
    </row>
    <row r="62" spans="2:6" ht="12.75" customHeight="1">
      <c r="B62" s="65" t="s">
        <v>101</v>
      </c>
      <c r="F62" s="83">
        <f>J48-4669-4669-4669</f>
        <v>-625673</v>
      </c>
    </row>
    <row r="63" spans="2:9" ht="12">
      <c r="B63" s="65" t="s">
        <v>102</v>
      </c>
      <c r="F63" s="152">
        <f>J49-4669-4669-4669</f>
        <v>-569645</v>
      </c>
      <c r="G63" s="81"/>
      <c r="H63" s="82"/>
      <c r="I63" s="66"/>
    </row>
    <row r="64" spans="2:11" ht="12.75">
      <c r="B64" s="65"/>
      <c r="F64" s="83">
        <f>SUM(F62:F63)</f>
        <v>-1195318</v>
      </c>
      <c r="G64" s="166">
        <f>F64/2</f>
        <v>-597659</v>
      </c>
      <c r="H64" s="34" t="s">
        <v>98</v>
      </c>
      <c r="K64" s="132"/>
    </row>
    <row r="65" spans="2:6" s="64" customFormat="1" ht="12">
      <c r="B65" s="142"/>
      <c r="F65" s="143"/>
    </row>
    <row r="66" spans="2:6" ht="12" hidden="1">
      <c r="B66" s="42"/>
      <c r="F66" s="67"/>
    </row>
    <row r="67" spans="2:4" ht="12" hidden="1">
      <c r="B67" s="80" t="s">
        <v>87</v>
      </c>
      <c r="C67" s="64"/>
      <c r="D67" s="64"/>
    </row>
    <row r="68" spans="5:6" ht="12" hidden="1">
      <c r="E68" s="68" t="s">
        <v>11</v>
      </c>
      <c r="F68" s="68" t="s">
        <v>45</v>
      </c>
    </row>
    <row r="69" spans="2:7" ht="12" hidden="1">
      <c r="B69" s="34" t="s">
        <v>57</v>
      </c>
      <c r="E69" s="135">
        <f>ROUND(F40/2,0)</f>
        <v>0</v>
      </c>
      <c r="F69" s="135">
        <f>ROUND((E69*-H40),0)</f>
        <v>0</v>
      </c>
      <c r="G69" s="34" t="s">
        <v>58</v>
      </c>
    </row>
    <row r="70" spans="2:7" ht="12" hidden="1">
      <c r="B70" s="34" t="s">
        <v>59</v>
      </c>
      <c r="E70" s="136">
        <f>D40/2-E69</f>
        <v>71218</v>
      </c>
      <c r="F70" s="136">
        <f>ROUND((E70*-H40),0)</f>
        <v>-28014</v>
      </c>
      <c r="G70" s="34" t="s">
        <v>40</v>
      </c>
    </row>
    <row r="71" spans="2:21" ht="12" hidden="1">
      <c r="B71" s="34" t="s">
        <v>60</v>
      </c>
      <c r="E71" s="67">
        <f>E69+E70</f>
        <v>71218</v>
      </c>
      <c r="F71" s="67">
        <f>F69+F70</f>
        <v>-28014</v>
      </c>
      <c r="G71" s="34" t="s">
        <v>61</v>
      </c>
      <c r="U71" s="25"/>
    </row>
    <row r="72" spans="2:21" ht="12" hidden="1">
      <c r="B72" s="34"/>
      <c r="E72" s="67"/>
      <c r="F72" s="67"/>
      <c r="U72" s="25"/>
    </row>
    <row r="73" spans="2:21" ht="12" hidden="1">
      <c r="B73" s="80" t="s">
        <v>88</v>
      </c>
      <c r="C73" s="64"/>
      <c r="D73" s="64"/>
      <c r="U73" s="25"/>
    </row>
    <row r="74" spans="5:21" ht="12" hidden="1">
      <c r="E74" s="68" t="s">
        <v>11</v>
      </c>
      <c r="F74" s="68" t="s">
        <v>45</v>
      </c>
      <c r="J74" s="64"/>
      <c r="K74" s="23"/>
      <c r="L74" s="78"/>
      <c r="M74" s="23"/>
      <c r="N74" s="78"/>
      <c r="O74" s="78"/>
      <c r="P74" s="23"/>
      <c r="Q74" s="117"/>
      <c r="R74" s="118"/>
      <c r="S74" s="85"/>
      <c r="T74" s="85"/>
      <c r="U74" s="3"/>
    </row>
    <row r="75" spans="2:21" ht="12" hidden="1">
      <c r="B75" s="34" t="s">
        <v>57</v>
      </c>
      <c r="E75" s="135">
        <f>ROUND(F44/2,0)</f>
        <v>0</v>
      </c>
      <c r="F75" s="135">
        <f>ROUND((E75*-H44),0)</f>
        <v>0</v>
      </c>
      <c r="G75" s="34" t="s">
        <v>58</v>
      </c>
      <c r="J75" s="64"/>
      <c r="K75" s="23"/>
      <c r="L75" s="78"/>
      <c r="M75" s="23"/>
      <c r="N75" s="78"/>
      <c r="O75" s="78"/>
      <c r="P75" s="23"/>
      <c r="Q75" s="117"/>
      <c r="R75" s="119"/>
      <c r="S75" s="85"/>
      <c r="T75" s="85"/>
      <c r="U75" s="3"/>
    </row>
    <row r="76" spans="2:21" ht="12" hidden="1">
      <c r="B76" s="34" t="s">
        <v>59</v>
      </c>
      <c r="E76" s="136">
        <f>D44/2-E75</f>
        <v>71218</v>
      </c>
      <c r="F76" s="136">
        <f>ROUND((E76*-H44),0)</f>
        <v>-28014</v>
      </c>
      <c r="G76" s="34" t="s">
        <v>40</v>
      </c>
      <c r="J76" s="64"/>
      <c r="K76" s="23"/>
      <c r="L76" s="78"/>
      <c r="M76" s="23"/>
      <c r="N76" s="78"/>
      <c r="O76" s="78"/>
      <c r="P76" s="23"/>
      <c r="Q76" s="117"/>
      <c r="R76" s="119"/>
      <c r="S76" s="85"/>
      <c r="T76" s="85"/>
      <c r="U76" s="3"/>
    </row>
    <row r="77" spans="2:21" ht="12.75" hidden="1">
      <c r="B77" s="34" t="s">
        <v>60</v>
      </c>
      <c r="E77" s="67">
        <f>E75+E76</f>
        <v>71218</v>
      </c>
      <c r="F77" s="67">
        <f>F75+F76</f>
        <v>-28014</v>
      </c>
      <c r="G77" s="34" t="s">
        <v>61</v>
      </c>
      <c r="J77" s="64"/>
      <c r="K77" s="120"/>
      <c r="L77" s="78"/>
      <c r="M77" s="23"/>
      <c r="N77" s="78"/>
      <c r="O77" s="78"/>
      <c r="P77" s="23"/>
      <c r="Q77" s="121"/>
      <c r="R77" s="119"/>
      <c r="S77" s="85"/>
      <c r="T77" s="85"/>
      <c r="U77" s="3"/>
    </row>
    <row r="78" spans="2:21" ht="12">
      <c r="B78" s="34"/>
      <c r="E78" s="67"/>
      <c r="F78" s="67"/>
      <c r="J78" s="64"/>
      <c r="K78" s="122"/>
      <c r="L78" s="122"/>
      <c r="M78" s="86"/>
      <c r="N78" s="86"/>
      <c r="O78" s="86"/>
      <c r="P78" s="86"/>
      <c r="Q78" s="17"/>
      <c r="R78" s="17"/>
      <c r="S78" s="3"/>
      <c r="T78" s="3"/>
      <c r="U78" s="3"/>
    </row>
    <row r="79" spans="2:21" ht="12">
      <c r="B79" s="80" t="s">
        <v>62</v>
      </c>
      <c r="C79" s="64"/>
      <c r="D79" s="64"/>
      <c r="J79" s="64"/>
      <c r="K79" s="123"/>
      <c r="L79" s="74"/>
      <c r="M79" s="17"/>
      <c r="N79" s="17"/>
      <c r="O79" s="17"/>
      <c r="P79" s="17"/>
      <c r="Q79" s="17"/>
      <c r="R79" s="17"/>
      <c r="S79" s="3"/>
      <c r="T79" s="3"/>
      <c r="U79" s="3"/>
    </row>
    <row r="80" spans="5:21" ht="12">
      <c r="E80" s="68" t="s">
        <v>11</v>
      </c>
      <c r="F80" s="68" t="s">
        <v>45</v>
      </c>
      <c r="J80" s="64"/>
      <c r="K80" s="123"/>
      <c r="L80" s="74"/>
      <c r="M80" s="17"/>
      <c r="N80" s="17"/>
      <c r="O80" s="17"/>
      <c r="P80" s="17"/>
      <c r="Q80" s="17"/>
      <c r="R80" s="17"/>
      <c r="S80" s="3"/>
      <c r="T80" s="3"/>
      <c r="U80" s="3"/>
    </row>
    <row r="81" spans="2:21" ht="12">
      <c r="B81" s="34" t="s">
        <v>57</v>
      </c>
      <c r="E81" s="67">
        <f>+E75+E69</f>
        <v>0</v>
      </c>
      <c r="F81" s="140">
        <f>+F75+F69</f>
        <v>0</v>
      </c>
      <c r="G81" s="34" t="s">
        <v>58</v>
      </c>
      <c r="J81" s="64"/>
      <c r="K81" s="123"/>
      <c r="L81" s="74"/>
      <c r="M81" s="71"/>
      <c r="N81" s="79"/>
      <c r="O81" s="79"/>
      <c r="P81" s="79"/>
      <c r="Q81" s="71"/>
      <c r="R81" s="17"/>
      <c r="S81" s="71"/>
      <c r="T81" s="1"/>
      <c r="U81" s="3"/>
    </row>
    <row r="82" spans="2:21" ht="12">
      <c r="B82" s="34" t="s">
        <v>59</v>
      </c>
      <c r="E82" s="137">
        <f>+E76+E70</f>
        <v>142436</v>
      </c>
      <c r="F82" s="141">
        <f>+F76+F70</f>
        <v>-56028</v>
      </c>
      <c r="G82" s="34" t="s">
        <v>40</v>
      </c>
      <c r="J82" s="64"/>
      <c r="K82" s="123"/>
      <c r="L82" s="74"/>
      <c r="M82" s="71"/>
      <c r="N82" s="79"/>
      <c r="O82" s="79"/>
      <c r="P82" s="79"/>
      <c r="Q82" s="71"/>
      <c r="R82" s="17"/>
      <c r="S82" s="71"/>
      <c r="T82" s="1"/>
      <c r="U82" s="3"/>
    </row>
    <row r="83" spans="2:21" ht="12">
      <c r="B83" s="34" t="s">
        <v>60</v>
      </c>
      <c r="E83" s="67">
        <f>E81+E82</f>
        <v>142436</v>
      </c>
      <c r="F83" s="67">
        <f>F81+F82</f>
        <v>-56028</v>
      </c>
      <c r="G83" s="34" t="s">
        <v>61</v>
      </c>
      <c r="J83" s="64"/>
      <c r="K83" s="123"/>
      <c r="L83" s="124"/>
      <c r="M83" s="17"/>
      <c r="N83" s="75"/>
      <c r="O83" s="76"/>
      <c r="P83" s="76"/>
      <c r="Q83" s="72"/>
      <c r="R83" s="72"/>
      <c r="S83" s="72"/>
      <c r="T83" s="1"/>
      <c r="U83" s="3"/>
    </row>
    <row r="84" spans="10:21" ht="12">
      <c r="J84" s="64"/>
      <c r="K84" s="123"/>
      <c r="L84" s="124"/>
      <c r="M84" s="17"/>
      <c r="N84" s="76"/>
      <c r="O84" s="76"/>
      <c r="P84" s="75"/>
      <c r="Q84" s="72"/>
      <c r="R84" s="17"/>
      <c r="S84" s="17"/>
      <c r="T84" s="1"/>
      <c r="U84" s="3"/>
    </row>
    <row r="85" spans="10:21" ht="12">
      <c r="J85" s="64"/>
      <c r="K85" s="125"/>
      <c r="L85" s="74"/>
      <c r="M85" s="17"/>
      <c r="N85" s="76"/>
      <c r="O85" s="76"/>
      <c r="P85" s="76"/>
      <c r="Q85" s="72"/>
      <c r="R85" s="17"/>
      <c r="S85" s="72"/>
      <c r="T85" s="1"/>
      <c r="U85" s="3"/>
    </row>
    <row r="86" spans="10:21" ht="12">
      <c r="J86" s="64"/>
      <c r="K86" s="125"/>
      <c r="L86" s="74"/>
      <c r="M86" s="17"/>
      <c r="N86" s="76"/>
      <c r="O86" s="76"/>
      <c r="P86" s="76"/>
      <c r="Q86" s="73"/>
      <c r="R86" s="17"/>
      <c r="S86" s="73"/>
      <c r="T86" s="1"/>
      <c r="U86" s="3"/>
    </row>
    <row r="87" spans="10:21" ht="12">
      <c r="J87" s="64"/>
      <c r="K87" s="123"/>
      <c r="L87" s="125"/>
      <c r="M87" s="17"/>
      <c r="N87" s="76"/>
      <c r="O87" s="76"/>
      <c r="P87" s="76"/>
      <c r="Q87" s="72"/>
      <c r="R87" s="17"/>
      <c r="S87" s="72"/>
      <c r="T87" s="1"/>
      <c r="U87" s="3"/>
    </row>
    <row r="88" spans="2:21" ht="12">
      <c r="B88" s="42"/>
      <c r="J88" s="64"/>
      <c r="K88" s="123"/>
      <c r="L88" s="124"/>
      <c r="M88" s="17"/>
      <c r="N88" s="75"/>
      <c r="O88" s="76"/>
      <c r="P88" s="76"/>
      <c r="Q88" s="72"/>
      <c r="R88" s="17"/>
      <c r="S88" s="72"/>
      <c r="T88" s="1"/>
      <c r="U88" s="3"/>
    </row>
    <row r="89" spans="2:21" ht="12">
      <c r="B89" s="70"/>
      <c r="J89" s="64"/>
      <c r="K89" s="123"/>
      <c r="L89" s="124"/>
      <c r="M89" s="17"/>
      <c r="N89" s="76"/>
      <c r="O89" s="76"/>
      <c r="P89" s="76"/>
      <c r="Q89" s="72"/>
      <c r="R89" s="17"/>
      <c r="S89" s="72"/>
      <c r="T89" s="1"/>
      <c r="U89" s="3"/>
    </row>
    <row r="90" spans="10:21" ht="12">
      <c r="J90" s="64"/>
      <c r="K90" s="123"/>
      <c r="L90" s="124"/>
      <c r="M90" s="17"/>
      <c r="N90" s="76"/>
      <c r="O90" s="76"/>
      <c r="P90" s="76"/>
      <c r="Q90" s="17"/>
      <c r="R90" s="17"/>
      <c r="S90" s="17"/>
      <c r="T90" s="1"/>
      <c r="U90" s="3"/>
    </row>
    <row r="91" spans="10:21" ht="12">
      <c r="J91" s="64"/>
      <c r="K91" s="123"/>
      <c r="L91" s="124"/>
      <c r="M91" s="17"/>
      <c r="N91" s="76"/>
      <c r="O91" s="76"/>
      <c r="P91" s="76"/>
      <c r="Q91" s="17"/>
      <c r="R91" s="17"/>
      <c r="S91" s="17"/>
      <c r="T91" s="1"/>
      <c r="U91" s="3"/>
    </row>
    <row r="92" spans="10:21" ht="12">
      <c r="J92" s="64"/>
      <c r="K92" s="123"/>
      <c r="L92" s="124"/>
      <c r="M92" s="17"/>
      <c r="N92" s="76"/>
      <c r="O92" s="76"/>
      <c r="P92" s="76"/>
      <c r="Q92" s="17"/>
      <c r="R92" s="17"/>
      <c r="S92" s="17"/>
      <c r="T92" s="1"/>
      <c r="U92" s="3"/>
    </row>
    <row r="93" spans="10:21" ht="12">
      <c r="J93" s="64"/>
      <c r="K93" s="123"/>
      <c r="L93" s="124"/>
      <c r="M93" s="17"/>
      <c r="N93" s="76"/>
      <c r="O93" s="76"/>
      <c r="P93" s="76"/>
      <c r="Q93" s="17"/>
      <c r="R93" s="17"/>
      <c r="S93" s="17"/>
      <c r="T93" s="1"/>
      <c r="U93" s="3"/>
    </row>
    <row r="94" spans="10:21" ht="12">
      <c r="J94" s="64"/>
      <c r="K94" s="123"/>
      <c r="L94" s="124"/>
      <c r="M94" s="17"/>
      <c r="N94" s="76"/>
      <c r="O94" s="76"/>
      <c r="P94" s="76"/>
      <c r="Q94" s="17"/>
      <c r="R94" s="17"/>
      <c r="S94" s="17"/>
      <c r="T94" s="1"/>
      <c r="U94" s="3"/>
    </row>
    <row r="95" spans="10:21" ht="12">
      <c r="J95" s="64"/>
      <c r="K95" s="123"/>
      <c r="L95" s="124"/>
      <c r="M95" s="17"/>
      <c r="N95" s="76"/>
      <c r="O95" s="76"/>
      <c r="P95" s="76"/>
      <c r="Q95" s="17"/>
      <c r="R95" s="17"/>
      <c r="S95" s="17"/>
      <c r="T95" s="1"/>
      <c r="U95" s="3"/>
    </row>
    <row r="96" spans="10:21" ht="12">
      <c r="J96" s="64"/>
      <c r="K96" s="123"/>
      <c r="L96" s="124"/>
      <c r="M96" s="17"/>
      <c r="N96" s="76"/>
      <c r="O96" s="76"/>
      <c r="P96" s="76"/>
      <c r="Q96" s="17"/>
      <c r="R96" s="17"/>
      <c r="S96" s="17"/>
      <c r="T96" s="1"/>
      <c r="U96" s="3"/>
    </row>
    <row r="97" spans="10:21" ht="12">
      <c r="J97" s="64"/>
      <c r="K97" s="123"/>
      <c r="L97" s="124"/>
      <c r="M97" s="17"/>
      <c r="N97" s="76"/>
      <c r="O97" s="76"/>
      <c r="P97" s="76"/>
      <c r="Q97" s="17"/>
      <c r="R97" s="17"/>
      <c r="S97" s="17"/>
      <c r="T97" s="1"/>
      <c r="U97" s="3"/>
    </row>
    <row r="98" spans="10:21" ht="12">
      <c r="J98" s="64"/>
      <c r="K98" s="123"/>
      <c r="L98" s="124"/>
      <c r="M98" s="17"/>
      <c r="N98" s="76"/>
      <c r="O98" s="76"/>
      <c r="P98" s="76"/>
      <c r="Q98" s="17"/>
      <c r="R98" s="17"/>
      <c r="S98" s="17"/>
      <c r="T98" s="1"/>
      <c r="U98" s="3"/>
    </row>
    <row r="99" spans="10:21" ht="12">
      <c r="J99" s="64"/>
      <c r="K99" s="123"/>
      <c r="L99" s="124"/>
      <c r="M99" s="17"/>
      <c r="N99" s="76"/>
      <c r="O99" s="76"/>
      <c r="P99" s="76"/>
      <c r="Q99" s="17"/>
      <c r="R99" s="17"/>
      <c r="S99" s="17"/>
      <c r="T99" s="1"/>
      <c r="U99" s="3"/>
    </row>
    <row r="100" spans="10:21" ht="12">
      <c r="J100" s="64"/>
      <c r="K100" s="123"/>
      <c r="L100" s="124"/>
      <c r="M100" s="17"/>
      <c r="N100" s="76"/>
      <c r="O100" s="76"/>
      <c r="P100" s="76"/>
      <c r="Q100" s="17"/>
      <c r="R100" s="17"/>
      <c r="S100" s="17"/>
      <c r="T100" s="1"/>
      <c r="U100" s="3"/>
    </row>
    <row r="101" spans="10:21" ht="12">
      <c r="J101" s="64"/>
      <c r="K101" s="74"/>
      <c r="L101" s="124"/>
      <c r="M101" s="74"/>
      <c r="N101" s="76"/>
      <c r="O101" s="76"/>
      <c r="P101" s="75"/>
      <c r="Q101" s="72"/>
      <c r="R101" s="74"/>
      <c r="S101" s="72"/>
      <c r="T101" s="1"/>
      <c r="U101" s="3"/>
    </row>
    <row r="102" spans="10:21" ht="12">
      <c r="J102" s="64"/>
      <c r="K102" s="125"/>
      <c r="L102" s="74"/>
      <c r="M102" s="17"/>
      <c r="N102" s="76"/>
      <c r="O102" s="76"/>
      <c r="P102" s="76"/>
      <c r="Q102" s="73"/>
      <c r="R102" s="17"/>
      <c r="S102" s="73"/>
      <c r="T102" s="3"/>
      <c r="U102" s="3"/>
    </row>
    <row r="103" spans="10:21" ht="12">
      <c r="J103" s="64"/>
      <c r="K103" s="74"/>
      <c r="L103" s="74"/>
      <c r="M103" s="17"/>
      <c r="N103" s="76"/>
      <c r="O103" s="76"/>
      <c r="P103" s="76"/>
      <c r="Q103" s="17"/>
      <c r="R103" s="17"/>
      <c r="S103" s="17"/>
      <c r="T103" s="3"/>
      <c r="U103" s="3"/>
    </row>
    <row r="104" spans="10:20" ht="12">
      <c r="J104" s="64"/>
      <c r="K104" s="74"/>
      <c r="L104" s="74"/>
      <c r="M104" s="17"/>
      <c r="N104" s="126"/>
      <c r="O104" s="76"/>
      <c r="P104" s="76"/>
      <c r="Q104" s="72"/>
      <c r="R104" s="17"/>
      <c r="S104" s="72"/>
      <c r="T104" s="3"/>
    </row>
    <row r="105" spans="10:20" ht="12">
      <c r="J105" s="64"/>
      <c r="K105" s="74"/>
      <c r="L105" s="74"/>
      <c r="M105" s="17"/>
      <c r="N105" s="127"/>
      <c r="O105" s="76"/>
      <c r="P105" s="76"/>
      <c r="Q105" s="17"/>
      <c r="R105" s="17"/>
      <c r="S105" s="17"/>
      <c r="T105" s="3"/>
    </row>
    <row r="106" spans="10:20" ht="12">
      <c r="J106" s="64"/>
      <c r="K106" s="74"/>
      <c r="L106" s="74"/>
      <c r="M106" s="17"/>
      <c r="N106" s="128"/>
      <c r="O106" s="76"/>
      <c r="P106" s="76"/>
      <c r="Q106" s="75"/>
      <c r="R106" s="17"/>
      <c r="S106" s="17"/>
      <c r="T106" s="3"/>
    </row>
    <row r="107" spans="10:20" ht="12">
      <c r="J107" s="64"/>
      <c r="K107" s="123"/>
      <c r="L107" s="74"/>
      <c r="M107" s="17"/>
      <c r="N107" s="17"/>
      <c r="O107" s="17"/>
      <c r="P107" s="17"/>
      <c r="Q107" s="17"/>
      <c r="R107" s="17"/>
      <c r="S107" s="3"/>
      <c r="T107" s="3"/>
    </row>
    <row r="108" spans="10:18" ht="12">
      <c r="J108" s="64"/>
      <c r="K108" s="64"/>
      <c r="L108" s="64"/>
      <c r="M108" s="64"/>
      <c r="N108" s="64"/>
      <c r="P108" s="64"/>
      <c r="Q108" s="64"/>
      <c r="R108" s="64"/>
    </row>
    <row r="109" spans="10:18" ht="12">
      <c r="J109" s="64"/>
      <c r="K109" s="64"/>
      <c r="L109" s="64"/>
      <c r="M109" s="64"/>
      <c r="N109" s="64"/>
      <c r="P109" s="64"/>
      <c r="Q109" s="64"/>
      <c r="R109" s="64"/>
    </row>
    <row r="110" spans="10:18" ht="12">
      <c r="J110" s="64"/>
      <c r="K110" s="64"/>
      <c r="L110" s="64"/>
      <c r="M110" s="64"/>
      <c r="N110" s="64"/>
      <c r="P110" s="64"/>
      <c r="Q110" s="64"/>
      <c r="R110" s="64"/>
    </row>
  </sheetData>
  <printOptions horizontalCentered="1"/>
  <pageMargins left="0.75" right="0.5" top="0.5" bottom="0.5" header="0.5" footer="0.5"/>
  <pageSetup horizontalDpi="300" verticalDpi="300" orientation="portrait" scale="85" r:id="rId3"/>
  <headerFooter alignWithMargins="0">
    <oddFooter>&amp;L&amp;"Abadi MT Condensed Light,Regular"&amp;9file:  &amp;F &amp;A&amp;R&amp;"Abadi MT Condensed Light,Regular"&amp;9pde 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42">
      <selection activeCell="F85" sqref="F85"/>
    </sheetView>
  </sheetViews>
  <sheetFormatPr defaultColWidth="9.00390625" defaultRowHeight="12.75"/>
  <cols>
    <col min="1" max="1" width="8.625" style="2" customWidth="1"/>
    <col min="2" max="2" width="10.625" style="1" customWidth="1"/>
    <col min="3" max="3" width="3.625" style="3" customWidth="1"/>
    <col min="4" max="4" width="12.50390625" style="3" customWidth="1"/>
    <col min="5" max="5" width="1.625" style="3" customWidth="1"/>
    <col min="6" max="6" width="10.625" style="3" customWidth="1"/>
    <col min="7" max="7" width="1.625" style="3" customWidth="1"/>
    <col min="8" max="8" width="10.625" style="3" customWidth="1"/>
    <col min="9" max="9" width="1.625" style="3" customWidth="1"/>
    <col min="10" max="10" width="10.625" style="3" customWidth="1"/>
    <col min="11" max="11" width="1.625" style="3" customWidth="1"/>
    <col min="12" max="12" width="11.375" style="1" customWidth="1"/>
    <col min="13" max="16384" width="11.50390625" style="1" customWidth="1"/>
  </cols>
  <sheetData>
    <row r="1" spans="1:11" s="21" customFormat="1" ht="11.25">
      <c r="A1" s="19" t="s">
        <v>86</v>
      </c>
      <c r="B1" s="20"/>
      <c r="C1" s="19"/>
      <c r="D1" s="19"/>
      <c r="E1" s="19"/>
      <c r="F1" s="20"/>
      <c r="G1" s="19"/>
      <c r="H1" s="19"/>
      <c r="I1" s="19"/>
      <c r="J1" s="19"/>
      <c r="K1" s="19"/>
    </row>
    <row r="2" spans="1:11" s="21" customFormat="1" ht="11.25">
      <c r="A2" s="19"/>
      <c r="B2" s="20"/>
      <c r="C2" s="19"/>
      <c r="D2" s="19"/>
      <c r="E2" s="19"/>
      <c r="F2" s="20"/>
      <c r="G2" s="19"/>
      <c r="H2" s="19"/>
      <c r="I2" s="19"/>
      <c r="J2" s="19"/>
      <c r="K2" s="19"/>
    </row>
    <row r="3" spans="1:11" s="21" customFormat="1" ht="11.25">
      <c r="A3" s="19" t="s">
        <v>0</v>
      </c>
      <c r="B3" s="20"/>
      <c r="C3" s="19"/>
      <c r="D3" s="19"/>
      <c r="E3" s="19"/>
      <c r="F3" s="20"/>
      <c r="G3" s="19"/>
      <c r="H3" s="19"/>
      <c r="I3" s="19"/>
      <c r="J3" s="19"/>
      <c r="K3" s="19"/>
    </row>
    <row r="4" spans="1:11" s="21" customFormat="1" ht="11.25">
      <c r="A4" s="19" t="s">
        <v>1</v>
      </c>
      <c r="B4" s="20"/>
      <c r="C4" s="19"/>
      <c r="D4" s="19"/>
      <c r="E4" s="19"/>
      <c r="F4" s="20"/>
      <c r="G4" s="19"/>
      <c r="H4" s="19"/>
      <c r="I4" s="19"/>
      <c r="J4" s="19"/>
      <c r="K4" s="19"/>
    </row>
    <row r="5" spans="1:11" s="21" customFormat="1" ht="11.25">
      <c r="A5" s="19" t="s">
        <v>2</v>
      </c>
      <c r="B5" s="20"/>
      <c r="C5" s="19"/>
      <c r="D5" s="19"/>
      <c r="E5" s="19"/>
      <c r="F5" s="20"/>
      <c r="G5" s="19"/>
      <c r="H5" s="19"/>
      <c r="I5" s="19"/>
      <c r="J5" s="19"/>
      <c r="K5" s="19"/>
    </row>
    <row r="6" spans="1:11" s="21" customFormat="1" ht="11.25">
      <c r="A6" s="22" t="s">
        <v>3</v>
      </c>
      <c r="B6" s="20"/>
      <c r="C6" s="19"/>
      <c r="D6" s="23"/>
      <c r="E6" s="23"/>
      <c r="F6" s="20"/>
      <c r="G6" s="23"/>
      <c r="H6" s="23"/>
      <c r="I6" s="19"/>
      <c r="J6" s="19"/>
      <c r="K6" s="19"/>
    </row>
    <row r="8" spans="4:11" ht="11.25">
      <c r="D8" s="4"/>
      <c r="E8" s="5"/>
      <c r="F8" s="4"/>
      <c r="G8" s="6" t="s">
        <v>4</v>
      </c>
      <c r="H8" s="4"/>
      <c r="I8" s="4"/>
      <c r="J8" s="4"/>
      <c r="K8" s="17"/>
    </row>
    <row r="9" spans="3:12" ht="11.25">
      <c r="C9" s="7"/>
      <c r="D9" s="7" t="s">
        <v>5</v>
      </c>
      <c r="E9" s="7"/>
      <c r="F9" s="7" t="s">
        <v>6</v>
      </c>
      <c r="G9" s="7"/>
      <c r="H9" s="7" t="s">
        <v>7</v>
      </c>
      <c r="J9" s="7" t="s">
        <v>8</v>
      </c>
      <c r="K9" s="148"/>
      <c r="L9" s="147" t="s">
        <v>6</v>
      </c>
    </row>
    <row r="10" spans="3:12" ht="11.25">
      <c r="C10" s="7"/>
      <c r="D10" s="6" t="s">
        <v>9</v>
      </c>
      <c r="E10" s="7"/>
      <c r="F10" s="6" t="s">
        <v>10</v>
      </c>
      <c r="G10" s="7"/>
      <c r="H10" s="6" t="s">
        <v>6</v>
      </c>
      <c r="J10" s="6" t="s">
        <v>11</v>
      </c>
      <c r="K10" s="71"/>
      <c r="L10" s="149" t="s">
        <v>90</v>
      </c>
    </row>
    <row r="11" spans="2:11" ht="11.25">
      <c r="B11" s="18">
        <v>30285</v>
      </c>
      <c r="D11" s="8">
        <v>-5247725</v>
      </c>
      <c r="E11" s="9"/>
      <c r="F11" s="9"/>
      <c r="G11" s="9"/>
      <c r="H11" s="9"/>
      <c r="I11" s="9"/>
      <c r="J11" s="8">
        <v>-405000</v>
      </c>
      <c r="K11" s="8"/>
    </row>
    <row r="12" spans="1:11" ht="11.25">
      <c r="A12" s="2">
        <v>1</v>
      </c>
      <c r="B12" s="18">
        <v>30650</v>
      </c>
      <c r="D12" s="9">
        <f aca="true" t="shared" si="0" ref="D12:D43">D11-F12</f>
        <v>-5083733</v>
      </c>
      <c r="E12" s="9"/>
      <c r="F12" s="8">
        <f aca="true" t="shared" si="1" ref="F12:F42">-13666*12</f>
        <v>-163992</v>
      </c>
      <c r="G12" s="8"/>
      <c r="H12" s="8">
        <f>F12</f>
        <v>-163992</v>
      </c>
      <c r="I12" s="9"/>
      <c r="J12" s="9">
        <v>-405000</v>
      </c>
      <c r="K12" s="9"/>
    </row>
    <row r="13" spans="1:11" ht="11.25">
      <c r="A13" s="2">
        <v>2</v>
      </c>
      <c r="B13" s="18">
        <v>31016</v>
      </c>
      <c r="D13" s="9">
        <f t="shared" si="0"/>
        <v>-4919741</v>
      </c>
      <c r="E13" s="9"/>
      <c r="F13" s="9">
        <f t="shared" si="1"/>
        <v>-163992</v>
      </c>
      <c r="G13" s="9"/>
      <c r="H13" s="9">
        <f aca="true" t="shared" si="2" ref="H13:H43">H12+F13</f>
        <v>-327984</v>
      </c>
      <c r="I13" s="9"/>
      <c r="J13" s="9">
        <v>-405000</v>
      </c>
      <c r="K13" s="9"/>
    </row>
    <row r="14" spans="1:11" ht="11.25">
      <c r="A14" s="2">
        <v>3</v>
      </c>
      <c r="B14" s="18">
        <v>31381</v>
      </c>
      <c r="D14" s="9">
        <f t="shared" si="0"/>
        <v>-4755749</v>
      </c>
      <c r="E14" s="9"/>
      <c r="F14" s="9">
        <f t="shared" si="1"/>
        <v>-163992</v>
      </c>
      <c r="G14" s="9"/>
      <c r="H14" s="9">
        <f t="shared" si="2"/>
        <v>-491976</v>
      </c>
      <c r="I14" s="9"/>
      <c r="J14" s="9">
        <v>-405000</v>
      </c>
      <c r="K14" s="9"/>
    </row>
    <row r="15" spans="1:11" ht="11.25">
      <c r="A15" s="2">
        <v>4</v>
      </c>
      <c r="B15" s="18">
        <v>31746</v>
      </c>
      <c r="D15" s="9">
        <f t="shared" si="0"/>
        <v>-4591757</v>
      </c>
      <c r="E15" s="9"/>
      <c r="F15" s="9">
        <f t="shared" si="1"/>
        <v>-163992</v>
      </c>
      <c r="G15" s="9"/>
      <c r="H15" s="9">
        <f t="shared" si="2"/>
        <v>-655968</v>
      </c>
      <c r="I15" s="9"/>
      <c r="J15" s="9">
        <v>-405000</v>
      </c>
      <c r="K15" s="9"/>
    </row>
    <row r="16" spans="1:11" ht="11.25">
      <c r="A16" s="2">
        <v>5</v>
      </c>
      <c r="B16" s="18">
        <v>32111</v>
      </c>
      <c r="D16" s="9">
        <f t="shared" si="0"/>
        <v>-4427765</v>
      </c>
      <c r="E16" s="9"/>
      <c r="F16" s="9">
        <f t="shared" si="1"/>
        <v>-163992</v>
      </c>
      <c r="G16" s="9"/>
      <c r="H16" s="9">
        <f t="shared" si="2"/>
        <v>-819960</v>
      </c>
      <c r="I16" s="9"/>
      <c r="J16" s="9">
        <v>-405000</v>
      </c>
      <c r="K16" s="9"/>
    </row>
    <row r="17" spans="1:11" ht="11.25">
      <c r="A17" s="2">
        <v>6</v>
      </c>
      <c r="B17" s="18">
        <v>32477</v>
      </c>
      <c r="D17" s="9">
        <f t="shared" si="0"/>
        <v>-4263773</v>
      </c>
      <c r="E17" s="9"/>
      <c r="F17" s="9">
        <f t="shared" si="1"/>
        <v>-163992</v>
      </c>
      <c r="G17" s="9"/>
      <c r="H17" s="9">
        <f t="shared" si="2"/>
        <v>-983952</v>
      </c>
      <c r="I17" s="9"/>
      <c r="J17" s="9">
        <v>-405000</v>
      </c>
      <c r="K17" s="9"/>
    </row>
    <row r="18" spans="1:11" ht="11.25">
      <c r="A18" s="2">
        <v>7</v>
      </c>
      <c r="B18" s="18">
        <v>32842</v>
      </c>
      <c r="D18" s="9">
        <f t="shared" si="0"/>
        <v>-4099781</v>
      </c>
      <c r="E18" s="9"/>
      <c r="F18" s="9">
        <f t="shared" si="1"/>
        <v>-163992</v>
      </c>
      <c r="G18" s="9"/>
      <c r="H18" s="9">
        <f t="shared" si="2"/>
        <v>-1147944</v>
      </c>
      <c r="I18" s="9"/>
      <c r="J18" s="9">
        <v>-405000</v>
      </c>
      <c r="K18" s="9"/>
    </row>
    <row r="19" spans="1:11" ht="11.25">
      <c r="A19" s="2">
        <v>8</v>
      </c>
      <c r="B19" s="18">
        <v>33207</v>
      </c>
      <c r="D19" s="9">
        <f t="shared" si="0"/>
        <v>-3935789</v>
      </c>
      <c r="E19" s="9"/>
      <c r="F19" s="9">
        <f t="shared" si="1"/>
        <v>-163992</v>
      </c>
      <c r="G19" s="9"/>
      <c r="H19" s="9">
        <f t="shared" si="2"/>
        <v>-1311936</v>
      </c>
      <c r="I19" s="9"/>
      <c r="J19" s="9">
        <v>-405000</v>
      </c>
      <c r="K19" s="9"/>
    </row>
    <row r="20" spans="1:11" ht="11.25">
      <c r="A20" s="2">
        <v>9</v>
      </c>
      <c r="B20" s="18">
        <v>33572</v>
      </c>
      <c r="D20" s="9">
        <f t="shared" si="0"/>
        <v>-3771797</v>
      </c>
      <c r="E20" s="9"/>
      <c r="F20" s="9">
        <f t="shared" si="1"/>
        <v>-163992</v>
      </c>
      <c r="G20" s="9"/>
      <c r="H20" s="9">
        <f t="shared" si="2"/>
        <v>-1475928</v>
      </c>
      <c r="I20" s="9"/>
      <c r="J20" s="9">
        <v>-405000</v>
      </c>
      <c r="K20" s="9"/>
    </row>
    <row r="21" spans="1:11" ht="11.25">
      <c r="A21" s="2">
        <v>10</v>
      </c>
      <c r="B21" s="18">
        <v>33938</v>
      </c>
      <c r="D21" s="9">
        <f t="shared" si="0"/>
        <v>-3607805</v>
      </c>
      <c r="E21" s="9"/>
      <c r="F21" s="9">
        <f t="shared" si="1"/>
        <v>-163992</v>
      </c>
      <c r="G21" s="9"/>
      <c r="H21" s="9">
        <f t="shared" si="2"/>
        <v>-1639920</v>
      </c>
      <c r="I21" s="9"/>
      <c r="J21" s="9">
        <v>-405000</v>
      </c>
      <c r="K21" s="9"/>
    </row>
    <row r="22" spans="1:11" ht="11.25">
      <c r="A22" s="2">
        <v>11</v>
      </c>
      <c r="B22" s="18">
        <v>34303</v>
      </c>
      <c r="D22" s="9">
        <f t="shared" si="0"/>
        <v>-3443813</v>
      </c>
      <c r="E22" s="9"/>
      <c r="F22" s="9">
        <f t="shared" si="1"/>
        <v>-163992</v>
      </c>
      <c r="G22" s="9"/>
      <c r="H22" s="9">
        <f t="shared" si="2"/>
        <v>-1803912</v>
      </c>
      <c r="I22" s="9"/>
      <c r="J22" s="9">
        <v>-405000</v>
      </c>
      <c r="K22" s="9"/>
    </row>
    <row r="23" spans="1:11" ht="11.25">
      <c r="A23" s="2">
        <v>12</v>
      </c>
      <c r="B23" s="18">
        <v>34668</v>
      </c>
      <c r="D23" s="9">
        <f t="shared" si="0"/>
        <v>-3279821</v>
      </c>
      <c r="E23" s="9"/>
      <c r="F23" s="9">
        <f t="shared" si="1"/>
        <v>-163992</v>
      </c>
      <c r="G23" s="9"/>
      <c r="H23" s="9">
        <f t="shared" si="2"/>
        <v>-1967904</v>
      </c>
      <c r="I23" s="9"/>
      <c r="J23" s="9">
        <v>-405000</v>
      </c>
      <c r="K23" s="9"/>
    </row>
    <row r="24" spans="1:11" ht="11.25">
      <c r="A24" s="2">
        <v>13</v>
      </c>
      <c r="B24" s="18">
        <v>35033</v>
      </c>
      <c r="D24" s="9">
        <f t="shared" si="0"/>
        <v>-3115829</v>
      </c>
      <c r="E24" s="9"/>
      <c r="F24" s="9">
        <f t="shared" si="1"/>
        <v>-163992</v>
      </c>
      <c r="G24" s="9"/>
      <c r="H24" s="9">
        <f t="shared" si="2"/>
        <v>-2131896</v>
      </c>
      <c r="I24" s="9"/>
      <c r="J24" s="9">
        <v>-405000</v>
      </c>
      <c r="K24" s="9"/>
    </row>
    <row r="25" spans="1:11" ht="11.25">
      <c r="A25" s="2">
        <v>14</v>
      </c>
      <c r="B25" s="18">
        <v>35399</v>
      </c>
      <c r="D25" s="9">
        <f t="shared" si="0"/>
        <v>-2951837</v>
      </c>
      <c r="E25" s="9"/>
      <c r="F25" s="9">
        <f t="shared" si="1"/>
        <v>-163992</v>
      </c>
      <c r="G25" s="9"/>
      <c r="H25" s="9">
        <f t="shared" si="2"/>
        <v>-2295888</v>
      </c>
      <c r="I25" s="9"/>
      <c r="J25" s="9">
        <v>-405000</v>
      </c>
      <c r="K25" s="9"/>
    </row>
    <row r="26" spans="1:11" ht="11.25">
      <c r="A26" s="2">
        <v>15</v>
      </c>
      <c r="B26" s="18">
        <v>35764</v>
      </c>
      <c r="D26" s="9">
        <f t="shared" si="0"/>
        <v>-2787845</v>
      </c>
      <c r="E26" s="9"/>
      <c r="F26" s="9">
        <f t="shared" si="1"/>
        <v>-163992</v>
      </c>
      <c r="G26" s="9"/>
      <c r="H26" s="9">
        <f t="shared" si="2"/>
        <v>-2459880</v>
      </c>
      <c r="I26" s="9"/>
      <c r="J26" s="9">
        <v>-405000</v>
      </c>
      <c r="K26" s="9"/>
    </row>
    <row r="27" spans="1:11" ht="11.25">
      <c r="A27" s="2">
        <v>16</v>
      </c>
      <c r="B27" s="18">
        <v>36129</v>
      </c>
      <c r="D27" s="9">
        <f t="shared" si="0"/>
        <v>-2623853</v>
      </c>
      <c r="E27" s="9"/>
      <c r="F27" s="9">
        <f t="shared" si="1"/>
        <v>-163992</v>
      </c>
      <c r="G27" s="9"/>
      <c r="H27" s="9">
        <f t="shared" si="2"/>
        <v>-2623872</v>
      </c>
      <c r="I27" s="9"/>
      <c r="J27" s="9">
        <v>-405000</v>
      </c>
      <c r="K27" s="9"/>
    </row>
    <row r="28" spans="1:11" ht="11.25">
      <c r="A28" s="2">
        <v>17</v>
      </c>
      <c r="B28" s="18">
        <v>36494</v>
      </c>
      <c r="D28" s="9">
        <f t="shared" si="0"/>
        <v>-2459861</v>
      </c>
      <c r="E28" s="9"/>
      <c r="F28" s="9">
        <f t="shared" si="1"/>
        <v>-163992</v>
      </c>
      <c r="G28" s="9"/>
      <c r="H28" s="9">
        <f t="shared" si="2"/>
        <v>-2787864</v>
      </c>
      <c r="I28" s="9"/>
      <c r="J28" s="9">
        <v>-405000</v>
      </c>
      <c r="K28" s="9"/>
    </row>
    <row r="29" spans="1:11" ht="11.25">
      <c r="A29" s="2">
        <v>18</v>
      </c>
      <c r="B29" s="18">
        <v>36860</v>
      </c>
      <c r="D29" s="9">
        <f t="shared" si="0"/>
        <v>-2295869</v>
      </c>
      <c r="E29" s="9"/>
      <c r="F29" s="9">
        <f t="shared" si="1"/>
        <v>-163992</v>
      </c>
      <c r="G29" s="9"/>
      <c r="H29" s="9">
        <f t="shared" si="2"/>
        <v>-2951856</v>
      </c>
      <c r="I29" s="9"/>
      <c r="J29" s="9">
        <v>-405000</v>
      </c>
      <c r="K29" s="9"/>
    </row>
    <row r="30" spans="1:12" ht="11.25">
      <c r="A30" s="2">
        <v>19</v>
      </c>
      <c r="B30" s="154">
        <v>37225</v>
      </c>
      <c r="C30" s="155"/>
      <c r="D30" s="156">
        <f t="shared" si="0"/>
        <v>-2131877</v>
      </c>
      <c r="E30" s="156"/>
      <c r="F30" s="156">
        <f t="shared" si="1"/>
        <v>-163992</v>
      </c>
      <c r="G30" s="156"/>
      <c r="H30" s="156">
        <f t="shared" si="2"/>
        <v>-3115848</v>
      </c>
      <c r="I30" s="156"/>
      <c r="J30" s="156">
        <f>J29+L30</f>
        <v>-376068</v>
      </c>
      <c r="K30" s="156"/>
      <c r="L30" s="157">
        <f>ROUND(-J29/14/12,0)*12</f>
        <v>28932</v>
      </c>
    </row>
    <row r="31" spans="1:12" ht="11.25">
      <c r="A31" s="2">
        <v>20</v>
      </c>
      <c r="B31" s="18">
        <v>37590</v>
      </c>
      <c r="D31" s="9">
        <f t="shared" si="0"/>
        <v>-1967885</v>
      </c>
      <c r="E31" s="9"/>
      <c r="F31" s="9">
        <f t="shared" si="1"/>
        <v>-163992</v>
      </c>
      <c r="G31" s="9"/>
      <c r="H31" s="9">
        <f t="shared" si="2"/>
        <v>-3279840</v>
      </c>
      <c r="I31" s="9"/>
      <c r="J31" s="9">
        <f>J30+L31</f>
        <v>-347136</v>
      </c>
      <c r="K31" s="9"/>
      <c r="L31" s="3">
        <f>L30</f>
        <v>28932</v>
      </c>
    </row>
    <row r="32" spans="1:12" ht="11.25">
      <c r="A32" s="2">
        <v>21</v>
      </c>
      <c r="B32" s="18">
        <v>37955</v>
      </c>
      <c r="D32" s="9">
        <f t="shared" si="0"/>
        <v>-1803893</v>
      </c>
      <c r="E32" s="9"/>
      <c r="F32" s="9">
        <f t="shared" si="1"/>
        <v>-163992</v>
      </c>
      <c r="G32" s="9"/>
      <c r="H32" s="162">
        <f t="shared" si="2"/>
        <v>-3443832</v>
      </c>
      <c r="I32" s="162"/>
      <c r="J32" s="162">
        <f aca="true" t="shared" si="3" ref="J32:J43">J31+L32</f>
        <v>-318204</v>
      </c>
      <c r="K32" s="9"/>
      <c r="L32" s="3">
        <f aca="true" t="shared" si="4" ref="L32:L42">L31</f>
        <v>28932</v>
      </c>
    </row>
    <row r="33" spans="1:12" ht="11.25">
      <c r="A33" s="2">
        <v>22</v>
      </c>
      <c r="B33" s="18">
        <v>38321</v>
      </c>
      <c r="D33" s="9">
        <f t="shared" si="0"/>
        <v>-1639901</v>
      </c>
      <c r="E33" s="9"/>
      <c r="F33" s="9">
        <f t="shared" si="1"/>
        <v>-163992</v>
      </c>
      <c r="G33" s="9"/>
      <c r="H33" s="9">
        <f t="shared" si="2"/>
        <v>-3607824</v>
      </c>
      <c r="I33" s="9"/>
      <c r="J33" s="9">
        <f t="shared" si="3"/>
        <v>-289272</v>
      </c>
      <c r="K33" s="9"/>
      <c r="L33" s="3">
        <f t="shared" si="4"/>
        <v>28932</v>
      </c>
    </row>
    <row r="34" spans="1:12" ht="11.25">
      <c r="A34" s="2">
        <v>23</v>
      </c>
      <c r="B34" s="18">
        <v>38686</v>
      </c>
      <c r="D34" s="9">
        <f t="shared" si="0"/>
        <v>-1475909</v>
      </c>
      <c r="E34" s="9"/>
      <c r="F34" s="9">
        <f t="shared" si="1"/>
        <v>-163992</v>
      </c>
      <c r="G34" s="9"/>
      <c r="H34" s="9">
        <f t="shared" si="2"/>
        <v>-3771816</v>
      </c>
      <c r="I34" s="9"/>
      <c r="J34" s="9">
        <f t="shared" si="3"/>
        <v>-260340</v>
      </c>
      <c r="K34" s="9"/>
      <c r="L34" s="3">
        <f t="shared" si="4"/>
        <v>28932</v>
      </c>
    </row>
    <row r="35" spans="1:12" ht="11.25">
      <c r="A35" s="2">
        <v>24</v>
      </c>
      <c r="B35" s="18">
        <v>39051</v>
      </c>
      <c r="D35" s="9">
        <f t="shared" si="0"/>
        <v>-1311917</v>
      </c>
      <c r="E35" s="9"/>
      <c r="F35" s="9">
        <f t="shared" si="1"/>
        <v>-163992</v>
      </c>
      <c r="G35" s="9"/>
      <c r="H35" s="9">
        <f t="shared" si="2"/>
        <v>-3935808</v>
      </c>
      <c r="I35" s="9"/>
      <c r="J35" s="9">
        <f t="shared" si="3"/>
        <v>-231408</v>
      </c>
      <c r="K35" s="9"/>
      <c r="L35" s="3">
        <f t="shared" si="4"/>
        <v>28932</v>
      </c>
    </row>
    <row r="36" spans="1:12" ht="11.25">
      <c r="A36" s="2">
        <v>25</v>
      </c>
      <c r="B36" s="18">
        <v>39416</v>
      </c>
      <c r="D36" s="9">
        <f t="shared" si="0"/>
        <v>-1147925</v>
      </c>
      <c r="E36" s="9"/>
      <c r="F36" s="9">
        <f t="shared" si="1"/>
        <v>-163992</v>
      </c>
      <c r="G36" s="9"/>
      <c r="H36" s="9">
        <f t="shared" si="2"/>
        <v>-4099800</v>
      </c>
      <c r="I36" s="9"/>
      <c r="J36" s="9">
        <f t="shared" si="3"/>
        <v>-202476</v>
      </c>
      <c r="K36" s="9"/>
      <c r="L36" s="3">
        <f t="shared" si="4"/>
        <v>28932</v>
      </c>
    </row>
    <row r="37" spans="1:12" ht="11.25">
      <c r="A37" s="2">
        <v>26</v>
      </c>
      <c r="B37" s="18">
        <v>39782</v>
      </c>
      <c r="D37" s="9">
        <f t="shared" si="0"/>
        <v>-983933</v>
      </c>
      <c r="E37" s="9"/>
      <c r="F37" s="9">
        <f t="shared" si="1"/>
        <v>-163992</v>
      </c>
      <c r="G37" s="9"/>
      <c r="H37" s="9">
        <f t="shared" si="2"/>
        <v>-4263792</v>
      </c>
      <c r="I37" s="9"/>
      <c r="J37" s="9">
        <f t="shared" si="3"/>
        <v>-173544</v>
      </c>
      <c r="K37" s="9"/>
      <c r="L37" s="3">
        <f t="shared" si="4"/>
        <v>28932</v>
      </c>
    </row>
    <row r="38" spans="1:12" ht="11.25">
      <c r="A38" s="2">
        <v>27</v>
      </c>
      <c r="B38" s="18">
        <v>40147</v>
      </c>
      <c r="D38" s="9">
        <f t="shared" si="0"/>
        <v>-819941</v>
      </c>
      <c r="E38" s="9"/>
      <c r="F38" s="9">
        <f t="shared" si="1"/>
        <v>-163992</v>
      </c>
      <c r="G38" s="9"/>
      <c r="H38" s="9">
        <f t="shared" si="2"/>
        <v>-4427784</v>
      </c>
      <c r="I38" s="9"/>
      <c r="J38" s="9">
        <f t="shared" si="3"/>
        <v>-144612</v>
      </c>
      <c r="K38" s="9"/>
      <c r="L38" s="3">
        <f t="shared" si="4"/>
        <v>28932</v>
      </c>
    </row>
    <row r="39" spans="1:12" ht="11.25">
      <c r="A39" s="2">
        <v>28</v>
      </c>
      <c r="B39" s="18">
        <v>40512</v>
      </c>
      <c r="D39" s="9">
        <f t="shared" si="0"/>
        <v>-655949</v>
      </c>
      <c r="E39" s="9"/>
      <c r="F39" s="9">
        <f t="shared" si="1"/>
        <v>-163992</v>
      </c>
      <c r="G39" s="9"/>
      <c r="H39" s="9">
        <f t="shared" si="2"/>
        <v>-4591776</v>
      </c>
      <c r="I39" s="9"/>
      <c r="J39" s="9">
        <f t="shared" si="3"/>
        <v>-115680</v>
      </c>
      <c r="K39" s="9"/>
      <c r="L39" s="3">
        <f t="shared" si="4"/>
        <v>28932</v>
      </c>
    </row>
    <row r="40" spans="1:12" ht="11.25">
      <c r="A40" s="2">
        <v>29</v>
      </c>
      <c r="B40" s="18">
        <v>40877</v>
      </c>
      <c r="D40" s="9">
        <f t="shared" si="0"/>
        <v>-491957</v>
      </c>
      <c r="E40" s="9"/>
      <c r="F40" s="9">
        <f t="shared" si="1"/>
        <v>-163992</v>
      </c>
      <c r="G40" s="9"/>
      <c r="H40" s="9">
        <f t="shared" si="2"/>
        <v>-4755768</v>
      </c>
      <c r="I40" s="9"/>
      <c r="J40" s="9">
        <f t="shared" si="3"/>
        <v>-86748</v>
      </c>
      <c r="K40" s="9"/>
      <c r="L40" s="3">
        <f t="shared" si="4"/>
        <v>28932</v>
      </c>
    </row>
    <row r="41" spans="1:12" ht="11.25">
      <c r="A41" s="2">
        <v>30</v>
      </c>
      <c r="B41" s="18">
        <v>41243</v>
      </c>
      <c r="D41" s="9">
        <f t="shared" si="0"/>
        <v>-327965</v>
      </c>
      <c r="E41" s="9"/>
      <c r="F41" s="9">
        <f t="shared" si="1"/>
        <v>-163992</v>
      </c>
      <c r="G41" s="9"/>
      <c r="H41" s="9">
        <f t="shared" si="2"/>
        <v>-4919760</v>
      </c>
      <c r="I41" s="9"/>
      <c r="J41" s="9">
        <f t="shared" si="3"/>
        <v>-57816</v>
      </c>
      <c r="K41" s="9"/>
      <c r="L41" s="3">
        <f t="shared" si="4"/>
        <v>28932</v>
      </c>
    </row>
    <row r="42" spans="1:12" ht="11.25">
      <c r="A42" s="2">
        <v>31</v>
      </c>
      <c r="B42" s="18">
        <v>41608</v>
      </c>
      <c r="D42" s="9">
        <f t="shared" si="0"/>
        <v>-163973</v>
      </c>
      <c r="E42" s="9"/>
      <c r="F42" s="9">
        <f t="shared" si="1"/>
        <v>-163992</v>
      </c>
      <c r="G42" s="9"/>
      <c r="H42" s="9">
        <f t="shared" si="2"/>
        <v>-5083752</v>
      </c>
      <c r="I42" s="9"/>
      <c r="J42" s="9">
        <f t="shared" si="3"/>
        <v>-28884</v>
      </c>
      <c r="K42" s="9"/>
      <c r="L42" s="3">
        <f t="shared" si="4"/>
        <v>28932</v>
      </c>
    </row>
    <row r="43" spans="1:12" ht="11.25">
      <c r="A43" s="2">
        <v>32</v>
      </c>
      <c r="B43" s="18">
        <v>41973</v>
      </c>
      <c r="D43" s="9">
        <f t="shared" si="0"/>
        <v>0</v>
      </c>
      <c r="E43" s="9"/>
      <c r="F43" s="9">
        <f>-13666*12+19</f>
        <v>-163973</v>
      </c>
      <c r="G43" s="9"/>
      <c r="H43" s="9">
        <f t="shared" si="2"/>
        <v>-5247725</v>
      </c>
      <c r="I43" s="9"/>
      <c r="J43" s="9">
        <f t="shared" si="3"/>
        <v>0</v>
      </c>
      <c r="K43" s="9"/>
      <c r="L43" s="3">
        <f>L42-48</f>
        <v>28884</v>
      </c>
    </row>
    <row r="44" ht="11.25">
      <c r="B44" s="10"/>
    </row>
    <row r="45" spans="2:13" ht="11.25">
      <c r="B45" s="3" t="s">
        <v>12</v>
      </c>
      <c r="F45" s="146" t="s">
        <v>89</v>
      </c>
      <c r="H45" s="138">
        <f>-13666*12+28932</f>
        <v>-135060</v>
      </c>
      <c r="M45" s="28" t="s">
        <v>84</v>
      </c>
    </row>
    <row r="46" spans="2:13" ht="11.25">
      <c r="B46" s="3" t="s">
        <v>99</v>
      </c>
      <c r="F46" s="146"/>
      <c r="H46" s="138">
        <v>-135060</v>
      </c>
      <c r="M46" s="28"/>
    </row>
    <row r="47" spans="2:13" ht="12" thickBot="1">
      <c r="B47" s="3" t="s">
        <v>56</v>
      </c>
      <c r="F47" s="146"/>
      <c r="H47" s="153">
        <f>H45-H46</f>
        <v>0</v>
      </c>
      <c r="M47" s="28"/>
    </row>
    <row r="48" spans="2:13" ht="11.25">
      <c r="B48" s="3"/>
      <c r="F48" s="146"/>
      <c r="H48" s="138"/>
      <c r="M48" s="28"/>
    </row>
    <row r="49" spans="2:13" ht="11.25">
      <c r="B49" s="3"/>
      <c r="F49" s="146"/>
      <c r="H49" s="138"/>
      <c r="M49" s="28"/>
    </row>
    <row r="50" ht="12" customHeight="1" hidden="1">
      <c r="H50" s="8"/>
    </row>
    <row r="51" spans="1:8" ht="10.5" customHeight="1" hidden="1">
      <c r="A51" s="26">
        <v>38259</v>
      </c>
      <c r="B51" s="11" t="s">
        <v>13</v>
      </c>
      <c r="H51" s="24">
        <f>F83</f>
        <v>3484830</v>
      </c>
    </row>
    <row r="52" spans="1:13" ht="9.75" customHeight="1" hidden="1">
      <c r="A52" s="134">
        <f>A51</f>
        <v>38259</v>
      </c>
      <c r="B52" s="11" t="s">
        <v>14</v>
      </c>
      <c r="H52" s="24">
        <f>H83</f>
        <v>310971</v>
      </c>
      <c r="M52" s="28" t="s">
        <v>15</v>
      </c>
    </row>
    <row r="53" spans="2:8" ht="11.25" customHeight="1" hidden="1">
      <c r="B53" s="1" t="s">
        <v>16</v>
      </c>
      <c r="H53" s="139">
        <f>H51+H52</f>
        <v>3795801</v>
      </c>
    </row>
    <row r="54" spans="1:11" s="21" customFormat="1" ht="11.25">
      <c r="A54" s="160" t="s">
        <v>0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44"/>
    </row>
    <row r="55" spans="1:11" s="21" customFormat="1" ht="11.25">
      <c r="A55" s="160" t="s">
        <v>17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44"/>
    </row>
    <row r="56" spans="1:11" s="21" customFormat="1" ht="11.25">
      <c r="A56" s="160" t="s">
        <v>2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44"/>
    </row>
    <row r="57" spans="1:13" s="21" customFormat="1" ht="11.25">
      <c r="A57" s="161" t="str">
        <f>"Twelve Months Ended "&amp;TEXT(A51,"mmmm dd, yyyy")</f>
        <v>Twelve Months Ended September 30, 2008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45"/>
      <c r="M57" s="27" t="s">
        <v>85</v>
      </c>
    </row>
    <row r="61" spans="3:13" ht="11.25">
      <c r="C61" s="7"/>
      <c r="D61" s="7"/>
      <c r="E61" s="7"/>
      <c r="F61" s="7" t="s">
        <v>7</v>
      </c>
      <c r="H61" s="7" t="s">
        <v>8</v>
      </c>
      <c r="I61" s="1"/>
      <c r="M61" s="151" t="s">
        <v>93</v>
      </c>
    </row>
    <row r="62" spans="3:13" ht="11.25">
      <c r="C62" s="7"/>
      <c r="D62" s="6" t="s">
        <v>18</v>
      </c>
      <c r="E62" s="7"/>
      <c r="F62" s="6" t="s">
        <v>6</v>
      </c>
      <c r="H62" s="6" t="s">
        <v>11</v>
      </c>
      <c r="I62" s="1"/>
      <c r="M62" s="150" t="s">
        <v>94</v>
      </c>
    </row>
    <row r="63" spans="2:13" ht="11.25">
      <c r="B63" s="131">
        <v>37893</v>
      </c>
      <c r="D63" s="13">
        <v>5247725</v>
      </c>
      <c r="E63" s="13"/>
      <c r="F63" s="130">
        <f>-ROUND((H32+13666+13666+13666),0)</f>
        <v>3402834</v>
      </c>
      <c r="G63" s="13"/>
      <c r="H63" s="130">
        <f>-ROUND((J32-2411-2411-2411),0)</f>
        <v>325437</v>
      </c>
      <c r="I63" s="1"/>
      <c r="M63" s="150" t="s">
        <v>95</v>
      </c>
    </row>
    <row r="64" spans="2:13" ht="11.25">
      <c r="B64" s="131">
        <v>38259</v>
      </c>
      <c r="D64" s="4">
        <v>5247725</v>
      </c>
      <c r="F64" s="130">
        <f>-ROUND((H33+13666+13666+13666),0)</f>
        <v>3566826</v>
      </c>
      <c r="H64" s="130">
        <f>-ROUND((J33-2411-2411-2411),0)</f>
        <v>296505</v>
      </c>
      <c r="I64" s="1"/>
      <c r="M64" s="150" t="s">
        <v>96</v>
      </c>
    </row>
    <row r="65" spans="1:13" ht="11.25">
      <c r="A65" s="14" t="s">
        <v>19</v>
      </c>
      <c r="D65" s="13">
        <f>D63+D64</f>
        <v>10495450</v>
      </c>
      <c r="F65" s="15">
        <f>F63+F64</f>
        <v>6969660</v>
      </c>
      <c r="H65" s="15">
        <f>H63+H64</f>
        <v>621942</v>
      </c>
      <c r="I65" s="1"/>
      <c r="M65" s="150" t="s">
        <v>91</v>
      </c>
    </row>
    <row r="66" spans="1:13" ht="11.25">
      <c r="A66" s="14" t="s">
        <v>20</v>
      </c>
      <c r="D66" s="16">
        <v>2</v>
      </c>
      <c r="F66" s="16">
        <v>2</v>
      </c>
      <c r="H66" s="16">
        <v>2</v>
      </c>
      <c r="I66" s="1"/>
      <c r="M66" s="150" t="s">
        <v>92</v>
      </c>
    </row>
    <row r="67" spans="2:13" ht="11.25">
      <c r="B67" s="14"/>
      <c r="D67" s="13"/>
      <c r="F67" s="13"/>
      <c r="H67" s="13"/>
      <c r="I67" s="1"/>
      <c r="M67" s="150" t="s">
        <v>97</v>
      </c>
    </row>
    <row r="68" spans="2:9" ht="11.25">
      <c r="B68" s="12" t="s">
        <v>21</v>
      </c>
      <c r="D68" s="13">
        <v>5247725</v>
      </c>
      <c r="F68" s="13">
        <f>F65/F66</f>
        <v>3484830</v>
      </c>
      <c r="H68" s="13">
        <f>H65/H66</f>
        <v>310971</v>
      </c>
      <c r="I68" s="1"/>
    </row>
    <row r="69" spans="2:9" ht="11.25">
      <c r="B69" s="131">
        <v>37894</v>
      </c>
      <c r="D69" s="3">
        <v>5247725</v>
      </c>
      <c r="F69" s="3">
        <f>F63+13666</f>
        <v>3416500</v>
      </c>
      <c r="H69" s="3">
        <f>H63-2411</f>
        <v>323026</v>
      </c>
      <c r="I69" s="1"/>
    </row>
    <row r="70" spans="2:9" ht="11.25">
      <c r="B70" s="131">
        <v>37925</v>
      </c>
      <c r="D70" s="3">
        <v>5247725</v>
      </c>
      <c r="F70" s="3">
        <f aca="true" t="shared" si="5" ref="F70:F79">F69+13666</f>
        <v>3430166</v>
      </c>
      <c r="H70" s="3">
        <f>H69-2411</f>
        <v>320615</v>
      </c>
      <c r="I70" s="1"/>
    </row>
    <row r="71" spans="2:9" ht="11.25">
      <c r="B71" s="131">
        <v>37955</v>
      </c>
      <c r="D71" s="3">
        <v>5247725</v>
      </c>
      <c r="F71" s="163">
        <f t="shared" si="5"/>
        <v>3443832</v>
      </c>
      <c r="G71" s="163"/>
      <c r="H71" s="163">
        <f aca="true" t="shared" si="6" ref="H71:H79">H70-2411</f>
        <v>318204</v>
      </c>
      <c r="I71" s="1"/>
    </row>
    <row r="72" spans="2:9" ht="11.25">
      <c r="B72" s="131">
        <v>37986</v>
      </c>
      <c r="D72" s="3">
        <v>5247725</v>
      </c>
      <c r="F72" s="3">
        <f t="shared" si="5"/>
        <v>3457498</v>
      </c>
      <c r="H72" s="3">
        <f t="shared" si="6"/>
        <v>315793</v>
      </c>
      <c r="I72" s="1"/>
    </row>
    <row r="73" spans="2:9" ht="11.25">
      <c r="B73" s="131">
        <v>38017</v>
      </c>
      <c r="D73" s="3">
        <v>5247725</v>
      </c>
      <c r="F73" s="3">
        <f t="shared" si="5"/>
        <v>3471164</v>
      </c>
      <c r="H73" s="3">
        <f t="shared" si="6"/>
        <v>313382</v>
      </c>
      <c r="I73" s="1"/>
    </row>
    <row r="74" spans="2:9" ht="11.25">
      <c r="B74" s="131">
        <v>38046</v>
      </c>
      <c r="D74" s="3">
        <v>5247725</v>
      </c>
      <c r="F74" s="3">
        <f t="shared" si="5"/>
        <v>3484830</v>
      </c>
      <c r="H74" s="3">
        <f t="shared" si="6"/>
        <v>310971</v>
      </c>
      <c r="I74" s="1"/>
    </row>
    <row r="75" spans="2:9" ht="11.25">
      <c r="B75" s="131">
        <v>38077</v>
      </c>
      <c r="D75" s="3">
        <v>5247725</v>
      </c>
      <c r="F75" s="3">
        <f t="shared" si="5"/>
        <v>3498496</v>
      </c>
      <c r="H75" s="3">
        <f t="shared" si="6"/>
        <v>308560</v>
      </c>
      <c r="I75" s="1"/>
    </row>
    <row r="76" spans="2:9" ht="11.25">
      <c r="B76" s="131">
        <v>38107</v>
      </c>
      <c r="D76" s="3">
        <v>5247725</v>
      </c>
      <c r="F76" s="3">
        <f t="shared" si="5"/>
        <v>3512162</v>
      </c>
      <c r="H76" s="3">
        <f t="shared" si="6"/>
        <v>306149</v>
      </c>
      <c r="I76" s="1"/>
    </row>
    <row r="77" spans="2:9" ht="11.25">
      <c r="B77" s="131">
        <v>38138</v>
      </c>
      <c r="D77" s="3">
        <v>5247725</v>
      </c>
      <c r="F77" s="3">
        <f t="shared" si="5"/>
        <v>3525828</v>
      </c>
      <c r="H77" s="3">
        <f t="shared" si="6"/>
        <v>303738</v>
      </c>
      <c r="I77" s="1"/>
    </row>
    <row r="78" spans="2:9" ht="11.25">
      <c r="B78" s="131">
        <v>38168</v>
      </c>
      <c r="D78" s="3">
        <v>5247725</v>
      </c>
      <c r="F78" s="3">
        <f t="shared" si="5"/>
        <v>3539494</v>
      </c>
      <c r="H78" s="3">
        <f t="shared" si="6"/>
        <v>301327</v>
      </c>
      <c r="I78" s="1"/>
    </row>
    <row r="79" spans="2:9" ht="11.25">
      <c r="B79" s="131">
        <v>38199</v>
      </c>
      <c r="D79" s="3">
        <v>5247725</v>
      </c>
      <c r="F79" s="3">
        <f t="shared" si="5"/>
        <v>3553160</v>
      </c>
      <c r="H79" s="3">
        <f t="shared" si="6"/>
        <v>298916</v>
      </c>
      <c r="I79" s="1"/>
    </row>
    <row r="80" spans="1:9" ht="11.25">
      <c r="A80" s="1" t="s">
        <v>19</v>
      </c>
      <c r="B80" s="12"/>
      <c r="C80" s="1"/>
      <c r="D80" s="15">
        <f>SUM(D68:D79)</f>
        <v>62972700</v>
      </c>
      <c r="E80" s="1"/>
      <c r="F80" s="15">
        <f>SUM(F68:F79)</f>
        <v>41817960</v>
      </c>
      <c r="G80" s="1"/>
      <c r="H80" s="15">
        <f>SUM(H68:H79)</f>
        <v>3731652</v>
      </c>
      <c r="I80" s="1"/>
    </row>
    <row r="81" spans="1:8" ht="11.25">
      <c r="A81" s="14" t="s">
        <v>22</v>
      </c>
      <c r="D81" s="16">
        <v>12</v>
      </c>
      <c r="F81" s="16">
        <v>12</v>
      </c>
      <c r="H81" s="16">
        <v>12</v>
      </c>
    </row>
    <row r="82" ht="11.25">
      <c r="A82" s="1"/>
    </row>
    <row r="83" spans="1:8" ht="11.25">
      <c r="A83" s="1" t="s">
        <v>23</v>
      </c>
      <c r="D83" s="13">
        <f>D80/D81</f>
        <v>5247725</v>
      </c>
      <c r="F83" s="13">
        <f>F80/F81</f>
        <v>3484830</v>
      </c>
      <c r="H83" s="13">
        <f>H80/H81</f>
        <v>310971</v>
      </c>
    </row>
    <row r="84" ht="11.25">
      <c r="A84" s="1"/>
    </row>
    <row r="85" spans="1:6" ht="11.25">
      <c r="A85" s="1" t="s">
        <v>24</v>
      </c>
      <c r="F85" s="164">
        <f>F83+H83</f>
        <v>3795801</v>
      </c>
    </row>
  </sheetData>
  <mergeCells count="4">
    <mergeCell ref="A54:J54"/>
    <mergeCell ref="A55:J55"/>
    <mergeCell ref="A56:J56"/>
    <mergeCell ref="A57:J57"/>
  </mergeCells>
  <printOptions horizontalCentered="1"/>
  <pageMargins left="0.5" right="0.5" top="0.76" bottom="0.76" header="0.5" footer="0.5"/>
  <pageSetup horizontalDpi="300" verticalDpi="300" orientation="portrait" r:id="rId1"/>
  <headerFooter alignWithMargins="0">
    <oddFooter>&amp;L&amp;"Abadi MT Condensed Light,Regular"&amp;9file:  &amp;F &amp;A&amp;R&amp;"Abadi MT Condensed Light,Regular"&amp;9jmp  &amp;D</oddFooter>
  </headerFooter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L7" sqref="L7"/>
    </sheetView>
  </sheetViews>
  <sheetFormatPr defaultColWidth="9.00390625" defaultRowHeight="12.75"/>
  <cols>
    <col min="1" max="1" width="10.625" style="33" customWidth="1"/>
    <col min="2" max="2" width="13.50390625" style="34" customWidth="1"/>
    <col min="3" max="5" width="11.50390625" style="34" customWidth="1"/>
    <col min="6" max="6" width="15.375" style="34" customWidth="1"/>
    <col min="7" max="7" width="12.50390625" style="34" customWidth="1"/>
    <col min="8" max="8" width="2.50390625" style="34" customWidth="1"/>
    <col min="9" max="9" width="0" style="34" hidden="1" customWidth="1"/>
    <col min="10" max="10" width="13.00390625" style="34" customWidth="1"/>
    <col min="11" max="11" width="11.50390625" style="34" customWidth="1"/>
    <col min="12" max="12" width="13.125" style="34" customWidth="1"/>
    <col min="13" max="13" width="15.00390625" style="34" customWidth="1"/>
    <col min="14" max="14" width="13.625" style="34" customWidth="1"/>
    <col min="15" max="16384" width="11.50390625" style="34" customWidth="1"/>
  </cols>
  <sheetData>
    <row r="1" spans="4:14" ht="12">
      <c r="D1" s="33" t="s">
        <v>86</v>
      </c>
      <c r="E1" s="33"/>
      <c r="L1" s="33" t="s">
        <v>86</v>
      </c>
      <c r="N1" s="87"/>
    </row>
    <row r="2" spans="4:14" ht="12">
      <c r="D2" s="33"/>
      <c r="E2" s="33"/>
      <c r="G2" s="88"/>
      <c r="L2" s="33"/>
      <c r="N2" s="89"/>
    </row>
    <row r="3" spans="4:12" ht="12">
      <c r="D3" s="33" t="s">
        <v>26</v>
      </c>
      <c r="E3" s="33"/>
      <c r="L3" s="33" t="s">
        <v>26</v>
      </c>
    </row>
    <row r="4" spans="4:12" ht="12">
      <c r="D4" s="33" t="s">
        <v>63</v>
      </c>
      <c r="E4" s="33"/>
      <c r="L4" s="33" t="s">
        <v>64</v>
      </c>
    </row>
    <row r="5" spans="4:12" ht="12">
      <c r="D5" s="33" t="s">
        <v>65</v>
      </c>
      <c r="E5" s="33"/>
      <c r="L5" s="33" t="s">
        <v>63</v>
      </c>
    </row>
    <row r="6" spans="4:12" ht="12">
      <c r="D6" s="33" t="s">
        <v>27</v>
      </c>
      <c r="E6" s="33"/>
      <c r="L6" s="115" t="s">
        <v>103</v>
      </c>
    </row>
    <row r="7" spans="3:12" ht="12">
      <c r="C7" s="35"/>
      <c r="E7" s="33"/>
      <c r="F7" s="33"/>
      <c r="L7" s="33"/>
    </row>
    <row r="8" spans="1:12" ht="12">
      <c r="A8" s="36" t="s">
        <v>66</v>
      </c>
      <c r="B8" s="37"/>
      <c r="C8" s="38">
        <v>86790051</v>
      </c>
      <c r="E8" s="36"/>
      <c r="F8" s="45" t="s">
        <v>67</v>
      </c>
      <c r="G8" s="46"/>
      <c r="L8" s="33"/>
    </row>
    <row r="9" spans="1:14" ht="12">
      <c r="A9" s="91" t="s">
        <v>68</v>
      </c>
      <c r="C9" s="92">
        <v>0.1</v>
      </c>
      <c r="E9" s="47"/>
      <c r="F9" s="48" t="s">
        <v>27</v>
      </c>
      <c r="G9" s="49"/>
      <c r="N9" s="93"/>
    </row>
    <row r="10" spans="1:7" ht="12">
      <c r="A10" s="91" t="s">
        <v>69</v>
      </c>
      <c r="C10" s="94">
        <f>C8*C9</f>
        <v>8679005</v>
      </c>
      <c r="E10" s="47">
        <v>1983</v>
      </c>
      <c r="F10" s="50" t="str">
        <f>"1/25*1/12="</f>
        <v>1/25*1/12=</v>
      </c>
      <c r="G10" s="51">
        <f>1/25*1/12</f>
        <v>0.003333</v>
      </c>
    </row>
    <row r="11" spans="1:14" ht="12">
      <c r="A11" s="91" t="s">
        <v>70</v>
      </c>
      <c r="C11" s="95">
        <v>0.34675</v>
      </c>
      <c r="E11" s="47">
        <v>1984</v>
      </c>
      <c r="F11" s="50" t="str">
        <f>"1/25*179/365="</f>
        <v>1/25*179/365=</v>
      </c>
      <c r="G11" s="51">
        <f>1/25*179/365</f>
        <v>0.019616</v>
      </c>
      <c r="J11" s="96" t="s">
        <v>71</v>
      </c>
      <c r="K11" s="37"/>
      <c r="L11" s="37"/>
      <c r="M11" s="97">
        <f>C12</f>
        <v>3009445</v>
      </c>
      <c r="N11" s="46"/>
    </row>
    <row r="12" spans="1:14" ht="12">
      <c r="A12" s="39" t="s">
        <v>71</v>
      </c>
      <c r="B12" s="40"/>
      <c r="C12" s="98">
        <f>C10*C11</f>
        <v>3009445</v>
      </c>
      <c r="E12" s="47" t="s">
        <v>72</v>
      </c>
      <c r="F12" s="50" t="str">
        <f>"1/35="</f>
        <v>1/35=</v>
      </c>
      <c r="G12" s="49">
        <f>1/35</f>
        <v>0.028571</v>
      </c>
      <c r="J12" s="99" t="s">
        <v>73</v>
      </c>
      <c r="K12" s="40"/>
      <c r="L12" s="40"/>
      <c r="M12" s="54" t="str">
        <f>"$85,983/12="</f>
        <v>$85,983/12=</v>
      </c>
      <c r="N12" s="100">
        <f>85983/12</f>
        <v>7165.25</v>
      </c>
    </row>
    <row r="13" spans="1:7" ht="12">
      <c r="A13" s="34"/>
      <c r="C13" s="35"/>
      <c r="E13" s="53">
        <v>2019</v>
      </c>
      <c r="F13" s="101"/>
      <c r="G13" s="102" t="s">
        <v>9</v>
      </c>
    </row>
    <row r="14" spans="1:3" ht="12">
      <c r="A14" s="34"/>
      <c r="C14" s="35"/>
    </row>
    <row r="15" spans="1:14" ht="12">
      <c r="A15" s="34"/>
      <c r="B15" s="33"/>
      <c r="C15" s="33" t="s">
        <v>11</v>
      </c>
      <c r="D15" s="33" t="s">
        <v>11</v>
      </c>
      <c r="E15" s="33" t="s">
        <v>8</v>
      </c>
      <c r="F15" s="33" t="s">
        <v>74</v>
      </c>
      <c r="H15" s="33"/>
      <c r="N15" s="33" t="s">
        <v>75</v>
      </c>
    </row>
    <row r="16" spans="1:14" ht="12">
      <c r="A16" s="34"/>
      <c r="B16" s="33" t="s">
        <v>42</v>
      </c>
      <c r="C16" s="33" t="s">
        <v>43</v>
      </c>
      <c r="D16" s="33" t="s">
        <v>44</v>
      </c>
      <c r="E16" s="33" t="s">
        <v>11</v>
      </c>
      <c r="F16" s="33" t="s">
        <v>76</v>
      </c>
      <c r="H16" s="33"/>
      <c r="J16" s="33"/>
      <c r="K16" s="33" t="s">
        <v>11</v>
      </c>
      <c r="L16" s="33" t="s">
        <v>8</v>
      </c>
      <c r="M16" s="33" t="s">
        <v>74</v>
      </c>
      <c r="N16" s="33" t="s">
        <v>77</v>
      </c>
    </row>
    <row r="17" spans="1:14" ht="12">
      <c r="A17" s="34"/>
      <c r="B17" s="33" t="s">
        <v>46</v>
      </c>
      <c r="C17" s="33" t="s">
        <v>47</v>
      </c>
      <c r="D17" s="33" t="s">
        <v>47</v>
      </c>
      <c r="E17" s="33" t="s">
        <v>47</v>
      </c>
      <c r="F17" s="33" t="s">
        <v>78</v>
      </c>
      <c r="H17" s="33"/>
      <c r="J17" s="68" t="s">
        <v>79</v>
      </c>
      <c r="K17" s="68" t="s">
        <v>44</v>
      </c>
      <c r="L17" s="68" t="s">
        <v>11</v>
      </c>
      <c r="M17" s="68" t="s">
        <v>76</v>
      </c>
      <c r="N17" s="68" t="s">
        <v>21</v>
      </c>
    </row>
    <row r="18" spans="1:15" ht="12">
      <c r="A18" s="34"/>
      <c r="B18" s="33">
        <v>1983</v>
      </c>
      <c r="C18" s="58">
        <f>G10</f>
        <v>0.003333</v>
      </c>
      <c r="D18" s="35">
        <f aca="true" t="shared" si="0" ref="D18:D53">C$12*C18</f>
        <v>10030</v>
      </c>
      <c r="E18" s="35">
        <f>D18</f>
        <v>10030</v>
      </c>
      <c r="F18" s="35">
        <f aca="true" t="shared" si="1" ref="F18:F54">C$12-E18</f>
        <v>2999415</v>
      </c>
      <c r="H18" s="35"/>
      <c r="J18" s="33"/>
      <c r="K18" s="33"/>
      <c r="L18" s="33"/>
      <c r="M18" s="33"/>
      <c r="N18" s="33"/>
      <c r="O18" s="103"/>
    </row>
    <row r="19" spans="1:15" ht="12">
      <c r="A19" s="34"/>
      <c r="B19" s="33">
        <f aca="true" t="shared" si="2" ref="B19:B54">B18+1</f>
        <v>1984</v>
      </c>
      <c r="C19" s="58">
        <f>G11</f>
        <v>0.019616</v>
      </c>
      <c r="D19" s="43">
        <f t="shared" si="0"/>
        <v>59033</v>
      </c>
      <c r="E19" s="43">
        <f aca="true" t="shared" si="3" ref="E19:E54">E18+D19</f>
        <v>69063</v>
      </c>
      <c r="F19" s="43">
        <f t="shared" si="1"/>
        <v>2940382</v>
      </c>
      <c r="H19" s="43"/>
      <c r="J19" s="133">
        <v>37893</v>
      </c>
      <c r="K19" s="93"/>
      <c r="L19" s="116">
        <f>ROUND(E42-7165.25-7165.25-7165.25,0)</f>
        <v>2025176</v>
      </c>
      <c r="M19" s="105">
        <f aca="true" t="shared" si="4" ref="M19:M31">$M$11-L19</f>
        <v>984269</v>
      </c>
      <c r="O19" s="103"/>
    </row>
    <row r="20" spans="1:15" ht="12">
      <c r="A20" s="34"/>
      <c r="B20" s="33">
        <f t="shared" si="2"/>
        <v>1985</v>
      </c>
      <c r="C20" s="58">
        <f aca="true" t="shared" si="5" ref="C20:C53">G$12</f>
        <v>0.028571</v>
      </c>
      <c r="D20" s="43">
        <f t="shared" si="0"/>
        <v>85983</v>
      </c>
      <c r="E20" s="43">
        <f t="shared" si="3"/>
        <v>155046</v>
      </c>
      <c r="F20" s="43">
        <f t="shared" si="1"/>
        <v>2854399</v>
      </c>
      <c r="H20" s="43"/>
      <c r="J20" s="133">
        <v>37924</v>
      </c>
      <c r="K20" s="93">
        <f aca="true" t="shared" si="6" ref="K20:K31">N$12</f>
        <v>7165.25</v>
      </c>
      <c r="L20" s="93">
        <f>L19+K20</f>
        <v>2032341.25</v>
      </c>
      <c r="M20" s="93">
        <f t="shared" si="4"/>
        <v>977103.75</v>
      </c>
      <c r="N20" s="93">
        <f>(L19+L20)/2</f>
        <v>2028758.63</v>
      </c>
      <c r="O20" s="103"/>
    </row>
    <row r="21" spans="1:15" ht="12">
      <c r="A21" s="34"/>
      <c r="B21" s="33">
        <f t="shared" si="2"/>
        <v>1986</v>
      </c>
      <c r="C21" s="58">
        <f t="shared" si="5"/>
        <v>0.028571</v>
      </c>
      <c r="D21" s="43">
        <f t="shared" si="0"/>
        <v>85983</v>
      </c>
      <c r="E21" s="43">
        <f t="shared" si="3"/>
        <v>241029</v>
      </c>
      <c r="F21" s="43">
        <f t="shared" si="1"/>
        <v>2768416</v>
      </c>
      <c r="H21" s="43"/>
      <c r="J21" s="133">
        <v>37954</v>
      </c>
      <c r="K21" s="93">
        <f t="shared" si="6"/>
        <v>7165.25</v>
      </c>
      <c r="L21" s="93">
        <f aca="true" t="shared" si="7" ref="L21:L31">L20+K21</f>
        <v>2039506.5</v>
      </c>
      <c r="M21" s="93">
        <f t="shared" si="4"/>
        <v>969938.5</v>
      </c>
      <c r="N21" s="93">
        <f aca="true" t="shared" si="8" ref="N21:N31">(L20+L21)/2</f>
        <v>2035923.88</v>
      </c>
      <c r="O21" s="103"/>
    </row>
    <row r="22" spans="1:15" ht="12">
      <c r="A22" s="34"/>
      <c r="B22" s="33">
        <f t="shared" si="2"/>
        <v>1987</v>
      </c>
      <c r="C22" s="58">
        <f t="shared" si="5"/>
        <v>0.028571</v>
      </c>
      <c r="D22" s="43">
        <f t="shared" si="0"/>
        <v>85983</v>
      </c>
      <c r="E22" s="43">
        <f t="shared" si="3"/>
        <v>327012</v>
      </c>
      <c r="F22" s="43">
        <f t="shared" si="1"/>
        <v>2682433</v>
      </c>
      <c r="H22" s="43"/>
      <c r="J22" s="133">
        <v>37985</v>
      </c>
      <c r="K22" s="93">
        <f t="shared" si="6"/>
        <v>7165.25</v>
      </c>
      <c r="L22" s="159">
        <f t="shared" si="7"/>
        <v>2046671.75</v>
      </c>
      <c r="M22" s="93">
        <f t="shared" si="4"/>
        <v>962773.25</v>
      </c>
      <c r="N22" s="93">
        <f t="shared" si="8"/>
        <v>2043089.13</v>
      </c>
      <c r="O22" s="103"/>
    </row>
    <row r="23" spans="1:15" ht="12">
      <c r="A23" s="34"/>
      <c r="B23" s="33">
        <f t="shared" si="2"/>
        <v>1988</v>
      </c>
      <c r="C23" s="58">
        <f t="shared" si="5"/>
        <v>0.028571</v>
      </c>
      <c r="D23" s="43">
        <f t="shared" si="0"/>
        <v>85983</v>
      </c>
      <c r="E23" s="43">
        <f t="shared" si="3"/>
        <v>412995</v>
      </c>
      <c r="F23" s="43">
        <f t="shared" si="1"/>
        <v>2596450</v>
      </c>
      <c r="H23" s="43"/>
      <c r="J23" s="133">
        <v>38016</v>
      </c>
      <c r="K23" s="93">
        <f t="shared" si="6"/>
        <v>7165.25</v>
      </c>
      <c r="L23" s="93">
        <f t="shared" si="7"/>
        <v>2053837</v>
      </c>
      <c r="M23" s="93">
        <f t="shared" si="4"/>
        <v>955608</v>
      </c>
      <c r="N23" s="93">
        <f t="shared" si="8"/>
        <v>2050254.38</v>
      </c>
      <c r="O23" s="103"/>
    </row>
    <row r="24" spans="1:15" ht="12">
      <c r="A24" s="34"/>
      <c r="B24" s="33">
        <f t="shared" si="2"/>
        <v>1989</v>
      </c>
      <c r="C24" s="58">
        <f t="shared" si="5"/>
        <v>0.028571</v>
      </c>
      <c r="D24" s="43">
        <f t="shared" si="0"/>
        <v>85983</v>
      </c>
      <c r="E24" s="43">
        <f t="shared" si="3"/>
        <v>498978</v>
      </c>
      <c r="F24" s="43">
        <f t="shared" si="1"/>
        <v>2510467</v>
      </c>
      <c r="H24" s="43"/>
      <c r="J24" s="133">
        <v>38045</v>
      </c>
      <c r="K24" s="93">
        <f t="shared" si="6"/>
        <v>7165.25</v>
      </c>
      <c r="L24" s="93">
        <f t="shared" si="7"/>
        <v>2061002.25</v>
      </c>
      <c r="M24" s="93">
        <f t="shared" si="4"/>
        <v>948442.75</v>
      </c>
      <c r="N24" s="93">
        <f t="shared" si="8"/>
        <v>2057419.63</v>
      </c>
      <c r="O24" s="103"/>
    </row>
    <row r="25" spans="1:15" ht="12">
      <c r="A25" s="34"/>
      <c r="B25" s="33">
        <f t="shared" si="2"/>
        <v>1990</v>
      </c>
      <c r="C25" s="58">
        <f t="shared" si="5"/>
        <v>0.028571</v>
      </c>
      <c r="D25" s="43">
        <f t="shared" si="0"/>
        <v>85983</v>
      </c>
      <c r="E25" s="43">
        <f t="shared" si="3"/>
        <v>584961</v>
      </c>
      <c r="F25" s="43">
        <f t="shared" si="1"/>
        <v>2424484</v>
      </c>
      <c r="H25" s="43"/>
      <c r="J25" s="133">
        <v>38076</v>
      </c>
      <c r="K25" s="93">
        <f t="shared" si="6"/>
        <v>7165.25</v>
      </c>
      <c r="L25" s="93">
        <f t="shared" si="7"/>
        <v>2068167.5</v>
      </c>
      <c r="M25" s="93">
        <f t="shared" si="4"/>
        <v>941277.5</v>
      </c>
      <c r="N25" s="93">
        <f t="shared" si="8"/>
        <v>2064584.88</v>
      </c>
      <c r="O25" s="103"/>
    </row>
    <row r="26" spans="1:15" ht="12">
      <c r="A26" s="34"/>
      <c r="B26" s="33">
        <f t="shared" si="2"/>
        <v>1991</v>
      </c>
      <c r="C26" s="58">
        <f t="shared" si="5"/>
        <v>0.028571</v>
      </c>
      <c r="D26" s="43">
        <f t="shared" si="0"/>
        <v>85983</v>
      </c>
      <c r="E26" s="43">
        <f t="shared" si="3"/>
        <v>670944</v>
      </c>
      <c r="F26" s="43">
        <f t="shared" si="1"/>
        <v>2338501</v>
      </c>
      <c r="H26" s="43"/>
      <c r="J26" s="133">
        <v>38106</v>
      </c>
      <c r="K26" s="93">
        <f t="shared" si="6"/>
        <v>7165.25</v>
      </c>
      <c r="L26" s="93">
        <f t="shared" si="7"/>
        <v>2075332.75</v>
      </c>
      <c r="M26" s="93">
        <f t="shared" si="4"/>
        <v>934112.25</v>
      </c>
      <c r="N26" s="93">
        <f t="shared" si="8"/>
        <v>2071750.13</v>
      </c>
      <c r="O26" s="93"/>
    </row>
    <row r="27" spans="1:15" ht="12">
      <c r="A27" s="34"/>
      <c r="B27" s="33">
        <f t="shared" si="2"/>
        <v>1992</v>
      </c>
      <c r="C27" s="58">
        <f t="shared" si="5"/>
        <v>0.028571</v>
      </c>
      <c r="D27" s="43">
        <f t="shared" si="0"/>
        <v>85983</v>
      </c>
      <c r="E27" s="43">
        <f t="shared" si="3"/>
        <v>756927</v>
      </c>
      <c r="F27" s="43">
        <f t="shared" si="1"/>
        <v>2252518</v>
      </c>
      <c r="H27" s="43"/>
      <c r="J27" s="133">
        <v>38137</v>
      </c>
      <c r="K27" s="93">
        <f t="shared" si="6"/>
        <v>7165.25</v>
      </c>
      <c r="L27" s="93">
        <f t="shared" si="7"/>
        <v>2082498</v>
      </c>
      <c r="M27" s="93">
        <f t="shared" si="4"/>
        <v>926947</v>
      </c>
      <c r="N27" s="93">
        <f t="shared" si="8"/>
        <v>2078915.38</v>
      </c>
      <c r="O27" s="93"/>
    </row>
    <row r="28" spans="1:15" ht="12">
      <c r="A28" s="34"/>
      <c r="B28" s="33">
        <f t="shared" si="2"/>
        <v>1993</v>
      </c>
      <c r="C28" s="58">
        <f t="shared" si="5"/>
        <v>0.028571</v>
      </c>
      <c r="D28" s="43">
        <f t="shared" si="0"/>
        <v>85983</v>
      </c>
      <c r="E28" s="43">
        <f t="shared" si="3"/>
        <v>842910</v>
      </c>
      <c r="F28" s="43">
        <f t="shared" si="1"/>
        <v>2166535</v>
      </c>
      <c r="H28" s="43"/>
      <c r="J28" s="133">
        <v>38167</v>
      </c>
      <c r="K28" s="93">
        <f t="shared" si="6"/>
        <v>7165.25</v>
      </c>
      <c r="L28" s="93">
        <f t="shared" si="7"/>
        <v>2089663.25</v>
      </c>
      <c r="M28" s="93">
        <f t="shared" si="4"/>
        <v>919781.75</v>
      </c>
      <c r="N28" s="93">
        <f t="shared" si="8"/>
        <v>2086080.63</v>
      </c>
      <c r="O28" s="93"/>
    </row>
    <row r="29" spans="1:15" ht="12">
      <c r="A29" s="34"/>
      <c r="B29" s="33">
        <f t="shared" si="2"/>
        <v>1994</v>
      </c>
      <c r="C29" s="58">
        <f t="shared" si="5"/>
        <v>0.028571</v>
      </c>
      <c r="D29" s="43">
        <f t="shared" si="0"/>
        <v>85983</v>
      </c>
      <c r="E29" s="43">
        <f t="shared" si="3"/>
        <v>928893</v>
      </c>
      <c r="F29" s="43">
        <f t="shared" si="1"/>
        <v>2080552</v>
      </c>
      <c r="H29" s="43"/>
      <c r="J29" s="133">
        <v>38198</v>
      </c>
      <c r="K29" s="93">
        <f t="shared" si="6"/>
        <v>7165.25</v>
      </c>
      <c r="L29" s="93">
        <f t="shared" si="7"/>
        <v>2096828.5</v>
      </c>
      <c r="M29" s="93">
        <f t="shared" si="4"/>
        <v>912616.5</v>
      </c>
      <c r="N29" s="93">
        <f t="shared" si="8"/>
        <v>2093245.88</v>
      </c>
      <c r="O29" s="93"/>
    </row>
    <row r="30" spans="1:15" ht="12">
      <c r="A30" s="34"/>
      <c r="B30" s="33">
        <f t="shared" si="2"/>
        <v>1995</v>
      </c>
      <c r="C30" s="58">
        <f t="shared" si="5"/>
        <v>0.028571</v>
      </c>
      <c r="D30" s="43">
        <f t="shared" si="0"/>
        <v>85983</v>
      </c>
      <c r="E30" s="43">
        <f t="shared" si="3"/>
        <v>1014876</v>
      </c>
      <c r="F30" s="43">
        <f t="shared" si="1"/>
        <v>1994569</v>
      </c>
      <c r="H30" s="43"/>
      <c r="J30" s="133">
        <v>38229</v>
      </c>
      <c r="K30" s="93">
        <f t="shared" si="6"/>
        <v>7165.25</v>
      </c>
      <c r="L30" s="93">
        <f t="shared" si="7"/>
        <v>2103993.75</v>
      </c>
      <c r="M30" s="93">
        <f t="shared" si="4"/>
        <v>905451.25</v>
      </c>
      <c r="N30" s="93">
        <f t="shared" si="8"/>
        <v>2100411.13</v>
      </c>
      <c r="O30" s="93"/>
    </row>
    <row r="31" spans="1:15" ht="12">
      <c r="A31" s="34"/>
      <c r="B31" s="33">
        <f t="shared" si="2"/>
        <v>1996</v>
      </c>
      <c r="C31" s="58">
        <f t="shared" si="5"/>
        <v>0.028571</v>
      </c>
      <c r="D31" s="43">
        <f t="shared" si="0"/>
        <v>85983</v>
      </c>
      <c r="E31" s="43">
        <f t="shared" si="3"/>
        <v>1100859</v>
      </c>
      <c r="F31" s="43">
        <f t="shared" si="1"/>
        <v>1908586</v>
      </c>
      <c r="H31" s="43"/>
      <c r="J31" s="133">
        <v>38259</v>
      </c>
      <c r="K31" s="93">
        <f t="shared" si="6"/>
        <v>7165.25</v>
      </c>
      <c r="L31" s="93">
        <f t="shared" si="7"/>
        <v>2111159</v>
      </c>
      <c r="M31" s="93">
        <f t="shared" si="4"/>
        <v>898286</v>
      </c>
      <c r="N31" s="93">
        <f t="shared" si="8"/>
        <v>2107576.38</v>
      </c>
      <c r="O31" s="93"/>
    </row>
    <row r="32" spans="1:15" ht="12">
      <c r="A32" s="34"/>
      <c r="B32" s="33">
        <f t="shared" si="2"/>
        <v>1997</v>
      </c>
      <c r="C32" s="58">
        <f t="shared" si="5"/>
        <v>0.028571</v>
      </c>
      <c r="D32" s="43">
        <f t="shared" si="0"/>
        <v>85983</v>
      </c>
      <c r="E32" s="43">
        <f t="shared" si="3"/>
        <v>1186842</v>
      </c>
      <c r="F32" s="43">
        <f t="shared" si="1"/>
        <v>1822603</v>
      </c>
      <c r="H32" s="43"/>
      <c r="J32" s="104"/>
      <c r="K32" s="93"/>
      <c r="L32" s="93"/>
      <c r="M32" s="93"/>
      <c r="N32" s="93"/>
      <c r="O32" s="93"/>
    </row>
    <row r="33" spans="1:15" ht="12">
      <c r="A33" s="34"/>
      <c r="B33" s="33">
        <f t="shared" si="2"/>
        <v>1998</v>
      </c>
      <c r="C33" s="58">
        <f t="shared" si="5"/>
        <v>0.028571</v>
      </c>
      <c r="D33" s="43">
        <f t="shared" si="0"/>
        <v>85983</v>
      </c>
      <c r="E33" s="43">
        <f t="shared" si="3"/>
        <v>1272825</v>
      </c>
      <c r="F33" s="43">
        <f t="shared" si="1"/>
        <v>1736620</v>
      </c>
      <c r="H33" s="43"/>
      <c r="J33" s="104"/>
      <c r="K33" s="93"/>
      <c r="L33" s="93"/>
      <c r="M33" s="93"/>
      <c r="N33" s="93"/>
      <c r="O33" s="93"/>
    </row>
    <row r="34" spans="1:15" ht="12">
      <c r="A34" s="34"/>
      <c r="B34" s="33">
        <f t="shared" si="2"/>
        <v>1999</v>
      </c>
      <c r="C34" s="58">
        <f t="shared" si="5"/>
        <v>0.028571</v>
      </c>
      <c r="D34" s="43">
        <f t="shared" si="0"/>
        <v>85983</v>
      </c>
      <c r="E34" s="43">
        <f t="shared" si="3"/>
        <v>1358808</v>
      </c>
      <c r="F34" s="43">
        <f t="shared" si="1"/>
        <v>1650637</v>
      </c>
      <c r="H34" s="43"/>
      <c r="J34" s="104"/>
      <c r="K34" s="93"/>
      <c r="L34" s="93"/>
      <c r="M34" s="93"/>
      <c r="N34" s="93"/>
      <c r="O34" s="93"/>
    </row>
    <row r="35" spans="1:15" ht="12">
      <c r="A35" s="34"/>
      <c r="B35" s="33">
        <f t="shared" si="2"/>
        <v>2000</v>
      </c>
      <c r="C35" s="58">
        <f t="shared" si="5"/>
        <v>0.028571</v>
      </c>
      <c r="D35" s="43">
        <f t="shared" si="0"/>
        <v>85983</v>
      </c>
      <c r="E35" s="43">
        <f t="shared" si="3"/>
        <v>1444791</v>
      </c>
      <c r="F35" s="43">
        <f t="shared" si="1"/>
        <v>1564654</v>
      </c>
      <c r="H35" s="43"/>
      <c r="J35" s="104"/>
      <c r="K35" s="93"/>
      <c r="L35" s="93"/>
      <c r="M35" s="93"/>
      <c r="N35" s="93"/>
      <c r="O35" s="93"/>
    </row>
    <row r="36" spans="1:15" ht="12">
      <c r="A36" s="34"/>
      <c r="B36" s="33">
        <f t="shared" si="2"/>
        <v>2001</v>
      </c>
      <c r="C36" s="58">
        <f t="shared" si="5"/>
        <v>0.028571</v>
      </c>
      <c r="D36" s="43">
        <f t="shared" si="0"/>
        <v>85983</v>
      </c>
      <c r="E36" s="43">
        <f t="shared" si="3"/>
        <v>1530774</v>
      </c>
      <c r="F36" s="43">
        <f t="shared" si="1"/>
        <v>1478671</v>
      </c>
      <c r="H36" s="43"/>
      <c r="J36" s="104"/>
      <c r="K36" s="93"/>
      <c r="L36" s="93"/>
      <c r="M36" s="93"/>
      <c r="N36" s="93"/>
      <c r="O36" s="93"/>
    </row>
    <row r="37" spans="1:15" ht="12">
      <c r="A37" s="34"/>
      <c r="B37" s="33">
        <f t="shared" si="2"/>
        <v>2002</v>
      </c>
      <c r="C37" s="58">
        <f t="shared" si="5"/>
        <v>0.028571</v>
      </c>
      <c r="D37" s="43">
        <f t="shared" si="0"/>
        <v>85983</v>
      </c>
      <c r="E37" s="43">
        <f t="shared" si="3"/>
        <v>1616757</v>
      </c>
      <c r="F37" s="43">
        <f t="shared" si="1"/>
        <v>1392688</v>
      </c>
      <c r="H37" s="43"/>
      <c r="J37" s="104"/>
      <c r="K37" s="93"/>
      <c r="L37" s="93"/>
      <c r="M37" s="93"/>
      <c r="N37" s="93"/>
      <c r="O37" s="93"/>
    </row>
    <row r="38" spans="1:14" ht="12">
      <c r="A38" s="34"/>
      <c r="B38" s="33">
        <f t="shared" si="2"/>
        <v>2003</v>
      </c>
      <c r="C38" s="58">
        <f t="shared" si="5"/>
        <v>0.028571</v>
      </c>
      <c r="D38" s="43">
        <f t="shared" si="0"/>
        <v>85983</v>
      </c>
      <c r="E38" s="43">
        <f t="shared" si="3"/>
        <v>1702740</v>
      </c>
      <c r="F38" s="43">
        <f t="shared" si="1"/>
        <v>1306705</v>
      </c>
      <c r="H38" s="43"/>
      <c r="J38" s="106"/>
      <c r="K38" s="93"/>
      <c r="M38" s="93"/>
      <c r="N38" s="107">
        <f>SUM(N20:N37)</f>
        <v>24818010.06</v>
      </c>
    </row>
    <row r="39" spans="1:14" ht="12">
      <c r="A39" s="34"/>
      <c r="B39" s="33">
        <f t="shared" si="2"/>
        <v>2004</v>
      </c>
      <c r="C39" s="58">
        <f t="shared" si="5"/>
        <v>0.028571</v>
      </c>
      <c r="D39" s="43">
        <f t="shared" si="0"/>
        <v>85983</v>
      </c>
      <c r="E39" s="43">
        <f t="shared" si="3"/>
        <v>1788723</v>
      </c>
      <c r="F39" s="43">
        <f t="shared" si="1"/>
        <v>1220722</v>
      </c>
      <c r="H39" s="43"/>
      <c r="J39" s="106"/>
      <c r="K39" s="93"/>
      <c r="L39" s="93"/>
      <c r="M39" s="93"/>
      <c r="N39" s="108">
        <v>12</v>
      </c>
    </row>
    <row r="40" spans="1:13" ht="12">
      <c r="A40" s="34"/>
      <c r="B40" s="33">
        <f t="shared" si="2"/>
        <v>2005</v>
      </c>
      <c r="C40" s="58">
        <f t="shared" si="5"/>
        <v>0.028571</v>
      </c>
      <c r="D40" s="43">
        <f t="shared" si="0"/>
        <v>85983</v>
      </c>
      <c r="E40" s="43">
        <f t="shared" si="3"/>
        <v>1874706</v>
      </c>
      <c r="F40" s="43">
        <f t="shared" si="1"/>
        <v>1134739</v>
      </c>
      <c r="H40" s="43"/>
      <c r="J40" s="106"/>
      <c r="K40" s="93"/>
      <c r="L40" s="93"/>
      <c r="M40" s="93"/>
    </row>
    <row r="41" spans="1:14" ht="12">
      <c r="A41" s="34"/>
      <c r="B41" s="33">
        <f t="shared" si="2"/>
        <v>2006</v>
      </c>
      <c r="C41" s="58">
        <f t="shared" si="5"/>
        <v>0.028571</v>
      </c>
      <c r="D41" s="43">
        <f t="shared" si="0"/>
        <v>85983</v>
      </c>
      <c r="E41" s="43">
        <f t="shared" si="3"/>
        <v>1960689</v>
      </c>
      <c r="F41" s="43">
        <f t="shared" si="1"/>
        <v>1048756</v>
      </c>
      <c r="H41" s="43"/>
      <c r="J41" s="106"/>
      <c r="K41" s="93"/>
      <c r="L41" s="34" t="s">
        <v>80</v>
      </c>
      <c r="M41" s="93"/>
      <c r="N41" s="105">
        <f>N38/12</f>
        <v>2068167.51</v>
      </c>
    </row>
    <row r="42" spans="1:14" ht="12">
      <c r="A42" s="34"/>
      <c r="B42" s="33">
        <f t="shared" si="2"/>
        <v>2007</v>
      </c>
      <c r="C42" s="58">
        <f t="shared" si="5"/>
        <v>0.028571</v>
      </c>
      <c r="D42" s="43">
        <f t="shared" si="0"/>
        <v>85983</v>
      </c>
      <c r="E42" s="158">
        <f t="shared" si="3"/>
        <v>2046672</v>
      </c>
      <c r="F42" s="43">
        <f t="shared" si="1"/>
        <v>962773</v>
      </c>
      <c r="H42" s="43"/>
      <c r="J42" s="106"/>
      <c r="K42" s="93"/>
      <c r="L42" s="93"/>
      <c r="M42" s="93"/>
      <c r="N42" s="93"/>
    </row>
    <row r="43" spans="1:14" ht="12">
      <c r="A43" s="34"/>
      <c r="B43" s="33">
        <f t="shared" si="2"/>
        <v>2008</v>
      </c>
      <c r="C43" s="58">
        <f t="shared" si="5"/>
        <v>0.028571</v>
      </c>
      <c r="D43" s="43">
        <f t="shared" si="0"/>
        <v>85983</v>
      </c>
      <c r="E43" s="43">
        <f t="shared" si="3"/>
        <v>2132655</v>
      </c>
      <c r="F43" s="43">
        <f t="shared" si="1"/>
        <v>876790</v>
      </c>
      <c r="H43" s="43"/>
      <c r="J43" s="106"/>
      <c r="K43" s="93"/>
      <c r="L43" s="93"/>
      <c r="M43" s="93"/>
      <c r="N43" s="103"/>
    </row>
    <row r="44" spans="1:14" ht="12">
      <c r="A44" s="34"/>
      <c r="B44" s="33">
        <f t="shared" si="2"/>
        <v>2009</v>
      </c>
      <c r="C44" s="58">
        <f t="shared" si="5"/>
        <v>0.028571</v>
      </c>
      <c r="D44" s="43">
        <f t="shared" si="0"/>
        <v>85983</v>
      </c>
      <c r="E44" s="43">
        <f t="shared" si="3"/>
        <v>2218638</v>
      </c>
      <c r="F44" s="43">
        <f t="shared" si="1"/>
        <v>790807</v>
      </c>
      <c r="H44" s="43"/>
      <c r="N44" s="109"/>
    </row>
    <row r="45" spans="1:14" ht="12">
      <c r="A45" s="34"/>
      <c r="B45" s="33">
        <f t="shared" si="2"/>
        <v>2010</v>
      </c>
      <c r="C45" s="58">
        <f t="shared" si="5"/>
        <v>0.028571</v>
      </c>
      <c r="D45" s="43">
        <f t="shared" si="0"/>
        <v>85983</v>
      </c>
      <c r="E45" s="43">
        <f t="shared" si="3"/>
        <v>2304621</v>
      </c>
      <c r="F45" s="43">
        <f t="shared" si="1"/>
        <v>704824</v>
      </c>
      <c r="H45" s="43"/>
      <c r="N45" s="110"/>
    </row>
    <row r="46" spans="1:14" ht="12">
      <c r="A46" s="34"/>
      <c r="B46" s="33">
        <f t="shared" si="2"/>
        <v>2011</v>
      </c>
      <c r="C46" s="58">
        <f t="shared" si="5"/>
        <v>0.028571</v>
      </c>
      <c r="D46" s="43">
        <f t="shared" si="0"/>
        <v>85983</v>
      </c>
      <c r="E46" s="43">
        <f t="shared" si="3"/>
        <v>2390604</v>
      </c>
      <c r="F46" s="43">
        <f t="shared" si="1"/>
        <v>618841</v>
      </c>
      <c r="H46" s="43"/>
      <c r="N46" s="64"/>
    </row>
    <row r="47" spans="1:14" ht="12">
      <c r="A47" s="34"/>
      <c r="B47" s="33">
        <f t="shared" si="2"/>
        <v>2012</v>
      </c>
      <c r="C47" s="58">
        <f t="shared" si="5"/>
        <v>0.028571</v>
      </c>
      <c r="D47" s="43">
        <f t="shared" si="0"/>
        <v>85983</v>
      </c>
      <c r="E47" s="43">
        <f t="shared" si="3"/>
        <v>2476587</v>
      </c>
      <c r="F47" s="43">
        <f t="shared" si="1"/>
        <v>532858</v>
      </c>
      <c r="H47" s="43"/>
      <c r="N47" s="105"/>
    </row>
    <row r="48" spans="1:12" ht="12">
      <c r="A48" s="34"/>
      <c r="B48" s="33">
        <f t="shared" si="2"/>
        <v>2013</v>
      </c>
      <c r="C48" s="58">
        <f t="shared" si="5"/>
        <v>0.028571</v>
      </c>
      <c r="D48" s="43">
        <f t="shared" si="0"/>
        <v>85983</v>
      </c>
      <c r="E48" s="43">
        <f t="shared" si="3"/>
        <v>2562570</v>
      </c>
      <c r="F48" s="43">
        <f t="shared" si="1"/>
        <v>446875</v>
      </c>
      <c r="H48" s="43"/>
      <c r="L48" s="90" t="s">
        <v>56</v>
      </c>
    </row>
    <row r="49" spans="1:13" ht="12">
      <c r="A49" s="34"/>
      <c r="B49" s="33">
        <f t="shared" si="2"/>
        <v>2014</v>
      </c>
      <c r="C49" s="58">
        <f t="shared" si="5"/>
        <v>0.028571</v>
      </c>
      <c r="D49" s="43">
        <f t="shared" si="0"/>
        <v>85983</v>
      </c>
      <c r="E49" s="43">
        <f t="shared" si="3"/>
        <v>2648553</v>
      </c>
      <c r="F49" s="43">
        <f t="shared" si="1"/>
        <v>360892</v>
      </c>
      <c r="H49" s="43"/>
      <c r="L49" s="87" t="s">
        <v>81</v>
      </c>
      <c r="M49" s="35">
        <f>C12</f>
        <v>3009445</v>
      </c>
    </row>
    <row r="50" spans="1:13" ht="12">
      <c r="A50" s="34"/>
      <c r="B50" s="33">
        <f t="shared" si="2"/>
        <v>2015</v>
      </c>
      <c r="C50" s="58">
        <f t="shared" si="5"/>
        <v>0.028571</v>
      </c>
      <c r="D50" s="43">
        <f t="shared" si="0"/>
        <v>85983</v>
      </c>
      <c r="E50" s="43">
        <f t="shared" si="3"/>
        <v>2734536</v>
      </c>
      <c r="F50" s="43">
        <f t="shared" si="1"/>
        <v>274909</v>
      </c>
      <c r="H50" s="43"/>
      <c r="L50" s="87" t="s">
        <v>82</v>
      </c>
      <c r="M50" s="69">
        <f>-N41</f>
        <v>-2068168</v>
      </c>
    </row>
    <row r="51" spans="1:13" ht="12">
      <c r="A51" s="34"/>
      <c r="B51" s="33">
        <f t="shared" si="2"/>
        <v>2016</v>
      </c>
      <c r="C51" s="58">
        <f t="shared" si="5"/>
        <v>0.028571</v>
      </c>
      <c r="D51" s="43">
        <f t="shared" si="0"/>
        <v>85983</v>
      </c>
      <c r="E51" s="43">
        <f t="shared" si="3"/>
        <v>2820519</v>
      </c>
      <c r="F51" s="43">
        <f t="shared" si="1"/>
        <v>188926</v>
      </c>
      <c r="H51" s="43"/>
      <c r="L51" s="87" t="s">
        <v>61</v>
      </c>
      <c r="M51" s="35">
        <f>M49+M50</f>
        <v>941277</v>
      </c>
    </row>
    <row r="52" spans="1:9" ht="12">
      <c r="A52" s="34"/>
      <c r="B52" s="33">
        <f t="shared" si="2"/>
        <v>2017</v>
      </c>
      <c r="C52" s="58">
        <f t="shared" si="5"/>
        <v>0.028571</v>
      </c>
      <c r="D52" s="43">
        <f t="shared" si="0"/>
        <v>85983</v>
      </c>
      <c r="E52" s="43">
        <f t="shared" si="3"/>
        <v>2906502</v>
      </c>
      <c r="F52" s="43">
        <f t="shared" si="1"/>
        <v>102943</v>
      </c>
      <c r="H52" s="43"/>
      <c r="I52" s="70"/>
    </row>
    <row r="53" spans="1:8" ht="12">
      <c r="A53" s="34"/>
      <c r="B53" s="33">
        <f t="shared" si="2"/>
        <v>2018</v>
      </c>
      <c r="C53" s="58">
        <f t="shared" si="5"/>
        <v>0.028571</v>
      </c>
      <c r="D53" s="43">
        <f t="shared" si="0"/>
        <v>85983</v>
      </c>
      <c r="E53" s="43">
        <f t="shared" si="3"/>
        <v>2992485</v>
      </c>
      <c r="F53" s="43">
        <f t="shared" si="1"/>
        <v>16960</v>
      </c>
      <c r="H53" s="43"/>
    </row>
    <row r="54" spans="1:8" ht="12">
      <c r="A54" s="34"/>
      <c r="B54" s="33">
        <f t="shared" si="2"/>
        <v>2019</v>
      </c>
      <c r="C54" s="33" t="str">
        <f>G13</f>
        <v>Balance</v>
      </c>
      <c r="D54" s="43">
        <f>C12-E53</f>
        <v>16960</v>
      </c>
      <c r="E54" s="43">
        <f t="shared" si="3"/>
        <v>3009445</v>
      </c>
      <c r="F54" s="43">
        <f t="shared" si="1"/>
        <v>0</v>
      </c>
      <c r="H54" s="43"/>
    </row>
    <row r="55" spans="1:8" ht="12">
      <c r="A55" s="34"/>
      <c r="B55" s="33"/>
      <c r="C55" s="33"/>
      <c r="D55" s="97">
        <f>SUM(D18:D54)</f>
        <v>3009445</v>
      </c>
      <c r="E55" s="43"/>
      <c r="F55" s="43"/>
      <c r="H55" s="43"/>
    </row>
    <row r="56" spans="1:8" ht="12">
      <c r="A56" s="34"/>
      <c r="B56" s="33"/>
      <c r="C56" s="33"/>
      <c r="D56" s="111"/>
      <c r="E56" s="43"/>
      <c r="F56" s="43"/>
      <c r="H56" s="43"/>
    </row>
    <row r="57" spans="1:8" ht="12">
      <c r="A57" s="112">
        <f>'KF WA'!A51</f>
        <v>38259</v>
      </c>
      <c r="B57" s="42" t="s">
        <v>14</v>
      </c>
      <c r="C57" s="33"/>
      <c r="D57" s="111"/>
      <c r="E57" s="84">
        <f>E42</f>
        <v>2046672</v>
      </c>
      <c r="F57" s="113"/>
      <c r="H57" s="43"/>
    </row>
    <row r="58" spans="1:8" ht="12">
      <c r="A58" s="112">
        <f>A57</f>
        <v>38259</v>
      </c>
      <c r="B58" s="42" t="s">
        <v>83</v>
      </c>
      <c r="E58" s="114"/>
      <c r="F58" s="35">
        <f>C12-E57</f>
        <v>962773</v>
      </c>
      <c r="H58" s="43"/>
    </row>
    <row r="59" spans="1:8" ht="12">
      <c r="A59" s="34"/>
      <c r="H59" s="43"/>
    </row>
    <row r="60" spans="1:8" ht="12">
      <c r="A60" s="34"/>
      <c r="H60" s="43"/>
    </row>
    <row r="61" spans="1:8" ht="12">
      <c r="A61" s="70"/>
      <c r="H61" s="43"/>
    </row>
    <row r="62" spans="1:8" ht="12">
      <c r="A62" s="34"/>
      <c r="H62" s="43"/>
    </row>
    <row r="63" spans="1:8" ht="12">
      <c r="A63" s="34"/>
      <c r="H63" s="43"/>
    </row>
    <row r="64" ht="12">
      <c r="A64" s="34"/>
    </row>
    <row r="65" ht="12">
      <c r="A65" s="34"/>
    </row>
    <row r="66" ht="12">
      <c r="A66" s="34"/>
    </row>
  </sheetData>
  <printOptions horizontalCentered="1"/>
  <pageMargins left="0.5" right="0.5" top="0.51" bottom="0.5" header="0.5" footer="0.5"/>
  <pageSetup horizontalDpi="300" verticalDpi="300" orientation="portrait" r:id="rId1"/>
  <headerFooter alignWithMargins="0">
    <oddFooter>&amp;L&amp;"Abadi MT Condensed Light,Regular"&amp;9file:  &amp;F &amp;A&amp;R&amp;"Abadi MT Condensed Light,Regular"&amp;9jmp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Corp Employee</cp:lastModifiedBy>
  <cp:lastPrinted>2008-11-12T23:02:55Z</cp:lastPrinted>
  <dcterms:created xsi:type="dcterms:W3CDTF">1997-10-20T21:23:38Z</dcterms:created>
  <dcterms:modified xsi:type="dcterms:W3CDTF">2009-04-30T00:17:52Z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