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hidePivotFieldList="1" defaultThemeVersion="124226"/>
  <mc:AlternateContent xmlns:mc="http://schemas.openxmlformats.org/markup-compatibility/2006">
    <mc:Choice Requires="x15">
      <x15ac:absPath xmlns:x15ac="http://schemas.microsoft.com/office/spreadsheetml/2010/11/ac" url="D:\wrk\15_cng\CA07 - UG-200568\ca\exh\"/>
    </mc:Choice>
  </mc:AlternateContent>
  <xr:revisionPtr revIDLastSave="0" documentId="13_ncr:1_{318E25F6-4B11-4493-B74D-20563D4EB3BF}" xr6:coauthVersionLast="45" xr6:coauthVersionMax="45" xr10:uidLastSave="{00000000-0000-0000-0000-000000000000}"/>
  <bookViews>
    <workbookView xWindow="390" yWindow="390" windowWidth="19815" windowHeight="12300" tabRatio="842" xr2:uid="{00000000-000D-0000-FFFF-FFFF00000000}"/>
  </bookViews>
  <sheets>
    <sheet name="Table 1" sheetId="77" r:id="rId1"/>
    <sheet name="Figure 1" sheetId="81" r:id="rId2"/>
    <sheet name="Table 4, 5" sheetId="78" r:id="rId3"/>
    <sheet name="Table 6" sheetId="79" r:id="rId4"/>
    <sheet name="Table 7" sheetId="80" r:id="rId5"/>
    <sheet name="Exh. No. BGM-3 (1)" sheetId="76" r:id="rId6"/>
    <sheet name="Exh. No. BGM-3 (2)" sheetId="75" r:id="rId7"/>
    <sheet name=" ROO Summary Sheet" sheetId="1" r:id="rId8"/>
    <sheet name="Rev Req Calc" sheetId="26" r:id="rId9"/>
    <sheet name="Summary of Adj" sheetId="4" r:id="rId10"/>
    <sheet name=" Conversion Factor" sheetId="2" r:id="rId11"/>
    <sheet name="AWEC-20 DEPR Study" sheetId="82" r:id="rId12"/>
    <sheet name="Workpaper - Support Documents &gt;" sheetId="37" r:id="rId13"/>
    <sheet name="Index" sheetId="57" r:id="rId14"/>
    <sheet name="Operating Report" sheetId="31" r:id="rId15"/>
    <sheet name="Rate Base" sheetId="32" r:id="rId16"/>
    <sheet name="Plant in Serv &amp; Accum Depr" sheetId="58" r:id="rId17"/>
    <sheet name="Adv for Const. &amp; Def Tax" sheetId="59" r:id="rId18"/>
    <sheet name="Capital Structure Calculation" sheetId="3" r:id="rId19"/>
    <sheet name="State Allocation Formulas" sheetId="60" r:id="rId20"/>
    <sheet name="Adjustment Workpapers---&gt;" sheetId="30" r:id="rId21"/>
    <sheet name="Annualize CRM Adjustment" sheetId="73" r:id="rId22"/>
    <sheet name="Advertising Adj" sheetId="18" r:id="rId23"/>
    <sheet name="Restate Revenues Adjustment" sheetId="70" r:id="rId24"/>
    <sheet name="EOP Revenue Adjustment" sheetId="74" r:id="rId25"/>
    <sheet name="EOP Depreciation Expense Adj" sheetId="67" r:id="rId26"/>
    <sheet name="Restate &amp; Pro Forma Wage Adjust" sheetId="6" r:id="rId27"/>
    <sheet name="Executive Incentives" sheetId="64" r:id="rId28"/>
    <sheet name="Interest Coord. Adj." sheetId="24" r:id="rId29"/>
    <sheet name="Pro Forma Plant Additions" sheetId="13" r:id="rId30"/>
    <sheet name="MCP-6 - 2020 Plant Additions" sheetId="49" r:id="rId31"/>
    <sheet name="MCP-6 - Supporting Explanations" sheetId="50" r:id="rId32"/>
    <sheet name="MAOP UG-160787 Deferral" sheetId="38" r:id="rId33"/>
    <sheet name=" Working Capital (AMA)" sheetId="62"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30" hidden="1">'MCP-6 - 2020 Plant Additions'!$A$7:$K$195</definedName>
    <definedName name="_xlnm._FilterDatabase" localSheetId="2" hidden="1">'Table 4, 5'!$B$4:$F$4</definedName>
    <definedName name="_Order1">255</definedName>
    <definedName name="_Order2">255</definedName>
    <definedName name="_Regression_Int">1</definedName>
    <definedName name="AccessDatabase">"I:\COMTREL\FINICLE\TradeSummary.mdb"</definedName>
    <definedName name="AS2DocOpenMode">"AS2DocumentEdit"</definedName>
    <definedName name="CASE" localSheetId="5">'[1]Named Ranges'!$C$4</definedName>
    <definedName name="CASE" localSheetId="6">'[1]Named Ranges'!$C$4</definedName>
    <definedName name="CASE">'[2]Named Ranges'!$C$4</definedName>
    <definedName name="CASE_E" localSheetId="5">'[3]Named Ranges E'!$C$4</definedName>
    <definedName name="CASE_E" localSheetId="6">'[3]Named Ranges E'!$C$4</definedName>
    <definedName name="CASE_E">'[4]Named Ranges E'!$C$4</definedName>
    <definedName name="CASE_GAS">'[5]Named Ranges G'!$C$4</definedName>
    <definedName name="CBWorkbookPriority">-2060790043</definedName>
    <definedName name="Comp" localSheetId="5">'[1]Named Ranges'!$C$8</definedName>
    <definedName name="Comp" localSheetId="6">'[1]Named Ranges'!$C$8</definedName>
    <definedName name="Comp">'[2]Named Ranges'!$C$8</definedName>
    <definedName name="Comp_E" localSheetId="5">'[3]Named Ranges E'!$C$8</definedName>
    <definedName name="Comp_E" localSheetId="6">'[3]Named Ranges E'!$C$8</definedName>
    <definedName name="Comp_E">'[4]Named Ranges E'!$C$8</definedName>
    <definedName name="Comp_GAS">'[5]Named Ranges G'!$C$8</definedName>
    <definedName name="DOCKETNUMBER" localSheetId="5">'[1]Named Ranges'!$C$6</definedName>
    <definedName name="DOCKETNUMBER" localSheetId="6">'[1]Named Ranges'!$C$6</definedName>
    <definedName name="DOCKETNUMBER">'[2]Named Ranges'!$C$6</definedName>
    <definedName name="DOCKETNUMBER_E" localSheetId="5">'[3]Named Ranges E'!$C$6</definedName>
    <definedName name="DOCKETNUMBER_E" localSheetId="6">'[3]Named Ranges E'!$C$6</definedName>
    <definedName name="DOCKETNUMBER_E">'[4]Named Ranges E'!$C$6</definedName>
    <definedName name="DOCKETNUMBER_GAS">'[5]Named Ranges G'!$C$6</definedName>
    <definedName name="first_day">'[6]Historic Data'!$K$3</definedName>
    <definedName name="FIT" localSheetId="5">'[1]Named Ranges'!$C$3</definedName>
    <definedName name="FIT" localSheetId="6">'[1]Named Ranges'!$C$3</definedName>
    <definedName name="FIT">'[2]Named Ranges'!$C$3</definedName>
    <definedName name="FIT_E" localSheetId="5">'[3]Named Ranges E'!$C$3</definedName>
    <definedName name="FIT_E" localSheetId="6">'[3]Named Ranges E'!$C$3</definedName>
    <definedName name="FIT_E">'[4]Named Ranges E'!$C$3</definedName>
    <definedName name="FIT_GAS">'[5]Named Ranges G'!$C$3</definedName>
    <definedName name="HTML_CodePage">1252</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D_Gas" localSheetId="5">'[7]DEBT CALC'!#REF!</definedName>
    <definedName name="ID_Gas" localSheetId="6">'[7]DEBT CALC'!#REF!</definedName>
    <definedName name="ID_Gas">'[8]DEBT CALC'!#REF!</definedName>
    <definedName name="_xlnm.Print_Area" localSheetId="10">' Conversion Factor'!$A$1:$C$33</definedName>
    <definedName name="_xlnm.Print_Area" localSheetId="7">' ROO Summary Sheet'!$B$1:$Q$42</definedName>
    <definedName name="_xlnm.Print_Area" localSheetId="21">'Annualize CRM Adjustment'!$A$1:$I$11</definedName>
    <definedName name="_xlnm.Print_Area" localSheetId="18">'Capital Structure Calculation'!$A$1:$J$17</definedName>
    <definedName name="_xlnm.Print_Area" localSheetId="24">'EOP Revenue Adjustment'!$A$1:$F$14</definedName>
    <definedName name="_xlnm.Print_Area" localSheetId="5">'Exh. No. BGM-3 (1)'!$A$1:$AF$43</definedName>
    <definedName name="_xlnm.Print_Area" localSheetId="6">'Exh. No. BGM-3 (2)'!$A$1:$AF$35</definedName>
    <definedName name="_xlnm.Print_Area" localSheetId="13">Index!$A$1:$F$37</definedName>
    <definedName name="_xlnm.Print_Area" localSheetId="31">'MCP-6 - Supporting Explanations'!$A$1:$C$63</definedName>
    <definedName name="_xlnm.Print_Area" localSheetId="14">'Operating Report'!$A$1:$H$187,'Operating Report'!$I$1:$V$158</definedName>
    <definedName name="_xlnm.Print_Area" localSheetId="29">'Pro Forma Plant Additions'!$A$1:$F$43</definedName>
    <definedName name="_xlnm.Print_Area" localSheetId="26">'Restate &amp; Pro Forma Wage Adjust'!$A$1:$Q$118</definedName>
    <definedName name="_xlnm.Print_Area" localSheetId="23">'Restate Revenues Adjustment'!$A$1:$H$27</definedName>
    <definedName name="_xlnm.Print_Area" localSheetId="19">'State Allocation Formulas'!$A$1:$T$80</definedName>
    <definedName name="_xlnm.Print_Area" localSheetId="9">'Summary of Adj'!$A$1:$T$46</definedName>
    <definedName name="_xlnm.Print_Area" localSheetId="12">'Workpaper - Support Documents &gt;'!$A$1:$I$31</definedName>
    <definedName name="Print_for_Checking" localSheetId="5">'[7]ADJ SUMMARY'!#REF!:'[7]ADJ SUMMARY'!#REF!</definedName>
    <definedName name="Print_for_Checking" localSheetId="6">'[7]ADJ SUMMARY'!#REF!:'[7]ADJ SUMMARY'!#REF!</definedName>
    <definedName name="Print_for_Checking">'[8]ADJ SUMMARY'!#REF!:'[8]ADJ SUMMARY'!#REF!</definedName>
    <definedName name="_xlnm.Print_Titles" localSheetId="33">' Working Capital (AMA)'!$1:$10</definedName>
    <definedName name="_xlnm.Print_Titles" localSheetId="17">'Adv for Const. &amp; Def Tax'!$A:$A,'Adv for Const. &amp; Def Tax'!$1:$8</definedName>
    <definedName name="_xlnm.Print_Titles" localSheetId="22">'Advertising Adj'!$1:$5</definedName>
    <definedName name="_xlnm.Print_Titles" localSheetId="5">'Exh. No. BGM-3 (1)'!$A:$G</definedName>
    <definedName name="_xlnm.Print_Titles" localSheetId="6">'Exh. No. BGM-3 (2)'!$A:$G</definedName>
    <definedName name="_xlnm.Print_Titles" localSheetId="30">'MCP-6 - 2020 Plant Additions'!$A:$A,'MCP-6 - 2020 Plant Additions'!$1:$7</definedName>
    <definedName name="_xlnm.Print_Titles" localSheetId="31">'MCP-6 - Supporting Explanations'!$A:$C,'MCP-6 - Supporting Explanations'!$1:$7</definedName>
    <definedName name="_xlnm.Print_Titles" localSheetId="14">'Operating Report'!$A:$A,'Operating Report'!$1:$13</definedName>
    <definedName name="_xlnm.Print_Titles" localSheetId="16">'Plant in Serv &amp; Accum Depr'!$A:$A,'Plant in Serv &amp; Accum Depr'!$1:$8</definedName>
    <definedName name="_xlnm.Print_Titles" localSheetId="26">'Restate &amp; Pro Forma Wage Adjust'!$1:$7</definedName>
    <definedName name="RRC_Adjustment_Print" localSheetId="5">#REF!</definedName>
    <definedName name="RRC_Adjustment_Print" localSheetId="6">#REF!</definedName>
    <definedName name="RRC_Rate_Print" localSheetId="5">#REF!</definedName>
    <definedName name="RRC_Rate_Print" localSheetId="6">#REF!</definedName>
    <definedName name="SAPBEXhrIndnt">"Wide"</definedName>
    <definedName name="SAPsysID">"708C5W7SBKP804JT78WJ0JNKI"</definedName>
    <definedName name="SAPwbID">"ARS"</definedName>
    <definedName name="Summary" localSheetId="5">#REF!</definedName>
    <definedName name="Summary" localSheetId="6">#REF!</definedName>
    <definedName name="Summary">#REF!</definedName>
    <definedName name="TableName">"Dummy"</definedName>
    <definedName name="TESTYEAR" localSheetId="5">'[1]Named Ranges'!$C$5</definedName>
    <definedName name="TESTYEAR" localSheetId="6">'[1]Named Ranges'!$C$5</definedName>
    <definedName name="TESTYEAR">'[2]Named Ranges'!$C$5</definedName>
    <definedName name="TESTYEAR_E" localSheetId="5">'[3]Named Ranges E'!$C$5</definedName>
    <definedName name="TESTYEAR_E" localSheetId="6">'[3]Named Ranges E'!$C$5</definedName>
    <definedName name="TESTYEAR_E">'[4]Named Ranges E'!$C$5</definedName>
    <definedName name="TESTYEAR_GAS">'[5]Named Ranges G'!$C$5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WA_Gas" localSheetId="5">'[7]DEBT CALC'!#REF!</definedName>
    <definedName name="WA_Gas" localSheetId="6">'[7]DEBT CALC'!#REF!</definedName>
    <definedName name="WA_Gas">'[8]DEBT CALC'!#REF!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 i="64" l="1"/>
  <c r="D25" i="64"/>
  <c r="F24" i="64"/>
  <c r="W19" i="76" l="1"/>
  <c r="K15" i="31"/>
  <c r="B27" i="64"/>
  <c r="F23" i="64"/>
  <c r="AI11" i="75" l="1"/>
  <c r="AY19" i="75"/>
  <c r="BA19" i="75" s="1"/>
  <c r="BA18" i="75"/>
  <c r="AY11" i="75"/>
  <c r="BA11" i="75" s="1"/>
  <c r="BA10" i="75"/>
  <c r="BA20" i="75" l="1"/>
  <c r="BA12" i="75"/>
  <c r="Y14" i="76"/>
  <c r="AJ3" i="82"/>
  <c r="AJ94" i="82"/>
  <c r="AJ93" i="82"/>
  <c r="AJ92" i="82"/>
  <c r="AJ91" i="82"/>
  <c r="AJ90" i="82"/>
  <c r="AJ89" i="82"/>
  <c r="AJ88" i="82"/>
  <c r="AJ87" i="82"/>
  <c r="AJ86" i="82"/>
  <c r="AJ85" i="82"/>
  <c r="AJ84" i="82"/>
  <c r="AJ83" i="82"/>
  <c r="AJ82" i="82"/>
  <c r="AJ81" i="82"/>
  <c r="AJ80" i="82"/>
  <c r="AJ79" i="82"/>
  <c r="AJ78" i="82"/>
  <c r="AJ77" i="82"/>
  <c r="AJ76" i="82"/>
  <c r="AJ75" i="82"/>
  <c r="AJ74" i="82"/>
  <c r="AJ73" i="82"/>
  <c r="AJ72" i="82"/>
  <c r="AJ71" i="82"/>
  <c r="AJ70" i="82"/>
  <c r="AJ69" i="82"/>
  <c r="AJ68" i="82"/>
  <c r="AJ67" i="82"/>
  <c r="AJ66" i="82"/>
  <c r="AJ65" i="82"/>
  <c r="AJ64" i="82"/>
  <c r="AJ63" i="82"/>
  <c r="AJ62" i="82"/>
  <c r="AJ61" i="82"/>
  <c r="AJ60" i="82"/>
  <c r="AJ59" i="82"/>
  <c r="AJ58" i="82"/>
  <c r="AJ57" i="82"/>
  <c r="AJ56" i="82"/>
  <c r="AJ55" i="82"/>
  <c r="AJ54" i="82"/>
  <c r="AJ53" i="82"/>
  <c r="AJ52" i="82"/>
  <c r="AJ51" i="82"/>
  <c r="AJ50" i="82"/>
  <c r="AJ49" i="82"/>
  <c r="AJ48" i="82"/>
  <c r="AJ47" i="82"/>
  <c r="AJ46" i="82"/>
  <c r="AJ45" i="82"/>
  <c r="AJ44" i="82"/>
  <c r="AJ42" i="82"/>
  <c r="AJ41" i="82"/>
  <c r="AJ40" i="82"/>
  <c r="AJ39" i="82"/>
  <c r="AJ38" i="82"/>
  <c r="AJ37" i="82"/>
  <c r="AJ36" i="82"/>
  <c r="AJ35" i="82"/>
  <c r="AJ34" i="82"/>
  <c r="AJ33" i="82"/>
  <c r="AJ32" i="82"/>
  <c r="AJ31" i="82"/>
  <c r="AJ30" i="82"/>
  <c r="AJ29" i="82"/>
  <c r="AJ28" i="82"/>
  <c r="AJ27" i="82"/>
  <c r="AJ26" i="82"/>
  <c r="AJ24" i="82"/>
  <c r="AJ23" i="82"/>
  <c r="AJ22" i="82"/>
  <c r="AJ21" i="82"/>
  <c r="AJ20" i="82"/>
  <c r="AJ19" i="82"/>
  <c r="AJ18" i="82"/>
  <c r="AJ17" i="82"/>
  <c r="AJ16" i="82"/>
  <c r="AJ15" i="82"/>
  <c r="AJ14" i="82"/>
  <c r="AJ13" i="82"/>
  <c r="AJ12" i="82"/>
  <c r="AJ11" i="82"/>
  <c r="AJ10" i="82"/>
  <c r="AJ9" i="82"/>
  <c r="AJ8" i="82"/>
  <c r="AJ7" i="82"/>
  <c r="AJ6" i="82"/>
  <c r="AJ5" i="82"/>
  <c r="AJ4" i="82"/>
  <c r="AI4" i="82"/>
  <c r="AI3" i="82" s="1"/>
  <c r="AI94" i="82"/>
  <c r="AI93" i="82"/>
  <c r="AI92" i="82"/>
  <c r="AI91" i="82"/>
  <c r="AI90" i="82"/>
  <c r="AI89" i="82"/>
  <c r="AI88" i="82"/>
  <c r="AI87" i="82"/>
  <c r="AI86" i="82"/>
  <c r="AI85" i="82"/>
  <c r="AI84" i="82"/>
  <c r="AI83" i="82"/>
  <c r="AI82" i="82"/>
  <c r="AI81"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2" i="82"/>
  <c r="AI41" i="82"/>
  <c r="AI40" i="82"/>
  <c r="AI39" i="82"/>
  <c r="AI38" i="82"/>
  <c r="AI37" i="82"/>
  <c r="AI36" i="82"/>
  <c r="AI35" i="82"/>
  <c r="AI34" i="82"/>
  <c r="AI33" i="82"/>
  <c r="AI32" i="82"/>
  <c r="AI31" i="82"/>
  <c r="AI30" i="82"/>
  <c r="AI29" i="82"/>
  <c r="AI28" i="82"/>
  <c r="AI27" i="82"/>
  <c r="AI26" i="82"/>
  <c r="AI24" i="82"/>
  <c r="AI23" i="82"/>
  <c r="AI22" i="82"/>
  <c r="AI21" i="82"/>
  <c r="AI20" i="82"/>
  <c r="AI19" i="82"/>
  <c r="AI18" i="82"/>
  <c r="AI17" i="82"/>
  <c r="AI16" i="82"/>
  <c r="AI15" i="82"/>
  <c r="AI14" i="82"/>
  <c r="AI13" i="82"/>
  <c r="AI12" i="82"/>
  <c r="AI11" i="82"/>
  <c r="AI10" i="82"/>
  <c r="AI9" i="82"/>
  <c r="AI8" i="82"/>
  <c r="AI7" i="82"/>
  <c r="AI6" i="82"/>
  <c r="AI5" i="82"/>
  <c r="AI80" i="82"/>
  <c r="AH94" i="82"/>
  <c r="AH93" i="82"/>
  <c r="AH92" i="82"/>
  <c r="AH91" i="82"/>
  <c r="AH90" i="82"/>
  <c r="AH89" i="82"/>
  <c r="AH88" i="82"/>
  <c r="AH87" i="82"/>
  <c r="AH86" i="82"/>
  <c r="AH85" i="82"/>
  <c r="AH84" i="82"/>
  <c r="AH83" i="82"/>
  <c r="AH82" i="82"/>
  <c r="AH81" i="82"/>
  <c r="AH80" i="82"/>
  <c r="AH79" i="82"/>
  <c r="AH78" i="82"/>
  <c r="AH77" i="82"/>
  <c r="AH76" i="82"/>
  <c r="AH75" i="82"/>
  <c r="AH74" i="82"/>
  <c r="AH73" i="82"/>
  <c r="AH72" i="82"/>
  <c r="AH71" i="82"/>
  <c r="AH70" i="82"/>
  <c r="AH69" i="82"/>
  <c r="AH68" i="82"/>
  <c r="AH67" i="82"/>
  <c r="AH66" i="82"/>
  <c r="AH65" i="82"/>
  <c r="AH64" i="82"/>
  <c r="AH63" i="82"/>
  <c r="AH62" i="82"/>
  <c r="AH61" i="82"/>
  <c r="AH60" i="82"/>
  <c r="AH59" i="82"/>
  <c r="AH58" i="82"/>
  <c r="AH57" i="82"/>
  <c r="AH56" i="82"/>
  <c r="AH55" i="82"/>
  <c r="AH54" i="82"/>
  <c r="AH53" i="82"/>
  <c r="AH52" i="82"/>
  <c r="AH51" i="82"/>
  <c r="AH50" i="82"/>
  <c r="AH49" i="82"/>
  <c r="AH48" i="82"/>
  <c r="AH47" i="82"/>
  <c r="AH46" i="82"/>
  <c r="AH45" i="82"/>
  <c r="AH44" i="82"/>
  <c r="AH42" i="82"/>
  <c r="AH41" i="82"/>
  <c r="AH40" i="82"/>
  <c r="AH39" i="82"/>
  <c r="AH38" i="82"/>
  <c r="AH37" i="82"/>
  <c r="AH36" i="82"/>
  <c r="AH35" i="82"/>
  <c r="AH34" i="82"/>
  <c r="AH33" i="82"/>
  <c r="AH32" i="82"/>
  <c r="AH31" i="82"/>
  <c r="AH30" i="82"/>
  <c r="AH29" i="82"/>
  <c r="AH27" i="82"/>
  <c r="AH26" i="82"/>
  <c r="AH24" i="82"/>
  <c r="AH5" i="82"/>
  <c r="AH6" i="82"/>
  <c r="AH7" i="82"/>
  <c r="AH8" i="82"/>
  <c r="AH9" i="82"/>
  <c r="AH10" i="82"/>
  <c r="AH11" i="82"/>
  <c r="AH12" i="82"/>
  <c r="AH13" i="82"/>
  <c r="AH14" i="82"/>
  <c r="AH15" i="82"/>
  <c r="AH16" i="82"/>
  <c r="AH17" i="82"/>
  <c r="AH18" i="82"/>
  <c r="AH19" i="82"/>
  <c r="AH20" i="82"/>
  <c r="AH21" i="82"/>
  <c r="AH22" i="82"/>
  <c r="AH23" i="82"/>
  <c r="AH4" i="82"/>
  <c r="AG94" i="82"/>
  <c r="AG93" i="82"/>
  <c r="AG92" i="82"/>
  <c r="AG90" i="82"/>
  <c r="AG89" i="82"/>
  <c r="AG88" i="82"/>
  <c r="AG87" i="82"/>
  <c r="AG86" i="82"/>
  <c r="AG85" i="82"/>
  <c r="AG84" i="82"/>
  <c r="AG83" i="82"/>
  <c r="AG82" i="82"/>
  <c r="AG81" i="82"/>
  <c r="AG80" i="82"/>
  <c r="AG79" i="82"/>
  <c r="AG78" i="82"/>
  <c r="AG77" i="82"/>
  <c r="AG76" i="82"/>
  <c r="AG75" i="82"/>
  <c r="AG74" i="82"/>
  <c r="AG73" i="82"/>
  <c r="AG72" i="82"/>
  <c r="AG71" i="82"/>
  <c r="AG70" i="82"/>
  <c r="AG69" i="82"/>
  <c r="AG68" i="82"/>
  <c r="AG67" i="82"/>
  <c r="AG66" i="82"/>
  <c r="AG65" i="82"/>
  <c r="AG64" i="82"/>
  <c r="AG63" i="82"/>
  <c r="AG62" i="82"/>
  <c r="AG61" i="82"/>
  <c r="AG60" i="82"/>
  <c r="AG59" i="82"/>
  <c r="AG58" i="82"/>
  <c r="AG57" i="82"/>
  <c r="AG56" i="82"/>
  <c r="AG55" i="82"/>
  <c r="AG54" i="82"/>
  <c r="AG53" i="82"/>
  <c r="AG52" i="82"/>
  <c r="AG51" i="82"/>
  <c r="AG50" i="82"/>
  <c r="AG49" i="82"/>
  <c r="AG48" i="82"/>
  <c r="AG47" i="82"/>
  <c r="AG46" i="82"/>
  <c r="AG45" i="82"/>
  <c r="AG44" i="82"/>
  <c r="AG42" i="82"/>
  <c r="AG41" i="82"/>
  <c r="AG40" i="82"/>
  <c r="AG39" i="82"/>
  <c r="AG38" i="82"/>
  <c r="AG37" i="82"/>
  <c r="AG36" i="82"/>
  <c r="AG35" i="82"/>
  <c r="AG34" i="82"/>
  <c r="AG33" i="82"/>
  <c r="AG32" i="82"/>
  <c r="AG31" i="82"/>
  <c r="AG30" i="82"/>
  <c r="AG29" i="82"/>
  <c r="AG27" i="82"/>
  <c r="AG26" i="82"/>
  <c r="AG25" i="82"/>
  <c r="AG24" i="82"/>
  <c r="AG23" i="82"/>
  <c r="AG22" i="82"/>
  <c r="AG21" i="82"/>
  <c r="AG20" i="82"/>
  <c r="AG19" i="82"/>
  <c r="AG18" i="82"/>
  <c r="AG17" i="82"/>
  <c r="AG16" i="82"/>
  <c r="AG15" i="82"/>
  <c r="AG14" i="82"/>
  <c r="AG13" i="82"/>
  <c r="AG12" i="82"/>
  <c r="AG11" i="82"/>
  <c r="AG10" i="82"/>
  <c r="AG9" i="82"/>
  <c r="AG8" i="82"/>
  <c r="AG7" i="82"/>
  <c r="AG6" i="82"/>
  <c r="AG5" i="82"/>
  <c r="AG4" i="82"/>
  <c r="AF91" i="82"/>
  <c r="AF95" i="82"/>
  <c r="AH28" i="82"/>
  <c r="S53" i="67"/>
  <c r="S52" i="67"/>
  <c r="S51" i="67"/>
  <c r="S50" i="67"/>
  <c r="S49" i="67"/>
  <c r="S48" i="67"/>
  <c r="S47" i="67"/>
  <c r="S46" i="67"/>
  <c r="S45" i="67"/>
  <c r="S44" i="67"/>
  <c r="S43" i="67"/>
  <c r="S42" i="67"/>
  <c r="S41" i="67"/>
  <c r="S40" i="67"/>
  <c r="S39" i="67"/>
  <c r="S38" i="67"/>
  <c r="S37" i="67"/>
  <c r="S36" i="67"/>
  <c r="S35" i="67"/>
  <c r="S34" i="67"/>
  <c r="S33" i="67"/>
  <c r="S32" i="67"/>
  <c r="S31" i="67"/>
  <c r="S30" i="67"/>
  <c r="S29" i="67"/>
  <c r="S28" i="67"/>
  <c r="S27" i="67"/>
  <c r="S26" i="67"/>
  <c r="S25" i="67"/>
  <c r="S24" i="67"/>
  <c r="S23" i="67"/>
  <c r="S22" i="67"/>
  <c r="S21" i="67"/>
  <c r="S20" i="67"/>
  <c r="S19" i="67"/>
  <c r="S18" i="67"/>
  <c r="S17" i="67"/>
  <c r="S16" i="67"/>
  <c r="S15" i="67"/>
  <c r="S14" i="67"/>
  <c r="S13" i="67"/>
  <c r="S12" i="67"/>
  <c r="F43" i="82"/>
  <c r="G43" i="82"/>
  <c r="H43" i="82"/>
  <c r="I43" i="82"/>
  <c r="I96" i="82" s="1"/>
  <c r="J43" i="82"/>
  <c r="K43" i="82"/>
  <c r="L43" i="82"/>
  <c r="M43" i="82"/>
  <c r="M96" i="82" s="1"/>
  <c r="N43" i="82"/>
  <c r="O43" i="82"/>
  <c r="P43" i="82"/>
  <c r="Q43" i="82"/>
  <c r="Q96" i="82" s="1"/>
  <c r="R43" i="82"/>
  <c r="S43" i="82"/>
  <c r="T43" i="82"/>
  <c r="U43" i="82"/>
  <c r="U96" i="82" s="1"/>
  <c r="V43" i="82"/>
  <c r="W43" i="82"/>
  <c r="X43" i="82"/>
  <c r="Y43" i="82"/>
  <c r="Y96" i="82" s="1"/>
  <c r="Z43" i="82"/>
  <c r="AA43" i="82"/>
  <c r="AB43" i="82"/>
  <c r="AC43" i="82"/>
  <c r="AC96" i="82" s="1"/>
  <c r="AD43" i="82"/>
  <c r="F91" i="82"/>
  <c r="G91" i="82"/>
  <c r="H91" i="82"/>
  <c r="H96" i="82" s="1"/>
  <c r="I91" i="82"/>
  <c r="J91" i="82"/>
  <c r="K91" i="82"/>
  <c r="L91" i="82"/>
  <c r="L96" i="82" s="1"/>
  <c r="M91" i="82"/>
  <c r="N91" i="82"/>
  <c r="O91" i="82"/>
  <c r="P91" i="82"/>
  <c r="P96" i="82" s="1"/>
  <c r="Q91" i="82"/>
  <c r="R91" i="82"/>
  <c r="S91" i="82"/>
  <c r="T91" i="82"/>
  <c r="T96" i="82" s="1"/>
  <c r="U91" i="82"/>
  <c r="V91" i="82"/>
  <c r="W91" i="82"/>
  <c r="X91" i="82"/>
  <c r="X96" i="82" s="1"/>
  <c r="Y91" i="82"/>
  <c r="Z91" i="82"/>
  <c r="AA91" i="82"/>
  <c r="AB91" i="82"/>
  <c r="AB96" i="82" s="1"/>
  <c r="AC91" i="82"/>
  <c r="AD91" i="82"/>
  <c r="F95" i="82"/>
  <c r="G95" i="82"/>
  <c r="G96" i="82" s="1"/>
  <c r="H95" i="82"/>
  <c r="I95" i="82"/>
  <c r="J95" i="82"/>
  <c r="K95" i="82"/>
  <c r="K96" i="82" s="1"/>
  <c r="L95" i="82"/>
  <c r="M95" i="82"/>
  <c r="N95" i="82"/>
  <c r="O95" i="82"/>
  <c r="O96" i="82" s="1"/>
  <c r="P95" i="82"/>
  <c r="Q95" i="82"/>
  <c r="R95" i="82"/>
  <c r="S95" i="82"/>
  <c r="S96" i="82" s="1"/>
  <c r="T95" i="82"/>
  <c r="U95" i="82"/>
  <c r="V95" i="82"/>
  <c r="W95" i="82"/>
  <c r="W96" i="82" s="1"/>
  <c r="X95" i="82"/>
  <c r="Y95" i="82"/>
  <c r="Z95" i="82"/>
  <c r="AA95" i="82"/>
  <c r="AA96" i="82" s="1"/>
  <c r="AB95" i="82"/>
  <c r="AC95" i="82"/>
  <c r="AD95" i="82"/>
  <c r="F96" i="82"/>
  <c r="J96" i="82"/>
  <c r="N96" i="82"/>
  <c r="R96" i="82"/>
  <c r="V96" i="82"/>
  <c r="Z96" i="82"/>
  <c r="AD96" i="82"/>
  <c r="AH3" i="82" l="1"/>
  <c r="J31" i="4" l="1"/>
  <c r="J34" i="4" s="1"/>
  <c r="F10" i="80" l="1"/>
  <c r="K31" i="78"/>
  <c r="K33" i="78" s="1"/>
  <c r="K35" i="78" s="1"/>
  <c r="I21" i="6" l="1"/>
  <c r="M7" i="77" l="1"/>
  <c r="H19" i="77"/>
  <c r="C5" i="77"/>
  <c r="C6" i="77" s="1"/>
  <c r="M20" i="77"/>
  <c r="H20" i="77" s="1"/>
  <c r="M19" i="77"/>
  <c r="M18" i="77"/>
  <c r="H18" i="77" s="1"/>
  <c r="I17" i="4"/>
  <c r="Y13" i="76"/>
  <c r="R13" i="76"/>
  <c r="M30" i="4"/>
  <c r="M34" i="4" s="1"/>
  <c r="M44" i="4"/>
  <c r="M20" i="4"/>
  <c r="Y20" i="76"/>
  <c r="P20" i="76" s="1"/>
  <c r="R20" i="76"/>
  <c r="Y19" i="76"/>
  <c r="P19" i="76" s="1"/>
  <c r="R19" i="76"/>
  <c r="Y17" i="76"/>
  <c r="P17" i="76" s="1"/>
  <c r="K11" i="6"/>
  <c r="R16" i="76"/>
  <c r="R17" i="76"/>
  <c r="Y16" i="76"/>
  <c r="P16" i="76" s="1"/>
  <c r="W32" i="76"/>
  <c r="Y32" i="76" s="1"/>
  <c r="P32" i="76" s="1"/>
  <c r="R32" i="76"/>
  <c r="AA14" i="76"/>
  <c r="W14" i="76"/>
  <c r="H13" i="3"/>
  <c r="F11" i="3"/>
  <c r="F13" i="3" s="1"/>
  <c r="H7" i="77"/>
  <c r="M6" i="77"/>
  <c r="H6" i="77" s="1"/>
  <c r="AA24" i="75"/>
  <c r="Y24" i="75"/>
  <c r="AA23" i="75"/>
  <c r="Y23" i="75"/>
  <c r="W23" i="75" s="1"/>
  <c r="AA22" i="75"/>
  <c r="Y22" i="75"/>
  <c r="AA21" i="75"/>
  <c r="Y21" i="75"/>
  <c r="AA15" i="75"/>
  <c r="Y15" i="75"/>
  <c r="AA14" i="75"/>
  <c r="Y14" i="75"/>
  <c r="W14" i="75" s="1"/>
  <c r="AA13" i="75"/>
  <c r="Y13" i="75"/>
  <c r="AA12" i="75"/>
  <c r="Y12" i="75"/>
  <c r="Y18" i="75" s="1"/>
  <c r="Y27" i="75" s="1"/>
  <c r="AA11" i="75"/>
  <c r="Y11" i="75"/>
  <c r="AA10" i="75"/>
  <c r="Y10" i="75"/>
  <c r="T32" i="75"/>
  <c r="T33" i="75"/>
  <c r="M33" i="75"/>
  <c r="M32" i="75"/>
  <c r="AJ10" i="75"/>
  <c r="AK10" i="75" s="1"/>
  <c r="AK11" i="75"/>
  <c r="AU11" i="75"/>
  <c r="AU10" i="75"/>
  <c r="AP11" i="75"/>
  <c r="AO10" i="75"/>
  <c r="AP10" i="75" s="1"/>
  <c r="AK20" i="75"/>
  <c r="AK19" i="75"/>
  <c r="AI11" i="76"/>
  <c r="AK11" i="76" s="1"/>
  <c r="AJ10" i="76"/>
  <c r="AK10" i="76" s="1"/>
  <c r="T29" i="75"/>
  <c r="W28" i="76"/>
  <c r="R28" i="76"/>
  <c r="P28" i="76"/>
  <c r="W27" i="76"/>
  <c r="P27" i="76"/>
  <c r="R27" i="76"/>
  <c r="R18" i="76"/>
  <c r="W15" i="76"/>
  <c r="P15" i="76"/>
  <c r="R15" i="76"/>
  <c r="W12" i="76"/>
  <c r="R12" i="76"/>
  <c r="P12" i="76"/>
  <c r="W11" i="76"/>
  <c r="R11" i="76"/>
  <c r="P11" i="76"/>
  <c r="Y10" i="76"/>
  <c r="P10" i="76" s="1"/>
  <c r="R10" i="76"/>
  <c r="B10" i="76"/>
  <c r="R7" i="76"/>
  <c r="K23" i="76"/>
  <c r="K38" i="76" s="1"/>
  <c r="P7" i="76"/>
  <c r="W24" i="75"/>
  <c r="W22" i="75"/>
  <c r="W21" i="75"/>
  <c r="AA18" i="75"/>
  <c r="AA27" i="75" s="1"/>
  <c r="W15" i="75"/>
  <c r="W13" i="75"/>
  <c r="W12" i="75"/>
  <c r="W11" i="75"/>
  <c r="B10" i="75"/>
  <c r="R7" i="75"/>
  <c r="K18" i="75"/>
  <c r="K27" i="75" s="1"/>
  <c r="P7" i="75"/>
  <c r="AK12" i="75" l="1"/>
  <c r="M11" i="75" s="1"/>
  <c r="C7" i="77"/>
  <c r="C8" i="77" s="1"/>
  <c r="C9" i="77" s="1"/>
  <c r="M35" i="4"/>
  <c r="M36" i="4" s="1"/>
  <c r="P14" i="76"/>
  <c r="H11" i="3"/>
  <c r="W18" i="75"/>
  <c r="W27" i="75" s="1"/>
  <c r="AU12" i="75"/>
  <c r="K32" i="75" s="1"/>
  <c r="AP12" i="75"/>
  <c r="K33" i="75" s="1"/>
  <c r="AK12" i="76"/>
  <c r="M13" i="76" s="1"/>
  <c r="AK21" i="75"/>
  <c r="T23" i="75"/>
  <c r="P18" i="75"/>
  <c r="P27" i="75" s="1"/>
  <c r="R26" i="76"/>
  <c r="R35" i="76"/>
  <c r="B11" i="76"/>
  <c r="B12" i="76" s="1"/>
  <c r="I23" i="76"/>
  <c r="I38" i="76" s="1"/>
  <c r="T10" i="75"/>
  <c r="I18" i="75"/>
  <c r="I27" i="75" s="1"/>
  <c r="R18" i="75"/>
  <c r="R27" i="75" s="1"/>
  <c r="M7" i="75"/>
  <c r="B11" i="75"/>
  <c r="B12" i="75" s="1"/>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12" i="67"/>
  <c r="B13" i="76" l="1"/>
  <c r="B14" i="76" s="1"/>
  <c r="M24" i="75"/>
  <c r="K34" i="75"/>
  <c r="M22" i="75"/>
  <c r="M21" i="75"/>
  <c r="C10" i="77"/>
  <c r="T13" i="76"/>
  <c r="AC13" i="76" s="1"/>
  <c r="M21" i="77" s="1"/>
  <c r="H21" i="77" s="1"/>
  <c r="T19" i="76"/>
  <c r="M19" i="76"/>
  <c r="M20" i="76"/>
  <c r="T20" i="76"/>
  <c r="T16" i="76"/>
  <c r="M27" i="76"/>
  <c r="M33" i="76"/>
  <c r="M17" i="76"/>
  <c r="M16" i="76"/>
  <c r="M34" i="76"/>
  <c r="T17" i="76"/>
  <c r="T11" i="76"/>
  <c r="M31" i="76"/>
  <c r="M29" i="76"/>
  <c r="M30" i="76"/>
  <c r="M32" i="76"/>
  <c r="M11" i="76"/>
  <c r="M18" i="76"/>
  <c r="T32" i="76"/>
  <c r="M10" i="76"/>
  <c r="T15" i="76"/>
  <c r="M14" i="76"/>
  <c r="M15" i="76"/>
  <c r="T7" i="76"/>
  <c r="T10" i="76"/>
  <c r="M26" i="76"/>
  <c r="M28" i="76"/>
  <c r="M7" i="76"/>
  <c r="T27" i="76"/>
  <c r="M12" i="76"/>
  <c r="T28" i="76"/>
  <c r="M35" i="76"/>
  <c r="T12" i="76"/>
  <c r="M10" i="75"/>
  <c r="AC10" i="75" s="1"/>
  <c r="T11" i="75"/>
  <c r="AC11" i="75" s="1"/>
  <c r="M12" i="75"/>
  <c r="M14" i="75"/>
  <c r="T24" i="75"/>
  <c r="T7" i="75"/>
  <c r="T12" i="75"/>
  <c r="T14" i="75"/>
  <c r="T22" i="75"/>
  <c r="T15" i="75"/>
  <c r="T13" i="75"/>
  <c r="M23" i="75"/>
  <c r="AC23" i="75" s="1"/>
  <c r="T21" i="75"/>
  <c r="AC21" i="75" s="1"/>
  <c r="M15" i="75"/>
  <c r="M13" i="75"/>
  <c r="B13" i="75"/>
  <c r="B14" i="75" s="1"/>
  <c r="I221" i="49"/>
  <c r="I220" i="49"/>
  <c r="I219" i="49"/>
  <c r="I218" i="49"/>
  <c r="I217" i="49"/>
  <c r="I216" i="49"/>
  <c r="I215" i="49"/>
  <c r="I214" i="49"/>
  <c r="I213" i="49"/>
  <c r="I212" i="49"/>
  <c r="I211" i="49"/>
  <c r="I210" i="49"/>
  <c r="I209" i="49"/>
  <c r="I208" i="49"/>
  <c r="I207" i="49"/>
  <c r="AC12" i="75" l="1"/>
  <c r="AC24" i="75"/>
  <c r="T34" i="75"/>
  <c r="M34" i="75"/>
  <c r="M8" i="77" s="1"/>
  <c r="H8" i="77" s="1"/>
  <c r="AC22" i="75"/>
  <c r="C11" i="77"/>
  <c r="C12" i="77" s="1"/>
  <c r="AC19" i="76"/>
  <c r="M17" i="77" s="1"/>
  <c r="H17" i="77" s="1"/>
  <c r="AC20" i="76"/>
  <c r="AC27" i="76"/>
  <c r="AC17" i="76"/>
  <c r="AC16" i="76"/>
  <c r="AC10" i="76"/>
  <c r="AC11" i="76"/>
  <c r="AC15" i="76"/>
  <c r="AC32" i="76"/>
  <c r="M14" i="77" s="1"/>
  <c r="H14" i="77" s="1"/>
  <c r="AC12" i="76"/>
  <c r="AC28" i="76"/>
  <c r="M23" i="76"/>
  <c r="M38" i="76" s="1"/>
  <c r="M42" i="76" s="1"/>
  <c r="T18" i="75"/>
  <c r="T27" i="75" s="1"/>
  <c r="T35" i="75" s="1"/>
  <c r="AC14" i="75"/>
  <c r="M18" i="75"/>
  <c r="M27" i="75" s="1"/>
  <c r="M35" i="75" s="1"/>
  <c r="AC15" i="75"/>
  <c r="AC13" i="75"/>
  <c r="B15" i="76"/>
  <c r="B16" i="76" s="1"/>
  <c r="B15" i="75"/>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C13" i="77" l="1"/>
  <c r="B17" i="76"/>
  <c r="AC18" i="75"/>
  <c r="AC27" i="75" s="1"/>
  <c r="M9" i="77" s="1"/>
  <c r="H9" i="77" s="1"/>
  <c r="O9" i="77" s="1"/>
  <c r="B21" i="75"/>
  <c r="B22" i="75" s="1"/>
  <c r="I135" i="31"/>
  <c r="Q121" i="31"/>
  <c r="Q123" i="31" s="1"/>
  <c r="Q107" i="31"/>
  <c r="Q100" i="31"/>
  <c r="Q84" i="31"/>
  <c r="Q85" i="31" s="1"/>
  <c r="Q72" i="31"/>
  <c r="C14" i="77" l="1"/>
  <c r="B23" i="75"/>
  <c r="F11" i="74"/>
  <c r="C15" i="77" l="1"/>
  <c r="C16" i="77" s="1"/>
  <c r="C17" i="77" s="1"/>
  <c r="C18" i="77" s="1"/>
  <c r="C19" i="77" s="1"/>
  <c r="C20" i="77" s="1"/>
  <c r="C21" i="77" s="1"/>
  <c r="B18" i="76"/>
  <c r="B24" i="75"/>
  <c r="B27" i="75" s="1"/>
  <c r="H97" i="49"/>
  <c r="C22" i="77" l="1"/>
  <c r="C24" i="77" s="1"/>
  <c r="C26" i="77" s="1"/>
  <c r="B19" i="76"/>
  <c r="G76" i="49"/>
  <c r="G77" i="49"/>
  <c r="H77" i="49" s="1"/>
  <c r="G78" i="49"/>
  <c r="G79" i="49"/>
  <c r="G80" i="49"/>
  <c r="G81" i="49"/>
  <c r="G82" i="49"/>
  <c r="G83" i="49"/>
  <c r="G84" i="49"/>
  <c r="G85" i="49"/>
  <c r="G86" i="49"/>
  <c r="G87" i="49"/>
  <c r="G88" i="49"/>
  <c r="G89" i="49"/>
  <c r="G90" i="49"/>
  <c r="G91" i="49"/>
  <c r="G92" i="49"/>
  <c r="G93" i="49"/>
  <c r="G94" i="49"/>
  <c r="G96" i="49"/>
  <c r="G97" i="49"/>
  <c r="G98"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2" i="49"/>
  <c r="G193" i="49"/>
  <c r="G194" i="49"/>
  <c r="B20" i="76" l="1"/>
  <c r="Q15" i="31"/>
  <c r="H114" i="49" l="1"/>
  <c r="H112" i="49"/>
  <c r="H109" i="49"/>
  <c r="H107" i="49"/>
  <c r="H105" i="49"/>
  <c r="H103" i="49"/>
  <c r="H101" i="49"/>
  <c r="H93" i="49"/>
  <c r="H91" i="49"/>
  <c r="H89" i="49"/>
  <c r="H87" i="49"/>
  <c r="H85" i="49"/>
  <c r="H83" i="49"/>
  <c r="H81" i="49"/>
  <c r="H79" i="49"/>
  <c r="B26" i="76" l="1"/>
  <c r="B27" i="76" s="1"/>
  <c r="B28" i="76" s="1"/>
  <c r="B29" i="76" s="1"/>
  <c r="B30" i="76" s="1"/>
  <c r="B31" i="76" s="1"/>
  <c r="B32" i="76" s="1"/>
  <c r="B33" i="76" s="1"/>
  <c r="B34" i="76" s="1"/>
  <c r="E99" i="49"/>
  <c r="E95" i="49"/>
  <c r="E50" i="49"/>
  <c r="G46" i="49"/>
  <c r="G45" i="49"/>
  <c r="E37" i="49"/>
  <c r="B35" i="76" l="1"/>
  <c r="B38" i="76" s="1"/>
  <c r="G99" i="49"/>
  <c r="H99" i="49"/>
  <c r="G95" i="49"/>
  <c r="H95" i="49"/>
  <c r="G36" i="49"/>
  <c r="H36" i="49" s="1"/>
  <c r="H16" i="70" l="1"/>
  <c r="M5" i="58" l="1"/>
  <c r="Y5" i="58" s="1"/>
  <c r="M3" i="58"/>
  <c r="Y3" i="58" s="1"/>
  <c r="M2" i="58"/>
  <c r="Y2" i="58" s="1"/>
  <c r="AD92" i="58" l="1"/>
  <c r="AD167" i="58" s="1"/>
  <c r="F53" i="67" l="1"/>
  <c r="G53" i="67" s="1"/>
  <c r="H53" i="67" s="1"/>
  <c r="F52" i="67"/>
  <c r="G52" i="67" s="1"/>
  <c r="H52" i="67" s="1"/>
  <c r="F51" i="67"/>
  <c r="L51" i="67" s="1"/>
  <c r="F50" i="67"/>
  <c r="L50" i="67" s="1"/>
  <c r="F49" i="67"/>
  <c r="L49" i="67" s="1"/>
  <c r="F39" i="67"/>
  <c r="L39" i="67" s="1"/>
  <c r="F40" i="67"/>
  <c r="F41" i="67"/>
  <c r="L41" i="67" s="1"/>
  <c r="F42" i="67"/>
  <c r="L42" i="67" s="1"/>
  <c r="F43" i="67"/>
  <c r="L43" i="67" s="1"/>
  <c r="F44" i="67"/>
  <c r="F45" i="67"/>
  <c r="L45" i="67" s="1"/>
  <c r="F46" i="67"/>
  <c r="L46" i="67" s="1"/>
  <c r="F47" i="67"/>
  <c r="F48" i="67"/>
  <c r="F38" i="67"/>
  <c r="L38" i="67" s="1"/>
  <c r="F37" i="67"/>
  <c r="L37" i="67" s="1"/>
  <c r="B54" i="67"/>
  <c r="F36" i="67"/>
  <c r="L35" i="67"/>
  <c r="L34" i="67"/>
  <c r="F33" i="67"/>
  <c r="F32" i="67"/>
  <c r="F31" i="67"/>
  <c r="L31" i="67" s="1"/>
  <c r="F30" i="67"/>
  <c r="F29" i="67"/>
  <c r="L29" i="67" s="1"/>
  <c r="F28" i="67"/>
  <c r="G28" i="67" s="1"/>
  <c r="H28" i="67" s="1"/>
  <c r="F27" i="67"/>
  <c r="L27" i="67" s="1"/>
  <c r="F26" i="67"/>
  <c r="L26" i="67" s="1"/>
  <c r="F25" i="67"/>
  <c r="L25" i="67" s="1"/>
  <c r="F24" i="67"/>
  <c r="F23" i="67"/>
  <c r="L23" i="67" s="1"/>
  <c r="F22" i="67"/>
  <c r="F21" i="67"/>
  <c r="L21" i="67" s="1"/>
  <c r="F20" i="67"/>
  <c r="L19" i="67"/>
  <c r="F18" i="67"/>
  <c r="F17" i="67"/>
  <c r="L17" i="67" s="1"/>
  <c r="F16" i="67"/>
  <c r="L16" i="67" s="1"/>
  <c r="F15" i="67"/>
  <c r="L15" i="67" s="1"/>
  <c r="F14" i="67"/>
  <c r="L14" i="67" s="1"/>
  <c r="F13" i="67"/>
  <c r="L13" i="67" s="1"/>
  <c r="F12" i="67"/>
  <c r="L53" i="67" l="1"/>
  <c r="G51" i="67"/>
  <c r="H51" i="67" s="1"/>
  <c r="L52" i="67"/>
  <c r="G37" i="67"/>
  <c r="H37" i="67" s="1"/>
  <c r="G41" i="67"/>
  <c r="H41" i="67" s="1"/>
  <c r="G45" i="67"/>
  <c r="H45" i="67" s="1"/>
  <c r="G20" i="67"/>
  <c r="H20" i="67" s="1"/>
  <c r="G44" i="67"/>
  <c r="H44" i="67" s="1"/>
  <c r="D54" i="67"/>
  <c r="G22" i="67"/>
  <c r="H22" i="67" s="1"/>
  <c r="G30" i="67"/>
  <c r="H30" i="67" s="1"/>
  <c r="L22" i="67"/>
  <c r="G24" i="67"/>
  <c r="H24" i="67" s="1"/>
  <c r="L30" i="67"/>
  <c r="G32" i="67"/>
  <c r="H32" i="67" s="1"/>
  <c r="G47" i="67"/>
  <c r="H47" i="67" s="1"/>
  <c r="G18" i="67"/>
  <c r="H18" i="67" s="1"/>
  <c r="G26" i="67"/>
  <c r="H26" i="67" s="1"/>
  <c r="G36" i="67"/>
  <c r="H36" i="67" s="1"/>
  <c r="G40" i="67"/>
  <c r="H40" i="67" s="1"/>
  <c r="L20" i="67"/>
  <c r="L24" i="67"/>
  <c r="L28" i="67"/>
  <c r="L32" i="67"/>
  <c r="G48" i="67"/>
  <c r="H48" i="67" s="1"/>
  <c r="G49" i="67"/>
  <c r="H49" i="67" s="1"/>
  <c r="L48" i="67"/>
  <c r="F54" i="67"/>
  <c r="L54" i="67" s="1"/>
  <c r="G17" i="67"/>
  <c r="H17" i="67" s="1"/>
  <c r="L18" i="67"/>
  <c r="G21" i="67"/>
  <c r="H21" i="67" s="1"/>
  <c r="G25" i="67"/>
  <c r="H25" i="67" s="1"/>
  <c r="G29" i="67"/>
  <c r="H29" i="67" s="1"/>
  <c r="G35" i="67"/>
  <c r="H35" i="67" s="1"/>
  <c r="L36" i="67"/>
  <c r="G39" i="67"/>
  <c r="H39" i="67" s="1"/>
  <c r="L40" i="67"/>
  <c r="G43" i="67"/>
  <c r="H43" i="67" s="1"/>
  <c r="L44" i="67"/>
  <c r="L47" i="67"/>
  <c r="G33" i="67"/>
  <c r="H33" i="67" s="1"/>
  <c r="L33" i="67"/>
  <c r="G19" i="67"/>
  <c r="H19" i="67" s="1"/>
  <c r="G23" i="67"/>
  <c r="H23" i="67" s="1"/>
  <c r="G34" i="67"/>
  <c r="H34" i="67" s="1"/>
  <c r="G38" i="67"/>
  <c r="H38" i="67" s="1"/>
  <c r="G15" i="67"/>
  <c r="G16" i="67"/>
  <c r="H16" i="67" s="1"/>
  <c r="G27" i="67"/>
  <c r="H27" i="67" s="1"/>
  <c r="G31" i="67"/>
  <c r="H31" i="67" s="1"/>
  <c r="G42" i="67"/>
  <c r="H42" i="67" s="1"/>
  <c r="G46" i="67"/>
  <c r="H46" i="67" s="1"/>
  <c r="G50" i="67"/>
  <c r="H50" i="67" s="1"/>
  <c r="L12" i="67"/>
  <c r="G14" i="67"/>
  <c r="H54" i="67" l="1"/>
  <c r="G54" i="67"/>
  <c r="E55" i="67" s="1"/>
  <c r="E56" i="67" l="1"/>
  <c r="H213" i="49"/>
  <c r="J213" i="49" s="1"/>
  <c r="H214" i="49"/>
  <c r="J214" i="49" s="1"/>
  <c r="H217" i="49"/>
  <c r="J217" i="49" s="1"/>
  <c r="H219" i="49"/>
  <c r="J219" i="49" s="1"/>
  <c r="H220" i="49"/>
  <c r="J220" i="49" s="1"/>
  <c r="H221" i="49"/>
  <c r="J221" i="49" s="1"/>
  <c r="H131" i="49"/>
  <c r="H130" i="49"/>
  <c r="H129" i="49"/>
  <c r="H127" i="49"/>
  <c r="H208" i="49"/>
  <c r="J208" i="49" s="1"/>
  <c r="H126" i="49"/>
  <c r="H125" i="49"/>
  <c r="H124" i="49"/>
  <c r="H123" i="49"/>
  <c r="H122" i="49"/>
  <c r="H121" i="49"/>
  <c r="H120" i="49"/>
  <c r="E73" i="49"/>
  <c r="G73" i="49" s="1"/>
  <c r="G66" i="49" l="1"/>
  <c r="G65" i="49"/>
  <c r="G63" i="49"/>
  <c r="E61" i="49"/>
  <c r="G60" i="49"/>
  <c r="G59" i="49"/>
  <c r="G58" i="49"/>
  <c r="G56" i="49"/>
  <c r="G55" i="49"/>
  <c r="E191" i="49"/>
  <c r="G191" i="49" s="1"/>
  <c r="E8" i="49" l="1"/>
  <c r="G8" i="49" l="1"/>
  <c r="E26" i="49"/>
  <c r="E20" i="49"/>
  <c r="E13" i="49"/>
  <c r="E11" i="49"/>
  <c r="H161" i="49"/>
  <c r="H218" i="49" s="1"/>
  <c r="J218" i="49" s="1"/>
  <c r="E30" i="49" l="1"/>
  <c r="H216" i="49"/>
  <c r="J216" i="49" s="1"/>
  <c r="AF132" i="58" l="1"/>
  <c r="AF133" i="58"/>
  <c r="AF134" i="58"/>
  <c r="AF135" i="58"/>
  <c r="AF136" i="58"/>
  <c r="AF137" i="58"/>
  <c r="AE132" i="58"/>
  <c r="AE133" i="58"/>
  <c r="AE134" i="58"/>
  <c r="AE135" i="58"/>
  <c r="AE136" i="58"/>
  <c r="AE137" i="58"/>
  <c r="P95" i="6" l="1"/>
  <c r="P96" i="6"/>
  <c r="P97" i="6"/>
  <c r="P98" i="6"/>
  <c r="P99" i="6"/>
  <c r="P100" i="6"/>
  <c r="P101" i="6"/>
  <c r="P102" i="6"/>
  <c r="P103" i="6"/>
  <c r="P104" i="6"/>
  <c r="P105" i="6"/>
  <c r="P106" i="6"/>
  <c r="P107" i="6"/>
  <c r="P108" i="6"/>
  <c r="P109" i="6"/>
  <c r="P110" i="6"/>
  <c r="K95" i="6"/>
  <c r="L95" i="6" s="1"/>
  <c r="K96" i="6"/>
  <c r="L96" i="6" s="1"/>
  <c r="K97" i="6"/>
  <c r="L97" i="6" s="1"/>
  <c r="K98" i="6"/>
  <c r="L98" i="6" s="1"/>
  <c r="K99" i="6"/>
  <c r="L99" i="6" s="1"/>
  <c r="K100" i="6"/>
  <c r="L100" i="6" s="1"/>
  <c r="K101" i="6"/>
  <c r="L101" i="6" s="1"/>
  <c r="K102" i="6"/>
  <c r="L102" i="6" s="1"/>
  <c r="K103" i="6"/>
  <c r="L103" i="6" s="1"/>
  <c r="K104" i="6"/>
  <c r="L104" i="6" s="1"/>
  <c r="K105" i="6"/>
  <c r="L105" i="6" s="1"/>
  <c r="K106" i="6"/>
  <c r="L106" i="6" s="1"/>
  <c r="K107" i="6"/>
  <c r="L107" i="6" s="1"/>
  <c r="K108" i="6"/>
  <c r="L108" i="6" s="1"/>
  <c r="K109" i="6"/>
  <c r="L109" i="6" s="1"/>
  <c r="K110" i="6"/>
  <c r="L110" i="6" s="1"/>
  <c r="N110" i="6" s="1"/>
  <c r="Q110" i="6" s="1"/>
  <c r="N106" i="6" l="1"/>
  <c r="Q106" i="6" s="1"/>
  <c r="N98" i="6"/>
  <c r="Q98" i="6" s="1"/>
  <c r="N109" i="6"/>
  <c r="Q109" i="6" s="1"/>
  <c r="N105" i="6"/>
  <c r="Q105" i="6" s="1"/>
  <c r="O105" i="6"/>
  <c r="N97" i="6"/>
  <c r="Q97" i="6" s="1"/>
  <c r="N108" i="6"/>
  <c r="Q108" i="6" s="1"/>
  <c r="N104" i="6"/>
  <c r="Q104" i="6" s="1"/>
  <c r="N100" i="6"/>
  <c r="Q100" i="6" s="1"/>
  <c r="O100" i="6"/>
  <c r="N96" i="6"/>
  <c r="Q96" i="6" s="1"/>
  <c r="N102" i="6"/>
  <c r="Q102" i="6" s="1"/>
  <c r="N101" i="6"/>
  <c r="Q101" i="6" s="1"/>
  <c r="O101" i="6"/>
  <c r="N107" i="6"/>
  <c r="Q107" i="6" s="1"/>
  <c r="N103" i="6"/>
  <c r="Q103" i="6" s="1"/>
  <c r="N99" i="6"/>
  <c r="Q99" i="6" s="1"/>
  <c r="N95" i="6"/>
  <c r="Q95" i="6" s="1"/>
  <c r="H61" i="6"/>
  <c r="O98" i="6" l="1"/>
  <c r="O108" i="6"/>
  <c r="O97" i="6"/>
  <c r="O109" i="6"/>
  <c r="O106" i="6"/>
  <c r="O99" i="6"/>
  <c r="O107" i="6"/>
  <c r="O102" i="6"/>
  <c r="O95" i="6"/>
  <c r="O103" i="6"/>
  <c r="O96" i="6"/>
  <c r="O104" i="6"/>
  <c r="H63" i="6"/>
  <c r="I63" i="6" s="1"/>
  <c r="P63" i="6" l="1"/>
  <c r="K63" i="6"/>
  <c r="L63" i="6" s="1"/>
  <c r="N63" i="6" l="1"/>
  <c r="Q63" i="6" s="1"/>
  <c r="H64" i="6"/>
  <c r="H65" i="6"/>
  <c r="K23" i="6"/>
  <c r="H21" i="6"/>
  <c r="H22" i="6"/>
  <c r="H23" i="6"/>
  <c r="I23" i="6" s="1"/>
  <c r="H24" i="6"/>
  <c r="P24" i="6" s="1"/>
  <c r="H25" i="6"/>
  <c r="H26" i="6"/>
  <c r="H27" i="6"/>
  <c r="I27" i="6" s="1"/>
  <c r="K27" i="6" s="1"/>
  <c r="L27" i="6" s="1"/>
  <c r="N27" i="6" s="1"/>
  <c r="H28" i="6"/>
  <c r="P28" i="6" s="1"/>
  <c r="H29" i="6"/>
  <c r="H30" i="6"/>
  <c r="H31" i="6"/>
  <c r="I31" i="6" s="1"/>
  <c r="K31" i="6" s="1"/>
  <c r="L31" i="6" s="1"/>
  <c r="N31" i="6" s="1"/>
  <c r="H32" i="6"/>
  <c r="I32" i="6" s="1"/>
  <c r="K32" i="6" s="1"/>
  <c r="L32" i="6" s="1"/>
  <c r="N32" i="6" s="1"/>
  <c r="H33" i="6"/>
  <c r="H34" i="6"/>
  <c r="H35" i="6"/>
  <c r="I35" i="6" s="1"/>
  <c r="H36" i="6"/>
  <c r="I36" i="6" s="1"/>
  <c r="K36" i="6" s="1"/>
  <c r="L36" i="6" s="1"/>
  <c r="N36" i="6" s="1"/>
  <c r="H37" i="6"/>
  <c r="H38" i="6"/>
  <c r="H39" i="6"/>
  <c r="P39" i="6" s="1"/>
  <c r="H40" i="6"/>
  <c r="I40" i="6" s="1"/>
  <c r="K40" i="6" s="1"/>
  <c r="L40" i="6" s="1"/>
  <c r="N40" i="6" s="1"/>
  <c r="H41" i="6"/>
  <c r="P41" i="6" s="1"/>
  <c r="I28" i="6" l="1"/>
  <c r="L23" i="6"/>
  <c r="N23" i="6" s="1"/>
  <c r="Q23" i="6" s="1"/>
  <c r="O63" i="6"/>
  <c r="P35" i="6"/>
  <c r="I24" i="6"/>
  <c r="P31" i="6"/>
  <c r="P27" i="6"/>
  <c r="I39" i="6"/>
  <c r="K39" i="6" s="1"/>
  <c r="L39" i="6" s="1"/>
  <c r="N39" i="6" s="1"/>
  <c r="O39" i="6" s="1"/>
  <c r="P23" i="6"/>
  <c r="O36" i="6"/>
  <c r="Q36" i="6"/>
  <c r="O32" i="6"/>
  <c r="Q32" i="6"/>
  <c r="O27" i="6"/>
  <c r="Q27" i="6"/>
  <c r="O40" i="6"/>
  <c r="Q40" i="6"/>
  <c r="P111" i="31" s="1"/>
  <c r="O31" i="6"/>
  <c r="Q31" i="6"/>
  <c r="I38" i="6"/>
  <c r="P38" i="6"/>
  <c r="I22" i="6"/>
  <c r="P22" i="6"/>
  <c r="I37" i="6"/>
  <c r="P37" i="6"/>
  <c r="I25" i="6"/>
  <c r="P25" i="6"/>
  <c r="K28" i="6"/>
  <c r="L28" i="6" s="1"/>
  <c r="N28" i="6" s="1"/>
  <c r="I34" i="6"/>
  <c r="P34" i="6"/>
  <c r="I30" i="6"/>
  <c r="P30" i="6"/>
  <c r="I26" i="6"/>
  <c r="P26" i="6"/>
  <c r="I33" i="6"/>
  <c r="P33" i="6"/>
  <c r="I29" i="6"/>
  <c r="P29" i="6"/>
  <c r="P21" i="6"/>
  <c r="K35" i="6"/>
  <c r="L35" i="6" s="1"/>
  <c r="N35" i="6" s="1"/>
  <c r="P40" i="6"/>
  <c r="P36" i="6"/>
  <c r="P32" i="6"/>
  <c r="O23" i="6" l="1"/>
  <c r="Q39" i="6"/>
  <c r="K24" i="6"/>
  <c r="L24" i="6" s="1"/>
  <c r="N24" i="6" s="1"/>
  <c r="O35" i="6"/>
  <c r="Q35" i="6"/>
  <c r="K33" i="6"/>
  <c r="L33" i="6" s="1"/>
  <c r="N33" i="6" s="1"/>
  <c r="K34" i="6"/>
  <c r="L34" i="6" s="1"/>
  <c r="N34" i="6" s="1"/>
  <c r="O28" i="6"/>
  <c r="Q28" i="6"/>
  <c r="K37" i="6"/>
  <c r="L37" i="6" s="1"/>
  <c r="N37" i="6" s="1"/>
  <c r="K38" i="6"/>
  <c r="L38" i="6" s="1"/>
  <c r="N38" i="6" s="1"/>
  <c r="K29" i="6"/>
  <c r="L29" i="6" s="1"/>
  <c r="N29" i="6" s="1"/>
  <c r="K30" i="6"/>
  <c r="L30" i="6" s="1"/>
  <c r="N30" i="6" s="1"/>
  <c r="K21" i="6"/>
  <c r="L21" i="6" s="1"/>
  <c r="N21" i="6" s="1"/>
  <c r="K26" i="6"/>
  <c r="L26" i="6" s="1"/>
  <c r="N26" i="6" s="1"/>
  <c r="K25" i="6"/>
  <c r="L25" i="6" s="1"/>
  <c r="N25" i="6" s="1"/>
  <c r="K22" i="6"/>
  <c r="L22" i="6" s="1"/>
  <c r="N22" i="6" s="1"/>
  <c r="O24" i="6" l="1"/>
  <c r="Q24" i="6"/>
  <c r="Q38" i="6"/>
  <c r="P104" i="31" s="1"/>
  <c r="O38" i="6"/>
  <c r="Q21" i="6"/>
  <c r="O21" i="6"/>
  <c r="Q37" i="6"/>
  <c r="O37" i="6"/>
  <c r="Q33" i="6"/>
  <c r="O33" i="6"/>
  <c r="Q34" i="6"/>
  <c r="O34" i="6"/>
  <c r="Q22" i="6"/>
  <c r="O22" i="6"/>
  <c r="Q30" i="6"/>
  <c r="O30" i="6"/>
  <c r="Q26" i="6"/>
  <c r="O26" i="6"/>
  <c r="Q25" i="6"/>
  <c r="O25" i="6"/>
  <c r="Q29" i="6"/>
  <c r="O29" i="6"/>
  <c r="D15" i="6" l="1"/>
  <c r="F38" i="18" l="1"/>
  <c r="F39" i="18"/>
  <c r="F18" i="18"/>
  <c r="F12" i="18"/>
  <c r="F11" i="18"/>
  <c r="F10" i="18"/>
  <c r="G62" i="49" l="1"/>
  <c r="G35" i="49"/>
  <c r="E146" i="49"/>
  <c r="G146" i="49" s="1"/>
  <c r="G75" i="49"/>
  <c r="D205" i="49" s="1"/>
  <c r="G50" i="49"/>
  <c r="G34" i="49"/>
  <c r="G47" i="49"/>
  <c r="G25" i="49"/>
  <c r="H25" i="49" s="1"/>
  <c r="G29" i="49"/>
  <c r="H29" i="49" s="1"/>
  <c r="G12" i="49"/>
  <c r="H12" i="49" s="1"/>
  <c r="G26" i="49"/>
  <c r="G23" i="49"/>
  <c r="H23" i="49" s="1"/>
  <c r="G10" i="49"/>
  <c r="H10" i="49" s="1"/>
  <c r="G19" i="49"/>
  <c r="G17" i="49"/>
  <c r="H30" i="49" l="1"/>
  <c r="C14" i="64" l="1"/>
  <c r="C13" i="64"/>
  <c r="C12" i="64"/>
  <c r="C11" i="64"/>
  <c r="C10" i="64"/>
  <c r="AT73" i="59" l="1"/>
  <c r="AE73" i="59"/>
  <c r="AB73" i="59"/>
  <c r="Y73" i="59"/>
  <c r="V73" i="59"/>
  <c r="S73" i="59"/>
  <c r="P73" i="59"/>
  <c r="M73" i="59"/>
  <c r="Q615" i="62" l="1"/>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l="1"/>
  <c r="S687" i="62"/>
  <c r="S683" i="62"/>
  <c r="S669" i="62"/>
  <c r="S670" i="62"/>
  <c r="S662" i="62"/>
  <c r="S663" i="62"/>
  <c r="S650" i="62"/>
  <c r="S651" i="62"/>
  <c r="S611" i="62"/>
  <c r="X611" i="62" s="1"/>
  <c r="Z611" i="62" s="1"/>
  <c r="S612" i="62"/>
  <c r="X612" i="62" s="1"/>
  <c r="Z612" i="62" s="1"/>
  <c r="S613" i="62"/>
  <c r="X613" i="62" s="1"/>
  <c r="Y613" i="62" s="1"/>
  <c r="S614" i="62"/>
  <c r="X614" i="62" s="1"/>
  <c r="Y614" i="62" s="1"/>
  <c r="S555" i="62"/>
  <c r="S581" i="62"/>
  <c r="S582" i="62"/>
  <c r="S583" i="62"/>
  <c r="S584" i="62"/>
  <c r="S585" i="62"/>
  <c r="S586" i="62"/>
  <c r="S587" i="62"/>
  <c r="F588" i="62"/>
  <c r="S556" i="62"/>
  <c r="F546" i="62"/>
  <c r="S541" i="62"/>
  <c r="X541" i="62" s="1"/>
  <c r="AB541" i="62" s="1"/>
  <c r="S542" i="62"/>
  <c r="X542" i="62" s="1"/>
  <c r="AB542" i="62" s="1"/>
  <c r="S524" i="62"/>
  <c r="V524" i="62" s="1"/>
  <c r="S525" i="62"/>
  <c r="V525" i="62" s="1"/>
  <c r="AD525" i="62" s="1"/>
  <c r="S508" i="62"/>
  <c r="V508" i="62" s="1"/>
  <c r="S509" i="62"/>
  <c r="V509" i="62" s="1"/>
  <c r="AD509" i="62" s="1"/>
  <c r="S510" i="62"/>
  <c r="V510" i="62" s="1"/>
  <c r="AD510" i="62" s="1"/>
  <c r="S499" i="62"/>
  <c r="V499" i="62" s="1"/>
  <c r="S500" i="62"/>
  <c r="V500" i="62" s="1"/>
  <c r="S501" i="62"/>
  <c r="V501" i="62" s="1"/>
  <c r="S502" i="62"/>
  <c r="S473" i="62"/>
  <c r="V473" i="62" s="1"/>
  <c r="AD473" i="62" s="1"/>
  <c r="AF473" i="62" s="1"/>
  <c r="S462" i="62"/>
  <c r="S475" i="62"/>
  <c r="V475" i="62" s="1"/>
  <c r="S463" i="62"/>
  <c r="V463" i="62" s="1"/>
  <c r="S450" i="62"/>
  <c r="S439" i="62"/>
  <c r="V439" i="62" s="1"/>
  <c r="S420" i="62"/>
  <c r="S421" i="62"/>
  <c r="V421" i="62" s="1"/>
  <c r="AD421" i="62" s="1"/>
  <c r="S422" i="62"/>
  <c r="S412" i="62"/>
  <c r="S413" i="62"/>
  <c r="S414" i="62"/>
  <c r="S415" i="62"/>
  <c r="S416" i="62"/>
  <c r="U416" i="62" s="1"/>
  <c r="S417" i="62"/>
  <c r="W417" i="62" s="1"/>
  <c r="AC417" i="62" s="1"/>
  <c r="S206" i="62"/>
  <c r="S335" i="62"/>
  <c r="W335" i="62" s="1"/>
  <c r="AC335" i="62" s="1"/>
  <c r="S336" i="62"/>
  <c r="W336" i="62" s="1"/>
  <c r="AC336" i="62" s="1"/>
  <c r="S337" i="62"/>
  <c r="S338" i="62"/>
  <c r="S339" i="62"/>
  <c r="S309" i="62"/>
  <c r="G325" i="62"/>
  <c r="H325" i="62"/>
  <c r="I325" i="62"/>
  <c r="J325" i="62"/>
  <c r="K325" i="62"/>
  <c r="L325" i="62"/>
  <c r="M325" i="62"/>
  <c r="N325" i="62"/>
  <c r="O325" i="62"/>
  <c r="P325" i="62"/>
  <c r="Q325" i="62"/>
  <c r="R325" i="62"/>
  <c r="F325" i="62"/>
  <c r="S265" i="62"/>
  <c r="S266" i="62"/>
  <c r="S267" i="62"/>
  <c r="S241" i="62"/>
  <c r="S242" i="62"/>
  <c r="S297" i="62"/>
  <c r="G298" i="62"/>
  <c r="H298" i="62"/>
  <c r="I298" i="62"/>
  <c r="J298" i="62"/>
  <c r="K298" i="62"/>
  <c r="L298" i="62"/>
  <c r="M298" i="62"/>
  <c r="N298" i="62"/>
  <c r="O298" i="62"/>
  <c r="P298" i="62"/>
  <c r="Q298" i="62"/>
  <c r="R298" i="62"/>
  <c r="F298" i="62"/>
  <c r="S278" i="62"/>
  <c r="S279" i="62"/>
  <c r="S280" i="62"/>
  <c r="S281" i="62"/>
  <c r="S282" i="62"/>
  <c r="S283" i="62"/>
  <c r="S284" i="62"/>
  <c r="S285" i="62"/>
  <c r="S286" i="62"/>
  <c r="S287" i="62"/>
  <c r="S288" i="62"/>
  <c r="S289" i="62"/>
  <c r="S290" i="62"/>
  <c r="S291" i="62"/>
  <c r="S292" i="62"/>
  <c r="S293" i="62"/>
  <c r="X293" i="62" s="1"/>
  <c r="S294" i="62"/>
  <c r="X294" i="62" s="1"/>
  <c r="S295" i="62"/>
  <c r="S296" i="62"/>
  <c r="AB296" i="62" l="1"/>
  <c r="X296" i="62"/>
  <c r="AD288" i="62"/>
  <c r="V288" i="62"/>
  <c r="AD280" i="62"/>
  <c r="V280" i="62"/>
  <c r="AD297" i="62"/>
  <c r="V297" i="62"/>
  <c r="AD499" i="62"/>
  <c r="AF499" i="62"/>
  <c r="AD582" i="62"/>
  <c r="V582" i="62"/>
  <c r="AC650" i="62"/>
  <c r="W650" i="62"/>
  <c r="AD279" i="62"/>
  <c r="U279" i="62"/>
  <c r="AD265" i="62"/>
  <c r="U265" i="62"/>
  <c r="AC414" i="62"/>
  <c r="W414" i="62"/>
  <c r="AD502" i="62"/>
  <c r="V502" i="62"/>
  <c r="AD524" i="62"/>
  <c r="AF524" i="62" s="1"/>
  <c r="AB585" i="62"/>
  <c r="X585" i="62"/>
  <c r="AC683" i="62"/>
  <c r="W683" i="62"/>
  <c r="AB278" i="62"/>
  <c r="X278" i="62"/>
  <c r="AD241" i="62"/>
  <c r="U241" i="62"/>
  <c r="AC413" i="62"/>
  <c r="W413" i="62"/>
  <c r="AD501" i="62"/>
  <c r="AF501" i="62" s="1"/>
  <c r="AB584" i="62"/>
  <c r="X584" i="62"/>
  <c r="AD555" i="62"/>
  <c r="V555" i="62"/>
  <c r="AC662" i="62"/>
  <c r="W662" i="62"/>
  <c r="AC687" i="62"/>
  <c r="W687" i="62"/>
  <c r="AD292" i="62"/>
  <c r="V292" i="62"/>
  <c r="AC339" i="62"/>
  <c r="W339" i="62"/>
  <c r="AD415" i="62"/>
  <c r="U415" i="62"/>
  <c r="AD586" i="62"/>
  <c r="V586" i="62"/>
  <c r="AC669" i="62"/>
  <c r="W669" i="62"/>
  <c r="AB295" i="62"/>
  <c r="X295" i="62"/>
  <c r="AD242" i="62"/>
  <c r="U242" i="62"/>
  <c r="AC338" i="62"/>
  <c r="W338" i="62"/>
  <c r="AD581" i="62"/>
  <c r="V581" i="62"/>
  <c r="AC663" i="62"/>
  <c r="W663" i="62"/>
  <c r="AD281" i="62"/>
  <c r="V281" i="62"/>
  <c r="AD267" i="62"/>
  <c r="U267" i="62"/>
  <c r="AC412" i="62"/>
  <c r="W412" i="62"/>
  <c r="AD439" i="62"/>
  <c r="AF439" i="62" s="1"/>
  <c r="AD462" i="62"/>
  <c r="V462" i="62"/>
  <c r="AD500" i="62"/>
  <c r="AF500" i="62" s="1"/>
  <c r="AD508" i="62"/>
  <c r="AF508" i="62" s="1"/>
  <c r="AD587" i="62"/>
  <c r="V587" i="62"/>
  <c r="AD583" i="62"/>
  <c r="V583" i="62"/>
  <c r="AC651" i="62"/>
  <c r="W651" i="62"/>
  <c r="AC670" i="62"/>
  <c r="W670" i="62"/>
  <c r="AD475" i="62"/>
  <c r="AF475" i="62" s="1"/>
  <c r="AD463" i="62"/>
  <c r="AF463" i="62" s="1"/>
  <c r="S230" i="62"/>
  <c r="S231" i="62"/>
  <c r="S219" i="62"/>
  <c r="S220" i="62"/>
  <c r="S221" i="62"/>
  <c r="S222" i="62"/>
  <c r="S203" i="62"/>
  <c r="S204" i="62"/>
  <c r="S205" i="62"/>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s="1"/>
  <c r="S125" i="62"/>
  <c r="S126" i="62"/>
  <c r="S127" i="62"/>
  <c r="S128" i="62"/>
  <c r="S129" i="62"/>
  <c r="S130" i="62"/>
  <c r="S131" i="62"/>
  <c r="S132" i="62"/>
  <c r="S133" i="62"/>
  <c r="S134" i="62"/>
  <c r="S135" i="62"/>
  <c r="S136" i="62"/>
  <c r="S137" i="62"/>
  <c r="S138" i="62"/>
  <c r="S139" i="62"/>
  <c r="S140" i="62"/>
  <c r="S141" i="62"/>
  <c r="S142" i="62"/>
  <c r="U142" i="62" s="1"/>
  <c r="AD222" i="62" l="1"/>
  <c r="V222" i="62"/>
  <c r="AD230" i="62"/>
  <c r="U230" i="62"/>
  <c r="AD168" i="62"/>
  <c r="AF168" i="62"/>
  <c r="AD204" i="62"/>
  <c r="U204" i="62"/>
  <c r="AC220" i="62"/>
  <c r="W220" i="62"/>
  <c r="AF502" i="62"/>
  <c r="AF265" i="62"/>
  <c r="AD142" i="62"/>
  <c r="AF142" i="62" s="1"/>
  <c r="AD231" i="62"/>
  <c r="U231" i="62"/>
  <c r="AD205" i="62"/>
  <c r="U205" i="62"/>
  <c r="AC221" i="62"/>
  <c r="W221" i="62"/>
  <c r="AD167" i="62"/>
  <c r="AF167" i="62" s="1"/>
  <c r="AD203" i="62"/>
  <c r="U203" i="62"/>
  <c r="AC219" i="62"/>
  <c r="W219" i="62"/>
  <c r="F81" i="62"/>
  <c r="G81" i="62"/>
  <c r="H81" i="62"/>
  <c r="I81" i="62"/>
  <c r="J81" i="62"/>
  <c r="K81" i="62"/>
  <c r="L81" i="62"/>
  <c r="M81" i="62"/>
  <c r="N81" i="62"/>
  <c r="O81" i="62"/>
  <c r="P81" i="62"/>
  <c r="Q81" i="62"/>
  <c r="R81" i="62"/>
  <c r="S79" i="62"/>
  <c r="U79" i="62" s="1"/>
  <c r="AD79" i="62" s="1"/>
  <c r="S80" i="62"/>
  <c r="U80" i="62" s="1"/>
  <c r="AD80" i="62" s="1"/>
  <c r="S76" i="62"/>
  <c r="U76" i="62" s="1"/>
  <c r="AD76" i="62" s="1"/>
  <c r="S77" i="62"/>
  <c r="U77" i="62" s="1"/>
  <c r="AD77" i="62" s="1"/>
  <c r="S78" i="62"/>
  <c r="U78" i="62" s="1"/>
  <c r="AD78" i="62" s="1"/>
  <c r="S62" i="62"/>
  <c r="S49" i="62"/>
  <c r="S50" i="62"/>
  <c r="S51" i="62"/>
  <c r="S52" i="62"/>
  <c r="S53" i="62"/>
  <c r="S54" i="62"/>
  <c r="U54" i="62" s="1"/>
  <c r="S55" i="62"/>
  <c r="S56" i="62"/>
  <c r="S57" i="62"/>
  <c r="S58" i="62"/>
  <c r="F59" i="62"/>
  <c r="G59" i="62"/>
  <c r="H59" i="62"/>
  <c r="I59" i="62"/>
  <c r="J59" i="62"/>
  <c r="K59" i="62"/>
  <c r="L59" i="62"/>
  <c r="M59" i="62"/>
  <c r="N59" i="62"/>
  <c r="O59" i="62"/>
  <c r="P59" i="62"/>
  <c r="Q59" i="62"/>
  <c r="R59" i="62"/>
  <c r="S45" i="62"/>
  <c r="S42" i="62"/>
  <c r="S43" i="62"/>
  <c r="S44" i="62"/>
  <c r="S41" i="62"/>
  <c r="S23" i="62"/>
  <c r="S24" i="62"/>
  <c r="S25" i="62"/>
  <c r="S26" i="62"/>
  <c r="S27" i="62"/>
  <c r="S16" i="62"/>
  <c r="S17" i="62"/>
  <c r="X17" i="62" s="1"/>
  <c r="AD54" i="62" l="1"/>
  <c r="AF54" i="62"/>
  <c r="AY37" i="59"/>
  <c r="AY38" i="59"/>
  <c r="AY39" i="59"/>
  <c r="AY40" i="59"/>
  <c r="AY41" i="59"/>
  <c r="AY42" i="59"/>
  <c r="AX37" i="59"/>
  <c r="AX38" i="59"/>
  <c r="AX39" i="59"/>
  <c r="AX40" i="59"/>
  <c r="AX41" i="59"/>
  <c r="AX42" i="59"/>
  <c r="AT38" i="59"/>
  <c r="AT39" i="59"/>
  <c r="AT40" i="59"/>
  <c r="AT41" i="59"/>
  <c r="AT42" i="59"/>
  <c r="AT37" i="59"/>
  <c r="AT36" i="59"/>
  <c r="AT28" i="59"/>
  <c r="AT29" i="59"/>
  <c r="AT30" i="59"/>
  <c r="AT31" i="59"/>
  <c r="AT32" i="59"/>
  <c r="AT33" i="59"/>
  <c r="AT34" i="59"/>
  <c r="AT27" i="59"/>
  <c r="AQ38" i="59"/>
  <c r="AQ39" i="59"/>
  <c r="AQ40" i="59"/>
  <c r="AQ41" i="59"/>
  <c r="AQ42" i="59"/>
  <c r="AQ37" i="59"/>
  <c r="AQ36" i="59"/>
  <c r="AQ28" i="59"/>
  <c r="AQ29" i="59"/>
  <c r="AQ30" i="59"/>
  <c r="AQ31" i="59"/>
  <c r="AQ32" i="59"/>
  <c r="AQ33" i="59"/>
  <c r="AQ34" i="59"/>
  <c r="AQ27" i="59"/>
  <c r="AN38" i="59"/>
  <c r="AN39" i="59"/>
  <c r="AN40" i="59"/>
  <c r="AN41" i="59"/>
  <c r="AN42" i="59"/>
  <c r="AN37" i="59"/>
  <c r="AN36" i="59"/>
  <c r="AN28" i="59"/>
  <c r="AN29" i="59"/>
  <c r="AN30" i="59"/>
  <c r="AN31" i="59"/>
  <c r="AN32" i="59"/>
  <c r="AN33" i="59"/>
  <c r="AN34" i="59"/>
  <c r="AN27" i="59"/>
  <c r="AK38" i="59"/>
  <c r="AK39" i="59"/>
  <c r="AK40" i="59"/>
  <c r="AK41" i="59"/>
  <c r="AK42" i="59"/>
  <c r="AK37" i="59"/>
  <c r="AK36" i="59"/>
  <c r="AK28" i="59"/>
  <c r="AK29" i="59"/>
  <c r="AK30" i="59"/>
  <c r="AK31" i="59"/>
  <c r="AK32" i="59"/>
  <c r="AK33" i="59"/>
  <c r="AK34" i="59"/>
  <c r="AK27" i="59"/>
  <c r="AH38" i="59"/>
  <c r="AH39" i="59"/>
  <c r="AH40" i="59"/>
  <c r="AH41" i="59"/>
  <c r="AH42" i="59"/>
  <c r="AH37" i="59"/>
  <c r="AH36" i="59"/>
  <c r="AH28" i="59"/>
  <c r="AH29" i="59"/>
  <c r="AH30" i="59"/>
  <c r="AH31" i="59"/>
  <c r="AH32" i="59"/>
  <c r="AH33" i="59"/>
  <c r="AH34" i="59"/>
  <c r="AH27" i="59"/>
  <c r="AE38" i="59"/>
  <c r="AE39" i="59"/>
  <c r="AE40" i="59"/>
  <c r="AE41" i="59"/>
  <c r="AE42" i="59"/>
  <c r="AE37" i="59"/>
  <c r="AE36" i="59"/>
  <c r="AE28" i="59"/>
  <c r="AE29" i="59"/>
  <c r="AE30" i="59"/>
  <c r="AE31" i="59"/>
  <c r="AE32" i="59"/>
  <c r="AE33" i="59"/>
  <c r="AE34" i="59"/>
  <c r="AE27" i="59"/>
  <c r="AB38" i="59"/>
  <c r="AB39" i="59"/>
  <c r="AB40" i="59"/>
  <c r="AB41" i="59"/>
  <c r="AB42" i="59"/>
  <c r="AB37" i="59"/>
  <c r="AB36" i="59"/>
  <c r="AB28" i="59"/>
  <c r="AB29" i="59"/>
  <c r="AB30" i="59"/>
  <c r="AB31" i="59"/>
  <c r="AB32" i="59"/>
  <c r="AB33" i="59"/>
  <c r="AB34" i="59"/>
  <c r="AB27" i="59"/>
  <c r="Y38" i="59"/>
  <c r="Y39" i="59"/>
  <c r="Y40" i="59"/>
  <c r="Y41" i="59"/>
  <c r="Y42" i="59"/>
  <c r="Y37" i="59"/>
  <c r="Y36" i="59"/>
  <c r="Y28" i="59"/>
  <c r="Y29" i="59"/>
  <c r="Y30" i="59"/>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31" i="59"/>
  <c r="P32" i="59"/>
  <c r="P33" i="59"/>
  <c r="P34" i="59"/>
  <c r="P26" i="59"/>
  <c r="M38" i="59"/>
  <c r="M39" i="59"/>
  <c r="M40" i="59"/>
  <c r="M41" i="59"/>
  <c r="M42" i="59"/>
  <c r="M37" i="59"/>
  <c r="M36" i="59"/>
  <c r="M27" i="59"/>
  <c r="M28" i="59"/>
  <c r="M29" i="59"/>
  <c r="M30" i="59"/>
  <c r="M31" i="59"/>
  <c r="M32" i="59"/>
  <c r="M33" i="59"/>
  <c r="M34" i="59"/>
  <c r="M26" i="59"/>
  <c r="J38" i="59"/>
  <c r="J39" i="59"/>
  <c r="J40" i="59"/>
  <c r="J41" i="59"/>
  <c r="J42" i="59"/>
  <c r="J37" i="59"/>
  <c r="J36" i="59"/>
  <c r="J27" i="59"/>
  <c r="J28" i="59"/>
  <c r="J29" i="59"/>
  <c r="J30" i="59"/>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V43" i="59" l="1"/>
  <c r="AE79" i="59"/>
  <c r="AQ79" i="59"/>
  <c r="AN79" i="59"/>
  <c r="AB79" i="59"/>
  <c r="M79" i="59"/>
  <c r="P79" i="59"/>
  <c r="S79" i="59"/>
  <c r="V79" i="59"/>
  <c r="Y79" i="59"/>
  <c r="AK79" i="59"/>
  <c r="AH79" i="59"/>
  <c r="AT79" i="59"/>
  <c r="AW37" i="59"/>
  <c r="AW41" i="59"/>
  <c r="AQ43" i="59"/>
  <c r="AW40" i="59"/>
  <c r="AW39" i="59"/>
  <c r="AW42" i="59"/>
  <c r="AW38" i="59"/>
  <c r="AB43" i="59"/>
  <c r="AN43" i="59"/>
  <c r="S43" i="59"/>
  <c r="AT43" i="59"/>
  <c r="AK43" i="59"/>
  <c r="AH43" i="59"/>
  <c r="AE43" i="59"/>
  <c r="Y43" i="59"/>
  <c r="P43" i="59"/>
  <c r="M43" i="59"/>
  <c r="J43" i="59"/>
  <c r="D11" i="73" l="1"/>
  <c r="U98" i="31" l="1"/>
  <c r="L15" i="31" l="1"/>
  <c r="I15" i="31"/>
  <c r="G17" i="4" s="1"/>
  <c r="J20" i="4" l="1"/>
  <c r="H21" i="70"/>
  <c r="H27" i="70" s="1"/>
  <c r="S15" i="62"/>
  <c r="S18" i="62"/>
  <c r="S19" i="62"/>
  <c r="S22" i="62"/>
  <c r="S30" i="62"/>
  <c r="S31" i="62"/>
  <c r="S38" i="62"/>
  <c r="S46" i="62"/>
  <c r="S48" i="62"/>
  <c r="S61" i="62"/>
  <c r="S63" i="62" s="1"/>
  <c r="S65" i="62"/>
  <c r="S66" i="62"/>
  <c r="S67" i="62"/>
  <c r="S68" i="62"/>
  <c r="S69" i="62"/>
  <c r="S70" i="62"/>
  <c r="S71" i="62"/>
  <c r="S72" i="62"/>
  <c r="S73" i="62"/>
  <c r="S74" i="62"/>
  <c r="S75" i="62"/>
  <c r="S83" i="62"/>
  <c r="S84" i="62"/>
  <c r="S86" i="62"/>
  <c r="S87" i="62"/>
  <c r="S88" i="62"/>
  <c r="S89" i="62"/>
  <c r="S90" i="62"/>
  <c r="S91" i="62"/>
  <c r="S92" i="62"/>
  <c r="S93" i="62"/>
  <c r="S94" i="62"/>
  <c r="S97" i="62"/>
  <c r="S100" i="62"/>
  <c r="S101" i="62"/>
  <c r="S102" i="62"/>
  <c r="S103" i="62"/>
  <c r="S104" i="62"/>
  <c r="S105" i="62"/>
  <c r="S106" i="62"/>
  <c r="S107" i="62"/>
  <c r="S108" i="62"/>
  <c r="S109" i="62"/>
  <c r="S110" i="62"/>
  <c r="S111" i="62"/>
  <c r="S112" i="62"/>
  <c r="S113" i="62"/>
  <c r="S114" i="62"/>
  <c r="S115" i="62"/>
  <c r="S116" i="62"/>
  <c r="S117" i="62"/>
  <c r="S118" i="62"/>
  <c r="S119" i="62"/>
  <c r="S124" i="62"/>
  <c r="S143" i="62"/>
  <c r="S144" i="62"/>
  <c r="S145" i="62"/>
  <c r="S146" i="62"/>
  <c r="S147" i="62"/>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S180" i="62"/>
  <c r="S183" i="62"/>
  <c r="S184" i="62"/>
  <c r="S185" i="62"/>
  <c r="S186" i="62"/>
  <c r="S187" i="62"/>
  <c r="S188" i="62"/>
  <c r="S189" i="62"/>
  <c r="S190" i="62"/>
  <c r="S191" i="62"/>
  <c r="S192" i="62"/>
  <c r="S193" i="62"/>
  <c r="S194" i="62"/>
  <c r="S195" i="62"/>
  <c r="S198" i="62"/>
  <c r="S199" i="62"/>
  <c r="S201" i="62"/>
  <c r="S202" i="62"/>
  <c r="X202" i="62" s="1"/>
  <c r="S207" i="62"/>
  <c r="S208" i="62"/>
  <c r="S209" i="62"/>
  <c r="S210" i="62"/>
  <c r="S211" i="62"/>
  <c r="S212" i="62"/>
  <c r="S213" i="62"/>
  <c r="S214" i="62"/>
  <c r="S215" i="62"/>
  <c r="S216" i="62"/>
  <c r="S217" i="62"/>
  <c r="S218" i="62"/>
  <c r="S223" i="62"/>
  <c r="AD223" i="62" s="1"/>
  <c r="S226" i="62"/>
  <c r="S227" i="62" s="1"/>
  <c r="S229" i="62"/>
  <c r="S232" i="62"/>
  <c r="S233" i="62"/>
  <c r="S234" i="62"/>
  <c r="S235" i="62"/>
  <c r="S236" i="62"/>
  <c r="X236" i="62" s="1"/>
  <c r="AB236" i="62" s="1"/>
  <c r="S237" i="62"/>
  <c r="X237" i="62" s="1"/>
  <c r="AB237" i="62" s="1"/>
  <c r="S238" i="62"/>
  <c r="X238" i="62" s="1"/>
  <c r="AB238" i="62" s="1"/>
  <c r="S239" i="62"/>
  <c r="X239" i="62" s="1"/>
  <c r="AB239" i="62" s="1"/>
  <c r="S240" i="62"/>
  <c r="X240" i="62" s="1"/>
  <c r="AB240" i="62" s="1"/>
  <c r="S243" i="62"/>
  <c r="S244" i="62"/>
  <c r="S245" i="62"/>
  <c r="S246" i="62"/>
  <c r="S247" i="62"/>
  <c r="S248" i="62"/>
  <c r="S249" i="62"/>
  <c r="S250" i="62"/>
  <c r="S251" i="62"/>
  <c r="S252" i="62"/>
  <c r="S253" i="62"/>
  <c r="S254" i="62"/>
  <c r="S255" i="62"/>
  <c r="S256" i="62"/>
  <c r="S257" i="62"/>
  <c r="S258" i="62"/>
  <c r="S259" i="62"/>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S435" i="62"/>
  <c r="S436" i="62"/>
  <c r="S437" i="62"/>
  <c r="S438" i="62"/>
  <c r="S440" i="62"/>
  <c r="S442" i="62"/>
  <c r="S443" i="62"/>
  <c r="S444" i="62"/>
  <c r="S445" i="62"/>
  <c r="S446" i="62"/>
  <c r="S447" i="62"/>
  <c r="S449" i="62"/>
  <c r="S453" i="62"/>
  <c r="S454" i="62"/>
  <c r="S455" i="62"/>
  <c r="S456" i="62"/>
  <c r="S464" i="62"/>
  <c r="S465" i="62"/>
  <c r="S466" i="62"/>
  <c r="S467" i="62"/>
  <c r="S468" i="62"/>
  <c r="S469" i="62"/>
  <c r="S470" i="62"/>
  <c r="S471" i="62"/>
  <c r="S472" i="62"/>
  <c r="S474" i="62"/>
  <c r="S476" i="62"/>
  <c r="S477" i="62"/>
  <c r="S478" i="62"/>
  <c r="S479" i="62"/>
  <c r="S480" i="62"/>
  <c r="S481" i="62"/>
  <c r="S482" i="62"/>
  <c r="S483" i="62"/>
  <c r="S484" i="62"/>
  <c r="S485" i="62"/>
  <c r="S486" i="62"/>
  <c r="S487" i="62"/>
  <c r="S488" i="62"/>
  <c r="S489" i="62"/>
  <c r="S490" i="62"/>
  <c r="S491" i="62"/>
  <c r="S492" i="62"/>
  <c r="S493" i="62"/>
  <c r="S494" i="62"/>
  <c r="S495" i="62"/>
  <c r="S496" i="62"/>
  <c r="S497" i="62"/>
  <c r="S498" i="62"/>
  <c r="S503" i="62"/>
  <c r="S504" i="62"/>
  <c r="S505" i="62"/>
  <c r="S506" i="62"/>
  <c r="S507" i="62"/>
  <c r="S511" i="62"/>
  <c r="S512" i="62"/>
  <c r="S513" i="62"/>
  <c r="S514" i="62"/>
  <c r="S515" i="62"/>
  <c r="S516" i="62"/>
  <c r="S517" i="62"/>
  <c r="S518" i="62"/>
  <c r="S519" i="62"/>
  <c r="S520" i="62"/>
  <c r="S521" i="62"/>
  <c r="S522" i="62"/>
  <c r="S523" i="62"/>
  <c r="S526" i="62"/>
  <c r="S527" i="62"/>
  <c r="S528" i="62"/>
  <c r="S529" i="62"/>
  <c r="S530" i="62"/>
  <c r="S531" i="62"/>
  <c r="S532" i="62"/>
  <c r="S533" i="62"/>
  <c r="S534" i="62"/>
  <c r="S535" i="62"/>
  <c r="S536" i="62"/>
  <c r="S537" i="62"/>
  <c r="S538" i="62"/>
  <c r="S539" i="62"/>
  <c r="S540" i="62"/>
  <c r="S543" i="62"/>
  <c r="S544" i="62"/>
  <c r="V544" i="62" s="1"/>
  <c r="S545" i="62"/>
  <c r="V545" i="62" s="1"/>
  <c r="S548" i="62"/>
  <c r="S549" i="62"/>
  <c r="S550" i="62"/>
  <c r="S551" i="62"/>
  <c r="S552" i="62"/>
  <c r="S553" i="62"/>
  <c r="S554" i="62"/>
  <c r="S557" i="62"/>
  <c r="S558" i="62"/>
  <c r="S559" i="62"/>
  <c r="S560" i="62"/>
  <c r="S561" i="62"/>
  <c r="S562" i="62"/>
  <c r="S563" i="62"/>
  <c r="S564" i="62"/>
  <c r="S565" i="62"/>
  <c r="S566" i="62"/>
  <c r="S567" i="62"/>
  <c r="S568" i="62"/>
  <c r="S569" i="62"/>
  <c r="V569" i="62" s="1"/>
  <c r="S570" i="62"/>
  <c r="V570" i="62" s="1"/>
  <c r="S571" i="62"/>
  <c r="S572" i="62"/>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S603" i="62"/>
  <c r="S604" i="62"/>
  <c r="AB604" i="62" s="1"/>
  <c r="S605" i="62"/>
  <c r="S606" i="62"/>
  <c r="AB606" i="62" s="1"/>
  <c r="S607" i="62"/>
  <c r="AB607" i="62" s="1"/>
  <c r="S608" i="62"/>
  <c r="S609" i="62"/>
  <c r="AB609" i="62" s="1"/>
  <c r="S610" i="62"/>
  <c r="AD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S681" i="62"/>
  <c r="S682" i="62"/>
  <c r="S684" i="62"/>
  <c r="S688" i="62"/>
  <c r="S689" i="62"/>
  <c r="S690" i="62"/>
  <c r="S691" i="62"/>
  <c r="S692" i="62"/>
  <c r="S693" i="62"/>
  <c r="S694" i="62"/>
  <c r="S695" i="62"/>
  <c r="S696" i="62"/>
  <c r="S697" i="62"/>
  <c r="S698" i="62" l="1"/>
  <c r="S615" i="62"/>
  <c r="S588" i="62"/>
  <c r="S546" i="62"/>
  <c r="S419" i="62"/>
  <c r="S224" i="62"/>
  <c r="S325" i="62"/>
  <c r="S298" i="62"/>
  <c r="S169" i="62"/>
  <c r="S81" i="62"/>
  <c r="S28" i="62"/>
  <c r="S20" i="62"/>
  <c r="S330" i="62"/>
  <c r="S399" i="62"/>
  <c r="S32" i="62"/>
  <c r="AB271" i="62"/>
  <c r="X271" i="62"/>
  <c r="S371" i="62"/>
  <c r="AB186" i="62"/>
  <c r="X186" i="62"/>
  <c r="S120" i="62"/>
  <c r="S59" i="62"/>
  <c r="S384" i="62"/>
  <c r="S348" i="62"/>
  <c r="X199" i="62"/>
  <c r="Y199" i="62" s="1"/>
  <c r="X193" i="62"/>
  <c r="AB193" i="62"/>
  <c r="X189" i="62"/>
  <c r="AB189" i="62"/>
  <c r="X185" i="62"/>
  <c r="S149" i="62"/>
  <c r="X190" i="62"/>
  <c r="AB190" i="62"/>
  <c r="S685" i="62"/>
  <c r="S451" i="62"/>
  <c r="S304" i="62"/>
  <c r="X198" i="62"/>
  <c r="Y198" i="62" s="1"/>
  <c r="X192" i="62"/>
  <c r="Z192" i="62" s="1"/>
  <c r="AB184" i="62"/>
  <c r="X184" i="62"/>
  <c r="S181" i="62"/>
  <c r="S95" i="62"/>
  <c r="S457" i="62"/>
  <c r="X191" i="62"/>
  <c r="Z191" i="62" s="1"/>
  <c r="AB183" i="62"/>
  <c r="X183" i="62"/>
  <c r="AC697" i="62"/>
  <c r="AC696" i="62"/>
  <c r="AC695" i="62"/>
  <c r="AC694" i="62"/>
  <c r="AC693" i="62"/>
  <c r="AC692" i="62"/>
  <c r="AC691" i="62"/>
  <c r="AC690" i="62"/>
  <c r="AC689" i="62"/>
  <c r="AC688" i="62"/>
  <c r="AC684" i="62"/>
  <c r="AC682" i="62"/>
  <c r="AC681" i="62"/>
  <c r="AC680" i="62"/>
  <c r="AC679" i="62"/>
  <c r="AC678" i="62"/>
  <c r="AC677" i="62"/>
  <c r="AC676" i="62"/>
  <c r="AC675" i="62"/>
  <c r="AC674" i="62"/>
  <c r="AC673" i="62"/>
  <c r="AC672" i="62"/>
  <c r="AC671" i="62"/>
  <c r="AC668" i="62"/>
  <c r="AC667" i="62"/>
  <c r="AC666" i="62"/>
  <c r="AC665" i="62"/>
  <c r="AC664" i="62"/>
  <c r="AC661" i="62"/>
  <c r="AC660" i="62"/>
  <c r="AC659" i="62"/>
  <c r="AC658" i="62"/>
  <c r="AC657" i="62"/>
  <c r="AC656" i="62"/>
  <c r="AC655" i="62"/>
  <c r="AC654" i="62"/>
  <c r="AC653" i="62"/>
  <c r="AC652" i="62"/>
  <c r="AC649" i="62"/>
  <c r="AC648" i="62"/>
  <c r="AC647" i="62"/>
  <c r="AC646" i="62"/>
  <c r="AC645" i="62"/>
  <c r="AC644" i="62"/>
  <c r="AC643" i="62"/>
  <c r="AC642" i="62"/>
  <c r="AC641" i="62"/>
  <c r="AC640" i="62"/>
  <c r="AC639" i="62"/>
  <c r="AC638" i="62"/>
  <c r="AC637" i="62"/>
  <c r="AC636" i="62"/>
  <c r="AC635" i="62"/>
  <c r="AC634" i="62"/>
  <c r="AC633" i="62"/>
  <c r="AC632" i="62"/>
  <c r="AC631" i="62"/>
  <c r="AC630" i="62"/>
  <c r="AC629" i="62"/>
  <c r="AC628" i="62"/>
  <c r="AC627" i="62"/>
  <c r="AC626" i="62"/>
  <c r="AC625" i="62"/>
  <c r="AC624" i="62"/>
  <c r="AC623" i="62"/>
  <c r="AC622" i="62"/>
  <c r="AC621" i="62"/>
  <c r="AC620" i="62"/>
  <c r="AC619" i="62"/>
  <c r="AC618" i="62"/>
  <c r="AC617" i="62"/>
  <c r="AB602" i="62"/>
  <c r="AB601" i="62"/>
  <c r="X602" i="62"/>
  <c r="X601"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8" i="62"/>
  <c r="AF287" i="62"/>
  <c r="AF286" i="62"/>
  <c r="AF285" i="62"/>
  <c r="AF284" i="62"/>
  <c r="AF283" i="62"/>
  <c r="AF282" i="62"/>
  <c r="AF277" i="62"/>
  <c r="AF274" i="62"/>
  <c r="AF270" i="62"/>
  <c r="AF269" i="62"/>
  <c r="AF268" i="62"/>
  <c r="AF228" i="62"/>
  <c r="AF227" i="62"/>
  <c r="AF226" i="62"/>
  <c r="AF225" i="62"/>
  <c r="AF224" i="62"/>
  <c r="AF223"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2" i="62"/>
  <c r="X571" i="62"/>
  <c r="X568" i="62"/>
  <c r="X567" i="62"/>
  <c r="AC386" i="62"/>
  <c r="AC383" i="62"/>
  <c r="AC382" i="62"/>
  <c r="AC381" i="62"/>
  <c r="AC380" i="62"/>
  <c r="AC379" i="62"/>
  <c r="AC378" i="62"/>
  <c r="AC377" i="62"/>
  <c r="AC376" i="62"/>
  <c r="AC375" i="62"/>
  <c r="AC374" i="62"/>
  <c r="AC370" i="62"/>
  <c r="AC369" i="62"/>
  <c r="AC368" i="62"/>
  <c r="AC367" i="62"/>
  <c r="AC366" i="62"/>
  <c r="AC365" i="62"/>
  <c r="AC364" i="62"/>
  <c r="AC363" i="62"/>
  <c r="AC362" i="62"/>
  <c r="AC361" i="62"/>
  <c r="AC360" i="62"/>
  <c r="AC359" i="62"/>
  <c r="AC358" i="62"/>
  <c r="AC357" i="62"/>
  <c r="AC356" i="62"/>
  <c r="AC355" i="62"/>
  <c r="AC354" i="62"/>
  <c r="AC353" i="62"/>
  <c r="AC352" i="62"/>
  <c r="AC351" i="62"/>
  <c r="AC350" i="62"/>
  <c r="AC347" i="62"/>
  <c r="AC346" i="62"/>
  <c r="AC345" i="62"/>
  <c r="AC344" i="62"/>
  <c r="AC343" i="62"/>
  <c r="AC342" i="62"/>
  <c r="AC341" i="62"/>
  <c r="AC340" i="62"/>
  <c r="AC337" i="62"/>
  <c r="AC334" i="62"/>
  <c r="AC333" i="62"/>
  <c r="AC329" i="62"/>
  <c r="AC328" i="62"/>
  <c r="AC327" i="62"/>
  <c r="AC324" i="62"/>
  <c r="AC323" i="62"/>
  <c r="AC322" i="62"/>
  <c r="AC321" i="62"/>
  <c r="AC320" i="62"/>
  <c r="AC319" i="62"/>
  <c r="AC318" i="62"/>
  <c r="AC317" i="62"/>
  <c r="AC316" i="62"/>
  <c r="AC315" i="62"/>
  <c r="AC314" i="62"/>
  <c r="AC313" i="62"/>
  <c r="AC312" i="62"/>
  <c r="AC311" i="62"/>
  <c r="AC310" i="62"/>
  <c r="AC309" i="62"/>
  <c r="AC307" i="62"/>
  <c r="AC306" i="62"/>
  <c r="AC303" i="62"/>
  <c r="AC302" i="62"/>
  <c r="AC301" i="62"/>
  <c r="AC300" i="62"/>
  <c r="AD276" i="62"/>
  <c r="AD275" i="62"/>
  <c r="U276" i="62"/>
  <c r="U275" i="62"/>
  <c r="U273" i="62"/>
  <c r="U272" i="62"/>
  <c r="S459" i="62" l="1"/>
  <c r="S700" i="62" s="1"/>
  <c r="S34" i="62"/>
  <c r="S36" i="62" s="1"/>
  <c r="S99" i="62"/>
  <c r="S122" i="62" s="1"/>
  <c r="AF275" i="62"/>
  <c r="AF276" i="62"/>
  <c r="AC92" i="58"/>
  <c r="W680" i="62" l="1"/>
  <c r="W681" i="62"/>
  <c r="X85" i="62" l="1"/>
  <c r="W689" i="62" l="1"/>
  <c r="W666" i="62"/>
  <c r="W667" i="62"/>
  <c r="W668" i="62"/>
  <c r="X599" i="62"/>
  <c r="V549" i="62"/>
  <c r="V550" i="62"/>
  <c r="X551" i="62"/>
  <c r="X552" i="62"/>
  <c r="X553" i="62"/>
  <c r="X557" i="62"/>
  <c r="X558" i="62"/>
  <c r="X559" i="62"/>
  <c r="X560" i="62"/>
  <c r="X561" i="62"/>
  <c r="AB553" i="62" l="1"/>
  <c r="AF553" i="62" s="1"/>
  <c r="AD549" i="62"/>
  <c r="AF549" i="62" s="1"/>
  <c r="AB552" i="62"/>
  <c r="AF552" i="62" s="1"/>
  <c r="AB551" i="62"/>
  <c r="AF551" i="62" s="1"/>
  <c r="AD550" i="62"/>
  <c r="AF550" i="62" s="1"/>
  <c r="X554" i="62"/>
  <c r="X597" i="62"/>
  <c r="X593" i="62"/>
  <c r="X594" i="62"/>
  <c r="X596" i="62"/>
  <c r="X592" i="62"/>
  <c r="X598" i="62"/>
  <c r="Z598" i="62" s="1"/>
  <c r="X595" i="62"/>
  <c r="X591" i="62"/>
  <c r="V518" i="62"/>
  <c r="V519" i="62"/>
  <c r="V520" i="62"/>
  <c r="V521" i="62"/>
  <c r="V522" i="62"/>
  <c r="V523" i="62"/>
  <c r="V526" i="62"/>
  <c r="V527" i="62"/>
  <c r="V454" i="62"/>
  <c r="AD518" i="62" l="1"/>
  <c r="AF518" i="62" s="1"/>
  <c r="AD523" i="62"/>
  <c r="AF523" i="62" s="1"/>
  <c r="AD454" i="62"/>
  <c r="AF454" i="62" s="1"/>
  <c r="AD521" i="62"/>
  <c r="AF521" i="62" s="1"/>
  <c r="AD519" i="62"/>
  <c r="AF519" i="62" s="1"/>
  <c r="AD522" i="62"/>
  <c r="AF522" i="62" s="1"/>
  <c r="AD527" i="62"/>
  <c r="AF527" i="62" s="1"/>
  <c r="AD526" i="62"/>
  <c r="AF526" i="62" s="1"/>
  <c r="AD520" i="62"/>
  <c r="AF520" i="62" s="1"/>
  <c r="W377" i="62"/>
  <c r="W360" i="62"/>
  <c r="W361" i="62"/>
  <c r="W362" i="62"/>
  <c r="W363" i="62"/>
  <c r="W364" i="62"/>
  <c r="W365" i="62"/>
  <c r="W366" i="62"/>
  <c r="W367" i="62"/>
  <c r="W368" i="62"/>
  <c r="W369" i="62"/>
  <c r="W345" i="62"/>
  <c r="U264" i="62"/>
  <c r="AB276" i="62"/>
  <c r="X277" i="62"/>
  <c r="AB277" i="62" s="1"/>
  <c r="X282" i="62"/>
  <c r="AB282" i="62" s="1"/>
  <c r="X283" i="62"/>
  <c r="AB283" i="62" s="1"/>
  <c r="X284" i="62"/>
  <c r="AB284" i="62" s="1"/>
  <c r="X285" i="62"/>
  <c r="AB285" i="62" s="1"/>
  <c r="X286" i="62"/>
  <c r="AB286" i="62" s="1"/>
  <c r="X287" i="62"/>
  <c r="AB287" i="62" s="1"/>
  <c r="AB288" i="62"/>
  <c r="X289" i="62"/>
  <c r="AB289" i="62" s="1"/>
  <c r="X290" i="62"/>
  <c r="AB290" i="62" s="1"/>
  <c r="X291" i="62"/>
  <c r="AB291" i="62" s="1"/>
  <c r="X269" i="62" l="1"/>
  <c r="AB269" i="62"/>
  <c r="AB270" i="62"/>
  <c r="X270" i="62"/>
  <c r="U187" i="62" l="1"/>
  <c r="U188" i="62"/>
  <c r="U194" i="62"/>
  <c r="U195" i="62"/>
  <c r="U156" i="62"/>
  <c r="U157" i="62"/>
  <c r="U158" i="62"/>
  <c r="U139" i="62"/>
  <c r="U140" i="62"/>
  <c r="U48" i="62"/>
  <c r="AF48" i="62" s="1"/>
  <c r="AD198" i="62" l="1"/>
  <c r="AF198" i="62" s="1"/>
  <c r="AD188" i="62"/>
  <c r="AF188" i="62" s="1"/>
  <c r="AD189" i="62"/>
  <c r="AF189" i="62" s="1"/>
  <c r="AD139" i="62"/>
  <c r="AF139" i="62" s="1"/>
  <c r="AD199" i="62"/>
  <c r="AF199" i="62" s="1"/>
  <c r="AD193" i="62"/>
  <c r="AF193" i="62" s="1"/>
  <c r="AD158" i="62"/>
  <c r="AF158" i="62" s="1"/>
  <c r="AD192" i="62"/>
  <c r="AF192" i="62" s="1"/>
  <c r="AD157" i="62"/>
  <c r="AF157" i="62" s="1"/>
  <c r="AD195" i="62"/>
  <c r="AF195" i="62" s="1"/>
  <c r="AD191" i="62"/>
  <c r="AF191" i="62" s="1"/>
  <c r="AD187" i="62"/>
  <c r="AF187" i="62" s="1"/>
  <c r="AD140" i="62"/>
  <c r="AF140" i="62" s="1"/>
  <c r="AD156" i="62"/>
  <c r="AF156" i="62" s="1"/>
  <c r="AD194" i="62"/>
  <c r="AF194" i="62" s="1"/>
  <c r="AD190" i="62"/>
  <c r="AF190" i="62" s="1"/>
  <c r="AD186" i="62"/>
  <c r="AF186" i="62" s="1"/>
  <c r="X201" i="62"/>
  <c r="AB201" i="62"/>
  <c r="AX31" i="59" l="1"/>
  <c r="AX32" i="59"/>
  <c r="AX33" i="59"/>
  <c r="AX34" i="59"/>
  <c r="AX35" i="59"/>
  <c r="AX36" i="59"/>
  <c r="AX19" i="59"/>
  <c r="AX20" i="59"/>
  <c r="AX21" i="59"/>
  <c r="AW72" i="59" l="1"/>
  <c r="J73" i="59"/>
  <c r="J79" i="59" s="1"/>
  <c r="J63" i="59"/>
  <c r="J78" i="59" s="1"/>
  <c r="M63" i="59"/>
  <c r="M78" i="59" s="1"/>
  <c r="P63" i="59"/>
  <c r="P78" i="59" s="1"/>
  <c r="S63" i="59"/>
  <c r="S78" i="59" s="1"/>
  <c r="V63" i="59"/>
  <c r="V78" i="59" s="1"/>
  <c r="Y63" i="59"/>
  <c r="Y78" i="59" s="1"/>
  <c r="AB63" i="59"/>
  <c r="AB78" i="59" s="1"/>
  <c r="AE63" i="59"/>
  <c r="AE78" i="59" s="1"/>
  <c r="AH63" i="59"/>
  <c r="AH78" i="59" s="1"/>
  <c r="AK63" i="59"/>
  <c r="AK78" i="59" s="1"/>
  <c r="AN63" i="59"/>
  <c r="AN78" i="59" s="1"/>
  <c r="AQ63" i="59"/>
  <c r="AQ78" i="59" s="1"/>
  <c r="AT63" i="59"/>
  <c r="AT78" i="59" s="1"/>
  <c r="AW55" i="59"/>
  <c r="AW56" i="59"/>
  <c r="AW57" i="59"/>
  <c r="AW58" i="59"/>
  <c r="AW59" i="59"/>
  <c r="AW60" i="59"/>
  <c r="AW61" i="59"/>
  <c r="AW62" i="59"/>
  <c r="AW65" i="59"/>
  <c r="AW66" i="59"/>
  <c r="AW67" i="59"/>
  <c r="AW68" i="59"/>
  <c r="AW69" i="59"/>
  <c r="AW70" i="59"/>
  <c r="AW46" i="59"/>
  <c r="AW47" i="59"/>
  <c r="AW48" i="59"/>
  <c r="AW49" i="59"/>
  <c r="AW50" i="59"/>
  <c r="AW51" i="59"/>
  <c r="AW52" i="59"/>
  <c r="P53" i="59"/>
  <c r="P77" i="59" s="1"/>
  <c r="S53" i="59"/>
  <c r="S77" i="59" s="1"/>
  <c r="V53" i="59"/>
  <c r="V77" i="59" s="1"/>
  <c r="Y53" i="59"/>
  <c r="Y77" i="59" s="1"/>
  <c r="AB53" i="59"/>
  <c r="AB77" i="59" s="1"/>
  <c r="AE53" i="59"/>
  <c r="AE77" i="59" s="1"/>
  <c r="AH53" i="59"/>
  <c r="AH77" i="59" s="1"/>
  <c r="AK53" i="59"/>
  <c r="AK77" i="59" s="1"/>
  <c r="AN53" i="59"/>
  <c r="AN77" i="59" s="1"/>
  <c r="AQ53" i="59"/>
  <c r="AQ77" i="59" s="1"/>
  <c r="AT53" i="59"/>
  <c r="AT77" i="59" s="1"/>
  <c r="J53" i="59"/>
  <c r="J77" i="59" s="1"/>
  <c r="M53" i="59"/>
  <c r="M77" i="59" s="1"/>
  <c r="AQ80" i="59" l="1"/>
  <c r="AN80" i="59"/>
  <c r="AB80" i="59"/>
  <c r="AE80" i="59"/>
  <c r="S80" i="59"/>
  <c r="P80" i="59"/>
  <c r="J80" i="59"/>
  <c r="AT80" i="59"/>
  <c r="AH80" i="59"/>
  <c r="V80" i="59"/>
  <c r="M80" i="59"/>
  <c r="AK80" i="59"/>
  <c r="Y80" i="59"/>
  <c r="AW63" i="59"/>
  <c r="AW53" i="59"/>
  <c r="B30" i="64" l="1"/>
  <c r="N115" i="31" s="1"/>
  <c r="B25" i="64"/>
  <c r="C15" i="64"/>
  <c r="H44" i="6" l="1"/>
  <c r="I44" i="6" s="1"/>
  <c r="K44" i="6" s="1"/>
  <c r="L44" i="6" s="1"/>
  <c r="P44" i="6" l="1"/>
  <c r="M61" i="31" s="1"/>
  <c r="N44" i="6"/>
  <c r="Q44" i="6" s="1"/>
  <c r="O44" i="6" l="1"/>
  <c r="P88" i="6" l="1"/>
  <c r="P89" i="6"/>
  <c r="P90" i="6"/>
  <c r="P91" i="6"/>
  <c r="P92" i="6"/>
  <c r="P93" i="6"/>
  <c r="P94" i="6"/>
  <c r="F169" i="58" l="1"/>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l="1"/>
  <c r="AY31" i="59"/>
  <c r="AY32" i="59"/>
  <c r="AY33" i="59"/>
  <c r="AY34" i="59"/>
  <c r="AY35" i="59"/>
  <c r="AY36" i="59"/>
  <c r="AX30" i="59"/>
  <c r="AW30" i="59"/>
  <c r="AW31" i="59"/>
  <c r="AW32" i="59"/>
  <c r="AW33" i="59"/>
  <c r="AW34" i="59"/>
  <c r="AW35" i="59"/>
  <c r="AW36" i="59"/>
  <c r="AW77" i="59" l="1"/>
  <c r="R5" i="59"/>
  <c r="AB5" i="59" s="1"/>
  <c r="AP5" i="59" s="1"/>
  <c r="R3" i="59"/>
  <c r="AB3" i="59" s="1"/>
  <c r="AP3" i="59" s="1"/>
  <c r="R2" i="59"/>
  <c r="AB2" i="59" s="1"/>
  <c r="AP2" i="59" s="1"/>
  <c r="B64" i="6" l="1"/>
  <c r="B62" i="6" l="1"/>
  <c r="B61" i="6"/>
  <c r="B60" i="6"/>
  <c r="B59" i="6"/>
  <c r="B57" i="6"/>
  <c r="B55" i="6"/>
  <c r="B53" i="6"/>
  <c r="B47" i="6"/>
  <c r="H46" i="6" l="1"/>
  <c r="H45" i="6"/>
  <c r="K81" i="6" l="1"/>
  <c r="L81" i="6" s="1"/>
  <c r="N81" i="6" s="1"/>
  <c r="H48" i="6"/>
  <c r="K82" i="6" l="1"/>
  <c r="L82" i="6" s="1"/>
  <c r="N82" i="6" s="1"/>
  <c r="H49" i="6"/>
  <c r="K83" i="6" l="1"/>
  <c r="L83" i="6" s="1"/>
  <c r="N83" i="6" s="1"/>
  <c r="K84" i="6" l="1"/>
  <c r="L84" i="6" s="1"/>
  <c r="N84" i="6" s="1"/>
  <c r="K85" i="6" l="1"/>
  <c r="L85" i="6" s="1"/>
  <c r="N85" i="6" s="1"/>
  <c r="P99" i="31" l="1"/>
  <c r="U99" i="31" s="1"/>
  <c r="P88" i="31"/>
  <c r="P97" i="31"/>
  <c r="P100" i="31" s="1"/>
  <c r="K86" i="6"/>
  <c r="L86" i="6" s="1"/>
  <c r="N86" i="6" s="1"/>
  <c r="F35" i="18"/>
  <c r="F36" i="18"/>
  <c r="F37" i="18"/>
  <c r="F29" i="18"/>
  <c r="F30" i="18"/>
  <c r="F31" i="18"/>
  <c r="F32" i="18"/>
  <c r="F33" i="18"/>
  <c r="F34" i="18"/>
  <c r="F28" i="18"/>
  <c r="K87" i="6" l="1"/>
  <c r="L87" i="6" s="1"/>
  <c r="N87" i="6" s="1"/>
  <c r="K88" i="6" l="1"/>
  <c r="L88" i="6" s="1"/>
  <c r="N88" i="6" s="1"/>
  <c r="Q88" i="6" l="1"/>
  <c r="E195" i="49"/>
  <c r="G74" i="49"/>
  <c r="H74" i="49" s="1"/>
  <c r="G71" i="49"/>
  <c r="G72" i="49"/>
  <c r="O88" i="6" l="1"/>
  <c r="K89" i="6"/>
  <c r="L89" i="6" s="1"/>
  <c r="N89" i="6" s="1"/>
  <c r="G67" i="49"/>
  <c r="H67" i="49" s="1"/>
  <c r="G68" i="49"/>
  <c r="H68" i="49" s="1"/>
  <c r="G70" i="49"/>
  <c r="H70" i="49" s="1"/>
  <c r="G64" i="49"/>
  <c r="H64" i="49" s="1"/>
  <c r="G49" i="49"/>
  <c r="G57" i="49"/>
  <c r="G69" i="49"/>
  <c r="H69" i="49" s="1"/>
  <c r="G52" i="49"/>
  <c r="H52" i="49" s="1"/>
  <c r="H210" i="49" l="1"/>
  <c r="J210" i="49" s="1"/>
  <c r="H49" i="49"/>
  <c r="Q89" i="6"/>
  <c r="K90" i="6"/>
  <c r="L90" i="6" s="1"/>
  <c r="N90" i="6" s="1"/>
  <c r="Q90" i="6" l="1"/>
  <c r="K91" i="6"/>
  <c r="L91" i="6" s="1"/>
  <c r="N91" i="6" s="1"/>
  <c r="O89" i="6"/>
  <c r="G21" i="49"/>
  <c r="H206" i="49" s="1"/>
  <c r="J206" i="49" s="1"/>
  <c r="O90" i="6" l="1"/>
  <c r="Q91" i="6"/>
  <c r="K92" i="6"/>
  <c r="L92" i="6" s="1"/>
  <c r="N92" i="6" s="1"/>
  <c r="O91" i="6" l="1"/>
  <c r="Q92" i="6"/>
  <c r="K93" i="6"/>
  <c r="L93" i="6" s="1"/>
  <c r="N93" i="6" s="1"/>
  <c r="G145" i="31"/>
  <c r="G146" i="31"/>
  <c r="G147" i="31"/>
  <c r="G148" i="31"/>
  <c r="G143" i="31"/>
  <c r="O92" i="6" l="1"/>
  <c r="Q93" i="6"/>
  <c r="K94" i="6"/>
  <c r="L94" i="6" s="1"/>
  <c r="N94" i="6" s="1"/>
  <c r="F27" i="31"/>
  <c r="G26" i="31"/>
  <c r="E27" i="31"/>
  <c r="Q94" i="6" l="1"/>
  <c r="O93" i="6"/>
  <c r="O94" i="6" l="1"/>
  <c r="P87" i="6"/>
  <c r="P86" i="6"/>
  <c r="P85" i="6"/>
  <c r="P84" i="6"/>
  <c r="P83" i="6"/>
  <c r="P82" i="6"/>
  <c r="P81" i="6"/>
  <c r="P80" i="6"/>
  <c r="P79" i="6"/>
  <c r="P78" i="6"/>
  <c r="P77" i="6"/>
  <c r="P76" i="6"/>
  <c r="P75" i="6"/>
  <c r="N135" i="31"/>
  <c r="M135" i="31"/>
  <c r="N121" i="31"/>
  <c r="N123" i="31" s="1"/>
  <c r="N107" i="31"/>
  <c r="M107" i="31"/>
  <c r="N100" i="31"/>
  <c r="M100" i="31"/>
  <c r="N93" i="31"/>
  <c r="N84" i="31"/>
  <c r="N72" i="31"/>
  <c r="N51" i="31"/>
  <c r="M51" i="31"/>
  <c r="N37" i="31"/>
  <c r="M37" i="31"/>
  <c r="N27" i="31"/>
  <c r="M27" i="31"/>
  <c r="N17" i="31"/>
  <c r="M17" i="31"/>
  <c r="W697" i="62"/>
  <c r="W696" i="62"/>
  <c r="W695" i="62"/>
  <c r="W694" i="62"/>
  <c r="W693" i="62"/>
  <c r="W692" i="62"/>
  <c r="W691" i="62"/>
  <c r="W690" i="62"/>
  <c r="F685" i="62"/>
  <c r="W684" i="62"/>
  <c r="W682" i="62"/>
  <c r="W679" i="62"/>
  <c r="W678" i="62"/>
  <c r="W677" i="62"/>
  <c r="W676" i="62"/>
  <c r="W675" i="62"/>
  <c r="W674" i="62"/>
  <c r="W673" i="62"/>
  <c r="W672" i="62"/>
  <c r="W671" i="62"/>
  <c r="W665" i="62"/>
  <c r="W664" i="62"/>
  <c r="W661" i="62"/>
  <c r="W660" i="62"/>
  <c r="W659" i="62"/>
  <c r="W658" i="62"/>
  <c r="W657" i="62"/>
  <c r="W656" i="62"/>
  <c r="W655" i="62"/>
  <c r="W654" i="62"/>
  <c r="W653" i="62"/>
  <c r="W652" i="62"/>
  <c r="W649" i="62"/>
  <c r="W648" i="62"/>
  <c r="W647" i="62"/>
  <c r="W646" i="62"/>
  <c r="W645" i="62"/>
  <c r="W644" i="62"/>
  <c r="W643" i="62"/>
  <c r="W642" i="62"/>
  <c r="W641" i="62"/>
  <c r="W640" i="62"/>
  <c r="W639" i="62"/>
  <c r="W638" i="62"/>
  <c r="W637" i="62"/>
  <c r="W636" i="62"/>
  <c r="W635" i="62"/>
  <c r="W634" i="62"/>
  <c r="W633" i="62"/>
  <c r="W632" i="62"/>
  <c r="W631" i="62"/>
  <c r="W630" i="62"/>
  <c r="W629" i="62"/>
  <c r="W628" i="62"/>
  <c r="W627" i="62"/>
  <c r="W626" i="62"/>
  <c r="W625" i="62"/>
  <c r="W624" i="62"/>
  <c r="W623" i="62"/>
  <c r="W622" i="62"/>
  <c r="W621" i="62"/>
  <c r="W620" i="62"/>
  <c r="W619" i="62"/>
  <c r="W618" i="62"/>
  <c r="W617" i="62"/>
  <c r="V610" i="62"/>
  <c r="X609" i="62"/>
  <c r="X608" i="62"/>
  <c r="Z608" i="62" s="1"/>
  <c r="X607" i="62"/>
  <c r="V605" i="62"/>
  <c r="V579" i="62"/>
  <c r="V578" i="62"/>
  <c r="AD570" i="62"/>
  <c r="AF570" i="62" s="1"/>
  <c r="AD569" i="62"/>
  <c r="AF569" i="62" s="1"/>
  <c r="AD568" i="62"/>
  <c r="AF568" i="62" s="1"/>
  <c r="AD567" i="62"/>
  <c r="AF567" i="62" s="1"/>
  <c r="V566" i="62"/>
  <c r="V565" i="62"/>
  <c r="V564" i="62"/>
  <c r="V563" i="62"/>
  <c r="V562" i="62"/>
  <c r="AD545" i="62"/>
  <c r="AF545" i="62" s="1"/>
  <c r="AD544" i="62"/>
  <c r="AF544" i="62" s="1"/>
  <c r="AD543" i="62"/>
  <c r="AF543" i="62" s="1"/>
  <c r="X543" i="62"/>
  <c r="AB543" i="62" s="1"/>
  <c r="AD540" i="62"/>
  <c r="AF540" i="62" s="1"/>
  <c r="X540" i="62"/>
  <c r="AB540" i="62" s="1"/>
  <c r="AD539" i="62"/>
  <c r="AF539" i="62" s="1"/>
  <c r="X539" i="62"/>
  <c r="AB539" i="62" s="1"/>
  <c r="AD538" i="62"/>
  <c r="AF538" i="62" s="1"/>
  <c r="X538" i="62"/>
  <c r="AB538" i="62" s="1"/>
  <c r="AD537" i="62"/>
  <c r="AF537" i="62" s="1"/>
  <c r="X537" i="62"/>
  <c r="AB537" i="62" s="1"/>
  <c r="AD536" i="62"/>
  <c r="AF536" i="62" s="1"/>
  <c r="X536" i="62"/>
  <c r="AB536" i="62" s="1"/>
  <c r="AD535" i="62"/>
  <c r="AF535" i="62" s="1"/>
  <c r="X535" i="62"/>
  <c r="AB535" i="62" s="1"/>
  <c r="AD534" i="62"/>
  <c r="AF534" i="62" s="1"/>
  <c r="X534" i="62"/>
  <c r="AB534" i="62" s="1"/>
  <c r="AD533" i="62"/>
  <c r="AF533" i="62" s="1"/>
  <c r="X533" i="62"/>
  <c r="AB533" i="62" s="1"/>
  <c r="X532" i="62"/>
  <c r="AB532" i="62" s="1"/>
  <c r="V531" i="62"/>
  <c r="V530" i="62"/>
  <c r="V529" i="62"/>
  <c r="V528" i="62"/>
  <c r="V517" i="62"/>
  <c r="V516" i="62"/>
  <c r="V515" i="62"/>
  <c r="V514" i="62"/>
  <c r="V513" i="62"/>
  <c r="V512" i="62"/>
  <c r="V511" i="62"/>
  <c r="V507" i="62"/>
  <c r="V506" i="62"/>
  <c r="V505" i="62"/>
  <c r="V504" i="62"/>
  <c r="V503" i="62"/>
  <c r="V498" i="62"/>
  <c r="V497" i="62"/>
  <c r="V496" i="62"/>
  <c r="V495" i="62"/>
  <c r="V494" i="62"/>
  <c r="V493" i="62"/>
  <c r="V492" i="62"/>
  <c r="V491" i="62"/>
  <c r="V490" i="62"/>
  <c r="V489" i="62"/>
  <c r="V488" i="62"/>
  <c r="X487" i="62"/>
  <c r="AB487" i="62" s="1"/>
  <c r="X486" i="62"/>
  <c r="AB486" i="62" s="1"/>
  <c r="W485" i="62"/>
  <c r="AC485" i="62" s="1"/>
  <c r="V484" i="62"/>
  <c r="AD483" i="62"/>
  <c r="AD482" i="62"/>
  <c r="V481" i="62"/>
  <c r="V480" i="62"/>
  <c r="V479" i="62"/>
  <c r="V478" i="62"/>
  <c r="V477" i="62"/>
  <c r="V476" i="62"/>
  <c r="V474" i="62"/>
  <c r="V472" i="62"/>
  <c r="V471" i="62"/>
  <c r="V470" i="62"/>
  <c r="V469" i="62"/>
  <c r="V468" i="62"/>
  <c r="V467" i="62"/>
  <c r="V466" i="62"/>
  <c r="V465" i="62"/>
  <c r="R457" i="62"/>
  <c r="Q457" i="62"/>
  <c r="P457" i="62"/>
  <c r="O457" i="62"/>
  <c r="N457" i="62"/>
  <c r="M457" i="62"/>
  <c r="L457" i="62"/>
  <c r="K457" i="62"/>
  <c r="J457" i="62"/>
  <c r="I457" i="62"/>
  <c r="H457" i="62"/>
  <c r="G457" i="62"/>
  <c r="F457" i="62"/>
  <c r="V456" i="62"/>
  <c r="V455" i="62"/>
  <c r="V453" i="62"/>
  <c r="R451" i="62"/>
  <c r="R459" i="62" s="1"/>
  <c r="Q451" i="62"/>
  <c r="Q459" i="62" s="1"/>
  <c r="P451" i="62"/>
  <c r="P459" i="62" s="1"/>
  <c r="O451" i="62"/>
  <c r="O459" i="62" s="1"/>
  <c r="N451" i="62"/>
  <c r="N459" i="62" s="1"/>
  <c r="M451" i="62"/>
  <c r="M459" i="62" s="1"/>
  <c r="L451" i="62"/>
  <c r="L459" i="62" s="1"/>
  <c r="K451" i="62"/>
  <c r="K459" i="62" s="1"/>
  <c r="J451" i="62"/>
  <c r="J459" i="62" s="1"/>
  <c r="I451" i="62"/>
  <c r="I459" i="62" s="1"/>
  <c r="H451" i="62"/>
  <c r="H459" i="62" s="1"/>
  <c r="G451" i="62"/>
  <c r="G459" i="62" s="1"/>
  <c r="F451" i="62"/>
  <c r="F459" i="62" s="1"/>
  <c r="AB449" i="62"/>
  <c r="X446" i="62"/>
  <c r="AB445" i="62"/>
  <c r="AB444" i="62"/>
  <c r="X442" i="62"/>
  <c r="AD441" i="62"/>
  <c r="AF441" i="62" s="1"/>
  <c r="V440" i="62"/>
  <c r="V438" i="62"/>
  <c r="V437" i="62"/>
  <c r="V436" i="62"/>
  <c r="V435" i="62"/>
  <c r="V434" i="62"/>
  <c r="V433" i="62"/>
  <c r="V432" i="62"/>
  <c r="V431" i="62"/>
  <c r="V430" i="62"/>
  <c r="V429" i="62"/>
  <c r="V428" i="62"/>
  <c r="V427" i="62"/>
  <c r="AC425" i="62"/>
  <c r="AC424" i="62"/>
  <c r="R419" i="62"/>
  <c r="Q419" i="62"/>
  <c r="P419" i="62"/>
  <c r="O419" i="62"/>
  <c r="N419" i="62"/>
  <c r="M419" i="62"/>
  <c r="L419" i="62"/>
  <c r="K419" i="62"/>
  <c r="J419" i="62"/>
  <c r="I419" i="62"/>
  <c r="H419" i="62"/>
  <c r="G419" i="62"/>
  <c r="F419" i="62"/>
  <c r="AD416" i="62"/>
  <c r="AC410" i="62"/>
  <c r="AC409" i="62"/>
  <c r="AC408" i="62"/>
  <c r="AC406" i="62"/>
  <c r="AC405" i="62"/>
  <c r="AC404" i="62"/>
  <c r="AC402" i="62"/>
  <c r="AC401" i="62"/>
  <c r="R399" i="62"/>
  <c r="Q399" i="62"/>
  <c r="P399" i="62"/>
  <c r="O399" i="62"/>
  <c r="N399" i="62"/>
  <c r="M399" i="62"/>
  <c r="L399" i="62"/>
  <c r="K399" i="62"/>
  <c r="J399" i="62"/>
  <c r="I399" i="62"/>
  <c r="H399" i="62"/>
  <c r="G399" i="62"/>
  <c r="F399" i="62"/>
  <c r="AC397" i="62"/>
  <c r="AC396"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2" i="62"/>
  <c r="W381" i="62"/>
  <c r="W380" i="62"/>
  <c r="W379" i="62"/>
  <c r="W378" i="62"/>
  <c r="W376" i="62"/>
  <c r="W374" i="62"/>
  <c r="R371" i="62"/>
  <c r="Q371" i="62"/>
  <c r="P371" i="62"/>
  <c r="O371" i="62"/>
  <c r="N371" i="62"/>
  <c r="M371" i="62"/>
  <c r="L371" i="62"/>
  <c r="K371" i="62"/>
  <c r="J371" i="62"/>
  <c r="I371" i="62"/>
  <c r="H371" i="62"/>
  <c r="G371" i="62"/>
  <c r="F371" i="62"/>
  <c r="W370" i="62"/>
  <c r="W359" i="62"/>
  <c r="W358" i="62"/>
  <c r="W357" i="62"/>
  <c r="W356" i="62"/>
  <c r="W355"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20" i="62"/>
  <c r="W319" i="62"/>
  <c r="W318" i="62"/>
  <c r="W317" i="62"/>
  <c r="W316" i="62"/>
  <c r="W315" i="62"/>
  <c r="W314" i="62"/>
  <c r="W313" i="62"/>
  <c r="W312" i="62"/>
  <c r="W311" i="62"/>
  <c r="W309" i="62"/>
  <c r="W307" i="62"/>
  <c r="W306" i="62"/>
  <c r="R304" i="62"/>
  <c r="Q304" i="62"/>
  <c r="P304" i="62"/>
  <c r="O304" i="62"/>
  <c r="N304" i="62"/>
  <c r="M304" i="62"/>
  <c r="L304" i="62"/>
  <c r="K304" i="62"/>
  <c r="J304" i="62"/>
  <c r="I304" i="62"/>
  <c r="H304" i="62"/>
  <c r="G304" i="62"/>
  <c r="F304" i="62"/>
  <c r="W303" i="62"/>
  <c r="W302" i="62"/>
  <c r="W301" i="62"/>
  <c r="W300" i="62"/>
  <c r="AB294" i="62"/>
  <c r="AB293" i="62"/>
  <c r="AB274" i="62"/>
  <c r="AD272" i="62"/>
  <c r="AF272" i="62" s="1"/>
  <c r="AF271" i="62"/>
  <c r="X268" i="62"/>
  <c r="U266" i="62"/>
  <c r="AD264" i="62"/>
  <c r="AF264" i="62" s="1"/>
  <c r="U263" i="62"/>
  <c r="U262" i="62"/>
  <c r="U261" i="62"/>
  <c r="U260" i="62"/>
  <c r="U259" i="62"/>
  <c r="U258" i="62"/>
  <c r="U257" i="62"/>
  <c r="U256" i="62"/>
  <c r="U255" i="62"/>
  <c r="U254" i="62"/>
  <c r="U253" i="62"/>
  <c r="U252" i="62"/>
  <c r="U251" i="62"/>
  <c r="U250" i="62"/>
  <c r="U249" i="62"/>
  <c r="U248" i="62"/>
  <c r="U247" i="62"/>
  <c r="U246" i="62"/>
  <c r="U245" i="62"/>
  <c r="U244" i="62"/>
  <c r="U243" i="62"/>
  <c r="U235" i="62"/>
  <c r="U234" i="62"/>
  <c r="U233" i="62"/>
  <c r="U232" i="62"/>
  <c r="U229" i="62"/>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s="1"/>
  <c r="R181" i="62"/>
  <c r="Q181" i="62"/>
  <c r="P181" i="62"/>
  <c r="O181" i="62"/>
  <c r="N181" i="62"/>
  <c r="M181" i="62"/>
  <c r="L181" i="62"/>
  <c r="K181" i="62"/>
  <c r="J181" i="62"/>
  <c r="I181" i="62"/>
  <c r="H181" i="62"/>
  <c r="G181" i="62"/>
  <c r="F181" i="62"/>
  <c r="U180" i="62"/>
  <c r="U179" i="62"/>
  <c r="U178" i="62"/>
  <c r="U177" i="62"/>
  <c r="U176" i="62"/>
  <c r="U175" i="62"/>
  <c r="U174" i="62"/>
  <c r="U173" i="62"/>
  <c r="U171" i="62"/>
  <c r="U166" i="62"/>
  <c r="U165" i="62"/>
  <c r="U164" i="62"/>
  <c r="U163" i="62"/>
  <c r="U162" i="62"/>
  <c r="U161" i="62"/>
  <c r="U160" i="62"/>
  <c r="U159" i="62"/>
  <c r="U155" i="62"/>
  <c r="U154" i="62"/>
  <c r="U153" i="62"/>
  <c r="U152" i="62"/>
  <c r="R149" i="62"/>
  <c r="Q149" i="62"/>
  <c r="P149" i="62"/>
  <c r="O149" i="62"/>
  <c r="N149" i="62"/>
  <c r="M149" i="62"/>
  <c r="L149" i="62"/>
  <c r="K149" i="62"/>
  <c r="J149" i="62"/>
  <c r="I149" i="62"/>
  <c r="H149" i="62"/>
  <c r="G149" i="62"/>
  <c r="F149" i="62"/>
  <c r="U148" i="62"/>
  <c r="U147" i="62"/>
  <c r="U146" i="62"/>
  <c r="U145" i="62"/>
  <c r="U144" i="62"/>
  <c r="U143" i="62"/>
  <c r="U141" i="62"/>
  <c r="U138" i="62"/>
  <c r="U137" i="62"/>
  <c r="U136" i="62"/>
  <c r="U135" i="62"/>
  <c r="U134" i="62"/>
  <c r="U133" i="62"/>
  <c r="U132" i="62"/>
  <c r="U131" i="62"/>
  <c r="U130" i="62"/>
  <c r="U129" i="62"/>
  <c r="U128" i="62"/>
  <c r="U127" i="62"/>
  <c r="U126" i="62"/>
  <c r="U125" i="62"/>
  <c r="R120" i="62"/>
  <c r="Q120" i="62"/>
  <c r="P120" i="62"/>
  <c r="O120" i="62"/>
  <c r="N120" i="62"/>
  <c r="M120" i="62"/>
  <c r="L120" i="62"/>
  <c r="K120" i="62"/>
  <c r="J120" i="62"/>
  <c r="I120" i="62"/>
  <c r="H120" i="62"/>
  <c r="G120" i="62"/>
  <c r="F120" i="62"/>
  <c r="U119" i="62"/>
  <c r="U118" i="62"/>
  <c r="U117" i="62"/>
  <c r="U116" i="62"/>
  <c r="U115" i="62"/>
  <c r="U114" i="62"/>
  <c r="U111" i="62"/>
  <c r="U110" i="62"/>
  <c r="U109" i="62"/>
  <c r="U108" i="62"/>
  <c r="U107" i="62"/>
  <c r="U106" i="62"/>
  <c r="U105" i="62"/>
  <c r="U104" i="62"/>
  <c r="U103" i="62"/>
  <c r="U102" i="62"/>
  <c r="R95" i="62"/>
  <c r="Q95" i="62"/>
  <c r="P95" i="62"/>
  <c r="O95" i="62"/>
  <c r="N95" i="62"/>
  <c r="M95" i="62"/>
  <c r="L95" i="62"/>
  <c r="K95" i="62"/>
  <c r="J95" i="62"/>
  <c r="I95" i="62"/>
  <c r="H95" i="62"/>
  <c r="G95" i="62"/>
  <c r="F95" i="62"/>
  <c r="X94" i="62"/>
  <c r="X93" i="62"/>
  <c r="X92" i="62"/>
  <c r="X91" i="62"/>
  <c r="X90" i="62"/>
  <c r="X89" i="62"/>
  <c r="X88" i="62"/>
  <c r="U84" i="62"/>
  <c r="AF84" i="62" s="1"/>
  <c r="U75" i="62"/>
  <c r="U74" i="62"/>
  <c r="U73" i="62"/>
  <c r="U72" i="62"/>
  <c r="U71" i="62"/>
  <c r="U70" i="62"/>
  <c r="U69" i="62"/>
  <c r="U68" i="62"/>
  <c r="U67" i="62"/>
  <c r="U66" i="62"/>
  <c r="U65" i="62"/>
  <c r="R63" i="62"/>
  <c r="Q63" i="62"/>
  <c r="P63" i="62"/>
  <c r="O63" i="62"/>
  <c r="N63" i="62"/>
  <c r="M63" i="62"/>
  <c r="L63" i="62"/>
  <c r="K63" i="62"/>
  <c r="J63" i="62"/>
  <c r="I63" i="62"/>
  <c r="H63" i="62"/>
  <c r="G63" i="62"/>
  <c r="F63" i="62"/>
  <c r="U58" i="62"/>
  <c r="U57" i="62"/>
  <c r="U56" i="62"/>
  <c r="U53" i="62"/>
  <c r="U52" i="62"/>
  <c r="U51" i="62"/>
  <c r="U50" i="62"/>
  <c r="U49" i="62"/>
  <c r="R46" i="62"/>
  <c r="Q46" i="62"/>
  <c r="P46" i="62"/>
  <c r="O46" i="62"/>
  <c r="N46" i="62"/>
  <c r="M46" i="62"/>
  <c r="L46" i="62"/>
  <c r="K46" i="62"/>
  <c r="J46" i="62"/>
  <c r="I46" i="62"/>
  <c r="H46" i="62"/>
  <c r="G46" i="62"/>
  <c r="F46" i="62"/>
  <c r="AB45" i="62"/>
  <c r="U45" i="62"/>
  <c r="AF45" i="62" s="1"/>
  <c r="AB44" i="62"/>
  <c r="X44" i="62"/>
  <c r="AB43" i="62"/>
  <c r="X43" i="62"/>
  <c r="AB42" i="62"/>
  <c r="X42" i="62"/>
  <c r="AB41" i="62"/>
  <c r="F39" i="62"/>
  <c r="S39" i="62" s="1"/>
  <c r="S389" i="62" s="1"/>
  <c r="U38" i="62"/>
  <c r="AF38" i="62" s="1"/>
  <c r="R32" i="62"/>
  <c r="Q32" i="62"/>
  <c r="P32" i="62"/>
  <c r="O32" i="62"/>
  <c r="N32" i="62"/>
  <c r="M32" i="62"/>
  <c r="L32" i="62"/>
  <c r="K32" i="62"/>
  <c r="J32" i="62"/>
  <c r="I32" i="62"/>
  <c r="H32" i="62"/>
  <c r="G32" i="62"/>
  <c r="F32" i="62"/>
  <c r="R28" i="62"/>
  <c r="Q28" i="62"/>
  <c r="P28" i="62"/>
  <c r="O28" i="62"/>
  <c r="N28" i="62"/>
  <c r="M28" i="62"/>
  <c r="L28" i="62"/>
  <c r="K28" i="62"/>
  <c r="J28" i="62"/>
  <c r="I28" i="62"/>
  <c r="H28" i="62"/>
  <c r="G28" i="62"/>
  <c r="F28" i="62"/>
  <c r="X22" i="62"/>
  <c r="R20" i="62"/>
  <c r="Q20" i="62"/>
  <c r="P20" i="62"/>
  <c r="O20" i="62"/>
  <c r="N20" i="62"/>
  <c r="M20" i="62"/>
  <c r="L20" i="62"/>
  <c r="K20" i="62"/>
  <c r="J20" i="62"/>
  <c r="I20" i="62"/>
  <c r="H20" i="62"/>
  <c r="G20" i="62"/>
  <c r="F20" i="62"/>
  <c r="X19" i="62"/>
  <c r="X18" i="62"/>
  <c r="X15" i="62"/>
  <c r="K700" i="62" l="1"/>
  <c r="H700" i="62"/>
  <c r="F700" i="62"/>
  <c r="O110" i="6"/>
  <c r="M28" i="31"/>
  <c r="M53" i="31" s="1"/>
  <c r="AD51" i="62"/>
  <c r="AF51" i="62" s="1"/>
  <c r="AD75" i="62"/>
  <c r="AF75" i="62" s="1"/>
  <c r="AD115" i="62"/>
  <c r="AF115" i="62" s="1"/>
  <c r="AD135" i="62"/>
  <c r="AF135" i="62" s="1"/>
  <c r="AD163" i="62"/>
  <c r="AF163" i="62" s="1"/>
  <c r="AD234" i="62"/>
  <c r="AF234" i="62" s="1"/>
  <c r="AD251" i="62"/>
  <c r="AF251" i="62" s="1"/>
  <c r="AD263" i="62"/>
  <c r="AF263" i="62" s="1"/>
  <c r="AD440" i="62"/>
  <c r="AF440" i="62" s="1"/>
  <c r="AD496" i="62"/>
  <c r="AF496" i="62" s="1"/>
  <c r="AD511" i="62"/>
  <c r="AF511" i="62" s="1"/>
  <c r="AD514" i="62"/>
  <c r="AF514" i="62" s="1"/>
  <c r="AD110" i="62"/>
  <c r="AF110" i="62" s="1"/>
  <c r="AD132" i="62"/>
  <c r="AF132" i="62" s="1"/>
  <c r="AD143" i="62"/>
  <c r="AF143" i="62" s="1"/>
  <c r="AD147" i="62"/>
  <c r="AF147" i="62" s="1"/>
  <c r="AD153" i="62"/>
  <c r="AF153" i="62" s="1"/>
  <c r="AD164" i="62"/>
  <c r="AF164" i="62" s="1"/>
  <c r="AD171" i="62"/>
  <c r="AF171" i="62" s="1"/>
  <c r="AD176" i="62"/>
  <c r="AF176" i="62" s="1"/>
  <c r="AD180" i="62"/>
  <c r="AF180" i="62" s="1"/>
  <c r="AD185" i="62"/>
  <c r="AF185" i="62" s="1"/>
  <c r="AD229" i="62"/>
  <c r="AF229" i="62" s="1"/>
  <c r="AD235" i="62"/>
  <c r="AF235" i="62" s="1"/>
  <c r="AD239" i="62"/>
  <c r="AF239" i="62" s="1"/>
  <c r="AD244" i="62"/>
  <c r="AF244" i="62" s="1"/>
  <c r="AD248" i="62"/>
  <c r="AF248" i="62" s="1"/>
  <c r="AD252" i="62"/>
  <c r="AF252" i="62" s="1"/>
  <c r="AD256" i="62"/>
  <c r="AF256" i="62" s="1"/>
  <c r="AD260" i="62"/>
  <c r="AF260" i="62" s="1"/>
  <c r="AD428" i="62"/>
  <c r="AF428" i="62" s="1"/>
  <c r="AD432" i="62"/>
  <c r="AF432" i="62" s="1"/>
  <c r="AD436" i="62"/>
  <c r="AF436" i="62" s="1"/>
  <c r="AD455" i="62"/>
  <c r="AF455" i="62" s="1"/>
  <c r="AD468" i="62"/>
  <c r="AF468" i="62" s="1"/>
  <c r="AD472" i="62"/>
  <c r="AF472" i="62" s="1"/>
  <c r="AD477" i="62"/>
  <c r="AF477" i="62" s="1"/>
  <c r="AD489" i="62"/>
  <c r="AF489" i="62" s="1"/>
  <c r="AD493" i="62"/>
  <c r="AF493" i="62" s="1"/>
  <c r="AD497" i="62"/>
  <c r="AF497" i="62" s="1"/>
  <c r="AD505" i="62"/>
  <c r="AF505" i="62" s="1"/>
  <c r="AD512" i="62"/>
  <c r="AF512" i="62" s="1"/>
  <c r="AD515" i="62"/>
  <c r="AF515" i="62" s="1"/>
  <c r="AD529" i="62"/>
  <c r="AF529" i="62" s="1"/>
  <c r="AD562" i="62"/>
  <c r="AF562" i="62" s="1"/>
  <c r="AD566" i="62"/>
  <c r="AF566" i="62" s="1"/>
  <c r="AD67" i="62"/>
  <c r="AF67" i="62" s="1"/>
  <c r="AD109" i="62"/>
  <c r="AF109" i="62" s="1"/>
  <c r="AD131" i="62"/>
  <c r="AF131" i="62" s="1"/>
  <c r="AD146" i="62"/>
  <c r="AF146" i="62" s="1"/>
  <c r="AD159" i="62"/>
  <c r="AF159" i="62" s="1"/>
  <c r="AD175" i="62"/>
  <c r="AF175" i="62" s="1"/>
  <c r="AD184" i="62"/>
  <c r="AF184" i="62" s="1"/>
  <c r="AD238" i="62"/>
  <c r="AF238" i="62" s="1"/>
  <c r="AD243" i="62"/>
  <c r="AF243" i="62" s="1"/>
  <c r="AD255" i="62"/>
  <c r="AF255" i="62" s="1"/>
  <c r="AD259" i="62"/>
  <c r="AF259" i="62" s="1"/>
  <c r="AD435" i="62"/>
  <c r="AF435" i="62" s="1"/>
  <c r="AD453" i="62"/>
  <c r="AF453" i="62" s="1"/>
  <c r="AD471" i="62"/>
  <c r="AF471" i="62" s="1"/>
  <c r="AD480" i="62"/>
  <c r="AF480" i="62" s="1"/>
  <c r="AD492" i="62"/>
  <c r="AF492" i="62" s="1"/>
  <c r="AD52" i="62"/>
  <c r="AF52" i="62" s="1"/>
  <c r="AD106" i="62"/>
  <c r="AF106" i="62" s="1"/>
  <c r="AD116" i="62"/>
  <c r="AF116" i="62" s="1"/>
  <c r="AD136" i="62"/>
  <c r="AF136" i="62" s="1"/>
  <c r="AD160" i="62"/>
  <c r="AF160" i="62" s="1"/>
  <c r="AD49" i="62"/>
  <c r="AF49" i="62" s="1"/>
  <c r="AD53" i="62"/>
  <c r="AF53" i="62" s="1"/>
  <c r="AD58" i="62"/>
  <c r="AF58" i="62" s="1"/>
  <c r="AD65" i="62"/>
  <c r="AF65" i="62" s="1"/>
  <c r="AD69" i="62"/>
  <c r="AF69" i="62" s="1"/>
  <c r="AD73" i="62"/>
  <c r="AF73" i="62" s="1"/>
  <c r="AD103" i="62"/>
  <c r="AF103" i="62" s="1"/>
  <c r="AD107" i="62"/>
  <c r="AF107" i="62" s="1"/>
  <c r="AD111" i="62"/>
  <c r="AF111" i="62" s="1"/>
  <c r="AD117" i="62"/>
  <c r="AF117" i="62" s="1"/>
  <c r="AD125" i="62"/>
  <c r="AF125" i="62" s="1"/>
  <c r="AD129" i="62"/>
  <c r="AF129" i="62" s="1"/>
  <c r="AD133" i="62"/>
  <c r="AF133" i="62" s="1"/>
  <c r="AD137" i="62"/>
  <c r="AF137" i="62" s="1"/>
  <c r="AD144" i="62"/>
  <c r="AF144" i="62" s="1"/>
  <c r="AD148" i="62"/>
  <c r="AF148" i="62" s="1"/>
  <c r="AD154" i="62"/>
  <c r="AF154" i="62" s="1"/>
  <c r="AD161" i="62"/>
  <c r="AF161" i="62" s="1"/>
  <c r="AD165" i="62"/>
  <c r="AF165" i="62" s="1"/>
  <c r="AD173" i="62"/>
  <c r="AF173" i="62" s="1"/>
  <c r="AD177" i="62"/>
  <c r="AF177" i="62" s="1"/>
  <c r="AD232" i="62"/>
  <c r="AF232" i="62" s="1"/>
  <c r="AD236" i="62"/>
  <c r="AF236" i="62" s="1"/>
  <c r="AD240" i="62"/>
  <c r="AF240" i="62" s="1"/>
  <c r="AD245" i="62"/>
  <c r="AF245" i="62" s="1"/>
  <c r="AD249" i="62"/>
  <c r="AF249" i="62" s="1"/>
  <c r="AD253" i="62"/>
  <c r="AF253" i="62" s="1"/>
  <c r="AD257" i="62"/>
  <c r="AF257" i="62" s="1"/>
  <c r="AD261" i="62"/>
  <c r="AF261" i="62" s="1"/>
  <c r="AD266" i="62"/>
  <c r="AF266" i="62" s="1"/>
  <c r="AD429" i="62"/>
  <c r="AF429" i="62" s="1"/>
  <c r="AD433" i="62"/>
  <c r="AF433" i="62" s="1"/>
  <c r="AD437" i="62"/>
  <c r="AF437" i="62" s="1"/>
  <c r="AD456" i="62"/>
  <c r="AF456" i="62" s="1"/>
  <c r="AD465" i="62"/>
  <c r="AF465" i="62" s="1"/>
  <c r="AD469" i="62"/>
  <c r="AF469" i="62" s="1"/>
  <c r="AD474" i="62"/>
  <c r="AF474" i="62" s="1"/>
  <c r="AD478" i="62"/>
  <c r="AF478" i="62" s="1"/>
  <c r="AD490" i="62"/>
  <c r="AF490" i="62" s="1"/>
  <c r="AD494" i="62"/>
  <c r="AF494" i="62" s="1"/>
  <c r="AD498" i="62"/>
  <c r="AF498" i="62" s="1"/>
  <c r="AD506" i="62"/>
  <c r="AF506" i="62" s="1"/>
  <c r="AD516" i="62"/>
  <c r="AF516" i="62" s="1"/>
  <c r="AD530" i="62"/>
  <c r="AF530" i="62" s="1"/>
  <c r="AD563" i="62"/>
  <c r="AF563" i="62" s="1"/>
  <c r="AD578" i="62"/>
  <c r="AF578" i="62" s="1"/>
  <c r="AD605" i="62"/>
  <c r="AF605" i="62" s="1"/>
  <c r="AF609" i="62"/>
  <c r="AD71" i="62"/>
  <c r="AF71" i="62" s="1"/>
  <c r="AD105" i="62"/>
  <c r="AF105" i="62" s="1"/>
  <c r="AD119" i="62"/>
  <c r="AF119" i="62" s="1"/>
  <c r="AD127" i="62"/>
  <c r="AF127" i="62" s="1"/>
  <c r="AD141" i="62"/>
  <c r="AF141" i="62" s="1"/>
  <c r="AD152" i="62"/>
  <c r="AF152" i="62" s="1"/>
  <c r="AD179" i="62"/>
  <c r="AF179" i="62" s="1"/>
  <c r="AD247" i="62"/>
  <c r="AF247" i="62" s="1"/>
  <c r="AD431" i="62"/>
  <c r="AF431" i="62" s="1"/>
  <c r="AD467" i="62"/>
  <c r="AF467" i="62" s="1"/>
  <c r="AD476" i="62"/>
  <c r="AF476" i="62" s="1"/>
  <c r="AD488" i="62"/>
  <c r="AF488" i="62" s="1"/>
  <c r="AD504" i="62"/>
  <c r="AF504" i="62" s="1"/>
  <c r="AD528" i="62"/>
  <c r="AF528" i="62" s="1"/>
  <c r="AD565" i="62"/>
  <c r="AF565" i="62" s="1"/>
  <c r="AF608" i="62"/>
  <c r="AD57" i="62"/>
  <c r="AF57" i="62" s="1"/>
  <c r="AD68" i="62"/>
  <c r="AF68" i="62" s="1"/>
  <c r="AD72" i="62"/>
  <c r="AF72" i="62" s="1"/>
  <c r="AD102" i="62"/>
  <c r="AF102" i="62" s="1"/>
  <c r="AD128" i="62"/>
  <c r="AF128" i="62" s="1"/>
  <c r="AD50" i="62"/>
  <c r="AF50" i="62" s="1"/>
  <c r="AD56" i="62"/>
  <c r="AF56" i="62" s="1"/>
  <c r="AD66" i="62"/>
  <c r="AF66" i="62" s="1"/>
  <c r="AD70" i="62"/>
  <c r="AF70" i="62" s="1"/>
  <c r="AD74" i="62"/>
  <c r="AF74" i="62" s="1"/>
  <c r="AD104" i="62"/>
  <c r="AF104" i="62" s="1"/>
  <c r="AD108" i="62"/>
  <c r="AF108" i="62" s="1"/>
  <c r="AD114" i="62"/>
  <c r="AF114" i="62" s="1"/>
  <c r="AD118" i="62"/>
  <c r="AF118" i="62" s="1"/>
  <c r="AD126" i="62"/>
  <c r="AF126" i="62" s="1"/>
  <c r="AD130" i="62"/>
  <c r="AF130" i="62" s="1"/>
  <c r="AD134" i="62"/>
  <c r="AF134" i="62" s="1"/>
  <c r="AD138" i="62"/>
  <c r="AF138" i="62" s="1"/>
  <c r="AD145" i="62"/>
  <c r="AF145" i="62" s="1"/>
  <c r="AD155" i="62"/>
  <c r="AF155" i="62" s="1"/>
  <c r="AD162" i="62"/>
  <c r="AF162" i="62" s="1"/>
  <c r="AD166" i="62"/>
  <c r="AF166" i="62" s="1"/>
  <c r="AD174" i="62"/>
  <c r="AF174" i="62" s="1"/>
  <c r="AD178" i="62"/>
  <c r="AF178" i="62" s="1"/>
  <c r="AD183" i="62"/>
  <c r="AF183" i="62" s="1"/>
  <c r="AD233" i="62"/>
  <c r="AF233" i="62" s="1"/>
  <c r="AD237" i="62"/>
  <c r="AF237" i="62" s="1"/>
  <c r="AD246" i="62"/>
  <c r="AF246" i="62" s="1"/>
  <c r="AD250" i="62"/>
  <c r="AF250" i="62" s="1"/>
  <c r="AD254" i="62"/>
  <c r="AF254" i="62" s="1"/>
  <c r="AD258" i="62"/>
  <c r="AF258" i="62" s="1"/>
  <c r="AD262" i="62"/>
  <c r="AF262" i="62" s="1"/>
  <c r="AD430" i="62"/>
  <c r="AF430" i="62" s="1"/>
  <c r="AD434" i="62"/>
  <c r="AF434" i="62" s="1"/>
  <c r="AD438" i="62"/>
  <c r="AF438" i="62" s="1"/>
  <c r="AD466" i="62"/>
  <c r="AF466" i="62" s="1"/>
  <c r="AD470" i="62"/>
  <c r="AF470" i="62" s="1"/>
  <c r="AD479" i="62"/>
  <c r="AF479" i="62" s="1"/>
  <c r="AD491" i="62"/>
  <c r="AF491" i="62" s="1"/>
  <c r="AD495" i="62"/>
  <c r="AF495" i="62" s="1"/>
  <c r="AD503" i="62"/>
  <c r="AF503" i="62" s="1"/>
  <c r="AD507" i="62"/>
  <c r="AF507" i="62" s="1"/>
  <c r="AD513" i="62"/>
  <c r="AF513" i="62" s="1"/>
  <c r="AD517" i="62"/>
  <c r="AF517" i="62" s="1"/>
  <c r="AD531" i="62"/>
  <c r="AF531" i="62" s="1"/>
  <c r="AD564" i="62"/>
  <c r="AF564" i="62" s="1"/>
  <c r="AD579" i="62"/>
  <c r="AF579" i="62" s="1"/>
  <c r="AF607" i="62"/>
  <c r="AF610" i="62"/>
  <c r="V464" i="62"/>
  <c r="G700" i="62"/>
  <c r="O700" i="62"/>
  <c r="I99" i="62"/>
  <c r="I122" i="62" s="1"/>
  <c r="I389" i="62" s="1"/>
  <c r="M99" i="62"/>
  <c r="M122" i="62" s="1"/>
  <c r="M389" i="62" s="1"/>
  <c r="Q99" i="62"/>
  <c r="Q122" i="62" s="1"/>
  <c r="Q389" i="62" s="1"/>
  <c r="X580" i="62"/>
  <c r="X600" i="62"/>
  <c r="X604" i="62"/>
  <c r="X86" i="62"/>
  <c r="AB86" i="62"/>
  <c r="U112" i="62"/>
  <c r="V482" i="62"/>
  <c r="AF482" i="62" s="1"/>
  <c r="X87" i="62"/>
  <c r="AB87" i="62"/>
  <c r="U113" i="62"/>
  <c r="V483" i="62"/>
  <c r="AF483" i="62" s="1"/>
  <c r="X606" i="62"/>
  <c r="X603" i="62"/>
  <c r="H99" i="62"/>
  <c r="H122" i="62" s="1"/>
  <c r="P99" i="62"/>
  <c r="P122" i="62" s="1"/>
  <c r="L99" i="62"/>
  <c r="L122" i="62" s="1"/>
  <c r="L389" i="62" s="1"/>
  <c r="G99" i="62"/>
  <c r="G122" i="62" s="1"/>
  <c r="K99" i="62"/>
  <c r="K122" i="62" s="1"/>
  <c r="O99" i="62"/>
  <c r="O122" i="62" s="1"/>
  <c r="O389" i="62" s="1"/>
  <c r="I700" i="62"/>
  <c r="M700" i="62"/>
  <c r="Q700" i="62"/>
  <c r="L700" i="62"/>
  <c r="X444" i="62"/>
  <c r="X449" i="62"/>
  <c r="W405" i="62"/>
  <c r="X445" i="62"/>
  <c r="W424" i="62"/>
  <c r="N700" i="62"/>
  <c r="R700" i="62"/>
  <c r="X590" i="62"/>
  <c r="AB590" i="62" s="1"/>
  <c r="W396" i="62"/>
  <c r="W394" i="62"/>
  <c r="W409" i="62"/>
  <c r="AB442" i="62"/>
  <c r="AB446" i="62"/>
  <c r="J700" i="62"/>
  <c r="W386" i="62"/>
  <c r="W401" i="62"/>
  <c r="P700" i="62"/>
  <c r="AB268" i="62"/>
  <c r="X274" i="62"/>
  <c r="W210" i="62"/>
  <c r="W214" i="62"/>
  <c r="W218" i="62"/>
  <c r="AB202" i="62"/>
  <c r="U172" i="62"/>
  <c r="U55" i="62"/>
  <c r="AB88" i="62"/>
  <c r="AB90" i="62"/>
  <c r="AB93" i="62"/>
  <c r="F99" i="62"/>
  <c r="F122" i="62" s="1"/>
  <c r="F389" i="62" s="1"/>
  <c r="J99" i="62"/>
  <c r="J122" i="62" s="1"/>
  <c r="N99" i="62"/>
  <c r="N122" i="62" s="1"/>
  <c r="N389" i="62" s="1"/>
  <c r="R99" i="62"/>
  <c r="R122" i="62" s="1"/>
  <c r="R389" i="62" s="1"/>
  <c r="AB89" i="62"/>
  <c r="AB91" i="62"/>
  <c r="AB92" i="62"/>
  <c r="AB94" i="62"/>
  <c r="U61" i="62"/>
  <c r="X52" i="62"/>
  <c r="AB52" i="62" s="1"/>
  <c r="M34" i="62"/>
  <c r="M36" i="62" s="1"/>
  <c r="G34" i="62"/>
  <c r="G36" i="62" s="1"/>
  <c r="K34" i="62"/>
  <c r="K36" i="62" s="1"/>
  <c r="O34" i="62"/>
  <c r="O36" i="62" s="1"/>
  <c r="H34" i="62"/>
  <c r="H36" i="62" s="1"/>
  <c r="L34" i="62"/>
  <c r="L36" i="62" s="1"/>
  <c r="P34" i="62"/>
  <c r="P36" i="62" s="1"/>
  <c r="I34" i="62"/>
  <c r="I36" i="62" s="1"/>
  <c r="Q34" i="62"/>
  <c r="Q36" i="62" s="1"/>
  <c r="F34" i="62"/>
  <c r="F36" i="62" s="1"/>
  <c r="J34" i="62"/>
  <c r="J36" i="62" s="1"/>
  <c r="N34" i="62"/>
  <c r="N36" i="62" s="1"/>
  <c r="R34" i="62"/>
  <c r="R36" i="62" s="1"/>
  <c r="AB19" i="62"/>
  <c r="P111" i="6"/>
  <c r="N85" i="31"/>
  <c r="N125" i="31" s="1"/>
  <c r="N28" i="31"/>
  <c r="N53" i="31" s="1"/>
  <c r="L30" i="4"/>
  <c r="AC411" i="62"/>
  <c r="W411" i="62"/>
  <c r="AC403" i="62"/>
  <c r="W403" i="62"/>
  <c r="AC418" i="62"/>
  <c r="W418" i="62"/>
  <c r="AC395" i="62"/>
  <c r="W395" i="62"/>
  <c r="AC213" i="62"/>
  <c r="W213" i="62"/>
  <c r="AC398" i="62"/>
  <c r="W398" i="62"/>
  <c r="AC209" i="62"/>
  <c r="W209" i="62"/>
  <c r="AC217" i="62"/>
  <c r="W217" i="62"/>
  <c r="W393" i="62"/>
  <c r="AC393" i="62" s="1"/>
  <c r="AC407" i="62"/>
  <c r="W407" i="62"/>
  <c r="W688" i="62"/>
  <c r="U83" i="62"/>
  <c r="AF83" i="62" s="1"/>
  <c r="W208" i="62"/>
  <c r="W212" i="62"/>
  <c r="W216" i="62"/>
  <c r="W226" i="62"/>
  <c r="AD273" i="62"/>
  <c r="AF273" i="62" s="1"/>
  <c r="W404" i="62"/>
  <c r="W408" i="62"/>
  <c r="X41" i="62"/>
  <c r="U101" i="62"/>
  <c r="U124" i="62"/>
  <c r="U151" i="62"/>
  <c r="W207" i="62"/>
  <c r="W211" i="62"/>
  <c r="W215" i="62"/>
  <c r="V223" i="62"/>
  <c r="W333" i="62"/>
  <c r="W375" i="62"/>
  <c r="AB443" i="62"/>
  <c r="X443" i="62"/>
  <c r="AB447" i="62"/>
  <c r="X447" i="62"/>
  <c r="W310" i="62"/>
  <c r="W392" i="62"/>
  <c r="W397" i="62"/>
  <c r="W402" i="62"/>
  <c r="W406" i="62"/>
  <c r="W410" i="62"/>
  <c r="W425" i="62"/>
  <c r="AD427" i="62"/>
  <c r="AF427" i="62" s="1"/>
  <c r="V548" i="62"/>
  <c r="AD484" i="62"/>
  <c r="AF484" i="62" s="1"/>
  <c r="AD481" i="62"/>
  <c r="AF481" i="62" s="1"/>
  <c r="H389" i="62" l="1"/>
  <c r="J389" i="62"/>
  <c r="G389" i="62"/>
  <c r="P389" i="62"/>
  <c r="K389" i="62"/>
  <c r="M54" i="31"/>
  <c r="N54" i="31"/>
  <c r="AD101" i="62"/>
  <c r="AF101" i="62" s="1"/>
  <c r="AF604" i="62"/>
  <c r="AF606" i="62"/>
  <c r="AD464" i="62"/>
  <c r="AF464" i="62" s="1"/>
  <c r="AD151" i="62"/>
  <c r="AF151" i="62" s="1"/>
  <c r="AD55" i="62"/>
  <c r="AF55" i="62" s="1"/>
  <c r="AD113" i="62"/>
  <c r="AF113" i="62" s="1"/>
  <c r="AD112" i="62"/>
  <c r="AF112" i="62" s="1"/>
  <c r="AD61" i="62"/>
  <c r="AF61" i="62" s="1"/>
  <c r="AD548" i="62"/>
  <c r="AF548" i="62" s="1"/>
  <c r="AD124" i="62"/>
  <c r="AF124" i="62" s="1"/>
  <c r="AD172" i="62"/>
  <c r="AF172" i="62" s="1"/>
  <c r="U703" i="62"/>
  <c r="V703" i="62"/>
  <c r="X34" i="62"/>
  <c r="AC703" i="62"/>
  <c r="W703" i="62"/>
  <c r="AB703" i="62"/>
  <c r="AA703" i="62"/>
  <c r="X703" i="62" l="1"/>
  <c r="X704" i="62" s="1"/>
  <c r="AD703" i="62"/>
  <c r="V704" i="62"/>
  <c r="X705" i="62" l="1"/>
  <c r="L44" i="4" l="1"/>
  <c r="L20" i="4"/>
  <c r="K44" i="4" l="1"/>
  <c r="K20" i="4"/>
  <c r="G37" i="49"/>
  <c r="E43" i="13" l="1"/>
  <c r="C11" i="13" s="1"/>
  <c r="F11" i="60" l="1"/>
  <c r="K11" i="60"/>
  <c r="O11" i="60"/>
  <c r="R11" i="60"/>
  <c r="S17" i="60" s="1"/>
  <c r="N18" i="60"/>
  <c r="L25" i="60" s="1"/>
  <c r="E21" i="60"/>
  <c r="S25" i="60"/>
  <c r="T21" i="60" s="1"/>
  <c r="H9" i="31" s="1"/>
  <c r="H32" i="60"/>
  <c r="I32" i="60"/>
  <c r="H35" i="60"/>
  <c r="I35" i="60"/>
  <c r="R50" i="60"/>
  <c r="R51" i="60"/>
  <c r="R52" i="60"/>
  <c r="R53" i="60"/>
  <c r="R54" i="60"/>
  <c r="R55" i="60"/>
  <c r="R56" i="60"/>
  <c r="R57" i="60"/>
  <c r="R58" i="60"/>
  <c r="R59" i="60"/>
  <c r="R60" i="60"/>
  <c r="R61" i="60"/>
  <c r="P62" i="60"/>
  <c r="P17" i="60" s="1"/>
  <c r="Q62" i="60"/>
  <c r="P18" i="60" s="1"/>
  <c r="J35" i="60" l="1"/>
  <c r="H39" i="60" s="1"/>
  <c r="C18" i="60"/>
  <c r="D18" i="60" s="1"/>
  <c r="M25" i="60"/>
  <c r="T22" i="60"/>
  <c r="H10" i="31" s="1"/>
  <c r="C29" i="60"/>
  <c r="D29" i="60" s="1"/>
  <c r="P21" i="60"/>
  <c r="Q17" i="60" s="1"/>
  <c r="C16" i="60" s="1"/>
  <c r="G163" i="58" l="1"/>
  <c r="I39" i="60"/>
  <c r="C17" i="60"/>
  <c r="D17" i="60" s="1"/>
  <c r="G9" i="31"/>
  <c r="Q18" i="60"/>
  <c r="A13" i="57"/>
  <c r="A14" i="57" s="1"/>
  <c r="A15" i="57" s="1"/>
  <c r="A16" i="57" s="1"/>
  <c r="A17" i="57" s="1"/>
  <c r="A18" i="57" s="1"/>
  <c r="A21" i="57" l="1"/>
  <c r="A22" i="57" s="1"/>
  <c r="A23" i="57" s="1"/>
  <c r="A24" i="57" s="1"/>
  <c r="A25" i="57" s="1"/>
  <c r="A26" i="57" s="1"/>
  <c r="A27" i="57" s="1"/>
  <c r="A28" i="57" s="1"/>
  <c r="A29" i="57" s="1"/>
  <c r="A30" i="57" s="1"/>
  <c r="C21" i="60"/>
  <c r="H169" i="58"/>
  <c r="I163" i="58"/>
  <c r="H163" i="58"/>
  <c r="D16" i="60"/>
  <c r="F48" i="49" l="1"/>
  <c r="G48" i="49" s="1"/>
  <c r="F33" i="49"/>
  <c r="G33" i="49" s="1"/>
  <c r="F152" i="49"/>
  <c r="F151" i="49"/>
  <c r="F42" i="49"/>
  <c r="G42" i="49" s="1"/>
  <c r="F157" i="49"/>
  <c r="F43" i="49"/>
  <c r="G43" i="49" s="1"/>
  <c r="F32" i="49"/>
  <c r="G32" i="49" s="1"/>
  <c r="F158" i="49"/>
  <c r="F41" i="49"/>
  <c r="G41" i="49" s="1"/>
  <c r="H41" i="49" s="1"/>
  <c r="H212" i="49" s="1"/>
  <c r="J212" i="49" s="1"/>
  <c r="F51" i="49"/>
  <c r="G51" i="49" s="1"/>
  <c r="F176" i="49"/>
  <c r="F153" i="49"/>
  <c r="F150" i="49"/>
  <c r="F162" i="49"/>
  <c r="F175" i="49"/>
  <c r="F173" i="49"/>
  <c r="F178" i="49"/>
  <c r="F22" i="49"/>
  <c r="G22" i="49" s="1"/>
  <c r="F177" i="49"/>
  <c r="F18" i="49"/>
  <c r="G18" i="49" s="1"/>
  <c r="F27" i="49"/>
  <c r="G27" i="49" s="1"/>
  <c r="F15" i="49"/>
  <c r="G15" i="49" s="1"/>
  <c r="F28" i="49"/>
  <c r="G28" i="49" s="1"/>
  <c r="F9" i="49"/>
  <c r="G9" i="49" s="1"/>
  <c r="E52" i="18"/>
  <c r="E56" i="18"/>
  <c r="E60" i="18"/>
  <c r="E64" i="18"/>
  <c r="E68" i="18"/>
  <c r="E72" i="18"/>
  <c r="E76" i="18"/>
  <c r="E80" i="18"/>
  <c r="E84" i="18"/>
  <c r="E88" i="18"/>
  <c r="E92" i="18"/>
  <c r="E96" i="18"/>
  <c r="E100" i="18"/>
  <c r="E104" i="18"/>
  <c r="E108" i="18"/>
  <c r="E112" i="18"/>
  <c r="E116" i="18"/>
  <c r="E120" i="18"/>
  <c r="E124" i="18"/>
  <c r="E128" i="18"/>
  <c r="E132" i="18"/>
  <c r="E136" i="18"/>
  <c r="E140" i="18"/>
  <c r="E144" i="18"/>
  <c r="E148" i="18"/>
  <c r="E152" i="18"/>
  <c r="E156" i="18"/>
  <c r="E53" i="18"/>
  <c r="E57" i="18"/>
  <c r="E61" i="18"/>
  <c r="E65" i="18"/>
  <c r="E69" i="18"/>
  <c r="E73" i="18"/>
  <c r="E77" i="18"/>
  <c r="E81" i="18"/>
  <c r="E85" i="18"/>
  <c r="E89" i="18"/>
  <c r="E93" i="18"/>
  <c r="E97" i="18"/>
  <c r="E101" i="18"/>
  <c r="E105" i="18"/>
  <c r="E109" i="18"/>
  <c r="E113" i="18"/>
  <c r="E117" i="18"/>
  <c r="E121" i="18"/>
  <c r="E125" i="18"/>
  <c r="E129" i="18"/>
  <c r="E133" i="18"/>
  <c r="E137" i="18"/>
  <c r="E141" i="18"/>
  <c r="E145" i="18"/>
  <c r="E149" i="18"/>
  <c r="E153" i="18"/>
  <c r="E54" i="18"/>
  <c r="E58" i="18"/>
  <c r="E66" i="18"/>
  <c r="E70" i="18"/>
  <c r="E74" i="18"/>
  <c r="E78" i="18"/>
  <c r="E82" i="18"/>
  <c r="E86" i="18"/>
  <c r="E90" i="18"/>
  <c r="E98" i="18"/>
  <c r="E102" i="18"/>
  <c r="E106" i="18"/>
  <c r="E114" i="18"/>
  <c r="E126" i="18"/>
  <c r="E134" i="18"/>
  <c r="E138" i="18"/>
  <c r="E146" i="18"/>
  <c r="E154" i="18"/>
  <c r="E59" i="18"/>
  <c r="E67" i="18"/>
  <c r="E75" i="18"/>
  <c r="E83" i="18"/>
  <c r="E91" i="18"/>
  <c r="E103" i="18"/>
  <c r="E111" i="18"/>
  <c r="E123" i="18"/>
  <c r="E135" i="18"/>
  <c r="E143" i="18"/>
  <c r="E151" i="18"/>
  <c r="E62" i="18"/>
  <c r="E94" i="18"/>
  <c r="E110" i="18"/>
  <c r="E118" i="18"/>
  <c r="E122" i="18"/>
  <c r="E130" i="18"/>
  <c r="E142" i="18"/>
  <c r="E150" i="18"/>
  <c r="E55" i="18"/>
  <c r="E63" i="18"/>
  <c r="E71" i="18"/>
  <c r="E79" i="18"/>
  <c r="E87" i="18"/>
  <c r="E95" i="18"/>
  <c r="E99" i="18"/>
  <c r="E107" i="18"/>
  <c r="E115" i="18"/>
  <c r="E119" i="18"/>
  <c r="E127" i="18"/>
  <c r="E131" i="18"/>
  <c r="E139" i="18"/>
  <c r="E147" i="18"/>
  <c r="E155" i="18"/>
  <c r="E157" i="18"/>
  <c r="E20" i="18"/>
  <c r="E17" i="18"/>
  <c r="E19" i="18"/>
  <c r="F24" i="49"/>
  <c r="G24" i="49" s="1"/>
  <c r="F9" i="31"/>
  <c r="Z7" i="62"/>
  <c r="G162" i="58"/>
  <c r="F193" i="49"/>
  <c r="F20" i="49"/>
  <c r="F13" i="49"/>
  <c r="G13" i="49" s="1"/>
  <c r="F16" i="49"/>
  <c r="F14" i="49"/>
  <c r="G14" i="49" s="1"/>
  <c r="F11" i="49"/>
  <c r="J169" i="58"/>
  <c r="J163" i="58"/>
  <c r="K163" i="58"/>
  <c r="D21" i="60"/>
  <c r="G10" i="31"/>
  <c r="Y17" i="62" l="1"/>
  <c r="Y185" i="62"/>
  <c r="Y559" i="62"/>
  <c r="Y560" i="62"/>
  <c r="Y558" i="62"/>
  <c r="Y557" i="62"/>
  <c r="Y561" i="62"/>
  <c r="Y593" i="62"/>
  <c r="Y15" i="62"/>
  <c r="Y22" i="62"/>
  <c r="Y603" i="62"/>
  <c r="Y580" i="62"/>
  <c r="Y34" i="62"/>
  <c r="E159" i="18"/>
  <c r="F10" i="31"/>
  <c r="Z8" i="62"/>
  <c r="H162" i="58"/>
  <c r="H168" i="58"/>
  <c r="I162" i="58"/>
  <c r="L169" i="58"/>
  <c r="M163" i="58"/>
  <c r="L163" i="58"/>
  <c r="Y554" i="62"/>
  <c r="Y18" i="62"/>
  <c r="AW45" i="59"/>
  <c r="Z17" i="62" l="1"/>
  <c r="Z185" i="62"/>
  <c r="Z558" i="62"/>
  <c r="Z557" i="62"/>
  <c r="Z561" i="62"/>
  <c r="Z559" i="62"/>
  <c r="Z560" i="62"/>
  <c r="Z593" i="62"/>
  <c r="Z22" i="62"/>
  <c r="Z15" i="62"/>
  <c r="Z603" i="62"/>
  <c r="Z580" i="62"/>
  <c r="Z34" i="62"/>
  <c r="N169" i="58"/>
  <c r="N163" i="58"/>
  <c r="O163" i="58"/>
  <c r="Z554" i="62"/>
  <c r="Z18" i="62"/>
  <c r="J162" i="58"/>
  <c r="K162" i="58"/>
  <c r="J168" i="58"/>
  <c r="P169" i="58" l="1"/>
  <c r="Q163" i="58"/>
  <c r="P163" i="58"/>
  <c r="L168" i="58"/>
  <c r="M162" i="58"/>
  <c r="L162" i="58"/>
  <c r="R169" i="58" l="1"/>
  <c r="R163" i="58"/>
  <c r="S163" i="58"/>
  <c r="O162" i="58"/>
  <c r="N168" i="58"/>
  <c r="N162" i="58"/>
  <c r="AW71" i="59"/>
  <c r="AW73" i="59" s="1"/>
  <c r="T169" i="58" l="1"/>
  <c r="U163" i="58"/>
  <c r="T163" i="58"/>
  <c r="P168" i="58"/>
  <c r="Q162" i="58"/>
  <c r="P162" i="58"/>
  <c r="AY29" i="59"/>
  <c r="AX29" i="59"/>
  <c r="AW29" i="59"/>
  <c r="AW79" i="59" s="1"/>
  <c r="AY28" i="59"/>
  <c r="AX28" i="59"/>
  <c r="AY27" i="59"/>
  <c r="AX27" i="59"/>
  <c r="AY26" i="59"/>
  <c r="AX26" i="59"/>
  <c r="AW28" i="59"/>
  <c r="AW27" i="59"/>
  <c r="AW26" i="59"/>
  <c r="M75" i="59"/>
  <c r="P75" i="59"/>
  <c r="S75" i="59"/>
  <c r="V75" i="59"/>
  <c r="Y75" i="59"/>
  <c r="AB75" i="59"/>
  <c r="AE75" i="59"/>
  <c r="AH75" i="59"/>
  <c r="AK75" i="59"/>
  <c r="AN75" i="59"/>
  <c r="AQ75" i="59"/>
  <c r="AT75" i="59"/>
  <c r="H17" i="32"/>
  <c r="AV23" i="59"/>
  <c r="AU23" i="59"/>
  <c r="H16" i="32"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X148" i="58"/>
  <c r="W148" i="58"/>
  <c r="V148" i="58"/>
  <c r="U148" i="58"/>
  <c r="T148" i="58"/>
  <c r="S148" i="58"/>
  <c r="R148" i="58"/>
  <c r="Q148" i="58"/>
  <c r="P148" i="58"/>
  <c r="O148" i="58"/>
  <c r="N148" i="58"/>
  <c r="M148" i="58"/>
  <c r="L148" i="58"/>
  <c r="K148" i="58"/>
  <c r="J148" i="58"/>
  <c r="I148" i="58"/>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E92" i="58"/>
  <c r="F161"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E10" i="58"/>
  <c r="AW78" i="59" l="1"/>
  <c r="AX43" i="59"/>
  <c r="D17" i="32" s="1"/>
  <c r="E38" i="1" s="1"/>
  <c r="AW43" i="59"/>
  <c r="AW75" i="59" s="1"/>
  <c r="AY43" i="59"/>
  <c r="V169" i="58"/>
  <c r="V163" i="58"/>
  <c r="W163" i="58"/>
  <c r="P171" i="58"/>
  <c r="AW80" i="59"/>
  <c r="S162" i="58"/>
  <c r="R168" i="58"/>
  <c r="R171" i="58" s="1"/>
  <c r="R162" i="58"/>
  <c r="R165" i="58" s="1"/>
  <c r="H171" i="58"/>
  <c r="F171" i="58"/>
  <c r="N171" i="58"/>
  <c r="AF47" i="58"/>
  <c r="H165" i="58"/>
  <c r="P165" i="58"/>
  <c r="L171" i="58"/>
  <c r="AE47" i="58"/>
  <c r="J165" i="58"/>
  <c r="F165" i="58"/>
  <c r="N165" i="58"/>
  <c r="J171" i="58"/>
  <c r="L165" i="58"/>
  <c r="AF92" i="58"/>
  <c r="AE148" i="58"/>
  <c r="AE153" i="58"/>
  <c r="K155" i="58"/>
  <c r="S155" i="58"/>
  <c r="AA155" i="58"/>
  <c r="AF148" i="58"/>
  <c r="AF153" i="58"/>
  <c r="H155" i="58"/>
  <c r="L155" i="58"/>
  <c r="P155" i="58"/>
  <c r="T155" i="58"/>
  <c r="X155" i="58"/>
  <c r="AB155" i="58"/>
  <c r="G155" i="58"/>
  <c r="O155" i="58"/>
  <c r="W155" i="58"/>
  <c r="AE92" i="58"/>
  <c r="E155" i="58"/>
  <c r="I155" i="58"/>
  <c r="M155" i="58"/>
  <c r="Q155" i="58"/>
  <c r="U155" i="58"/>
  <c r="Y155" i="58"/>
  <c r="AC155" i="58"/>
  <c r="F155" i="58"/>
  <c r="J155" i="58"/>
  <c r="N155" i="58"/>
  <c r="R155" i="58"/>
  <c r="V155" i="58"/>
  <c r="Z155" i="58"/>
  <c r="AD155" i="58"/>
  <c r="AW23" i="59"/>
  <c r="AX23" i="59"/>
  <c r="D16" i="32" s="1"/>
  <c r="E37" i="1" s="1"/>
  <c r="AY23" i="59"/>
  <c r="X169" i="58" l="1"/>
  <c r="Y163" i="58"/>
  <c r="X163" i="58"/>
  <c r="T168" i="58"/>
  <c r="T171" i="58" s="1"/>
  <c r="U162" i="58"/>
  <c r="T162" i="58"/>
  <c r="T165" i="58" s="1"/>
  <c r="AE155" i="58"/>
  <c r="AF155" i="58"/>
  <c r="Z169" i="58" l="1"/>
  <c r="Z163" i="58"/>
  <c r="AA163" i="58"/>
  <c r="W162" i="58"/>
  <c r="V168" i="58"/>
  <c r="V171" i="58" s="1"/>
  <c r="V162" i="58"/>
  <c r="V165" i="58" s="1"/>
  <c r="X168" i="58" l="1"/>
  <c r="X171" i="58" s="1"/>
  <c r="Y162" i="58"/>
  <c r="X162" i="58"/>
  <c r="X165" i="58" s="1"/>
  <c r="AB169" i="58"/>
  <c r="AC163" i="58"/>
  <c r="AD169" i="58" s="1"/>
  <c r="AB163" i="58"/>
  <c r="G61" i="49"/>
  <c r="G54" i="49"/>
  <c r="G53" i="49"/>
  <c r="H207" i="49" s="1"/>
  <c r="J207" i="49" s="1"/>
  <c r="G44" i="49"/>
  <c r="G40" i="49"/>
  <c r="G39" i="49"/>
  <c r="H215" i="49" s="1"/>
  <c r="J215" i="49" s="1"/>
  <c r="G38" i="49"/>
  <c r="G16" i="49"/>
  <c r="G20" i="49"/>
  <c r="G11" i="49"/>
  <c r="H209" i="49" l="1"/>
  <c r="J209" i="49" s="1"/>
  <c r="G30" i="49"/>
  <c r="AA162" i="58"/>
  <c r="Z168" i="58"/>
  <c r="Z171" i="58" s="1"/>
  <c r="Z162" i="58"/>
  <c r="Z165" i="58" s="1"/>
  <c r="AD163" i="58"/>
  <c r="H195" i="49"/>
  <c r="E199" i="49"/>
  <c r="G195" i="49"/>
  <c r="H146" i="49" l="1"/>
  <c r="H199" i="49" s="1"/>
  <c r="H211" i="49"/>
  <c r="AB168" i="58"/>
  <c r="AB171" i="58" s="1"/>
  <c r="AC162" i="58"/>
  <c r="AB162" i="58"/>
  <c r="AB165" i="58" s="1"/>
  <c r="G199" i="49"/>
  <c r="J211" i="49" l="1"/>
  <c r="J222" i="49" s="1"/>
  <c r="AD168" i="58"/>
  <c r="AD171" i="58" s="1"/>
  <c r="AD162" i="58"/>
  <c r="AD165" i="58" s="1"/>
  <c r="H222" i="49"/>
  <c r="H224" i="49" s="1"/>
  <c r="Q21" i="31"/>
  <c r="K222" i="49" l="1"/>
  <c r="AF165" i="58"/>
  <c r="D13" i="32" s="1"/>
  <c r="E35" i="1" s="1"/>
  <c r="H13" i="32"/>
  <c r="AF171" i="58"/>
  <c r="H14" i="32"/>
  <c r="D14" i="32" l="1"/>
  <c r="E36" i="1" s="1"/>
  <c r="H15" i="32"/>
  <c r="Y703" i="62" l="1"/>
  <c r="Z703" i="62"/>
  <c r="X706" i="62" l="1"/>
  <c r="AE703" i="62"/>
  <c r="AE704" i="62" s="1"/>
  <c r="AA705" i="62"/>
  <c r="AC704" i="62"/>
  <c r="AB706" i="62" l="1"/>
  <c r="AB708" i="62" s="1"/>
  <c r="Z706" i="62"/>
  <c r="Z708" i="62" s="1"/>
  <c r="Y706" i="62"/>
  <c r="Y708" i="62" s="1"/>
  <c r="D18" i="32" l="1"/>
  <c r="H18" i="32" s="1"/>
  <c r="E39" i="1"/>
  <c r="D11" i="38"/>
  <c r="D13" i="38" s="1"/>
  <c r="D15" i="38" s="1"/>
  <c r="R61" i="31" s="1"/>
  <c r="Q26" i="4" s="1"/>
  <c r="K75" i="6"/>
  <c r="L75" i="6" s="1"/>
  <c r="F66" i="6"/>
  <c r="F13" i="6" s="1"/>
  <c r="D66" i="6"/>
  <c r="H62" i="6"/>
  <c r="P62" i="6" s="1"/>
  <c r="H60" i="6"/>
  <c r="H59" i="6"/>
  <c r="H58" i="6"/>
  <c r="H57" i="6"/>
  <c r="H56" i="6"/>
  <c r="H55" i="6"/>
  <c r="H54" i="6"/>
  <c r="H53" i="6"/>
  <c r="H52" i="6"/>
  <c r="H51" i="6"/>
  <c r="H50" i="6"/>
  <c r="H47" i="6"/>
  <c r="F42" i="6"/>
  <c r="H20" i="6"/>
  <c r="H11" i="6"/>
  <c r="F159" i="18"/>
  <c r="F22" i="18"/>
  <c r="E22" i="18"/>
  <c r="U16" i="31"/>
  <c r="F14" i="3"/>
  <c r="J13" i="3"/>
  <c r="J12" i="3"/>
  <c r="J11" i="3"/>
  <c r="D15" i="32"/>
  <c r="D151" i="31"/>
  <c r="D187" i="31" s="1"/>
  <c r="T149" i="31"/>
  <c r="S149" i="31"/>
  <c r="U148" i="31"/>
  <c r="U147" i="31"/>
  <c r="U146" i="31"/>
  <c r="U145" i="31"/>
  <c r="V145" i="31" s="1"/>
  <c r="U144" i="31"/>
  <c r="T135" i="31"/>
  <c r="S135" i="31"/>
  <c r="R135" i="31"/>
  <c r="P135" i="31"/>
  <c r="O135" i="31"/>
  <c r="K135" i="31"/>
  <c r="J135" i="31"/>
  <c r="U134" i="31"/>
  <c r="U133" i="31"/>
  <c r="U132" i="31"/>
  <c r="U131" i="31"/>
  <c r="U130" i="31"/>
  <c r="U129" i="31"/>
  <c r="D125" i="31"/>
  <c r="U122" i="31"/>
  <c r="T121" i="31"/>
  <c r="T123" i="31" s="1"/>
  <c r="S121" i="31"/>
  <c r="S123" i="31" s="1"/>
  <c r="O121" i="31"/>
  <c r="O123" i="31" s="1"/>
  <c r="L121" i="31"/>
  <c r="L123" i="31" s="1"/>
  <c r="K121" i="31"/>
  <c r="K123" i="31" s="1"/>
  <c r="I121" i="31"/>
  <c r="I123" i="31" s="1"/>
  <c r="U119" i="31"/>
  <c r="U118" i="31"/>
  <c r="U116" i="31"/>
  <c r="U114" i="31"/>
  <c r="U113" i="31"/>
  <c r="R107" i="31"/>
  <c r="P107" i="31"/>
  <c r="O29" i="4" s="1"/>
  <c r="O107" i="31"/>
  <c r="L107" i="31"/>
  <c r="K107" i="31"/>
  <c r="I107" i="31"/>
  <c r="U106" i="31"/>
  <c r="U104" i="31"/>
  <c r="U103" i="31"/>
  <c r="T100" i="31"/>
  <c r="S100" i="31"/>
  <c r="R100" i="31"/>
  <c r="O28" i="4"/>
  <c r="O100" i="31"/>
  <c r="K100" i="31"/>
  <c r="J100" i="31"/>
  <c r="I100" i="31"/>
  <c r="U96" i="31"/>
  <c r="T93" i="31"/>
  <c r="S93" i="31"/>
  <c r="R93" i="31"/>
  <c r="O93" i="31"/>
  <c r="J93" i="31"/>
  <c r="U92" i="31"/>
  <c r="U88" i="31"/>
  <c r="T84" i="31"/>
  <c r="S84" i="31"/>
  <c r="R84" i="31"/>
  <c r="O84" i="31"/>
  <c r="L84" i="31"/>
  <c r="K84" i="31"/>
  <c r="J84" i="31"/>
  <c r="I84" i="31"/>
  <c r="T72" i="31"/>
  <c r="S72" i="31"/>
  <c r="O72" i="31"/>
  <c r="L72" i="31"/>
  <c r="K72" i="31"/>
  <c r="J72" i="31"/>
  <c r="I72" i="31"/>
  <c r="U71" i="31"/>
  <c r="U70" i="31"/>
  <c r="R51" i="31"/>
  <c r="Q51" i="31"/>
  <c r="P51" i="31"/>
  <c r="O51" i="31"/>
  <c r="L51" i="31"/>
  <c r="K51" i="31"/>
  <c r="J51" i="31"/>
  <c r="I51" i="31"/>
  <c r="G51" i="31"/>
  <c r="F51" i="31"/>
  <c r="E51" i="31"/>
  <c r="U50" i="31"/>
  <c r="V50" i="31" s="1"/>
  <c r="U49" i="31"/>
  <c r="V49" i="31" s="1"/>
  <c r="U48" i="31"/>
  <c r="V48" i="31" s="1"/>
  <c r="U47" i="31"/>
  <c r="V47" i="31" s="1"/>
  <c r="U46" i="31"/>
  <c r="V46" i="31" s="1"/>
  <c r="U45" i="31"/>
  <c r="V45" i="31" s="1"/>
  <c r="U44" i="31"/>
  <c r="V44" i="31" s="1"/>
  <c r="U43" i="31"/>
  <c r="V43" i="31" s="1"/>
  <c r="U42" i="31"/>
  <c r="V42" i="31" s="1"/>
  <c r="U41" i="31"/>
  <c r="V41" i="31" s="1"/>
  <c r="U40" i="31"/>
  <c r="T37" i="31"/>
  <c r="S37" i="31"/>
  <c r="R37" i="31"/>
  <c r="Q37" i="31"/>
  <c r="P37" i="31"/>
  <c r="O37" i="31"/>
  <c r="L37" i="31"/>
  <c r="J37" i="31"/>
  <c r="U36" i="31"/>
  <c r="U35" i="31"/>
  <c r="U34" i="31"/>
  <c r="U33" i="31"/>
  <c r="U32" i="31"/>
  <c r="T27" i="31"/>
  <c r="S27" i="31"/>
  <c r="R27" i="31"/>
  <c r="Q27" i="31"/>
  <c r="P27" i="31"/>
  <c r="O27" i="31"/>
  <c r="L27" i="31"/>
  <c r="K27" i="31"/>
  <c r="J27" i="31"/>
  <c r="I27" i="31"/>
  <c r="U25" i="31"/>
  <c r="U23" i="31"/>
  <c r="U22" i="31"/>
  <c r="U21" i="31"/>
  <c r="U20" i="31"/>
  <c r="T17" i="31"/>
  <c r="S17" i="31"/>
  <c r="R17" i="31"/>
  <c r="Q17" i="31"/>
  <c r="P17" i="4" s="1"/>
  <c r="S17" i="4" s="1"/>
  <c r="P17" i="31"/>
  <c r="O17" i="31"/>
  <c r="L17" i="31"/>
  <c r="J17" i="31"/>
  <c r="O44" i="4"/>
  <c r="N44" i="4"/>
  <c r="I44" i="4"/>
  <c r="H44" i="4"/>
  <c r="G44" i="4"/>
  <c r="S41" i="4"/>
  <c r="S32" i="4"/>
  <c r="O20" i="4"/>
  <c r="N20" i="4"/>
  <c r="H20" i="4"/>
  <c r="P18" i="4"/>
  <c r="C33" i="2"/>
  <c r="N40" i="1"/>
  <c r="H28" i="1" l="1"/>
  <c r="K28" i="1" s="1"/>
  <c r="Q28" i="1" s="1"/>
  <c r="H37" i="1"/>
  <c r="K37" i="1" s="1"/>
  <c r="Q37" i="1" s="1"/>
  <c r="N143" i="31"/>
  <c r="N149" i="31" s="1"/>
  <c r="N150" i="31" s="1"/>
  <c r="N151" i="31" s="1"/>
  <c r="J43" i="4"/>
  <c r="H19" i="32"/>
  <c r="P20" i="4"/>
  <c r="P11" i="6"/>
  <c r="I11" i="6"/>
  <c r="H13" i="6"/>
  <c r="F15" i="6"/>
  <c r="I20" i="6"/>
  <c r="P20" i="6"/>
  <c r="I46" i="6"/>
  <c r="K46" i="6" s="1"/>
  <c r="L46" i="6" s="1"/>
  <c r="N46" i="6" s="1"/>
  <c r="P46" i="6"/>
  <c r="M63" i="31" s="1"/>
  <c r="I50" i="6"/>
  <c r="K50" i="6" s="1"/>
  <c r="L50" i="6" s="1"/>
  <c r="P50" i="6"/>
  <c r="M67" i="31" s="1"/>
  <c r="I53" i="6"/>
  <c r="K53" i="6" s="1"/>
  <c r="L53" i="6" s="1"/>
  <c r="P53" i="6"/>
  <c r="M77" i="31" s="1"/>
  <c r="I57" i="6"/>
  <c r="K57" i="6" s="1"/>
  <c r="L57" i="6" s="1"/>
  <c r="N57" i="6" s="1"/>
  <c r="Q57" i="6" s="1"/>
  <c r="P57" i="6"/>
  <c r="I61" i="6"/>
  <c r="K61" i="6" s="1"/>
  <c r="L61" i="6" s="1"/>
  <c r="P61" i="6"/>
  <c r="M90" i="31" s="1"/>
  <c r="I65" i="6"/>
  <c r="K65" i="6" s="1"/>
  <c r="L65" i="6" s="1"/>
  <c r="P65" i="6"/>
  <c r="M120" i="31" s="1"/>
  <c r="I41" i="6"/>
  <c r="I47" i="6"/>
  <c r="K47" i="6" s="1"/>
  <c r="L47" i="6" s="1"/>
  <c r="N47" i="6" s="1"/>
  <c r="Q47" i="6" s="1"/>
  <c r="P47" i="6"/>
  <c r="M64" i="31" s="1"/>
  <c r="I51" i="6"/>
  <c r="K51" i="6" s="1"/>
  <c r="L51" i="6" s="1"/>
  <c r="P51" i="6"/>
  <c r="M68" i="31" s="1"/>
  <c r="I54" i="6"/>
  <c r="K54" i="6" s="1"/>
  <c r="L54" i="6" s="1"/>
  <c r="N54" i="6" s="1"/>
  <c r="P54" i="6"/>
  <c r="M78" i="31" s="1"/>
  <c r="I58" i="6"/>
  <c r="K58" i="6" s="1"/>
  <c r="L58" i="6" s="1"/>
  <c r="P58" i="6"/>
  <c r="M82" i="31" s="1"/>
  <c r="I62" i="6"/>
  <c r="K62" i="6" s="1"/>
  <c r="L62" i="6" s="1"/>
  <c r="N62" i="6" s="1"/>
  <c r="Q62" i="6" s="1"/>
  <c r="M110" i="31"/>
  <c r="I48" i="6"/>
  <c r="K48" i="6" s="1"/>
  <c r="L48" i="6" s="1"/>
  <c r="N48" i="6" s="1"/>
  <c r="P48" i="6"/>
  <c r="M65" i="31" s="1"/>
  <c r="I52" i="6"/>
  <c r="K52" i="6" s="1"/>
  <c r="L52" i="6" s="1"/>
  <c r="P52" i="6"/>
  <c r="M69" i="31" s="1"/>
  <c r="I55" i="6"/>
  <c r="K55" i="6" s="1"/>
  <c r="P55" i="6"/>
  <c r="M79" i="31" s="1"/>
  <c r="I59" i="6"/>
  <c r="K59" i="6" s="1"/>
  <c r="L59" i="6" s="1"/>
  <c r="P59" i="6"/>
  <c r="M83" i="31" s="1"/>
  <c r="I45" i="6"/>
  <c r="K45" i="6" s="1"/>
  <c r="L45" i="6" s="1"/>
  <c r="P45" i="6"/>
  <c r="I49" i="6"/>
  <c r="K49" i="6" s="1"/>
  <c r="L49" i="6" s="1"/>
  <c r="P49" i="6"/>
  <c r="M66" i="31" s="1"/>
  <c r="I56" i="6"/>
  <c r="K56" i="6" s="1"/>
  <c r="L56" i="6" s="1"/>
  <c r="P56" i="6"/>
  <c r="M80" i="31" s="1"/>
  <c r="I60" i="6"/>
  <c r="K60" i="6" s="1"/>
  <c r="P60" i="6"/>
  <c r="M89" i="31" s="1"/>
  <c r="I64" i="6"/>
  <c r="K64" i="6" s="1"/>
  <c r="L64" i="6" s="1"/>
  <c r="P64" i="6"/>
  <c r="M115" i="31" s="1"/>
  <c r="G24" i="31"/>
  <c r="G159" i="31"/>
  <c r="F17" i="31"/>
  <c r="G116" i="31"/>
  <c r="V116" i="31" s="1"/>
  <c r="G34" i="31"/>
  <c r="V34" i="31" s="1"/>
  <c r="G90" i="31"/>
  <c r="G97" i="31"/>
  <c r="G99" i="31"/>
  <c r="V99" i="31" s="1"/>
  <c r="G144" i="31"/>
  <c r="V144" i="31" s="1"/>
  <c r="G154" i="31"/>
  <c r="O85" i="31"/>
  <c r="O125" i="31" s="1"/>
  <c r="I85" i="31"/>
  <c r="G167" i="31"/>
  <c r="G16" i="31"/>
  <c r="V16" i="31" s="1"/>
  <c r="J28" i="31"/>
  <c r="P28" i="31"/>
  <c r="P53" i="31" s="1"/>
  <c r="G36" i="31"/>
  <c r="V36" i="31" s="1"/>
  <c r="G53" i="31"/>
  <c r="E20" i="1" s="1"/>
  <c r="G69" i="31"/>
  <c r="G70" i="31"/>
  <c r="V70" i="31" s="1"/>
  <c r="G176" i="31"/>
  <c r="G32" i="31"/>
  <c r="V32" i="31" s="1"/>
  <c r="F23" i="18"/>
  <c r="J105" i="31" s="1"/>
  <c r="G130" i="31"/>
  <c r="G165" i="31"/>
  <c r="S28" i="4"/>
  <c r="J85" i="31"/>
  <c r="G157" i="31"/>
  <c r="G76" i="31"/>
  <c r="G81" i="31"/>
  <c r="G88" i="31"/>
  <c r="V88" i="31" s="1"/>
  <c r="G115" i="31"/>
  <c r="G117" i="31"/>
  <c r="G122" i="31"/>
  <c r="V122" i="31" s="1"/>
  <c r="G131" i="31"/>
  <c r="V131" i="31" s="1"/>
  <c r="G155" i="31"/>
  <c r="S85" i="31"/>
  <c r="S125" i="31" s="1"/>
  <c r="G133" i="31"/>
  <c r="V133" i="31" s="1"/>
  <c r="G134" i="31"/>
  <c r="G21" i="31"/>
  <c r="E14" i="1" s="1"/>
  <c r="F37" i="31"/>
  <c r="G64" i="31"/>
  <c r="G104" i="31"/>
  <c r="V104" i="31" s="1"/>
  <c r="G113" i="31"/>
  <c r="V113" i="31" s="1"/>
  <c r="G132" i="31"/>
  <c r="V132" i="31" s="1"/>
  <c r="F173" i="31"/>
  <c r="G166" i="31"/>
  <c r="G168" i="31"/>
  <c r="G177" i="31"/>
  <c r="G178" i="31"/>
  <c r="G180" i="31"/>
  <c r="G184" i="31"/>
  <c r="G15" i="31"/>
  <c r="L28" i="31"/>
  <c r="T28" i="31"/>
  <c r="T54" i="31" s="1"/>
  <c r="G35" i="31"/>
  <c r="V35" i="31" s="1"/>
  <c r="G68" i="31"/>
  <c r="G105" i="31"/>
  <c r="G169" i="31"/>
  <c r="G181" i="31"/>
  <c r="G182" i="31"/>
  <c r="Q28" i="31"/>
  <c r="S28" i="31"/>
  <c r="S54" i="31" s="1"/>
  <c r="G31" i="31"/>
  <c r="E149" i="31"/>
  <c r="I17" i="31"/>
  <c r="I28" i="31" s="1"/>
  <c r="E17" i="31"/>
  <c r="G33" i="31"/>
  <c r="V33" i="31" s="1"/>
  <c r="G67" i="31"/>
  <c r="L85" i="31"/>
  <c r="G89" i="31"/>
  <c r="G114" i="31"/>
  <c r="G185" i="31"/>
  <c r="G23" i="31"/>
  <c r="V23" i="31" s="1"/>
  <c r="G25" i="31"/>
  <c r="V25" i="31" s="1"/>
  <c r="G78" i="31"/>
  <c r="G79" i="31"/>
  <c r="G118" i="31"/>
  <c r="V118" i="31" s="1"/>
  <c r="J14" i="3"/>
  <c r="H42" i="6"/>
  <c r="S18" i="4"/>
  <c r="H14" i="1" s="1"/>
  <c r="U51" i="31"/>
  <c r="G61" i="31"/>
  <c r="G71" i="31"/>
  <c r="G91" i="31"/>
  <c r="E107" i="31"/>
  <c r="C16" i="24"/>
  <c r="G112" i="31"/>
  <c r="G171" i="31"/>
  <c r="G179" i="31"/>
  <c r="G129" i="31"/>
  <c r="V129" i="31" s="1"/>
  <c r="D42" i="6"/>
  <c r="G57" i="31"/>
  <c r="E84" i="31"/>
  <c r="G77" i="31"/>
  <c r="E160" i="31"/>
  <c r="G158" i="31"/>
  <c r="G20" i="31"/>
  <c r="V20" i="31" s="1"/>
  <c r="F135" i="31"/>
  <c r="G128" i="31"/>
  <c r="G16" i="24"/>
  <c r="G80" i="31"/>
  <c r="F93" i="31"/>
  <c r="E37" i="31"/>
  <c r="V40" i="31"/>
  <c r="V51" i="31" s="1"/>
  <c r="F72" i="31"/>
  <c r="G63" i="31"/>
  <c r="G66" i="31"/>
  <c r="G98" i="31"/>
  <c r="F121" i="31"/>
  <c r="F123" i="31" s="1"/>
  <c r="E72" i="31"/>
  <c r="G92" i="31"/>
  <c r="G96" i="31"/>
  <c r="F100" i="31"/>
  <c r="G137" i="31"/>
  <c r="O28" i="31"/>
  <c r="R28" i="31"/>
  <c r="K85" i="31"/>
  <c r="E93" i="31"/>
  <c r="G119" i="31"/>
  <c r="G22" i="31"/>
  <c r="G62" i="31"/>
  <c r="G65" i="31"/>
  <c r="T85" i="31"/>
  <c r="T125" i="31" s="1"/>
  <c r="F84" i="31"/>
  <c r="G75" i="31"/>
  <c r="G82" i="31"/>
  <c r="G83" i="31"/>
  <c r="F107" i="31"/>
  <c r="G103" i="31"/>
  <c r="G106" i="31"/>
  <c r="G111" i="31"/>
  <c r="E100" i="31"/>
  <c r="E121" i="31"/>
  <c r="E123" i="31" s="1"/>
  <c r="G120" i="31"/>
  <c r="E135" i="31"/>
  <c r="G140" i="31"/>
  <c r="G164" i="31"/>
  <c r="G172" i="31"/>
  <c r="G110" i="31"/>
  <c r="E186" i="31"/>
  <c r="F149" i="31"/>
  <c r="F160" i="31"/>
  <c r="E173" i="31"/>
  <c r="G163" i="31"/>
  <c r="F186" i="31"/>
  <c r="G183" i="31"/>
  <c r="N75" i="6"/>
  <c r="G156" i="31"/>
  <c r="G170" i="31"/>
  <c r="H66" i="6"/>
  <c r="F160" i="18"/>
  <c r="H15" i="6"/>
  <c r="K77" i="6"/>
  <c r="L77" i="6" s="1"/>
  <c r="N77" i="6" s="1"/>
  <c r="K79" i="6"/>
  <c r="L79" i="6" s="1"/>
  <c r="N79" i="6" s="1"/>
  <c r="K80" i="6"/>
  <c r="L80" i="6" s="1"/>
  <c r="N80" i="6" s="1"/>
  <c r="F111" i="6"/>
  <c r="K76" i="6"/>
  <c r="K78" i="6"/>
  <c r="L78" i="6" s="1"/>
  <c r="N78" i="6" s="1"/>
  <c r="D12" i="26" l="1"/>
  <c r="M46" i="4"/>
  <c r="H24" i="1"/>
  <c r="O53" i="31"/>
  <c r="O54" i="31" s="1"/>
  <c r="J44" i="4"/>
  <c r="S43" i="4"/>
  <c r="Q53" i="31"/>
  <c r="P24" i="4" s="1"/>
  <c r="L53" i="31"/>
  <c r="P13" i="6"/>
  <c r="P15" i="6" s="1"/>
  <c r="P17" i="6" s="1"/>
  <c r="M140" i="31" s="1"/>
  <c r="K33" i="4" s="1"/>
  <c r="I13" i="6"/>
  <c r="K13" i="6" s="1"/>
  <c r="K41" i="6"/>
  <c r="L41" i="6" s="1"/>
  <c r="N41" i="6" s="1"/>
  <c r="K20" i="6"/>
  <c r="L20" i="6" s="1"/>
  <c r="N20" i="6" s="1"/>
  <c r="Q20" i="6" s="1"/>
  <c r="P57" i="31" s="1"/>
  <c r="I42" i="6"/>
  <c r="L34" i="4"/>
  <c r="R54" i="31"/>
  <c r="V21" i="31"/>
  <c r="P54" i="31"/>
  <c r="J53" i="31"/>
  <c r="J54" i="31" s="1"/>
  <c r="I53" i="31"/>
  <c r="G24" i="4" s="1"/>
  <c r="J107" i="31"/>
  <c r="H29" i="4"/>
  <c r="M121" i="31"/>
  <c r="M123" i="31" s="1"/>
  <c r="K30" i="4" s="1"/>
  <c r="L55" i="6"/>
  <c r="N55" i="6" s="1"/>
  <c r="Q55" i="6" s="1"/>
  <c r="M62" i="31"/>
  <c r="M93" i="31"/>
  <c r="K27" i="4" s="1"/>
  <c r="Q54" i="6"/>
  <c r="K25" i="4"/>
  <c r="P42" i="6"/>
  <c r="L60" i="6"/>
  <c r="N60" i="6" s="1"/>
  <c r="Q48" i="6"/>
  <c r="P65" i="31" s="1"/>
  <c r="M81" i="31"/>
  <c r="I66" i="6"/>
  <c r="Q46" i="6"/>
  <c r="P66" i="6"/>
  <c r="G27" i="31"/>
  <c r="E15" i="1" s="1"/>
  <c r="R72" i="31"/>
  <c r="R85" i="31" s="1"/>
  <c r="R125" i="31" s="1"/>
  <c r="O75" i="6"/>
  <c r="Q75" i="6"/>
  <c r="T151" i="31"/>
  <c r="F28" i="31"/>
  <c r="F54" i="31" s="1"/>
  <c r="G17" i="31"/>
  <c r="E13" i="1" s="1"/>
  <c r="K14" i="1"/>
  <c r="Q14" i="1" s="1"/>
  <c r="V146" i="31"/>
  <c r="V114" i="31"/>
  <c r="G186" i="31"/>
  <c r="U105" i="31"/>
  <c r="U107" i="31" s="1"/>
  <c r="S151" i="31"/>
  <c r="V148" i="31"/>
  <c r="V134" i="31"/>
  <c r="L13" i="6"/>
  <c r="N13" i="6" s="1"/>
  <c r="Q13" i="6" s="1"/>
  <c r="V130" i="31"/>
  <c r="V71" i="31"/>
  <c r="E28" i="31"/>
  <c r="E54" i="31" s="1"/>
  <c r="E151" i="31" s="1"/>
  <c r="U97" i="31"/>
  <c r="L100" i="31"/>
  <c r="G149" i="31"/>
  <c r="E30" i="1" s="1"/>
  <c r="N50" i="6"/>
  <c r="Q50" i="6" s="1"/>
  <c r="N61" i="6"/>
  <c r="Q61" i="6" s="1"/>
  <c r="V106" i="31"/>
  <c r="E85" i="31"/>
  <c r="E125" i="31" s="1"/>
  <c r="E150" i="31" s="1"/>
  <c r="I37" i="31"/>
  <c r="G37" i="31"/>
  <c r="E19" i="1" s="1"/>
  <c r="N49" i="6"/>
  <c r="N58" i="6"/>
  <c r="Q58" i="6" s="1"/>
  <c r="P82" i="31" s="1"/>
  <c r="N64" i="6"/>
  <c r="Q64" i="6" s="1"/>
  <c r="N51" i="6"/>
  <c r="N56" i="6"/>
  <c r="N65" i="6"/>
  <c r="V92" i="31"/>
  <c r="G93" i="31"/>
  <c r="E23" i="1" s="1"/>
  <c r="G107" i="31"/>
  <c r="E25" i="1" s="1"/>
  <c r="O62" i="6"/>
  <c r="N52" i="6"/>
  <c r="Q52" i="6" s="1"/>
  <c r="E29" i="1"/>
  <c r="V147" i="31"/>
  <c r="F85" i="31"/>
  <c r="N45" i="6"/>
  <c r="Q45" i="6" s="1"/>
  <c r="G121" i="31"/>
  <c r="G123" i="31" s="1"/>
  <c r="E26" i="1" s="1"/>
  <c r="V119" i="31"/>
  <c r="G100" i="31"/>
  <c r="E24" i="1" s="1"/>
  <c r="V96" i="31"/>
  <c r="N59" i="6"/>
  <c r="N53" i="6"/>
  <c r="Q53" i="6" s="1"/>
  <c r="P77" i="31" s="1"/>
  <c r="K66" i="6"/>
  <c r="G173" i="31"/>
  <c r="O54" i="6"/>
  <c r="G160" i="31"/>
  <c r="E16" i="24" s="1"/>
  <c r="G72" i="31"/>
  <c r="V98" i="31"/>
  <c r="G135" i="31"/>
  <c r="E27" i="1" s="1"/>
  <c r="E57" i="67" s="1"/>
  <c r="E58" i="67" s="1"/>
  <c r="L128" i="31" s="1"/>
  <c r="J117" i="31"/>
  <c r="H30" i="4" s="1"/>
  <c r="O57" i="6"/>
  <c r="O46" i="6"/>
  <c r="O48" i="6"/>
  <c r="V103" i="31"/>
  <c r="O47" i="6"/>
  <c r="G84" i="31"/>
  <c r="V22" i="31"/>
  <c r="E21" i="1"/>
  <c r="L76" i="6"/>
  <c r="N76" i="6" s="1"/>
  <c r="K24" i="1" l="1"/>
  <c r="Q24" i="1" s="1"/>
  <c r="H39" i="1"/>
  <c r="F151" i="31"/>
  <c r="R143" i="31"/>
  <c r="R149" i="31" s="1"/>
  <c r="R150" i="31" s="1"/>
  <c r="R151" i="31" s="1"/>
  <c r="Q54" i="31"/>
  <c r="I15" i="6"/>
  <c r="Q41" i="6"/>
  <c r="P115" i="31" s="1"/>
  <c r="O41" i="6"/>
  <c r="Q34" i="4"/>
  <c r="Q35" i="4" s="1"/>
  <c r="Q36" i="4" s="1"/>
  <c r="L54" i="31"/>
  <c r="M84" i="31"/>
  <c r="L135" i="31"/>
  <c r="P79" i="31"/>
  <c r="U79" i="31" s="1"/>
  <c r="V79" i="31" s="1"/>
  <c r="P78" i="31"/>
  <c r="U78" i="31" s="1"/>
  <c r="V78" i="31" s="1"/>
  <c r="U82" i="31"/>
  <c r="V82" i="31" s="1"/>
  <c r="P67" i="31"/>
  <c r="U67" i="31" s="1"/>
  <c r="V67" i="31" s="1"/>
  <c r="P81" i="31"/>
  <c r="U81" i="31" s="1"/>
  <c r="V81" i="31" s="1"/>
  <c r="U77" i="31"/>
  <c r="V77" i="31" s="1"/>
  <c r="P63" i="31"/>
  <c r="U63" i="31" s="1"/>
  <c r="V63" i="31" s="1"/>
  <c r="U65" i="31"/>
  <c r="V65" i="31" s="1"/>
  <c r="P69" i="31"/>
  <c r="U69" i="31" s="1"/>
  <c r="V69" i="31" s="1"/>
  <c r="P90" i="31"/>
  <c r="U90" i="31" s="1"/>
  <c r="V90" i="31" s="1"/>
  <c r="M72" i="31"/>
  <c r="O55" i="6"/>
  <c r="K42" i="6"/>
  <c r="K15" i="6" s="1"/>
  <c r="P62" i="31"/>
  <c r="L66" i="6"/>
  <c r="U76" i="31"/>
  <c r="V76" i="31" s="1"/>
  <c r="U111" i="31"/>
  <c r="V111" i="31" s="1"/>
  <c r="Q59" i="6"/>
  <c r="Q56" i="6"/>
  <c r="P80" i="31" s="1"/>
  <c r="Q60" i="6"/>
  <c r="Q65" i="6"/>
  <c r="Q51" i="6"/>
  <c r="Q49" i="6"/>
  <c r="O81" i="6"/>
  <c r="Q81" i="6"/>
  <c r="O87" i="6"/>
  <c r="Q87" i="6"/>
  <c r="O85" i="6"/>
  <c r="Q85" i="6"/>
  <c r="O79" i="6"/>
  <c r="Q79" i="6"/>
  <c r="O77" i="6"/>
  <c r="Q77" i="6"/>
  <c r="O86" i="6"/>
  <c r="Q86" i="6"/>
  <c r="O78" i="6"/>
  <c r="Q78" i="6"/>
  <c r="O83" i="6"/>
  <c r="Q83" i="6"/>
  <c r="O82" i="6"/>
  <c r="Q82" i="6"/>
  <c r="O84" i="6"/>
  <c r="Q84" i="6"/>
  <c r="O80" i="6"/>
  <c r="Q80" i="6"/>
  <c r="P61" i="31"/>
  <c r="S29" i="4"/>
  <c r="O50" i="6"/>
  <c r="V105" i="31"/>
  <c r="V107" i="31" s="1"/>
  <c r="O64" i="6"/>
  <c r="U100" i="31"/>
  <c r="V97" i="31"/>
  <c r="V100" i="31" s="1"/>
  <c r="O61" i="6"/>
  <c r="O52" i="6"/>
  <c r="O49" i="6"/>
  <c r="L42" i="6"/>
  <c r="E187" i="31"/>
  <c r="O13" i="6"/>
  <c r="O65" i="6"/>
  <c r="O56" i="6"/>
  <c r="D19" i="32"/>
  <c r="N66" i="6"/>
  <c r="O20" i="6"/>
  <c r="N42" i="6"/>
  <c r="U117" i="31"/>
  <c r="V117" i="31" s="1"/>
  <c r="J121" i="31"/>
  <c r="J123" i="31" s="1"/>
  <c r="J125" i="31" s="1"/>
  <c r="J143" i="31" s="1"/>
  <c r="O59" i="6"/>
  <c r="O45" i="6"/>
  <c r="G28" i="31"/>
  <c r="G85" i="31"/>
  <c r="O53" i="6"/>
  <c r="O58" i="6"/>
  <c r="U112" i="31"/>
  <c r="V112" i="31" s="1"/>
  <c r="G20" i="4"/>
  <c r="F187" i="31"/>
  <c r="F125" i="31"/>
  <c r="F150" i="31" s="1"/>
  <c r="O60" i="6"/>
  <c r="O51" i="6"/>
  <c r="H25" i="1" l="1"/>
  <c r="K25" i="1" s="1"/>
  <c r="Q25" i="1" s="1"/>
  <c r="J149" i="31"/>
  <c r="J150" i="31" s="1"/>
  <c r="J151" i="31" s="1"/>
  <c r="H34" i="4"/>
  <c r="H35" i="4" s="1"/>
  <c r="H36" i="4" s="1"/>
  <c r="Q66" i="6"/>
  <c r="M85" i="31"/>
  <c r="M125" i="31" s="1"/>
  <c r="M143" i="31" s="1"/>
  <c r="M149" i="31" s="1"/>
  <c r="M150" i="31" s="1"/>
  <c r="M151" i="31" s="1"/>
  <c r="I54" i="31"/>
  <c r="P66" i="31"/>
  <c r="U66" i="31" s="1"/>
  <c r="V66" i="31" s="1"/>
  <c r="U80" i="31"/>
  <c r="V80" i="31" s="1"/>
  <c r="P64" i="31"/>
  <c r="U64" i="31" s="1"/>
  <c r="V64" i="31" s="1"/>
  <c r="P68" i="31"/>
  <c r="U68" i="31" s="1"/>
  <c r="V68" i="31" s="1"/>
  <c r="P83" i="31"/>
  <c r="U83" i="31" s="1"/>
  <c r="V83" i="31" s="1"/>
  <c r="Q42" i="6"/>
  <c r="P89" i="31"/>
  <c r="P75" i="31"/>
  <c r="U75" i="31" s="1"/>
  <c r="V75" i="31" s="1"/>
  <c r="P120" i="31"/>
  <c r="U120" i="31" s="1"/>
  <c r="V120" i="31" s="1"/>
  <c r="I20" i="4"/>
  <c r="K17" i="31"/>
  <c r="K28" i="31" s="1"/>
  <c r="K53" i="31" s="1"/>
  <c r="N111" i="6"/>
  <c r="Q76" i="6"/>
  <c r="Q111" i="6" s="1"/>
  <c r="O42" i="6"/>
  <c r="L11" i="6"/>
  <c r="U61" i="31"/>
  <c r="V61" i="31" s="1"/>
  <c r="O66" i="6"/>
  <c r="E16" i="1"/>
  <c r="U24" i="31"/>
  <c r="G125" i="31"/>
  <c r="G150" i="31" s="1"/>
  <c r="E22" i="1"/>
  <c r="E31" i="1" s="1"/>
  <c r="G54" i="31"/>
  <c r="G151" i="31" s="1"/>
  <c r="C8" i="2"/>
  <c r="S19" i="4"/>
  <c r="S20" i="4" s="1"/>
  <c r="H13" i="1"/>
  <c r="K13" i="1" s="1"/>
  <c r="K39" i="1"/>
  <c r="Q39" i="1" s="1"/>
  <c r="E40" i="1"/>
  <c r="O76" i="6"/>
  <c r="Q91" i="31" l="1"/>
  <c r="L91" i="31"/>
  <c r="L15" i="6"/>
  <c r="P93" i="31"/>
  <c r="O27" i="4" s="1"/>
  <c r="P84" i="31"/>
  <c r="L93" i="31"/>
  <c r="L125" i="31" s="1"/>
  <c r="L143" i="31" s="1"/>
  <c r="L149" i="31" s="1"/>
  <c r="L150" i="31" s="1"/>
  <c r="L151" i="31" s="1"/>
  <c r="K26" i="4"/>
  <c r="I91" i="31"/>
  <c r="I93" i="31" s="1"/>
  <c r="I125" i="31" s="1"/>
  <c r="I143" i="31" s="1"/>
  <c r="I149" i="31" s="1"/>
  <c r="I150" i="31" s="1"/>
  <c r="I151" i="31" s="1"/>
  <c r="K91" i="31"/>
  <c r="I27" i="4" s="1"/>
  <c r="I24" i="4"/>
  <c r="U15" i="31"/>
  <c r="V15" i="31" s="1"/>
  <c r="V17" i="31" s="1"/>
  <c r="V84" i="31"/>
  <c r="U84" i="31"/>
  <c r="U89" i="31"/>
  <c r="V89" i="31" s="1"/>
  <c r="N11" i="6"/>
  <c r="N15" i="6" s="1"/>
  <c r="E32" i="1"/>
  <c r="E41" i="1" s="1"/>
  <c r="G187" i="31"/>
  <c r="U115" i="31"/>
  <c r="V115" i="31" s="1"/>
  <c r="H15" i="1"/>
  <c r="O25" i="4"/>
  <c r="U57" i="31"/>
  <c r="V57" i="31" s="1"/>
  <c r="U62" i="31"/>
  <c r="P72" i="31"/>
  <c r="C12" i="2"/>
  <c r="C16" i="2" s="1"/>
  <c r="D10" i="2"/>
  <c r="V24" i="31"/>
  <c r="V27" i="31" s="1"/>
  <c r="U27" i="31"/>
  <c r="O111" i="6"/>
  <c r="P110" i="31"/>
  <c r="P27" i="4" l="1"/>
  <c r="Q93" i="31"/>
  <c r="Q125" i="31" s="1"/>
  <c r="J35" i="4"/>
  <c r="J36" i="4" s="1"/>
  <c r="O11" i="6"/>
  <c r="P85" i="31"/>
  <c r="K34" i="4"/>
  <c r="K35" i="4" s="1"/>
  <c r="K36" i="4" s="1"/>
  <c r="G27" i="4"/>
  <c r="G34" i="4"/>
  <c r="U17" i="31"/>
  <c r="U28" i="31" s="1"/>
  <c r="Q11" i="6"/>
  <c r="Q15" i="6" s="1"/>
  <c r="Q17" i="6" s="1"/>
  <c r="P140" i="31" s="1"/>
  <c r="O33" i="4" s="1"/>
  <c r="C18" i="2"/>
  <c r="C20" i="2" s="1"/>
  <c r="C22" i="2" s="1"/>
  <c r="C25" i="2" s="1"/>
  <c r="V28" i="31"/>
  <c r="S25" i="4"/>
  <c r="S24" i="4"/>
  <c r="V62" i="31"/>
  <c r="V72" i="31" s="1"/>
  <c r="V85" i="31" s="1"/>
  <c r="U72" i="31"/>
  <c r="U85" i="31" s="1"/>
  <c r="K15" i="1"/>
  <c r="H16" i="1"/>
  <c r="P121" i="31"/>
  <c r="P123" i="31" s="1"/>
  <c r="U110" i="31"/>
  <c r="H21" i="1" l="1"/>
  <c r="K21" i="1" s="1"/>
  <c r="Q21" i="1" s="1"/>
  <c r="S27" i="4"/>
  <c r="H20" i="1"/>
  <c r="K20" i="1" s="1"/>
  <c r="O26" i="4"/>
  <c r="S26" i="4" s="1"/>
  <c r="P125" i="31"/>
  <c r="P143" i="31" s="1"/>
  <c r="P149" i="31" s="1"/>
  <c r="P150" i="31" s="1"/>
  <c r="P151" i="31" s="1"/>
  <c r="G35" i="4"/>
  <c r="G36" i="4" s="1"/>
  <c r="G46" i="4" s="1"/>
  <c r="K46" i="4"/>
  <c r="J46" i="4"/>
  <c r="Q46" i="4"/>
  <c r="H46" i="4"/>
  <c r="D19" i="26"/>
  <c r="K93" i="31"/>
  <c r="K125" i="31" s="1"/>
  <c r="U91" i="31"/>
  <c r="Q15" i="1"/>
  <c r="K16" i="1"/>
  <c r="U53" i="31"/>
  <c r="V53" i="31" s="1"/>
  <c r="V110" i="31"/>
  <c r="V121" i="31" s="1"/>
  <c r="V123" i="31" s="1"/>
  <c r="U121" i="31"/>
  <c r="U123" i="31" s="1"/>
  <c r="O30" i="4"/>
  <c r="O34" i="4" l="1"/>
  <c r="H23" i="1"/>
  <c r="K23" i="1" s="1"/>
  <c r="H22" i="1"/>
  <c r="K22" i="1" s="1"/>
  <c r="Q22" i="1" s="1"/>
  <c r="L35" i="4"/>
  <c r="L36" i="4" s="1"/>
  <c r="L46" i="4" s="1"/>
  <c r="V91" i="31"/>
  <c r="V93" i="31" s="1"/>
  <c r="V125" i="31" s="1"/>
  <c r="U93" i="31"/>
  <c r="U125" i="31" s="1"/>
  <c r="D23" i="26"/>
  <c r="S30" i="4"/>
  <c r="O35" i="4" l="1"/>
  <c r="H26" i="1"/>
  <c r="O36" i="4" l="1"/>
  <c r="O46" i="4" s="1"/>
  <c r="K26" i="1"/>
  <c r="Q26" i="1" l="1"/>
  <c r="S23" i="4" l="1"/>
  <c r="H19" i="1" s="1"/>
  <c r="K19" i="1" l="1"/>
  <c r="Q19" i="1" s="1"/>
  <c r="K37" i="31"/>
  <c r="K54" i="31" s="1"/>
  <c r="K143" i="31" s="1"/>
  <c r="U31" i="31"/>
  <c r="K149" i="31" l="1"/>
  <c r="K150" i="31" s="1"/>
  <c r="K151" i="31" s="1"/>
  <c r="U37" i="31"/>
  <c r="V31" i="31"/>
  <c r="V37" i="31" s="1"/>
  <c r="V54" i="31" s="1"/>
  <c r="I34" i="4" l="1"/>
  <c r="U54" i="31"/>
  <c r="I35" i="4" l="1"/>
  <c r="I36" i="4" l="1"/>
  <c r="I46" i="4" s="1"/>
  <c r="K111" i="6" l="1"/>
  <c r="L111" i="6"/>
  <c r="J75" i="59" l="1"/>
  <c r="R14" i="76" l="1"/>
  <c r="R23" i="76" s="1"/>
  <c r="AA23" i="76"/>
  <c r="T14" i="76" l="1"/>
  <c r="AC14" i="76" l="1"/>
  <c r="M10" i="77" l="1"/>
  <c r="H10" i="77" s="1"/>
  <c r="P35" i="76"/>
  <c r="W35" i="76"/>
  <c r="T35" i="76" l="1"/>
  <c r="AC35" i="76" l="1"/>
  <c r="P18" i="76"/>
  <c r="P23" i="76" s="1"/>
  <c r="W18" i="76"/>
  <c r="W23" i="76" s="1"/>
  <c r="Y23" i="76"/>
  <c r="T18" i="76" l="1"/>
  <c r="AC18" i="76" l="1"/>
  <c r="AC23" i="76" s="1"/>
  <c r="T23" i="76"/>
  <c r="E9" i="13" l="1"/>
  <c r="E12" i="13" l="1"/>
  <c r="Q140" i="31" s="1"/>
  <c r="E16" i="13"/>
  <c r="E18" i="13"/>
  <c r="P39" i="4" l="1"/>
  <c r="E20" i="13"/>
  <c r="E21" i="13" s="1"/>
  <c r="E22" i="13" s="1"/>
  <c r="P42" i="4" s="1"/>
  <c r="S42" i="4" s="1"/>
  <c r="H38" i="1" s="1"/>
  <c r="K38" i="1" s="1"/>
  <c r="Q38" i="1" s="1"/>
  <c r="E19" i="13"/>
  <c r="F18" i="13"/>
  <c r="F23" i="13" s="1"/>
  <c r="P33" i="4"/>
  <c r="S33" i="4" s="1"/>
  <c r="H29" i="1" s="1"/>
  <c r="K29" i="1" s="1"/>
  <c r="Q29" i="1" s="1"/>
  <c r="U140" i="31"/>
  <c r="V140" i="31" s="1"/>
  <c r="W29" i="76"/>
  <c r="Y29" i="76" s="1"/>
  <c r="P29" i="76" s="1"/>
  <c r="E31" i="13"/>
  <c r="E32" i="13" l="1"/>
  <c r="W33" i="76" s="1"/>
  <c r="E35" i="13"/>
  <c r="E36" i="13" s="1"/>
  <c r="W34" i="76" s="1"/>
  <c r="E25" i="13"/>
  <c r="S39" i="4"/>
  <c r="W30" i="76"/>
  <c r="Y30" i="76" s="1"/>
  <c r="P30" i="76" s="1"/>
  <c r="W31" i="76"/>
  <c r="Y31" i="76" s="1"/>
  <c r="P31" i="76" s="1"/>
  <c r="Y34" i="76" l="1"/>
  <c r="P34" i="76" s="1"/>
  <c r="AA34" i="76"/>
  <c r="R34" i="76" s="1"/>
  <c r="H35" i="1"/>
  <c r="AA33" i="76"/>
  <c r="Y33" i="76"/>
  <c r="P33" i="76" s="1"/>
  <c r="Q128" i="31"/>
  <c r="R33" i="76" l="1"/>
  <c r="T33" i="76" s="1"/>
  <c r="AC33" i="76" s="1"/>
  <c r="M15" i="77" s="1"/>
  <c r="H15" i="77" s="1"/>
  <c r="P40" i="4"/>
  <c r="U128" i="31"/>
  <c r="P31" i="4"/>
  <c r="S31" i="4" s="1"/>
  <c r="H27" i="1" s="1"/>
  <c r="Q135" i="31"/>
  <c r="Q143" i="31" s="1"/>
  <c r="K35" i="1"/>
  <c r="T34" i="76"/>
  <c r="AC34" i="76" s="1"/>
  <c r="M16" i="77" s="1"/>
  <c r="H16" i="77" s="1"/>
  <c r="AA29" i="76"/>
  <c r="K27" i="1" l="1"/>
  <c r="Q27" i="1" s="1"/>
  <c r="U135" i="31"/>
  <c r="V128" i="31"/>
  <c r="V135" i="31" s="1"/>
  <c r="Q35" i="1"/>
  <c r="S40" i="4"/>
  <c r="P44" i="4"/>
  <c r="R29" i="76"/>
  <c r="Q149" i="31"/>
  <c r="Q150" i="31" s="1"/>
  <c r="Q151" i="31" s="1"/>
  <c r="P34" i="4"/>
  <c r="P35" i="4" s="1"/>
  <c r="P36" i="4" s="1"/>
  <c r="AA30" i="76"/>
  <c r="R30" i="76" s="1"/>
  <c r="T30" i="76" s="1"/>
  <c r="AC30" i="76" s="1"/>
  <c r="M12" i="77" s="1"/>
  <c r="H12" i="77" s="1"/>
  <c r="AA31" i="76"/>
  <c r="R31" i="76" s="1"/>
  <c r="T31" i="76" s="1"/>
  <c r="AC31" i="76" s="1"/>
  <c r="M13" i="77" s="1"/>
  <c r="H13" i="77" s="1"/>
  <c r="H36" i="1" l="1"/>
  <c r="S44" i="4"/>
  <c r="AA38" i="76"/>
  <c r="P46" i="4"/>
  <c r="T29" i="76"/>
  <c r="AC29" i="76" s="1"/>
  <c r="M11" i="77" s="1"/>
  <c r="H11" i="77" s="1"/>
  <c r="R38" i="76"/>
  <c r="K36" i="1" l="1"/>
  <c r="H40" i="1"/>
  <c r="Q36" i="1" l="1"/>
  <c r="Q40" i="1" s="1"/>
  <c r="B16" i="24" s="1"/>
  <c r="D16" i="24" s="1"/>
  <c r="F16" i="24" s="1"/>
  <c r="H16" i="24" s="1"/>
  <c r="O143" i="31" s="1"/>
  <c r="K40" i="1"/>
  <c r="D11" i="26" s="1"/>
  <c r="D14" i="26" s="1"/>
  <c r="O149" i="31" l="1"/>
  <c r="U143" i="31"/>
  <c r="V143" i="31" l="1"/>
  <c r="V149" i="31" s="1"/>
  <c r="V150" i="31" s="1"/>
  <c r="V151" i="31" s="1"/>
  <c r="U149" i="31"/>
  <c r="U150" i="31" s="1"/>
  <c r="U151" i="31" s="1"/>
  <c r="O150" i="31"/>
  <c r="O151" i="31" s="1"/>
  <c r="N34" i="4"/>
  <c r="N35" i="4" l="1"/>
  <c r="S34" i="4"/>
  <c r="H30" i="1" s="1"/>
  <c r="K30" i="1" l="1"/>
  <c r="K31" i="1" s="1"/>
  <c r="K32" i="1" s="1"/>
  <c r="H31" i="1"/>
  <c r="H32" i="1" s="1"/>
  <c r="N36" i="4"/>
  <c r="S35" i="4"/>
  <c r="S36" i="4" s="1"/>
  <c r="S46" i="4" s="1"/>
  <c r="Y26" i="76" l="1"/>
  <c r="N46" i="4"/>
  <c r="K41" i="1"/>
  <c r="D15" i="26"/>
  <c r="D17" i="26" s="1"/>
  <c r="D21" i="26" s="1"/>
  <c r="N13" i="1" l="1"/>
  <c r="D25" i="26"/>
  <c r="P26" i="76"/>
  <c r="Y38" i="76"/>
  <c r="W26" i="76"/>
  <c r="W38" i="76" s="1"/>
  <c r="P38" i="76" l="1"/>
  <c r="T26" i="76"/>
  <c r="N16" i="1"/>
  <c r="Q13" i="1"/>
  <c r="Q16" i="1" s="1"/>
  <c r="T40" i="76"/>
  <c r="N23" i="1" l="1"/>
  <c r="Q23" i="1" s="1"/>
  <c r="N20" i="1"/>
  <c r="T38" i="76"/>
  <c r="T42" i="76" s="1"/>
  <c r="AC26" i="76"/>
  <c r="N30" i="1" l="1"/>
  <c r="Q30" i="1" s="1"/>
  <c r="Q20" i="1"/>
  <c r="N31" i="1"/>
  <c r="N32" i="1" s="1"/>
  <c r="M22" i="77"/>
  <c r="H22" i="77" s="1"/>
  <c r="H24" i="77" s="1"/>
  <c r="H26" i="77" s="1"/>
  <c r="H29" i="77" s="1"/>
  <c r="AC38" i="76"/>
  <c r="Q31" i="1" l="1"/>
  <c r="Q32" i="1" s="1"/>
  <c r="Q4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Cascade Natural Gas</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C65" authorId="1"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sharedStrings.xml><?xml version="1.0" encoding="utf-8"?>
<sst xmlns="http://schemas.openxmlformats.org/spreadsheetml/2006/main" count="5942" uniqueCount="2652">
  <si>
    <t>Results Per</t>
  </si>
  <si>
    <t>Adjustments</t>
  </si>
  <si>
    <t>Adjusted</t>
  </si>
  <si>
    <t>Company</t>
  </si>
  <si>
    <t>Filing</t>
  </si>
  <si>
    <t>(1)</t>
  </si>
  <si>
    <t>SUMMARY SHEET</t>
  </si>
  <si>
    <t>(2)</t>
  </si>
  <si>
    <t>(3)</t>
  </si>
  <si>
    <t>(4)</t>
  </si>
  <si>
    <t>(5)</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</si>
  <si>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</si>
  <si>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</si>
  <si>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</si>
  <si>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</si>
  <si>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</si>
  <si>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</si>
  <si>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</si>
  <si>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</si>
  <si>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</si>
  <si>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</si>
  <si>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</si>
  <si>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</si>
  <si>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</si>
  <si>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</si>
  <si>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</si>
  <si>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</si>
  <si>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</si>
  <si>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</si>
  <si>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</si>
  <si>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</si>
  <si>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</si>
  <si>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</si>
  <si>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</si>
  <si>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</si>
  <si>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</si>
  <si>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</si>
  <si>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</si>
  <si>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</si>
  <si>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</si>
  <si>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</si>
  <si>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</si>
  <si>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</si>
  <si>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</si>
  <si>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</si>
  <si>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</si>
  <si>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</si>
  <si>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</si>
  <si>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</si>
  <si>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</si>
  <si>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</si>
  <si>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</si>
  <si>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</si>
  <si>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</si>
  <si>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</si>
  <si>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</si>
  <si>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</si>
  <si>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</si>
  <si>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</si>
  <si>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 xml:space="preserve">  Revenue Requirement Effect</t>
  </si>
  <si>
    <t>Cascade Natural Gas Corporation</t>
  </si>
  <si>
    <t>Promotional</t>
  </si>
  <si>
    <t>Adjustment</t>
  </si>
  <si>
    <t xml:space="preserve">Interest </t>
  </si>
  <si>
    <t>Coordination</t>
  </si>
  <si>
    <t>Additions</t>
  </si>
  <si>
    <t>Total Income Taxes</t>
  </si>
  <si>
    <t>Test Year</t>
  </si>
  <si>
    <t xml:space="preserve">Adjusted </t>
  </si>
  <si>
    <t>Requested</t>
  </si>
  <si>
    <t>Increase</t>
  </si>
  <si>
    <t>Adjusted Rate Base</t>
  </si>
  <si>
    <t>Required Return (ln 1 x ln 2)</t>
  </si>
  <si>
    <t>Adjusted Net Income</t>
  </si>
  <si>
    <t>Conversion Factor</t>
  </si>
  <si>
    <t>Revenue Increase Required (ln 5 / ln 6)</t>
  </si>
  <si>
    <t>Required Net Income Increase (ln 3 - ln 4)</t>
  </si>
  <si>
    <t>Summary</t>
  </si>
  <si>
    <t>of</t>
  </si>
  <si>
    <t>After Proposed</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</si>
  <si>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</si>
  <si>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</si>
  <si>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</si>
  <si>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</si>
  <si>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</si>
  <si>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</si>
  <si>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</si>
  <si>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</si>
  <si>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</si>
  <si>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</si>
  <si>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</si>
  <si>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</si>
  <si>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</si>
  <si>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</si>
  <si>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</si>
  <si>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</si>
  <si>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</si>
  <si>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</si>
  <si>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</si>
  <si>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</si>
  <si>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</si>
  <si>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</si>
  <si>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</si>
  <si>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</si>
  <si>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</si>
  <si>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</si>
  <si>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</si>
  <si>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</si>
  <si>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</si>
  <si>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</si>
  <si>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</si>
  <si>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</si>
  <si>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</si>
  <si>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</si>
  <si>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</si>
  <si>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</si>
  <si>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</si>
  <si>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</si>
  <si>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</si>
  <si>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</si>
  <si>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</si>
  <si>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</si>
  <si>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</si>
  <si>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</si>
  <si>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</si>
  <si>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</si>
  <si>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</si>
  <si>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</si>
  <si>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</si>
  <si>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</si>
  <si>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</si>
  <si>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</si>
  <si>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</si>
  <si>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</si>
  <si>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</si>
  <si>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</si>
  <si>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</si>
  <si>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</si>
  <si>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</si>
  <si>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</si>
  <si>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</si>
  <si>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</si>
  <si>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</si>
  <si>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</si>
  <si>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</si>
  <si>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</si>
  <si>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</si>
  <si>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</si>
  <si>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</si>
  <si>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</si>
  <si>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</si>
  <si>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</si>
  <si>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</si>
  <si>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</si>
  <si>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</si>
  <si>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</si>
  <si>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</si>
  <si>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</si>
  <si>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</si>
  <si>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</si>
  <si>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</si>
  <si>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</si>
  <si>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</si>
  <si>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</si>
  <si>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</si>
  <si>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</si>
  <si>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</si>
  <si>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</si>
  <si>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</si>
  <si>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</si>
  <si>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</si>
  <si>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</si>
  <si>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</si>
  <si>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</si>
  <si>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</si>
  <si>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</si>
  <si>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</si>
  <si>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</si>
  <si>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</si>
  <si>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</si>
  <si>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</si>
  <si>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</si>
  <si>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</si>
  <si>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</si>
  <si>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</si>
  <si>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</si>
  <si>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</si>
  <si>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</si>
  <si>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</si>
  <si>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</si>
  <si>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</si>
  <si>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</si>
  <si>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</si>
  <si>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</si>
  <si>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</si>
  <si>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</si>
  <si>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</si>
  <si>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</si>
  <si>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</si>
  <si>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</si>
  <si>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</si>
  <si>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</si>
  <si>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</si>
  <si>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</si>
  <si>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</si>
  <si>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</si>
  <si>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</si>
  <si>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</si>
  <si>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</si>
  <si>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</si>
  <si>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</si>
  <si>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</si>
  <si>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</si>
  <si>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</si>
  <si>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</si>
  <si>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</si>
  <si>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</si>
  <si>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</si>
  <si>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</si>
  <si>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</si>
  <si>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</si>
  <si>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</si>
  <si>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</si>
  <si>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</si>
  <si>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</si>
  <si>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</si>
  <si>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</si>
  <si>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</si>
  <si>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</si>
  <si>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</si>
  <si>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</si>
  <si>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</si>
  <si>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</si>
  <si>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</si>
  <si>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</si>
  <si>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</si>
  <si>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</si>
  <si>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</si>
  <si>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</si>
  <si>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</si>
  <si>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</si>
  <si>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</si>
  <si>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</si>
  <si>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</si>
  <si>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</si>
  <si>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</si>
  <si>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</si>
  <si>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</si>
  <si>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</si>
  <si>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</si>
  <si>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</si>
  <si>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</si>
  <si>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</si>
  <si>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</si>
  <si>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</si>
  <si>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</si>
  <si>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</si>
  <si>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</si>
  <si>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</si>
  <si>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</si>
  <si>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</si>
  <si>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</si>
  <si>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</si>
  <si>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</si>
  <si>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</si>
  <si>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</si>
  <si>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</si>
  <si>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</si>
  <si>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</si>
  <si>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</si>
  <si>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</si>
  <si>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</si>
  <si>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</si>
  <si>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</si>
  <si>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</si>
  <si>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</si>
  <si>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</si>
  <si>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</si>
  <si>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</si>
  <si>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</si>
  <si>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</si>
  <si>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</si>
  <si>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</si>
  <si>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</si>
  <si>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</si>
  <si>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</si>
  <si>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</si>
  <si>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</si>
  <si>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</si>
  <si>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</si>
  <si>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</si>
  <si>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</si>
  <si>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</si>
  <si>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</si>
  <si>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</si>
  <si>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</si>
  <si>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</si>
  <si>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</si>
  <si>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</si>
  <si>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</si>
  <si>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</si>
  <si>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</si>
  <si>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</si>
  <si>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</si>
  <si>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</si>
  <si>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</si>
  <si>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</si>
  <si>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</si>
  <si>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</si>
  <si>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</si>
  <si>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</si>
  <si>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</si>
  <si>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</si>
  <si>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</si>
  <si>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</si>
  <si>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</si>
  <si>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</si>
  <si>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</si>
  <si>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</si>
  <si>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</si>
  <si>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</si>
  <si>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</si>
  <si>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</si>
  <si>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</si>
  <si>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</si>
  <si>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</si>
  <si>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</si>
  <si>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</si>
  <si>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</si>
  <si>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</si>
  <si>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</si>
  <si>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</si>
  <si>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</si>
  <si>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</si>
  <si>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</si>
  <si>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</si>
  <si>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</si>
  <si>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</si>
  <si>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</si>
  <si>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</si>
  <si>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</si>
  <si>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</si>
  <si>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</si>
  <si>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</si>
  <si>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</si>
  <si>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</si>
  <si>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</si>
  <si>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</si>
  <si>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</si>
  <si>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</si>
  <si>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</si>
  <si>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</si>
  <si>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</si>
  <si>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</si>
  <si>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</si>
  <si>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</si>
  <si>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</si>
  <si>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</si>
  <si>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</si>
  <si>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</si>
  <si>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</si>
  <si>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</si>
  <si>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</si>
  <si>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</si>
  <si>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</si>
  <si>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</si>
  <si>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</si>
  <si>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</si>
  <si>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</si>
  <si>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</si>
  <si>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</si>
  <si>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</si>
  <si>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</si>
  <si>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</si>
  <si>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</si>
  <si>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</si>
  <si>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</si>
  <si>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</si>
  <si>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</si>
  <si>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</si>
  <si>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</si>
  <si>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</si>
  <si>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</si>
  <si>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</si>
  <si>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</si>
  <si>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</si>
  <si>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</si>
  <si>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</si>
  <si>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</si>
  <si>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</si>
  <si>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</si>
  <si>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</si>
  <si>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</si>
  <si>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</si>
  <si>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</si>
  <si>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</si>
  <si>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</si>
  <si>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</si>
  <si>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</si>
  <si>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</si>
  <si>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</si>
  <si>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</si>
  <si>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</si>
  <si>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</si>
  <si>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</si>
  <si>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</si>
  <si>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</si>
  <si>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</si>
  <si>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</si>
  <si>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</si>
  <si>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</si>
  <si>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</si>
  <si>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</si>
  <si>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</si>
  <si>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</si>
  <si>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</si>
  <si>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</si>
  <si>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</si>
  <si>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</si>
  <si>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</si>
  <si>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</si>
  <si>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</si>
  <si>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</si>
  <si>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</si>
  <si>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</si>
  <si>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</si>
  <si>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</si>
  <si>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</si>
  <si>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</si>
  <si>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</si>
  <si>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</si>
  <si>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</si>
  <si>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</si>
  <si>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</si>
  <si>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</si>
  <si>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</si>
  <si>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</si>
  <si>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</si>
  <si>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</si>
  <si>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</si>
  <si>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</si>
  <si>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</si>
  <si>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</si>
  <si>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</si>
  <si>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</si>
  <si>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</si>
  <si>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</si>
  <si>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</si>
  <si>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</si>
  <si>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</si>
  <si>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</si>
  <si>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</si>
  <si>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</si>
  <si>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</si>
  <si>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</si>
  <si>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</si>
  <si>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</si>
  <si>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</si>
  <si>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</si>
  <si>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</si>
  <si>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</si>
  <si>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</si>
  <si>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</si>
  <si>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</si>
  <si>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</si>
  <si>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</si>
  <si>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</si>
  <si>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</si>
  <si>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</si>
  <si>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</si>
  <si>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</si>
  <si>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</si>
  <si>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</si>
  <si>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</si>
  <si>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</si>
  <si>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</si>
  <si>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</si>
  <si>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</si>
  <si>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</si>
  <si>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</si>
  <si>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</si>
  <si>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</si>
  <si>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</si>
  <si>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</si>
  <si>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</si>
  <si>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</si>
  <si>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</si>
  <si>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</si>
  <si>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</si>
  <si>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</si>
  <si>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</si>
  <si>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</si>
  <si>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</si>
  <si>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</si>
  <si>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</si>
  <si>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</si>
  <si>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</si>
  <si>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</si>
  <si>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</si>
  <si>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</si>
  <si>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</si>
  <si>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</si>
  <si>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</si>
  <si>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</si>
  <si>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</si>
  <si>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</si>
  <si>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</si>
  <si>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</si>
  <si>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</si>
  <si>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</si>
  <si>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</si>
  <si>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</si>
  <si>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</si>
  <si>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</si>
  <si>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</si>
  <si>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</si>
  <si>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</si>
  <si>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</si>
  <si>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</si>
  <si>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</si>
  <si>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</si>
  <si>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</si>
  <si>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</si>
  <si>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</si>
  <si>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</si>
  <si>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</si>
  <si>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</si>
  <si>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</si>
  <si>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</si>
  <si>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</si>
  <si>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</si>
  <si>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</si>
  <si>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</si>
  <si>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</si>
  <si>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</si>
  <si>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</si>
  <si>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</si>
  <si>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</si>
  <si>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</si>
  <si>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</si>
  <si>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</si>
  <si>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</si>
  <si>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</si>
  <si>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</si>
  <si>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</si>
  <si>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</si>
  <si>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</si>
  <si>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</si>
  <si>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</si>
  <si>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</si>
  <si>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</si>
  <si>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</si>
  <si>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</si>
  <si>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</si>
  <si>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</si>
  <si>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</si>
  <si>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</si>
  <si>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</si>
  <si>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</si>
  <si>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</si>
  <si>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</si>
  <si>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</si>
  <si>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</si>
  <si>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</si>
  <si>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</si>
  <si>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</si>
  <si>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</si>
  <si>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</si>
  <si>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</si>
  <si>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</si>
  <si>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</si>
  <si>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</si>
  <si>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</si>
  <si>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</si>
  <si>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</si>
  <si>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</si>
  <si>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</si>
  <si>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</si>
  <si>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</si>
  <si>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</si>
  <si>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</si>
  <si>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</si>
  <si>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</si>
  <si>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</si>
  <si>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</si>
  <si>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</si>
  <si>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</si>
  <si>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</si>
  <si>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</si>
  <si>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</si>
  <si>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</si>
  <si>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</si>
  <si>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</si>
  <si>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</si>
  <si>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</si>
  <si>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</si>
  <si>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</si>
  <si>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</si>
  <si>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</si>
  <si>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</si>
  <si>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</si>
  <si>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</si>
  <si>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</si>
  <si>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</si>
  <si>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</si>
  <si>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</si>
  <si>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</si>
  <si>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</si>
  <si>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</si>
  <si>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</si>
  <si>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</si>
  <si>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</si>
  <si>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</si>
  <si>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</si>
  <si>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</si>
  <si>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</si>
  <si>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</si>
  <si>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</si>
  <si>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</si>
  <si>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</si>
  <si>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</si>
  <si>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</si>
  <si>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</si>
  <si>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</si>
  <si>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</si>
  <si>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</si>
  <si>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</si>
  <si>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</si>
  <si>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</si>
  <si>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</si>
  <si>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</si>
  <si>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</si>
  <si>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</si>
  <si>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</si>
  <si>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</si>
  <si>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</si>
  <si>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</si>
  <si>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</si>
  <si>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</si>
  <si>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</si>
  <si>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</si>
  <si>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</si>
  <si>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</si>
  <si>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</si>
  <si>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</si>
  <si>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</si>
  <si>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</si>
  <si>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</si>
  <si>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</si>
  <si>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</si>
  <si>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</si>
  <si>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</si>
  <si>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</si>
  <si>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</si>
  <si>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</si>
  <si>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</si>
  <si>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</si>
  <si>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</si>
  <si>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</si>
  <si>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</si>
  <si>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</si>
  <si>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</si>
  <si>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</si>
  <si>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</si>
  <si>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</si>
  <si>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</si>
  <si>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</si>
  <si>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</si>
  <si>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</si>
  <si>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</si>
  <si>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</si>
  <si>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</si>
  <si>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</si>
  <si>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</si>
  <si>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</si>
  <si>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</si>
  <si>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</si>
  <si>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</si>
  <si>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</si>
  <si>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</si>
  <si>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</si>
  <si>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</si>
  <si>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</si>
  <si>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</si>
  <si>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</si>
  <si>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</si>
  <si>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</si>
  <si>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</si>
  <si>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</si>
  <si>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</si>
  <si>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</si>
  <si>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</si>
  <si>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</si>
  <si>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</si>
  <si>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</si>
  <si>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</si>
  <si>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</si>
  <si>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</si>
  <si>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</si>
  <si>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</si>
  <si>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</si>
  <si>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</si>
  <si>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</si>
  <si>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</si>
  <si>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</si>
  <si>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</si>
  <si>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</si>
  <si>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</si>
  <si>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</si>
  <si>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</si>
  <si>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</si>
  <si>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</si>
  <si>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</si>
  <si>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</si>
  <si>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</si>
  <si>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</si>
  <si>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</si>
  <si>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</si>
  <si>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</si>
  <si>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</si>
  <si>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</si>
  <si>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</si>
  <si>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</si>
  <si>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</si>
  <si>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</si>
  <si>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</si>
  <si>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</si>
  <si>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</si>
  <si>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</si>
  <si>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</si>
  <si>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</si>
  <si>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</si>
  <si>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</si>
  <si>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</si>
  <si>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</si>
  <si>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</si>
  <si>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</si>
  <si>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</si>
  <si>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</si>
  <si>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</si>
  <si>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</si>
  <si>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</si>
  <si>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</si>
  <si>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</si>
  <si>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</si>
  <si>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</si>
  <si>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</si>
  <si>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</si>
  <si>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</si>
  <si>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</si>
  <si>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</si>
  <si>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</si>
  <si>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</si>
  <si>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</si>
  <si>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</si>
  <si>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</si>
  <si>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</si>
  <si>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</si>
  <si>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</si>
  <si>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</si>
  <si>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</si>
  <si>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</si>
  <si>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</si>
  <si>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</si>
  <si>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</si>
  <si>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</si>
  <si>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</si>
  <si>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</si>
  <si>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</si>
  <si>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</si>
  <si>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</si>
  <si>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</si>
  <si>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</si>
  <si>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</si>
  <si>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</si>
  <si>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</si>
  <si>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</si>
  <si>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</si>
  <si>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</si>
  <si>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</si>
  <si>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</si>
  <si>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</si>
  <si>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Results</t>
  </si>
  <si>
    <t>Overall Revenue Increase</t>
  </si>
  <si>
    <t>RESULTS OF OPERATIONS SUMMARY SHEET</t>
  </si>
  <si>
    <t>Results of Operations Summary Sheet</t>
  </si>
  <si>
    <t>Summary of Proposed Plant Additions</t>
  </si>
  <si>
    <t>Index</t>
  </si>
  <si>
    <t>Page(s)</t>
  </si>
  <si>
    <t>WP #</t>
  </si>
  <si>
    <t>ADJUSTMENT WORKPAPERS</t>
  </si>
  <si>
    <t>WORKPAPER - SUPPORT DOCUMENTS</t>
  </si>
  <si>
    <t>Adjustment Workpapers</t>
  </si>
  <si>
    <t>Promotional Advertising Expense Adjustment</t>
  </si>
  <si>
    <t>Electronic Tab Name: Index</t>
  </si>
  <si>
    <t>Line No:</t>
  </si>
  <si>
    <t xml:space="preserve">A </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</si>
  <si>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</si>
  <si>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</si>
  <si>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</si>
  <si>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</si>
  <si>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</si>
  <si>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</si>
  <si>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</si>
  <si>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</si>
  <si>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</si>
  <si>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</si>
  <si>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</si>
  <si>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</si>
  <si>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</si>
  <si>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</si>
  <si>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</si>
  <si>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</si>
  <si>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</si>
  <si>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</si>
  <si>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</si>
  <si>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</si>
  <si>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</si>
  <si>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</si>
  <si>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</si>
  <si>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</si>
  <si>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</si>
  <si>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</si>
  <si>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</si>
  <si>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</si>
  <si>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</si>
  <si>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</si>
  <si>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</si>
  <si>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</si>
  <si>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</si>
  <si>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</si>
  <si>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</si>
  <si>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</si>
  <si>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</si>
  <si>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</si>
  <si>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</si>
  <si>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</si>
  <si>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</si>
  <si>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</si>
  <si>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</si>
  <si>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</si>
  <si>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</si>
  <si>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</si>
  <si>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</si>
  <si>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</si>
  <si>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</si>
  <si>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</si>
  <si>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</si>
  <si>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</si>
  <si>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</si>
  <si>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</si>
  <si>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</si>
  <si>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</si>
  <si>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</si>
  <si>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</si>
  <si>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</si>
  <si>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</si>
  <si>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</si>
  <si>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</si>
  <si>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</si>
  <si>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</si>
  <si>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</si>
  <si>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</si>
  <si>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</si>
  <si>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</si>
  <si>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</si>
  <si>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</si>
  <si>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</si>
  <si>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</si>
  <si>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</si>
  <si>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</si>
  <si>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</si>
  <si>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</si>
  <si>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</si>
  <si>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</si>
  <si>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</si>
  <si>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</si>
  <si>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</si>
  <si>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</si>
  <si>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</si>
  <si>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</si>
  <si>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</si>
  <si>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</si>
  <si>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</si>
  <si>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</si>
  <si>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</si>
  <si>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</si>
  <si>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</si>
  <si>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</si>
  <si>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</si>
  <si>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</si>
  <si>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</si>
  <si>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</si>
  <si>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</si>
  <si>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</si>
  <si>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</si>
  <si>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</si>
  <si>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</si>
  <si>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</si>
  <si>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</si>
  <si>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</si>
  <si>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</si>
  <si>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</si>
  <si>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</si>
  <si>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</si>
  <si>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</si>
  <si>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</si>
  <si>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</si>
  <si>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</si>
  <si>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</si>
  <si>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</si>
  <si>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</si>
  <si>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</si>
  <si>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</si>
  <si>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</si>
  <si>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</si>
  <si>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</si>
  <si>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</si>
  <si>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</si>
  <si>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</si>
  <si>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</si>
  <si>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</si>
  <si>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</si>
  <si>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</si>
  <si>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</si>
  <si>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</si>
  <si>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</si>
  <si>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</si>
  <si>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</si>
  <si>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</si>
  <si>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</si>
  <si>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</si>
  <si>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</si>
  <si>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</si>
  <si>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</si>
  <si>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</si>
  <si>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</si>
  <si>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</si>
  <si>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</si>
  <si>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</si>
  <si>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</si>
  <si>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</si>
  <si>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</si>
  <si>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</si>
  <si>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</si>
  <si>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</si>
  <si>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</si>
  <si>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</si>
  <si>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</si>
  <si>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</si>
  <si>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</si>
  <si>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</si>
  <si>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</si>
  <si>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</si>
  <si>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</si>
  <si>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</si>
  <si>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</si>
  <si>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</si>
  <si>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</si>
  <si>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</si>
  <si>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</si>
  <si>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</si>
  <si>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</si>
  <si>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</si>
  <si>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</si>
  <si>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</si>
  <si>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</si>
  <si>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</si>
  <si>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</si>
  <si>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</si>
  <si>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</si>
  <si>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</si>
  <si>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</si>
  <si>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</si>
  <si>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</si>
  <si>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</si>
  <si>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</si>
  <si>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</si>
  <si>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</si>
  <si>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</si>
  <si>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</si>
  <si>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</si>
  <si>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</si>
  <si>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</si>
  <si>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</si>
  <si>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</si>
  <si>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</si>
  <si>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</si>
  <si>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</si>
  <si>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</si>
  <si>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</si>
  <si>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</si>
  <si>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</si>
  <si>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</si>
  <si>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</si>
  <si>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</si>
  <si>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</si>
  <si>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</si>
  <si>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</si>
  <si>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</si>
  <si>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</si>
  <si>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</si>
  <si>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</si>
  <si>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</si>
  <si>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</si>
  <si>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</si>
  <si>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</si>
  <si>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</si>
  <si>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</si>
  <si>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</si>
  <si>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</si>
  <si>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</si>
  <si>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</si>
  <si>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</si>
  <si>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</si>
  <si>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</si>
  <si>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</si>
  <si>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</si>
  <si>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</si>
  <si>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</si>
  <si>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</si>
  <si>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</si>
  <si>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</si>
  <si>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</si>
  <si>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</si>
  <si>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</si>
  <si>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</si>
  <si>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</si>
  <si>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</si>
  <si>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</si>
  <si>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</si>
  <si>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</si>
  <si>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</si>
  <si>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</si>
  <si>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</si>
  <si>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</si>
  <si>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</si>
  <si>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</si>
  <si>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</si>
  <si>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</si>
  <si>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</si>
  <si>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</si>
  <si>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</si>
  <si>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</si>
  <si>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</si>
  <si>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</si>
  <si>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</si>
  <si>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</si>
  <si>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</si>
  <si>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</si>
  <si>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t>Description of Workpaper</t>
  </si>
  <si>
    <r>
      <t>Amortization Period (years)</t>
    </r>
    <r>
      <rPr>
        <vertAlign val="superscript"/>
        <sz val="12"/>
        <color theme="1"/>
        <rFont val="Calibri"/>
        <family val="2"/>
        <scheme val="minor"/>
      </rPr>
      <t>1</t>
    </r>
  </si>
  <si>
    <r>
      <rPr>
        <vertAlign val="superscript"/>
        <sz val="12"/>
        <color theme="1"/>
        <rFont val="Calibri"/>
        <family val="2"/>
        <scheme val="minor"/>
      </rPr>
      <t>1</t>
    </r>
    <r>
      <rPr>
        <sz val="12"/>
        <color theme="1"/>
        <rFont val="Calibri"/>
        <family val="2"/>
        <scheme val="minor"/>
      </rPr>
      <t>Remaining period of the program after rate case effective date</t>
    </r>
  </si>
  <si>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</si>
  <si>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</si>
  <si>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</si>
  <si>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</si>
  <si>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</si>
  <si>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</si>
  <si>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</si>
  <si>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</si>
  <si>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</si>
  <si>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</si>
  <si>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</si>
  <si>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</si>
  <si>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</si>
  <si>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</si>
  <si>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</si>
  <si>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</si>
  <si>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</si>
  <si>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</si>
  <si>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</si>
  <si>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</si>
  <si>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</si>
  <si>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</si>
  <si>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</si>
  <si>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</si>
  <si>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</si>
  <si>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</si>
  <si>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</si>
  <si>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</si>
  <si>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</si>
  <si>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</si>
  <si>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</si>
  <si>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</si>
  <si>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</si>
  <si>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</si>
  <si>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</si>
  <si>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</si>
  <si>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</si>
  <si>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</si>
  <si>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</si>
  <si>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</si>
  <si>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</si>
  <si>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</si>
  <si>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</si>
  <si>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</si>
  <si>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</si>
  <si>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</si>
  <si>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</si>
  <si>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</si>
  <si>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</si>
  <si>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Workpaper - Support Documents</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</si>
  <si>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</si>
  <si>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</si>
  <si>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</si>
  <si>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</si>
  <si>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</si>
  <si>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</si>
  <si>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</si>
  <si>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</si>
  <si>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</si>
  <si>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</si>
  <si>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</si>
  <si>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</si>
  <si>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</si>
  <si>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</si>
  <si>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</si>
  <si>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</si>
  <si>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</si>
  <si>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</si>
  <si>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</si>
  <si>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</si>
  <si>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</si>
  <si>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</si>
  <si>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</si>
  <si>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</si>
  <si>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</si>
  <si>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</si>
  <si>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</si>
  <si>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</si>
  <si>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</si>
  <si>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</si>
  <si>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</si>
  <si>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</si>
  <si>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</si>
  <si>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</si>
  <si>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</si>
  <si>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</si>
  <si>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</si>
  <si>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</si>
  <si>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</si>
  <si>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</si>
  <si>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</si>
  <si>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</si>
  <si>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</si>
  <si>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</si>
  <si>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</si>
  <si>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</si>
  <si>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</si>
  <si>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</si>
  <si>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</si>
  <si>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</si>
  <si>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</si>
  <si>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</si>
  <si>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</si>
  <si>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</si>
  <si>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</si>
  <si>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</si>
  <si>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</si>
  <si>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</si>
  <si>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</si>
  <si>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</si>
  <si>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</si>
  <si>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</si>
  <si>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</si>
  <si>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</si>
  <si>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</si>
  <si>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</si>
  <si>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</si>
  <si>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</si>
  <si>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</si>
  <si>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</si>
  <si>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</si>
  <si>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</si>
  <si>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</si>
  <si>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</si>
  <si>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</si>
  <si>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</si>
  <si>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</si>
  <si>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</si>
  <si>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</si>
  <si>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</si>
  <si>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</si>
  <si>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</si>
  <si>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</si>
  <si>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</si>
  <si>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</si>
  <si>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</si>
  <si>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</si>
  <si>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</si>
  <si>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</si>
  <si>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</si>
  <si>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</si>
  <si>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</si>
  <si>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</si>
  <si>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</si>
  <si>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</si>
  <si>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</si>
  <si>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</si>
  <si>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</si>
  <si>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</si>
  <si>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</si>
  <si>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</si>
  <si>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</si>
  <si>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</si>
  <si>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</si>
  <si>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</si>
  <si>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</si>
  <si>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</si>
  <si>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</si>
  <si>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</si>
  <si>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</si>
  <si>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</si>
  <si>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</si>
  <si>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</si>
  <si>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</si>
  <si>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</si>
  <si>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</si>
  <si>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</si>
  <si>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</si>
  <si>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</si>
  <si>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</si>
  <si>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</si>
  <si>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</si>
  <si>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</si>
  <si>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</si>
  <si>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</si>
  <si>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</si>
  <si>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</si>
  <si>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</si>
  <si>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</si>
  <si>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</si>
  <si>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</si>
  <si>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</si>
  <si>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</si>
  <si>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</si>
  <si>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</si>
  <si>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</si>
  <si>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</si>
  <si>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</si>
  <si>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</si>
  <si>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</si>
  <si>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</si>
  <si>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</si>
  <si>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</si>
  <si>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</si>
  <si>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</si>
  <si>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</si>
  <si>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</si>
  <si>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</si>
  <si>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</si>
  <si>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</si>
  <si>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</si>
  <si>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</si>
  <si>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</si>
  <si>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</si>
  <si>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</si>
  <si>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</si>
  <si>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</si>
  <si>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</si>
  <si>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</si>
  <si>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</si>
  <si>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</si>
  <si>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</si>
  <si>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</si>
  <si>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</si>
  <si>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</si>
  <si>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</si>
  <si>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</si>
  <si>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</si>
  <si>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</si>
  <si>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</si>
  <si>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</si>
  <si>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</si>
  <si>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</si>
  <si>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</si>
  <si>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</si>
  <si>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</si>
  <si>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MCP WP-1.8</t>
  </si>
  <si>
    <t>MCP WP-1.9</t>
  </si>
  <si>
    <t>MCP WP-1.10</t>
  </si>
  <si>
    <t>MCP WP-1.0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</si>
  <si>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</si>
  <si>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</si>
  <si>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</si>
  <si>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</si>
  <si>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</si>
  <si>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</si>
  <si>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</si>
  <si>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</si>
  <si>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</si>
  <si>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</si>
  <si>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</si>
  <si>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</si>
  <si>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</si>
  <si>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</si>
  <si>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</si>
  <si>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</si>
  <si>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</si>
  <si>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</si>
  <si>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</si>
  <si>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</si>
  <si>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</si>
  <si>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MCP WP-1.17</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</si>
  <si>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</si>
  <si>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</si>
  <si>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</si>
  <si>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</si>
  <si>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</si>
  <si>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</si>
  <si>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</si>
  <si>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</si>
  <si>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</si>
  <si>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</si>
  <si>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</si>
  <si>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</si>
  <si>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</si>
  <si>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</si>
  <si>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</si>
  <si>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</si>
  <si>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</si>
  <si>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</si>
  <si>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</si>
  <si>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</si>
  <si>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</si>
  <si>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</si>
  <si>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</si>
  <si>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</si>
  <si>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</si>
  <si>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</si>
  <si>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</si>
  <si>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</si>
  <si>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</si>
  <si>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</si>
  <si>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</si>
  <si>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</si>
  <si>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</si>
  <si>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</si>
  <si>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</si>
  <si>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</si>
  <si>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</si>
  <si>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</si>
  <si>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</si>
  <si>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</si>
  <si>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</si>
  <si>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</si>
  <si>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</si>
  <si>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</si>
  <si>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</si>
  <si>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</si>
  <si>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</si>
  <si>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</si>
  <si>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</si>
  <si>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</si>
  <si>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</si>
  <si>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</si>
  <si>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</si>
  <si>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</si>
  <si>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</si>
  <si>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</si>
  <si>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</si>
  <si>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</si>
  <si>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</si>
  <si>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</si>
  <si>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</si>
  <si>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</si>
  <si>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</si>
  <si>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</si>
  <si>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</si>
  <si>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</si>
  <si>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</si>
  <si>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</si>
  <si>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</si>
  <si>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</si>
  <si>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</si>
  <si>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</si>
  <si>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</si>
  <si>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</si>
  <si>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Executive Incentives</t>
  </si>
  <si>
    <t>Remove Executive Incentives</t>
  </si>
  <si>
    <t>MCP WP-1.5</t>
  </si>
  <si>
    <t>MCP WP-1.6</t>
  </si>
  <si>
    <t>MCP WP-1.11</t>
  </si>
  <si>
    <t>MCP WP-1.16</t>
  </si>
  <si>
    <t>Total  Deferral to be amort</t>
  </si>
  <si>
    <t>End of Year</t>
  </si>
  <si>
    <t>R-5</t>
  </si>
  <si>
    <t>R-6</t>
  </si>
  <si>
    <t xml:space="preserve">Restate </t>
  </si>
  <si>
    <t>Maryalice C. Peters</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</si>
  <si>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</si>
  <si>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</si>
  <si>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</si>
  <si>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</si>
  <si>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</si>
  <si>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</si>
  <si>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</si>
  <si>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</si>
  <si>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</si>
  <si>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</si>
  <si>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</si>
  <si>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</si>
  <si>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</si>
  <si>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</si>
  <si>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</si>
  <si>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</si>
  <si>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</si>
  <si>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</si>
  <si>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</si>
  <si>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</si>
  <si>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</si>
  <si>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</si>
  <si>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</si>
  <si>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</si>
  <si>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</si>
  <si>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</si>
  <si>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</si>
  <si>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</si>
  <si>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</si>
  <si>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</si>
  <si>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</si>
  <si>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</si>
  <si>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</si>
  <si>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</si>
  <si>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</si>
  <si>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</si>
  <si>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</si>
  <si>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</si>
  <si>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</si>
  <si>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</si>
  <si>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</si>
  <si>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</si>
  <si>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</si>
  <si>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</si>
  <si>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</si>
  <si>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</si>
  <si>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</si>
  <si>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</si>
  <si>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</si>
  <si>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</si>
  <si>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</si>
  <si>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</si>
  <si>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</si>
  <si>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</si>
  <si>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</si>
  <si>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</si>
  <si>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</si>
  <si>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</si>
  <si>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</si>
  <si>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</si>
  <si>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</si>
  <si>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</si>
  <si>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</si>
  <si>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</si>
  <si>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</si>
  <si>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Estimated In-Service Date</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</si>
  <si>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</si>
  <si>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</si>
  <si>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</si>
  <si>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</si>
  <si>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</si>
  <si>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</si>
  <si>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</si>
  <si>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</si>
  <si>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</si>
  <si>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</si>
  <si>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</si>
  <si>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</si>
  <si>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</si>
  <si>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</si>
  <si>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</si>
  <si>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</si>
  <si>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</si>
  <si>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</si>
  <si>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</si>
  <si>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</si>
  <si>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</si>
  <si>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</si>
  <si>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</si>
  <si>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</si>
  <si>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</si>
  <si>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</si>
  <si>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</si>
  <si>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</si>
  <si>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</si>
  <si>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</si>
  <si>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</si>
  <si>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</si>
  <si>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</si>
  <si>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</si>
  <si>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</si>
  <si>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</si>
  <si>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</si>
  <si>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</si>
  <si>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</si>
  <si>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</si>
  <si>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</si>
  <si>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</si>
  <si>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</si>
  <si>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</si>
  <si>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</si>
  <si>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</si>
  <si>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</si>
  <si>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</si>
  <si>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</si>
  <si>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</si>
  <si>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</si>
  <si>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</si>
  <si>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</si>
  <si>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</si>
  <si>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</si>
  <si>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</si>
  <si>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</si>
  <si>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</si>
  <si>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</si>
  <si>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</si>
  <si>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</si>
  <si>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</si>
  <si>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</si>
  <si>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</si>
  <si>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</si>
  <si>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</si>
  <si>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</si>
  <si>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</si>
  <si>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</si>
  <si>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</si>
  <si>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</si>
  <si>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</si>
  <si>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</si>
  <si>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</si>
  <si>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</si>
  <si>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</si>
  <si>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</si>
  <si>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</si>
  <si>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</si>
  <si>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</si>
  <si>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</si>
  <si>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</si>
  <si>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</si>
  <si>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</si>
  <si>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</si>
  <si>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</si>
  <si>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</si>
  <si>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</si>
  <si>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</si>
  <si>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</si>
  <si>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</si>
  <si>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</si>
  <si>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</si>
  <si>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</si>
  <si>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</si>
  <si>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</si>
  <si>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</si>
  <si>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</si>
  <si>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</si>
  <si>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</si>
  <si>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</si>
  <si>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</si>
  <si>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</si>
  <si>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</si>
  <si>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</si>
  <si>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</si>
  <si>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</si>
  <si>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</si>
  <si>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</si>
  <si>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</si>
  <si>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</si>
  <si>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</si>
  <si>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</si>
  <si>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</si>
  <si>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</si>
  <si>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</si>
  <si>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</si>
  <si>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</si>
  <si>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</si>
  <si>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</si>
  <si>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</si>
  <si>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</si>
  <si>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</si>
  <si>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</si>
  <si>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</si>
  <si>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</si>
  <si>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</si>
  <si>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</si>
  <si>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</si>
  <si>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</si>
  <si>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</si>
  <si>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</si>
  <si>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</si>
  <si>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</si>
  <si>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</si>
  <si>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</si>
  <si>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</si>
  <si>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</si>
  <si>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</si>
  <si>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</si>
  <si>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</si>
  <si>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</si>
  <si>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</si>
  <si>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</si>
  <si>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</si>
  <si>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</si>
  <si>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</si>
  <si>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</si>
  <si>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</si>
  <si>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</si>
  <si>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</si>
  <si>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</si>
  <si>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</si>
  <si>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</si>
  <si>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</si>
  <si>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</si>
  <si>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</si>
  <si>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</si>
  <si>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</si>
  <si>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</si>
  <si>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</si>
  <si>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</si>
  <si>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</si>
  <si>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</si>
  <si>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</si>
  <si>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</si>
  <si>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</si>
  <si>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</si>
  <si>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</si>
  <si>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</si>
  <si>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</si>
  <si>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</si>
  <si>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</si>
  <si>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</si>
  <si>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</si>
  <si>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</si>
  <si>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</si>
  <si>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</si>
  <si>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</si>
  <si>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</si>
  <si>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</si>
  <si>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</si>
  <si>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</si>
  <si>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</si>
  <si>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</si>
  <si>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</si>
  <si>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</si>
  <si>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</si>
  <si>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</si>
  <si>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</si>
  <si>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</si>
  <si>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</si>
  <si>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</si>
  <si>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</si>
  <si>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</si>
  <si>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</si>
  <si>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</si>
  <si>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</si>
  <si>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</si>
  <si>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</si>
  <si>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</si>
  <si>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</si>
  <si>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</si>
  <si>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</si>
  <si>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</si>
  <si>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</si>
  <si>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</si>
  <si>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</si>
  <si>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</si>
  <si>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</si>
  <si>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</si>
  <si>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</si>
  <si>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</si>
  <si>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</si>
  <si>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</si>
  <si>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</si>
  <si>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</si>
  <si>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</si>
  <si>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</si>
  <si>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</si>
  <si>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</si>
  <si>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</si>
  <si>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</si>
  <si>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</si>
  <si>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</si>
  <si>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</si>
  <si>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</si>
  <si>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</si>
  <si>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</si>
  <si>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</si>
  <si>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</si>
  <si>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</si>
  <si>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</si>
  <si>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</si>
  <si>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</si>
  <si>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</si>
  <si>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</si>
  <si>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</si>
  <si>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</si>
  <si>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</si>
  <si>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</si>
  <si>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</si>
  <si>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</si>
  <si>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</si>
  <si>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</si>
  <si>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</si>
  <si>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</si>
  <si>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</si>
  <si>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</si>
  <si>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</si>
  <si>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</si>
  <si>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</si>
  <si>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</si>
  <si>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</si>
  <si>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</si>
  <si>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</si>
  <si>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</si>
  <si>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</si>
  <si>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</si>
  <si>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</si>
  <si>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</si>
  <si>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</si>
  <si>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</si>
  <si>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</si>
  <si>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</si>
  <si>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</si>
  <si>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</si>
  <si>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</si>
  <si>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</si>
  <si>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</si>
  <si>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</si>
  <si>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</si>
  <si>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</si>
  <si>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</si>
  <si>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</si>
  <si>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</si>
  <si>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</si>
  <si>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</si>
  <si>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</si>
  <si>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</si>
  <si>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</si>
  <si>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</si>
  <si>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</si>
  <si>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</si>
  <si>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</si>
  <si>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</si>
  <si>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</si>
  <si>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</si>
  <si>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</si>
  <si>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</si>
  <si>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</si>
  <si>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</si>
  <si>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</si>
  <si>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</si>
  <si>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</si>
  <si>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</si>
  <si>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</si>
  <si>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</si>
  <si>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</si>
  <si>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</si>
  <si>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</si>
  <si>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</si>
  <si>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</si>
  <si>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</si>
  <si>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</si>
  <si>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</si>
  <si>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</si>
  <si>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</si>
  <si>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</si>
  <si>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</si>
  <si>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</si>
  <si>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</si>
  <si>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</si>
  <si>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</si>
  <si>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</si>
  <si>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</si>
  <si>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</si>
  <si>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</si>
  <si>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</si>
  <si>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</si>
  <si>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</si>
  <si>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</si>
  <si>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</si>
  <si>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</si>
  <si>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</si>
  <si>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</si>
  <si>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</si>
  <si>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</si>
  <si>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</si>
  <si>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</si>
  <si>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</si>
  <si>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</si>
  <si>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</si>
  <si>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</si>
  <si>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</si>
  <si>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</si>
  <si>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</si>
  <si>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</si>
  <si>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</si>
  <si>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</si>
  <si>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</si>
  <si>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</si>
  <si>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</si>
  <si>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</si>
  <si>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</si>
  <si>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</si>
  <si>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</si>
  <si>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</si>
  <si>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</si>
  <si>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</si>
  <si>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</si>
  <si>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</si>
  <si>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</si>
  <si>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</si>
  <si>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</si>
  <si>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</si>
  <si>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</si>
  <si>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</si>
  <si>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</si>
  <si>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</si>
  <si>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</si>
  <si>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</si>
  <si>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</si>
  <si>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</si>
  <si>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</si>
  <si>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</si>
  <si>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</si>
  <si>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</si>
  <si>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</si>
  <si>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</si>
  <si>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</si>
  <si>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</si>
  <si>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</si>
  <si>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</si>
  <si>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</si>
  <si>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</si>
  <si>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</si>
  <si>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Difference</t>
  </si>
  <si>
    <t>Annulize</t>
  </si>
  <si>
    <t>Total CRM Proposed Rev</t>
  </si>
  <si>
    <t>Less booked CRM</t>
  </si>
  <si>
    <t>Total CRM Adjustment</t>
  </si>
  <si>
    <t>Annualize CRM Adjustment</t>
  </si>
  <si>
    <t>End of Period Revenue Adjustment</t>
  </si>
  <si>
    <t xml:space="preserve">Restate     </t>
  </si>
  <si>
    <t xml:space="preserve">P </t>
  </si>
  <si>
    <t>(EOP) Adj.</t>
  </si>
  <si>
    <t>End of Period</t>
  </si>
  <si>
    <t>Restate Revenues Adjustment</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</si>
  <si>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</si>
  <si>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</si>
  <si>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</si>
  <si>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</si>
  <si>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</si>
  <si>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</si>
  <si>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</si>
  <si>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</si>
  <si>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</si>
  <si>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</si>
  <si>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</si>
  <si>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</si>
  <si>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</si>
  <si>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</si>
  <si>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</si>
  <si>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</si>
  <si>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</si>
  <si>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</si>
  <si>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</si>
  <si>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</si>
  <si>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</si>
  <si>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</si>
  <si>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</si>
  <si>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</si>
  <si>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</si>
  <si>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</si>
  <si>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</si>
  <si>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</si>
  <si>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</si>
  <si>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</si>
  <si>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</si>
  <si>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</si>
  <si>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</si>
  <si>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</si>
  <si>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</si>
  <si>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</si>
  <si>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</si>
  <si>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</si>
  <si>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</si>
  <si>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</si>
  <si>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</si>
  <si>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</si>
  <si>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</si>
  <si>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</si>
  <si>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</si>
  <si>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</si>
  <si>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</si>
  <si>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</si>
  <si>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</si>
  <si>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</si>
  <si>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</si>
  <si>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</si>
  <si>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</si>
  <si>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</si>
  <si>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</si>
  <si>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</si>
  <si>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</si>
  <si>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</si>
  <si>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</si>
  <si>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</si>
  <si>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</si>
  <si>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</si>
  <si>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</si>
  <si>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</si>
  <si>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</si>
  <si>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</si>
  <si>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</si>
  <si>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</si>
  <si>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</si>
  <si>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</si>
  <si>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</si>
  <si>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</si>
  <si>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</si>
  <si>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</si>
  <si>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</si>
  <si>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</si>
  <si>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</si>
  <si>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</si>
  <si>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</si>
  <si>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</si>
  <si>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</si>
  <si>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</si>
  <si>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</si>
  <si>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</si>
  <si>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</si>
  <si>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</si>
  <si>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</si>
  <si>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</si>
  <si>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</si>
  <si>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</si>
  <si>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</si>
  <si>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</si>
  <si>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</si>
  <si>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</si>
  <si>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</si>
  <si>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</si>
  <si>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</si>
  <si>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</si>
  <si>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</si>
  <si>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</si>
  <si>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</si>
  <si>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</si>
  <si>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</si>
  <si>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</si>
  <si>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</si>
  <si>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</si>
  <si>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</si>
  <si>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</si>
  <si>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</si>
  <si>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</si>
  <si>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</si>
  <si>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</si>
  <si>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</si>
  <si>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</si>
  <si>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</si>
  <si>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</si>
  <si>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</si>
  <si>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</si>
  <si>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</si>
  <si>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</si>
  <si>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</si>
  <si>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</si>
  <si>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</si>
  <si>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</si>
  <si>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</si>
  <si>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</si>
  <si>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 xml:space="preserve">2020 Adjustment </t>
  </si>
  <si>
    <t>2019 Actual Deferral</t>
  </si>
  <si>
    <t xml:space="preserve">2019 Actual Amortization </t>
  </si>
  <si>
    <t xml:space="preserve">2018 Balance </t>
  </si>
  <si>
    <t>12 Months ended December 31, 2019</t>
  </si>
  <si>
    <t>UG 20 _____</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</si>
  <si>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</si>
  <si>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</si>
  <si>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</si>
  <si>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</si>
  <si>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</si>
  <si>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</si>
  <si>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</si>
  <si>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</si>
  <si>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</si>
  <si>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</si>
  <si>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</si>
  <si>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</si>
  <si>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</si>
  <si>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</si>
  <si>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</si>
  <si>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</si>
  <si>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</si>
  <si>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</si>
  <si>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</si>
  <si>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</si>
  <si>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</si>
  <si>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</si>
  <si>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</si>
  <si>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</si>
  <si>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</si>
  <si>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</si>
  <si>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</si>
  <si>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</si>
  <si>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</si>
  <si>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</si>
  <si>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</si>
  <si>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</si>
  <si>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</si>
  <si>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</si>
  <si>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</si>
  <si>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</si>
  <si>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</si>
  <si>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</si>
  <si>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</si>
  <si>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</si>
  <si>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</si>
  <si>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</si>
  <si>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</si>
  <si>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</si>
  <si>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</si>
  <si>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</si>
  <si>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</si>
  <si>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</si>
  <si>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</si>
  <si>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</si>
  <si>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</si>
  <si>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</si>
  <si>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</si>
  <si>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</si>
  <si>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</si>
  <si>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</si>
  <si>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</si>
  <si>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</si>
  <si>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</si>
  <si>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</si>
  <si>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</si>
  <si>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</si>
  <si>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</si>
  <si>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</si>
  <si>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</si>
  <si>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</si>
  <si>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</si>
  <si>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</si>
  <si>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</si>
  <si>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</si>
  <si>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</si>
  <si>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</si>
  <si>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</si>
  <si>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</si>
  <si>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</si>
  <si>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</si>
  <si>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</si>
  <si>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</si>
  <si>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</si>
  <si>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</si>
  <si>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</si>
  <si>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</si>
  <si>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</si>
  <si>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</si>
  <si>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</si>
  <si>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</si>
  <si>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</si>
  <si>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</si>
  <si>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</si>
  <si>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</si>
  <si>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</si>
  <si>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</si>
  <si>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</si>
  <si>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</si>
  <si>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</si>
  <si>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</si>
  <si>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</si>
  <si>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</si>
  <si>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</si>
  <si>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</si>
  <si>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</si>
  <si>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</si>
  <si>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</si>
  <si>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</si>
  <si>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</si>
  <si>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</si>
  <si>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</si>
  <si>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</si>
  <si>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</si>
  <si>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</si>
  <si>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</si>
  <si>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</si>
  <si>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</si>
  <si>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</si>
  <si>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</si>
  <si>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</si>
  <si>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</si>
  <si>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</si>
  <si>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</si>
  <si>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</si>
  <si>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</si>
  <si>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</si>
  <si>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</si>
  <si>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</si>
  <si>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</si>
  <si>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</si>
  <si>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</si>
  <si>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</si>
  <si>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</si>
  <si>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</si>
  <si>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</si>
  <si>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</si>
  <si>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</si>
  <si>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</si>
  <si>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</si>
  <si>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</si>
  <si>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</si>
  <si>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</si>
  <si>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</si>
  <si>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</si>
  <si>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</si>
  <si>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</si>
  <si>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</si>
  <si>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</si>
  <si>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</si>
  <si>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</si>
  <si>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</si>
  <si>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</si>
  <si>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</si>
  <si>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</si>
  <si>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</si>
  <si>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</si>
  <si>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</si>
  <si>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</si>
  <si>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</si>
  <si>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</si>
  <si>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</si>
  <si>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</si>
  <si>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</si>
  <si>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</si>
  <si>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</si>
  <si>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</si>
  <si>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</si>
  <si>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</si>
  <si>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</si>
  <si>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</si>
  <si>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</si>
  <si>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</si>
  <si>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</si>
  <si>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</si>
  <si>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</si>
  <si>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</si>
  <si>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</si>
  <si>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</si>
  <si>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</si>
  <si>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</si>
  <si>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</si>
  <si>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</si>
  <si>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</si>
  <si>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</si>
  <si>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</si>
  <si>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</si>
  <si>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</si>
  <si>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</si>
  <si>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</si>
  <si>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</si>
  <si>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</si>
  <si>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</si>
  <si>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</si>
  <si>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</si>
  <si>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</si>
  <si>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</si>
  <si>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</si>
  <si>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</si>
  <si>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</si>
  <si>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</si>
  <si>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</si>
  <si>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</si>
  <si>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</si>
  <si>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</si>
  <si>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</si>
  <si>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</si>
  <si>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</si>
  <si>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</si>
  <si>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</si>
  <si>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</si>
  <si>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</si>
  <si>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</si>
  <si>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</si>
  <si>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</si>
  <si>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</si>
  <si>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</si>
  <si>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</si>
  <si>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</si>
  <si>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</si>
  <si>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</si>
  <si>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</si>
  <si>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</si>
  <si>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</si>
  <si>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</si>
  <si>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</si>
  <si>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</si>
  <si>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</si>
  <si>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</si>
  <si>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</si>
  <si>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</si>
  <si>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</si>
  <si>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</si>
  <si>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</si>
  <si>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</si>
  <si>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</si>
  <si>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</si>
  <si>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</si>
  <si>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</si>
  <si>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</si>
  <si>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</si>
  <si>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</si>
  <si>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</si>
  <si>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</si>
  <si>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</si>
  <si>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</si>
  <si>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</si>
  <si>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</si>
  <si>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</si>
  <si>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</si>
  <si>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</si>
  <si>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</si>
  <si>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</si>
  <si>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</si>
  <si>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</si>
  <si>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</si>
  <si>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</si>
  <si>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</si>
  <si>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</si>
  <si>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</si>
  <si>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</si>
  <si>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</si>
  <si>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</si>
  <si>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</si>
  <si>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</si>
  <si>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</si>
  <si>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</si>
  <si>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</si>
  <si>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</si>
  <si>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</si>
  <si>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</si>
  <si>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</si>
  <si>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</si>
  <si>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</si>
  <si>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</si>
  <si>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</si>
  <si>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</si>
  <si>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</si>
  <si>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</si>
  <si>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</si>
  <si>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</si>
  <si>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</si>
  <si>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</si>
  <si>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</si>
  <si>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</si>
  <si>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</si>
  <si>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</si>
  <si>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</si>
  <si>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</si>
  <si>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</si>
  <si>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</si>
  <si>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</si>
  <si>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</si>
  <si>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</si>
  <si>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</si>
  <si>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</si>
  <si>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</si>
  <si>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</si>
  <si>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</si>
  <si>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</si>
  <si>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</si>
  <si>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</si>
  <si>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</si>
  <si>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</si>
  <si>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</si>
  <si>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</si>
  <si>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</si>
  <si>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</si>
  <si>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</si>
  <si>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</si>
  <si>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</si>
  <si>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</si>
  <si>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</si>
  <si>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</si>
  <si>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</si>
  <si>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</si>
  <si>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</si>
  <si>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</si>
  <si>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</si>
  <si>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</si>
  <si>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</si>
  <si>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</si>
  <si>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</si>
  <si>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</si>
  <si>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</si>
  <si>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</si>
  <si>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</si>
  <si>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</si>
  <si>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</si>
  <si>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</si>
  <si>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</si>
  <si>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</si>
  <si>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</si>
  <si>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</si>
  <si>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</si>
  <si>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</si>
  <si>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</si>
  <si>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</si>
  <si>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</si>
  <si>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</si>
  <si>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</si>
  <si>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</si>
  <si>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</si>
  <si>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</si>
  <si>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</si>
  <si>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</si>
  <si>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</si>
  <si>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</si>
  <si>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</si>
  <si>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</si>
  <si>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</si>
  <si>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</si>
  <si>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</si>
  <si>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</si>
  <si>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</si>
  <si>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</si>
  <si>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</si>
  <si>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</si>
  <si>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</si>
  <si>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</si>
  <si>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</si>
  <si>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</si>
  <si>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</si>
  <si>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</si>
  <si>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</si>
  <si>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</si>
  <si>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</si>
  <si>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</si>
  <si>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</si>
  <si>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</si>
  <si>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</si>
  <si>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</si>
  <si>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</si>
  <si>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</si>
  <si>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</si>
  <si>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</si>
  <si>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</si>
  <si>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</si>
  <si>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</si>
  <si>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</si>
  <si>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</si>
  <si>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</si>
  <si>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</si>
  <si>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</si>
  <si>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</si>
  <si>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</si>
  <si>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</si>
  <si>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</si>
  <si>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</si>
  <si>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</si>
  <si>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</si>
  <si>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</si>
  <si>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</si>
  <si>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</si>
  <si>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</si>
  <si>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</si>
  <si>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</si>
  <si>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</si>
  <si>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</si>
  <si>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</si>
  <si>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</si>
  <si>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2-8</t>
  </si>
  <si>
    <t>22-29</t>
  </si>
  <si>
    <t>39-41</t>
  </si>
  <si>
    <t>46-65</t>
  </si>
  <si>
    <t>34-35</t>
  </si>
  <si>
    <t xml:space="preserve"> 10-21</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</si>
  <si>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</si>
  <si>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</si>
  <si>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</si>
  <si>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</si>
  <si>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</si>
  <si>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</si>
  <si>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</si>
  <si>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</si>
  <si>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</si>
  <si>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</si>
  <si>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</si>
  <si>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</si>
  <si>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</si>
  <si>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</si>
  <si>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</si>
  <si>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</si>
  <si>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</si>
  <si>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</si>
  <si>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</si>
  <si>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</si>
  <si>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</si>
  <si>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</si>
  <si>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</si>
  <si>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</si>
  <si>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</si>
  <si>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</si>
  <si>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</si>
  <si>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</si>
  <si>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</si>
  <si>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</si>
  <si>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</si>
  <si>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</si>
  <si>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</si>
  <si>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</si>
  <si>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</si>
  <si>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</si>
  <si>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</si>
  <si>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</si>
  <si>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</si>
  <si>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</si>
  <si>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</si>
  <si>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</si>
  <si>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</si>
  <si>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</si>
  <si>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</si>
  <si>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</si>
  <si>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</si>
  <si>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</si>
  <si>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</si>
  <si>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</si>
  <si>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</si>
  <si>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</si>
  <si>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</si>
  <si>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</si>
  <si>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</si>
  <si>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</si>
  <si>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</si>
  <si>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</si>
  <si>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</si>
  <si>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</si>
  <si>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</si>
  <si>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 xml:space="preserve">2020 Total - The Company's budget and plant accounting software  </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</si>
  <si>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</si>
  <si>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</si>
  <si>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</si>
  <si>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</si>
  <si>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</si>
  <si>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</si>
  <si>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</si>
  <si>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</si>
  <si>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</si>
  <si>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</si>
  <si>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</si>
  <si>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</si>
  <si>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</si>
  <si>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</si>
  <si>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</si>
  <si>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</si>
  <si>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</si>
  <si>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</si>
  <si>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</si>
  <si>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</si>
  <si>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</si>
  <si>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 xml:space="preserve">Replacing a vintage odorizer with obsolete parts with a new odorizer that performs correctly and can be safely maintained.  Richland </t>
  </si>
  <si>
    <t>Add Customer Billing Correction</t>
  </si>
  <si>
    <t>IDM-7. Column (V), Line 582</t>
  </si>
  <si>
    <t>IDM-7. Column (V), Line 583</t>
  </si>
  <si>
    <t>IDM-7. Column (V), Line 584</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</si>
  <si>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</si>
  <si>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</si>
  <si>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</si>
  <si>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</si>
  <si>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</si>
  <si>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</si>
  <si>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</si>
  <si>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</si>
  <si>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Filed</t>
  </si>
  <si>
    <t>Budgeted 2020</t>
  </si>
  <si>
    <t>UG-200278</t>
  </si>
  <si>
    <t>UG200278</t>
  </si>
  <si>
    <t>ck</t>
  </si>
  <si>
    <t xml:space="preserve">Impact of Staff Data Request 127 </t>
  </si>
  <si>
    <t>Rev. Req. Parameters</t>
  </si>
  <si>
    <t xml:space="preserve">Rev. Req. </t>
  </si>
  <si>
    <t>Pre-Tax</t>
  </si>
  <si>
    <t xml:space="preserve">Adj. </t>
  </si>
  <si>
    <t xml:space="preserve">Net Oper. </t>
  </si>
  <si>
    <t xml:space="preserve">Def. / </t>
  </si>
  <si>
    <t>Revenue Conversion</t>
  </si>
  <si>
    <t>Line</t>
  </si>
  <si>
    <t xml:space="preserve">No. </t>
  </si>
  <si>
    <t>Description</t>
  </si>
  <si>
    <t>Income</t>
  </si>
  <si>
    <t>(Suf.)</t>
  </si>
  <si>
    <t>Tax Rate</t>
  </si>
  <si>
    <t>Per Book Results (Y/E Dec. 2018)</t>
  </si>
  <si>
    <t>Cost of Capital</t>
  </si>
  <si>
    <t>Weighted</t>
  </si>
  <si>
    <t>Restating Adjustments:</t>
  </si>
  <si>
    <t>Component</t>
  </si>
  <si>
    <t>Structure</t>
  </si>
  <si>
    <t>Cost</t>
  </si>
  <si>
    <t>Total Debt</t>
  </si>
  <si>
    <t>Promotional Advertising Adjustment</t>
  </si>
  <si>
    <t>Common</t>
  </si>
  <si>
    <t>Restate Revenue Adjustment</t>
  </si>
  <si>
    <t>Restate End of Period (EOP) Adj.</t>
  </si>
  <si>
    <t xml:space="preserve">Restate Wages </t>
  </si>
  <si>
    <t xml:space="preserve">Executive Incentives </t>
  </si>
  <si>
    <t>Restated Results</t>
  </si>
  <si>
    <t>Pro Forma Adjustments:</t>
  </si>
  <si>
    <t>Interest  Coordination Adjustment</t>
  </si>
  <si>
    <t>Pro Forma Wage Adjustment</t>
  </si>
  <si>
    <t>Pro Forma Results</t>
  </si>
  <si>
    <t>Calculated:</t>
  </si>
  <si>
    <t>Check</t>
  </si>
  <si>
    <t>ROE Impact</t>
  </si>
  <si>
    <t>AWEC Position</t>
  </si>
  <si>
    <t>4.54% Debt</t>
  </si>
  <si>
    <t>Cost of Capital Impacts</t>
  </si>
  <si>
    <t>Capital Structure</t>
  </si>
  <si>
    <t>9.40% ROE</t>
  </si>
  <si>
    <t>AWEC Proposed</t>
  </si>
  <si>
    <t>Oppose</t>
  </si>
  <si>
    <t>Cascade Proposed</t>
  </si>
  <si>
    <t>Cost of Equity</t>
  </si>
  <si>
    <t>Cost of Debt</t>
  </si>
  <si>
    <t>EOP Rate Base</t>
  </si>
  <si>
    <t>UG-190210 Pro Forma Additions</t>
  </si>
  <si>
    <t>Pro Forma Additions Not in Service</t>
  </si>
  <si>
    <t>Blanket Capital Accounts</t>
  </si>
  <si>
    <t>Pro Forma Retirements</t>
  </si>
  <si>
    <t>Removal Costs</t>
  </si>
  <si>
    <t>Affiliate Wages and Salaries</t>
  </si>
  <si>
    <t>Cascade Wage Escalation</t>
  </si>
  <si>
    <t>Director Fees</t>
  </si>
  <si>
    <t>Tax Reform Revenue Normalization</t>
  </si>
  <si>
    <t>Total Adjustments</t>
  </si>
  <si>
    <t>Depreciation Study (Staff DR 127)</t>
  </si>
  <si>
    <t>P-3 (A1)</t>
  </si>
  <si>
    <t>P-3 (A2)</t>
  </si>
  <si>
    <t>P-3 (A3)</t>
  </si>
  <si>
    <t>P-3 (A4)</t>
  </si>
  <si>
    <t>2020 Customer Growth</t>
  </si>
  <si>
    <t>P-3 (CA)</t>
  </si>
  <si>
    <t>P-3 (A6)</t>
  </si>
  <si>
    <t>Retirements</t>
  </si>
  <si>
    <t>Removal Cost</t>
  </si>
  <si>
    <t>Average Depr. Rate</t>
  </si>
  <si>
    <t>Impact of Retirements on Expense</t>
  </si>
  <si>
    <t>Impact of Removal Costs on Expense</t>
  </si>
  <si>
    <t>R-5 (A8)</t>
  </si>
  <si>
    <t>R-5 (A9)</t>
  </si>
  <si>
    <t>A10</t>
  </si>
  <si>
    <t>Affiliate Bonues</t>
  </si>
  <si>
    <t>R-6 (A7)</t>
  </si>
  <si>
    <t>Total WA Executive Incentives + Allocated Incentives</t>
  </si>
  <si>
    <t xml:space="preserve"> Incentives</t>
  </si>
  <si>
    <t xml:space="preserve">Director </t>
  </si>
  <si>
    <t>Fees</t>
  </si>
  <si>
    <t>Propose</t>
  </si>
  <si>
    <t>TCJA Revenues</t>
  </si>
  <si>
    <t>Neutral</t>
  </si>
  <si>
    <t>RoR-1</t>
  </si>
  <si>
    <t>RoR-2</t>
  </si>
  <si>
    <t>RoR-3</t>
  </si>
  <si>
    <t>R3 (A11)</t>
  </si>
  <si>
    <t>Staff DR 127 at AWEC RoR</t>
  </si>
  <si>
    <t>July 24, 2020 Supplement at AWEC RoR</t>
  </si>
  <si>
    <t>Staff Data Request 127 at AWEC RoR</t>
  </si>
  <si>
    <t>Impact of AWEC Adjustments</t>
  </si>
  <si>
    <t>Natural Gas Revenue Requirement Summary ($000)</t>
  </si>
  <si>
    <t>Adjustments:</t>
  </si>
  <si>
    <t>P-3 (A5)</t>
  </si>
  <si>
    <t>Tax Benefit of Interest</t>
  </si>
  <si>
    <t>Depr-1</t>
  </si>
  <si>
    <t>Cascade Results of Operations Summary Sheet</t>
  </si>
  <si>
    <t>WA Debt Ratio</t>
  </si>
  <si>
    <t>WA-Alloc. Debt</t>
  </si>
  <si>
    <t>Total-Company Debt</t>
  </si>
  <si>
    <t>WA CIAC</t>
  </si>
  <si>
    <t>Total WA Accum. Depr.</t>
  </si>
  <si>
    <t>UG-170929</t>
  </si>
  <si>
    <t>Cascade Natrual Gas</t>
  </si>
  <si>
    <t>UG 344</t>
  </si>
  <si>
    <t>Northwest Natural</t>
  </si>
  <si>
    <t>UG 347</t>
  </si>
  <si>
    <t>Cascade Natural Gas</t>
  </si>
  <si>
    <t>UG-181053</t>
  </si>
  <si>
    <t>UG-190210</t>
  </si>
  <si>
    <t>UG-190335</t>
  </si>
  <si>
    <t>Avista Corporation</t>
  </si>
  <si>
    <t>UG 389</t>
  </si>
  <si>
    <t>Avista Cororation</t>
  </si>
  <si>
    <t>UG 390</t>
  </si>
  <si>
    <t>Cascade Naural Gas</t>
  </si>
  <si>
    <t>UG 388</t>
  </si>
  <si>
    <t>ROE</t>
  </si>
  <si>
    <t>Docket</t>
  </si>
  <si>
    <t xml:space="preserve">State </t>
  </si>
  <si>
    <t xml:space="preserve">Utility </t>
  </si>
  <si>
    <t xml:space="preserve">Industrial Meas. &amp; Reg. Station Equipment </t>
  </si>
  <si>
    <t>Meters &amp; Meter Installations</t>
  </si>
  <si>
    <t>Mains - Plastic (Polyethylene)</t>
  </si>
  <si>
    <t>Mains - High Pressure</t>
  </si>
  <si>
    <t xml:space="preserve">Mains - Steel </t>
  </si>
  <si>
    <t>Net Salvage:</t>
  </si>
  <si>
    <t xml:space="preserve"> 45-R2</t>
  </si>
  <si>
    <t xml:space="preserve"> 42-R2</t>
  </si>
  <si>
    <t>Regulators</t>
  </si>
  <si>
    <t xml:space="preserve"> 43-R2</t>
  </si>
  <si>
    <t>35-S4</t>
  </si>
  <si>
    <t>Services - Plastic (Polyethylene)</t>
  </si>
  <si>
    <t>50-R3</t>
  </si>
  <si>
    <t xml:space="preserve"> 45-R4</t>
  </si>
  <si>
    <t>80-R2.5</t>
  </si>
  <si>
    <t xml:space="preserve"> 85-R2.5</t>
  </si>
  <si>
    <t>47-R2.5</t>
  </si>
  <si>
    <t>45-R3.5</t>
  </si>
  <si>
    <t xml:space="preserve">Structures and Improvements </t>
  </si>
  <si>
    <t>Survivor Curves:</t>
  </si>
  <si>
    <t>Settled</t>
  </si>
  <si>
    <t xml:space="preserve">Account </t>
  </si>
  <si>
    <t>Account Name</t>
  </si>
  <si>
    <t xml:space="preserve">Cascade </t>
  </si>
  <si>
    <t>Total Tax Reform Sur-Credit Revenues in Test Period</t>
  </si>
  <si>
    <t>WA Temporary Federal Income Tax Rate Credit</t>
  </si>
  <si>
    <t>WA Unprotected Excess Deferred Income Tax</t>
  </si>
  <si>
    <t>WA Protected-Plus Excess Deferred Income Tax</t>
  </si>
  <si>
    <t>UG-200568</t>
  </si>
  <si>
    <t>WA Rate Base Factor</t>
  </si>
  <si>
    <t>Included in DR 48</t>
  </si>
  <si>
    <t>Revenue Adjustment</t>
  </si>
  <si>
    <t>FP-101413GP BUILDINGS - WALLAWALLA</t>
  </si>
  <si>
    <t>FP-101416GP TOOLS - WALLAWALLA</t>
  </si>
  <si>
    <t>00101 Total</t>
  </si>
  <si>
    <t>00101</t>
  </si>
  <si>
    <t>00100 Total</t>
  </si>
  <si>
    <t>Allocation Split</t>
  </si>
  <si>
    <t>Depr Rate</t>
  </si>
  <si>
    <t>Depreciation Group</t>
  </si>
  <si>
    <t>Allocation Factor</t>
  </si>
  <si>
    <t>Set of Books</t>
  </si>
  <si>
    <t>Total Sum of Depr Provision</t>
  </si>
  <si>
    <t>key</t>
  </si>
  <si>
    <t>New rate</t>
  </si>
  <si>
    <t>Impact of new rate</t>
  </si>
  <si>
    <t xml:space="preserve">Annual </t>
  </si>
  <si>
    <t>Routine Capital Additions</t>
  </si>
  <si>
    <t>5-year</t>
  </si>
  <si>
    <t>delta</t>
  </si>
  <si>
    <t>Affiliate Bonuses / Incetive Norm.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</si>
</sst>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0_);\(&quot;$&quot;#,##0.0000\)"/>
    <numFmt numFmtId="183" formatCode="&quot;$&quot;#,##0.000_);\(&quot;$&quot;#,##0.000\)"/>
    <numFmt numFmtId="184" formatCode="&quot;$&quot;#,##0.00000000_);\(&quot;$&quot;#,##0.00000000\)"/>
    <numFmt numFmtId="185" formatCode="0.00000"/>
    <numFmt numFmtId="186" formatCode="0.0000000%"/>
    <numFmt numFmtId="187" formatCode="_(* #,##0.0000_);_(* \(#,##0.0000\);_(* &quot;-&quot;??_);_(@_)"/>
    <numFmt numFmtId="188" formatCode="#,##0.00000_);\(#,##0.00000\)"/>
    <numFmt numFmtId="189" formatCode="&quot;$&quot;#,##0"/>
    <numFmt numFmtId="190" formatCode="dd\-mmm\-yy_)"/>
    <numFmt numFmtId="191" formatCode="&quot;$&quot;#,##0.00"/>
    <numFmt numFmtId="192" formatCode="#,##0.000000000_);\(#,##0.000000000\)"/>
    <numFmt numFmtId="193" formatCode="#,##0.0000000000_);[Red]\(#,##0.0000000000\)"/>
    <numFmt numFmtId="194" formatCode="0.00000%"/>
    <numFmt numFmtId="195" formatCode="#,##0.0000_);\(#,##0.0000\)"/>
    <numFmt numFmtId="196" formatCode="mmm\-yy_)"/>
    <numFmt numFmtId="197" formatCode="0_)"/>
    <numFmt numFmtId="198" formatCode="#,##0.000000_);\(#,##0.000000\)"/>
    <numFmt numFmtId="199" formatCode="#,##0.0000000"/>
    <numFmt numFmtId="200" formatCode="[$-409]m/d/yy\ h:mm\ AM/PM;@"/>
    <numFmt numFmtId="201" formatCode="0_);\(0\)"/>
    <numFmt numFmtId="202" formatCode="#,##0.0"/>
    <numFmt numFmtId="203" formatCode="#,##0.000"/>
    <numFmt numFmtId="204" formatCode="_(&quot;$&quot;* #,##0_);_(&quot;$&quot;* \(#,##0\);_(&quot;$&quot;* &quot;-&quot;??_);_(@_)"/>
    <numFmt numFmtId="205" formatCode="0.0%"/>
    <numFmt numFmtId="206" formatCode="_(* #,##0.000_);_(* \(#,##0.000\);_(* &quot;-&quot;_);_(@_)"/>
    <numFmt numFmtId="207" formatCode="_(&quot;$&quot;\ #,##0_);_(&quot;$&quot;\ \(#,##0\);_(&quot;$&quot;* &quot;-&quot;??_);_(@_)"/>
  </numFmts>
  <fonts count="1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b/>
      <u/>
      <sz val="12"/>
      <name val="Times New Roman"/>
      <family val="1"/>
    </font>
    <font>
      <u/>
      <sz val="12"/>
      <color theme="1"/>
      <name val="Calibri"/>
      <family val="2"/>
      <scheme val="minor"/>
    </font>
    <font>
      <vertAlign val="superscript"/>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b/>
      <sz val="10"/>
      <name val="Times New Roman"/>
      <family val="1"/>
    </font>
    <font>
      <i/>
      <sz val="10"/>
      <name val="Times New Roman"/>
      <family val="1"/>
    </font>
    <font>
      <i/>
      <u/>
      <sz val="10"/>
      <name val="Times New Roman"/>
      <family val="1"/>
    </font>
    <font>
      <b/>
      <u/>
      <sz val="10"/>
      <name val="Times New Roman"/>
      <family val="1"/>
    </font>
    <font>
      <u/>
      <sz val="10"/>
      <name val="Times New Roman"/>
      <family val="1"/>
    </font>
    <font>
      <b/>
      <i/>
      <sz val="10"/>
      <name val="Times New Roman"/>
      <family val="1"/>
    </font>
    <font>
      <sz val="11"/>
      <color theme="1"/>
      <name val="Times New Roman"/>
      <family val="1"/>
    </font>
    <font>
      <b/>
      <sz val="11"/>
      <color theme="1"/>
      <name val="Times New Roman"/>
      <family val="1"/>
    </font>
    <font>
      <sz val="9"/>
      <color theme="1"/>
      <name val="Times New Roman"/>
      <family val="1"/>
    </font>
    <font>
      <sz val="9"/>
      <name val="Times New Roman"/>
      <family val="1"/>
    </font>
    <font>
      <b/>
      <sz val="16"/>
      <color theme="1"/>
      <name val="Calibri"/>
      <family val="2"/>
      <scheme val="minor"/>
    </font>
  </fonts>
  <fills count="10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indexed="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9389629810485"/>
        <bgColor theme="4" tint="0.79998168889431442"/>
      </patternFill>
    </fill>
    <fill>
      <patternFill patternType="solid">
        <fgColor theme="4" tint="0.79998168889431442"/>
        <bgColor theme="4" tint="0.79998168889431442"/>
      </patternFill>
    </fill>
    <fill>
      <patternFill patternType="solid">
        <fgColor theme="9" tint="0.59999389629810485"/>
        <bgColor indexed="64"/>
      </patternFill>
    </fill>
  </fills>
  <borders count="1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auto="1"/>
      </left>
      <right/>
      <top/>
      <bottom style="thin">
        <color indexed="64"/>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s>
  <cellStyleXfs count="33354">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3"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1" fillId="0" borderId="0"/>
    <xf numFmtId="43" fontId="141"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cellStyleXfs>
  <cellXfs count="1094">
    <xf numFmtId="0" fontId="0" fillId="0" borderId="0" xfId="0"/>
    <xf numFmtId="0" fontId="0" fillId="0" borderId="0" xfId="0" applyBorder="1"/>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5" fillId="0" borderId="0" xfId="0" applyFont="1" applyAlignment="1">
      <alignment horizontal="center"/>
    </xf>
    <xf numFmtId="0" fontId="32" fillId="0" borderId="0" xfId="25295" quotePrefix="1" applyFont="1" applyFill="1" applyBorder="1" applyAlignment="1"/>
    <xf numFmtId="0" fontId="122" fillId="0" borderId="0" xfId="0" applyFont="1" applyFill="1"/>
    <xf numFmtId="0" fontId="125" fillId="0" borderId="0" xfId="0" applyFont="1"/>
    <xf numFmtId="0" fontId="122" fillId="0" borderId="0" xfId="0" applyFont="1" applyFill="1" applyAlignment="1">
      <alignment horizontal="center"/>
    </xf>
    <xf numFmtId="0" fontId="121" fillId="0" borderId="0" xfId="24690" applyFont="1" applyFill="1" applyBorder="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168" fontId="122" fillId="0" borderId="0" xfId="25793" applyNumberFormat="1" applyFont="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0" fontId="121" fillId="0" borderId="0" xfId="1" applyFont="1" applyFill="1" applyBorder="1"/>
    <xf numFmtId="0" fontId="122" fillId="0" borderId="0" xfId="0" applyFont="1" applyFill="1" applyBorder="1"/>
    <xf numFmtId="5" fontId="122" fillId="0" borderId="0" xfId="0" applyNumberFormat="1" applyFont="1"/>
    <xf numFmtId="0" fontId="32" fillId="0" borderId="0" xfId="25455" applyFont="1"/>
    <xf numFmtId="0" fontId="32" fillId="0" borderId="0" xfId="25455" applyFont="1" applyFill="1" applyBorder="1"/>
    <xf numFmtId="10" fontId="122" fillId="0" borderId="55" xfId="0" applyNumberFormat="1" applyFont="1" applyFill="1" applyBorder="1"/>
    <xf numFmtId="189" fontId="122" fillId="0" borderId="0" xfId="0" applyNumberFormat="1" applyFont="1"/>
    <xf numFmtId="0" fontId="32" fillId="0" borderId="35" xfId="25276" applyFont="1" applyBorder="1"/>
    <xf numFmtId="0" fontId="32" fillId="0" borderId="0" xfId="25276" applyFont="1" applyBorder="1"/>
    <xf numFmtId="185"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5" fontId="122" fillId="0" borderId="0" xfId="0" applyNumberFormat="1" applyFont="1"/>
    <xf numFmtId="185" fontId="32" fillId="0" borderId="13" xfId="25276" applyNumberFormat="1" applyFont="1" applyFill="1" applyBorder="1"/>
    <xf numFmtId="185" fontId="32" fillId="0" borderId="52" xfId="25276" applyNumberFormat="1" applyFont="1" applyFill="1" applyBorder="1"/>
    <xf numFmtId="0" fontId="32" fillId="0" borderId="35" xfId="25276" applyFont="1" applyBorder="1" applyAlignment="1">
      <alignment horizontal="left" indent="1"/>
    </xf>
    <xf numFmtId="185" fontId="32" fillId="0" borderId="21" xfId="25276" applyNumberFormat="1" applyFont="1" applyFill="1" applyBorder="1"/>
    <xf numFmtId="185" fontId="121" fillId="0" borderId="51" xfId="25276" applyNumberFormat="1" applyFont="1" applyFill="1" applyBorder="1"/>
    <xf numFmtId="0" fontId="32" fillId="0" borderId="0" xfId="0" applyFont="1" applyBorder="1"/>
    <xf numFmtId="188"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8"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164" fontId="32" fillId="0" borderId="76" xfId="25455" applyNumberFormat="1" applyFont="1" applyBorder="1" applyAlignment="1"/>
    <xf numFmtId="0" fontId="32" fillId="0" borderId="78"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165" fontId="32" fillId="0" borderId="0" xfId="25455" applyNumberFormat="1" applyFont="1" applyBorder="1" applyAlignment="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15" xfId="25455" applyFont="1" applyBorder="1" applyAlignment="1">
      <alignment horizontal="center"/>
    </xf>
    <xf numFmtId="0" fontId="32" fillId="0" borderId="54" xfId="25455" applyFont="1" applyBorder="1"/>
    <xf numFmtId="0" fontId="121" fillId="0" borderId="55" xfId="25455" quotePrefix="1" applyFont="1" applyBorder="1"/>
    <xf numFmtId="0" fontId="32" fillId="0" borderId="56" xfId="25455" applyFont="1" applyBorder="1"/>
    <xf numFmtId="49" fontId="32" fillId="0" borderId="16" xfId="25455" applyNumberFormat="1" applyFont="1" applyFill="1" applyBorder="1" applyAlignment="1">
      <alignment horizontal="center"/>
    </xf>
    <xf numFmtId="0" fontId="32" fillId="0" borderId="55" xfId="25455" applyFont="1" applyBorder="1"/>
    <xf numFmtId="0" fontId="32" fillId="0" borderId="16" xfId="25455" applyFont="1" applyBorder="1"/>
    <xf numFmtId="0" fontId="32" fillId="0" borderId="85" xfId="25455" applyFont="1" applyFill="1" applyBorder="1"/>
    <xf numFmtId="0" fontId="32" fillId="0" borderId="14" xfId="25455" applyFont="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0" fontId="121" fillId="0" borderId="11" xfId="25455" applyFont="1" applyBorder="1"/>
    <xf numFmtId="0" fontId="121" fillId="0" borderId="0" xfId="25455" applyFont="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3"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5" xfId="25455" applyFont="1" applyFill="1" applyBorder="1"/>
    <xf numFmtId="0" fontId="121" fillId="0" borderId="56" xfId="25455" applyFont="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192" fontId="32" fillId="0" borderId="0" xfId="25455" applyNumberFormat="1" applyFont="1" applyFill="1" applyBorder="1"/>
    <xf numFmtId="182" fontId="32" fillId="0" borderId="0" xfId="25455" applyNumberFormat="1" applyFont="1" applyFill="1" applyBorder="1"/>
    <xf numFmtId="37" fontId="32" fillId="0" borderId="0" xfId="25455" applyNumberFormat="1" applyFont="1" applyFill="1" applyBorder="1"/>
    <xf numFmtId="3" fontId="32" fillId="0" borderId="0" xfId="25456" applyNumberFormat="1" applyFont="1" applyFill="1" applyBorder="1"/>
    <xf numFmtId="43" fontId="32" fillId="0" borderId="0" xfId="25456"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121" fillId="0" borderId="0" xfId="25742" applyFont="1" applyFill="1" applyBorder="1" applyAlignment="1">
      <alignment horizontal="center" vertical="center"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43" fontId="32" fillId="0" borderId="75" xfId="2574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3" fontId="32" fillId="0" borderId="15" xfId="25745" applyNumberFormat="1" applyFont="1" applyFill="1" applyBorder="1" applyAlignment="1">
      <alignment horizontal="center"/>
    </xf>
    <xf numFmtId="4" fontId="122" fillId="0" borderId="0" xfId="0" applyNumberFormat="1" applyFont="1"/>
    <xf numFmtId="8"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9" borderId="88" xfId="0" applyFont="1" applyFill="1" applyBorder="1"/>
    <xf numFmtId="0" fontId="122" fillId="89" borderId="0" xfId="0" applyFont="1" applyFill="1" applyBorder="1"/>
    <xf numFmtId="0" fontId="122" fillId="89"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1" borderId="88" xfId="25742" applyNumberFormat="1" applyFont="1" applyFill="1" applyBorder="1"/>
    <xf numFmtId="166" fontId="122" fillId="91" borderId="0" xfId="25742" applyNumberFormat="1" applyFont="1" applyFill="1" applyBorder="1"/>
    <xf numFmtId="166" fontId="122" fillId="91"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3" borderId="88" xfId="25742" applyNumberFormat="1" applyFont="1" applyFill="1" applyBorder="1"/>
    <xf numFmtId="166" fontId="122" fillId="93" borderId="0" xfId="25742" applyNumberFormat="1" applyFont="1" applyFill="1" applyBorder="1"/>
    <xf numFmtId="166" fontId="122" fillId="93" borderId="89" xfId="25742" applyNumberFormat="1" applyFont="1" applyFill="1" applyBorder="1"/>
    <xf numFmtId="0" fontId="122" fillId="93" borderId="88" xfId="0" applyFont="1" applyFill="1" applyBorder="1"/>
    <xf numFmtId="49" fontId="122" fillId="93" borderId="0" xfId="0" applyNumberFormat="1" applyFont="1" applyFill="1" applyBorder="1" applyAlignment="1">
      <alignment horizontal="center"/>
    </xf>
    <xf numFmtId="49" fontId="122" fillId="93" borderId="89" xfId="0" applyNumberFormat="1" applyFont="1" applyFill="1" applyBorder="1" applyAlignment="1">
      <alignment horizontal="center"/>
    </xf>
    <xf numFmtId="166" fontId="122" fillId="87" borderId="88" xfId="25742" applyNumberFormat="1" applyFont="1" applyFill="1" applyBorder="1"/>
    <xf numFmtId="166" fontId="122" fillId="87" borderId="89" xfId="25742" applyNumberFormat="1" applyFont="1" applyFill="1" applyBorder="1"/>
    <xf numFmtId="166" fontId="122" fillId="92"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0" fontId="32" fillId="86" borderId="0" xfId="25292" applyNumberFormat="1" applyFont="1" applyFill="1" applyBorder="1" applyAlignment="1">
      <alignment horizontal="center"/>
    </xf>
    <xf numFmtId="167" fontId="32" fillId="0" borderId="0" xfId="25292" applyNumberFormat="1" applyFont="1" applyBorder="1" applyAlignment="1">
      <alignment horizontal="center"/>
    </xf>
    <xf numFmtId="167" fontId="32" fillId="86" borderId="0" xfId="25292" applyNumberFormat="1" applyFont="1" applyFill="1" applyBorder="1" applyAlignment="1">
      <alignment horizontal="center"/>
    </xf>
    <xf numFmtId="167" fontId="32" fillId="0" borderId="0" xfId="25292" applyNumberFormat="1" applyFont="1" applyBorder="1"/>
    <xf numFmtId="167" fontId="32" fillId="0" borderId="11" xfId="25292" applyNumberFormat="1" applyFont="1" applyBorder="1"/>
    <xf numFmtId="167" fontId="32" fillId="0" borderId="0" xfId="25295" applyNumberFormat="1" applyFont="1" applyFill="1" applyBorder="1" applyAlignment="1">
      <alignment horizontal="center"/>
    </xf>
    <xf numFmtId="191" fontId="122" fillId="0" borderId="0" xfId="0" applyNumberFormat="1" applyFont="1"/>
    <xf numFmtId="10" fontId="32" fillId="0" borderId="19" xfId="25292" applyNumberFormat="1" applyFont="1" applyBorder="1" applyAlignment="1">
      <alignment horizontal="center"/>
    </xf>
    <xf numFmtId="167" fontId="121" fillId="33" borderId="18" xfId="25292" applyNumberFormat="1" applyFont="1" applyFill="1" applyBorder="1"/>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188"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4" fontId="122" fillId="0" borderId="33" xfId="0" applyNumberFormat="1" applyFont="1" applyBorder="1"/>
    <xf numFmtId="44" fontId="122" fillId="0" borderId="0" xfId="25745" applyFont="1" applyFill="1"/>
    <xf numFmtId="0" fontId="131"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0" fontId="130" fillId="0" borderId="0" xfId="0" applyFont="1" applyFill="1" applyAlignment="1">
      <alignment horizontal="center"/>
    </xf>
    <xf numFmtId="49" fontId="32" fillId="0" borderId="0" xfId="0" applyNumberFormat="1"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5"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7"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185"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9"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66" fontId="32" fillId="0" borderId="99" xfId="25456" applyNumberFormat="1" applyFont="1" applyFill="1" applyBorder="1"/>
    <xf numFmtId="0" fontId="124" fillId="0" borderId="0" xfId="0" applyFont="1" applyFill="1" applyAlignment="1">
      <alignment horizontal="center" vertical="center"/>
    </xf>
    <xf numFmtId="14" fontId="122" fillId="0" borderId="0" xfId="0" applyNumberFormat="1" applyFont="1" applyFill="1"/>
    <xf numFmtId="10" fontId="32" fillId="0" borderId="0" xfId="25794" applyNumberFormat="1" applyFont="1" applyFill="1"/>
    <xf numFmtId="14" fontId="122" fillId="0" borderId="0" xfId="25745"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39" fontId="121" fillId="0" borderId="98"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1"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1"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191"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4" borderId="88" xfId="25742" applyNumberFormat="1" applyFont="1" applyFill="1" applyBorder="1"/>
    <xf numFmtId="166" fontId="122" fillId="94" borderId="89" xfId="25742" applyNumberFormat="1" applyFont="1" applyFill="1" applyBorder="1"/>
    <xf numFmtId="166" fontId="122" fillId="92"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7"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7" fontId="122" fillId="0" borderId="0" xfId="0" applyNumberFormat="1" applyFont="1"/>
    <xf numFmtId="43" fontId="122" fillId="0" borderId="85" xfId="0" applyNumberFormat="1" applyFont="1" applyFill="1" applyBorder="1"/>
    <xf numFmtId="44" fontId="0" fillId="0" borderId="0" xfId="25745" applyFont="1"/>
    <xf numFmtId="44" fontId="0" fillId="0" borderId="80" xfId="25745" applyFont="1" applyBorder="1"/>
    <xf numFmtId="44" fontId="0" fillId="0" borderId="80" xfId="0" applyNumberFormat="1" applyBorder="1"/>
    <xf numFmtId="44" fontId="0" fillId="0" borderId="0" xfId="0" applyNumberFormat="1"/>
    <xf numFmtId="37" fontId="18" fillId="0" borderId="0" xfId="25795" applyFont="1" applyFill="1" applyAlignment="1">
      <alignment horizontal="center"/>
    </xf>
    <xf numFmtId="37" fontId="26" fillId="0" borderId="0" xfId="25795" applyFont="1" applyFill="1"/>
    <xf numFmtId="37" fontId="135" fillId="0" borderId="0" xfId="25795" applyFont="1" applyFill="1"/>
    <xf numFmtId="37" fontId="60" fillId="0" borderId="0" xfId="25795" applyFont="1" applyFill="1" applyAlignment="1">
      <alignment horizontal="center"/>
    </xf>
    <xf numFmtId="197" fontId="23" fillId="0" borderId="88" xfId="25795" applyNumberFormat="1" applyFont="1" applyFill="1" applyBorder="1" applyAlignment="1" applyProtection="1">
      <alignment horizontal="centerContinuous"/>
      <protection locked="0"/>
    </xf>
    <xf numFmtId="197" fontId="18" fillId="0" borderId="0" xfId="25795" applyNumberFormat="1" applyFont="1" applyFill="1" applyBorder="1" applyAlignment="1" applyProtection="1">
      <alignment horizontal="centerContinuous"/>
    </xf>
    <xf numFmtId="197"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6"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8"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44" fontId="122" fillId="0" borderId="0" xfId="0" applyNumberFormat="1" applyFont="1" applyFill="1"/>
    <xf numFmtId="194" fontId="122" fillId="0" borderId="0" xfId="0" applyNumberFormat="1" applyFont="1" applyFill="1" applyBorder="1"/>
    <xf numFmtId="189"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9" fontId="122" fillId="0" borderId="56" xfId="0" applyNumberFormat="1" applyFont="1" applyFill="1" applyBorder="1" applyAlignment="1"/>
    <xf numFmtId="0" fontId="121" fillId="0" borderId="0" xfId="24690" applyFont="1" applyFill="1" applyBorder="1" applyAlignment="1">
      <alignment horizontal="center"/>
    </xf>
    <xf numFmtId="3" fontId="127" fillId="0" borderId="0" xfId="0" applyNumberFormat="1" applyFont="1" applyFill="1" applyBorder="1"/>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7" fontId="32" fillId="0" borderId="0" xfId="23895" applyNumberFormat="1" applyFont="1" applyFill="1" applyAlignment="1">
      <alignment horizontal="center"/>
    </xf>
    <xf numFmtId="10" fontId="32" fillId="0" borderId="0" xfId="24219" applyNumberFormat="1" applyFont="1" applyFill="1" applyAlignment="1">
      <alignment horizontal="center"/>
    </xf>
    <xf numFmtId="186" fontId="32" fillId="0" borderId="0" xfId="24219" applyNumberFormat="1" applyFont="1" applyFill="1"/>
    <xf numFmtId="49" fontId="32" fillId="0" borderId="0" xfId="25741"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90" borderId="0" xfId="0" applyNumberFormat="1" applyFont="1" applyFill="1" applyBorder="1"/>
    <xf numFmtId="0" fontId="32" fillId="0" borderId="11" xfId="25455" applyFont="1" applyBorder="1" applyAlignment="1">
      <alignment horizontal="center"/>
    </xf>
    <xf numFmtId="49" fontId="32" fillId="0" borderId="56" xfId="25455" applyNumberFormat="1" applyFont="1" applyBorder="1" applyAlignment="1">
      <alignment horizontal="center"/>
    </xf>
    <xf numFmtId="49" fontId="32" fillId="0" borderId="99" xfId="25455" applyNumberFormat="1" applyFont="1" applyBorder="1" applyAlignment="1">
      <alignment horizontal="center"/>
    </xf>
    <xf numFmtId="49" fontId="32" fillId="0" borderId="99" xfId="25455" applyNumberFormat="1" applyFont="1" applyFill="1" applyBorder="1" applyAlignment="1">
      <alignment horizontal="center"/>
    </xf>
    <xf numFmtId="0" fontId="121" fillId="0" borderId="131" xfId="25455" applyFont="1" applyBorder="1" applyAlignment="1">
      <alignment horizontal="center"/>
    </xf>
    <xf numFmtId="0" fontId="121" fillId="0" borderId="15" xfId="25455" applyFont="1" applyBorder="1" applyAlignment="1">
      <alignment horizontal="center"/>
    </xf>
    <xf numFmtId="0" fontId="32" fillId="0" borderId="99" xfId="25455" applyFont="1" applyBorder="1"/>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8"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9" fillId="0" borderId="85" xfId="0" quotePrefix="1" applyNumberFormat="1" applyFont="1" applyFill="1" applyBorder="1"/>
    <xf numFmtId="17" fontId="139"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9"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4"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90"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201"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3"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37" fontId="32" fillId="0" borderId="14" xfId="25457" applyNumberFormat="1" applyFont="1" applyFill="1" applyBorder="1">
      <alignment horizontal="right"/>
    </xf>
    <xf numFmtId="37" fontId="121" fillId="0" borderId="64" xfId="25457" applyNumberFormat="1" applyFont="1" applyFill="1" applyBorder="1">
      <alignment horizontal="right"/>
    </xf>
    <xf numFmtId="37" fontId="121" fillId="0" borderId="51" xfId="25457" applyNumberFormat="1" applyFont="1" applyFill="1" applyBorder="1">
      <alignment horizontal="right"/>
    </xf>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14" fontId="32" fillId="0" borderId="0" xfId="25794" applyNumberFormat="1" applyFont="1" applyFill="1" applyBorder="1"/>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9"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40" fillId="0" borderId="0" xfId="0" applyNumberFormat="1" applyFont="1" applyFill="1" applyAlignment="1">
      <alignment horizontal="center"/>
    </xf>
    <xf numFmtId="0" fontId="121" fillId="88"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43" fontId="32" fillId="0" borderId="145" xfId="2574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4" fontId="122" fillId="0" borderId="153" xfId="0" applyNumberFormat="1" applyFont="1" applyFill="1" applyBorder="1"/>
    <xf numFmtId="4" fontId="122" fillId="0" borderId="140" xfId="0" applyNumberFormat="1" applyFont="1" applyFill="1" applyBorder="1"/>
    <xf numFmtId="202"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9" fillId="0" borderId="0" xfId="25742" applyNumberFormat="1" applyFont="1" applyFill="1" applyBorder="1"/>
    <xf numFmtId="0" fontId="139"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 fontId="122" fillId="0" borderId="0" xfId="0" applyNumberFormat="1" applyFont="1"/>
    <xf numFmtId="166" fontId="122" fillId="87" borderId="0" xfId="25742" applyNumberFormat="1" applyFont="1" applyFill="1"/>
    <xf numFmtId="166" fontId="122" fillId="94" borderId="0" xfId="25742" applyNumberFormat="1" applyFont="1" applyFill="1"/>
    <xf numFmtId="166" fontId="122" fillId="92"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9" fillId="0" borderId="0" xfId="25742" applyNumberFormat="1" applyFont="1" applyFill="1" applyBorder="1"/>
    <xf numFmtId="43" fontId="139"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90"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9"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9" fillId="0" borderId="0" xfId="25742" applyNumberFormat="1" applyFont="1" applyFill="1" applyAlignment="1">
      <alignment horizontal="center"/>
    </xf>
    <xf numFmtId="43" fontId="139" fillId="0" borderId="0" xfId="25742" applyNumberFormat="1" applyFont="1" applyFill="1" applyAlignment="1">
      <alignment horizontal="center"/>
    </xf>
    <xf numFmtId="166" fontId="139" fillId="0" borderId="0" xfId="25742" applyNumberFormat="1" applyFont="1" applyFill="1" applyBorder="1" applyAlignment="1">
      <alignment horizontal="center"/>
    </xf>
    <xf numFmtId="43" fontId="139"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9"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9"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9" fontId="127" fillId="0" borderId="80" xfId="0" applyNumberFormat="1" applyFont="1" applyFill="1" applyBorder="1"/>
    <xf numFmtId="189" fontId="127" fillId="0" borderId="0" xfId="0" applyNumberFormat="1" applyFont="1" applyFill="1"/>
    <xf numFmtId="43" fontId="121" fillId="0" borderId="96" xfId="25742" applyFont="1" applyFill="1" applyBorder="1" applyAlignment="1">
      <alignment horizontal="center" vertical="center" wrapText="1"/>
    </xf>
    <xf numFmtId="6" fontId="122" fillId="0" borderId="90" xfId="0" applyNumberFormat="1" applyFont="1" applyFill="1" applyBorder="1"/>
    <xf numFmtId="203" fontId="122" fillId="0" borderId="0" xfId="0" applyNumberFormat="1" applyFont="1" applyFill="1"/>
    <xf numFmtId="8" fontId="32" fillId="0" borderId="82" xfId="0" applyNumberFormat="1" applyFont="1" applyFill="1" applyBorder="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40" fillId="0" borderId="0" xfId="0" applyFont="1" applyFill="1"/>
    <xf numFmtId="0" fontId="140"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3" fillId="0" borderId="0" xfId="25793" applyNumberFormat="1" applyFont="1" applyFill="1"/>
    <xf numFmtId="43" fontId="143" fillId="0" borderId="0" xfId="25742" applyFont="1" applyFill="1"/>
    <xf numFmtId="43" fontId="140" fillId="0" borderId="0" xfId="25742" applyFont="1" applyFill="1" applyAlignment="1">
      <alignment horizontal="center"/>
    </xf>
    <xf numFmtId="43" fontId="144" fillId="0" borderId="0" xfId="0" applyNumberFormat="1" applyFont="1" applyFill="1"/>
    <xf numFmtId="0" fontId="0" fillId="0" borderId="0" xfId="0" applyFill="1" applyAlignment="1">
      <alignment horizontal="left"/>
    </xf>
    <xf numFmtId="43" fontId="16" fillId="0" borderId="150" xfId="25766" applyFont="1" applyFill="1" applyBorder="1"/>
    <xf numFmtId="43" fontId="145" fillId="0" borderId="150" xfId="25766" applyFont="1" applyFill="1" applyBorder="1"/>
    <xf numFmtId="43" fontId="143" fillId="0" borderId="150" xfId="25742" applyFont="1" applyFill="1" applyBorder="1"/>
    <xf numFmtId="0" fontId="18" fillId="0" borderId="0" xfId="28781" applyFill="1"/>
    <xf numFmtId="44" fontId="0" fillId="0" borderId="0" xfId="25745"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16" fontId="32" fillId="0" borderId="0" xfId="0" applyNumberFormat="1" applyFont="1" applyFill="1" applyAlignment="1">
      <alignment horizontal="center"/>
    </xf>
    <xf numFmtId="16" fontId="32" fillId="0" borderId="0" xfId="25295" quotePrefix="1" applyNumberFormat="1" applyFont="1" applyFill="1" applyBorder="1" applyAlignment="1"/>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25745" applyNumberFormat="1" applyFont="1"/>
    <xf numFmtId="39" fontId="122" fillId="0" borderId="0" xfId="0" applyNumberFormat="1" applyFont="1"/>
    <xf numFmtId="39" fontId="122" fillId="0" borderId="49" xfId="0" applyNumberFormat="1" applyFont="1" applyBorder="1"/>
    <xf numFmtId="14" fontId="32" fillId="0" borderId="0" xfId="25742" applyNumberFormat="1" applyFont="1" applyFill="1" applyBorder="1"/>
    <xf numFmtId="14" fontId="32" fillId="0" borderId="0" xfId="25750" applyNumberFormat="1" applyFont="1" applyFill="1" applyBorder="1"/>
    <xf numFmtId="14" fontId="121" fillId="0" borderId="0" xfId="25742"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0" fontId="121" fillId="0" borderId="0" xfId="25750" applyFont="1" applyFill="1" applyAlignment="1">
      <alignment horizontal="center" vertical="center" wrapText="1"/>
    </xf>
    <xf numFmtId="14" fontId="121" fillId="0" borderId="0" xfId="25750" applyNumberFormat="1" applyFont="1" applyFill="1" applyAlignment="1">
      <alignment horizontal="center" vertical="center" wrapText="1"/>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3" fontId="122" fillId="0" borderId="159" xfId="25742" applyFont="1" applyFill="1" applyBorder="1"/>
    <xf numFmtId="43" fontId="122" fillId="0" borderId="96" xfId="25742" applyFont="1" applyFill="1" applyBorder="1"/>
    <xf numFmtId="4" fontId="32" fillId="0" borderId="0" xfId="25794" applyNumberFormat="1" applyFont="1" applyFill="1"/>
    <xf numFmtId="0" fontId="122" fillId="0" borderId="0" xfId="0" applyFont="1" applyFill="1" applyAlignment="1">
      <alignment wrapText="1"/>
    </xf>
    <xf numFmtId="205" fontId="32" fillId="86" borderId="0" xfId="25292" applyNumberFormat="1" applyFont="1" applyFill="1" applyBorder="1" applyAlignment="1">
      <alignment horizontal="center"/>
    </xf>
    <xf numFmtId="0" fontId="0" fillId="0" borderId="0" xfId="0" applyAlignment="1">
      <alignment horizontal="left"/>
    </xf>
    <xf numFmtId="39" fontId="122" fillId="0" borderId="0" xfId="0" applyNumberFormat="1" applyFont="1" applyFill="1" applyBorder="1"/>
    <xf numFmtId="10" fontId="0" fillId="0" borderId="0" xfId="25793" applyNumberFormat="1" applyFont="1" applyFill="1"/>
    <xf numFmtId="0" fontId="20" fillId="0" borderId="0" xfId="28781" applyFont="1" applyFill="1" applyBorder="1" applyAlignment="1">
      <alignment horizontal="center"/>
    </xf>
    <xf numFmtId="9" fontId="32" fillId="0" borderId="0" xfId="25793" applyFont="1" applyFill="1" applyBorder="1" applyProtection="1"/>
    <xf numFmtId="5" fontId="121" fillId="0" borderId="15" xfId="25457" applyNumberFormat="1" applyFont="1" applyFill="1" applyBorder="1">
      <alignment horizontal="right"/>
    </xf>
    <xf numFmtId="5" fontId="32" fillId="0" borderId="16" xfId="25457" applyNumberFormat="1" applyFont="1" applyFill="1" applyBorder="1">
      <alignment horizontal="right"/>
    </xf>
    <xf numFmtId="43" fontId="32" fillId="0" borderId="14" xfId="25457" applyNumberFormat="1" applyFont="1" applyFill="1" applyBorder="1">
      <alignment horizontal="right"/>
    </xf>
    <xf numFmtId="41" fontId="32" fillId="0" borderId="14" xfId="25457" applyNumberFormat="1" applyFont="1" applyFill="1" applyBorder="1">
      <alignment horizontal="right"/>
    </xf>
    <xf numFmtId="5" fontId="32" fillId="0" borderId="14" xfId="25456" applyNumberFormat="1" applyFont="1" applyFill="1" applyBorder="1"/>
    <xf numFmtId="182" fontId="32" fillId="0" borderId="14" xfId="25456" applyNumberFormat="1" applyFont="1" applyFill="1" applyBorder="1"/>
    <xf numFmtId="5" fontId="121" fillId="0" borderId="51" xfId="25456" applyNumberFormat="1" applyFont="1" applyFill="1" applyBorder="1"/>
    <xf numFmtId="5" fontId="121" fillId="0" borderId="64" xfId="25456" applyNumberFormat="1" applyFont="1" applyFill="1" applyBorder="1"/>
    <xf numFmtId="5" fontId="32" fillId="0" borderId="16" xfId="25456" applyNumberFormat="1" applyFont="1" applyFill="1" applyBorder="1"/>
    <xf numFmtId="37" fontId="32" fillId="0" borderId="99" xfId="25456" applyNumberFormat="1" applyFont="1" applyFill="1" applyBorder="1"/>
    <xf numFmtId="185" fontId="122" fillId="0" borderId="55" xfId="0" applyNumberFormat="1" applyFont="1" applyFill="1" applyBorder="1"/>
    <xf numFmtId="204" fontId="32" fillId="0" borderId="0" xfId="25745" applyNumberFormat="1" applyFont="1" applyFill="1" applyAlignment="1"/>
    <xf numFmtId="204" fontId="32" fillId="0" borderId="140" xfId="25745" applyNumberFormat="1" applyFont="1" applyFill="1" applyBorder="1" applyAlignment="1"/>
    <xf numFmtId="204" fontId="121" fillId="0" borderId="80" xfId="25745" applyNumberFormat="1" applyFont="1" applyFill="1" applyBorder="1" applyAlignment="1"/>
    <xf numFmtId="39" fontId="122" fillId="0" borderId="49" xfId="0" applyNumberFormat="1" applyFont="1" applyFill="1" applyBorder="1"/>
    <xf numFmtId="39" fontId="122" fillId="0" borderId="79" xfId="25745" applyNumberFormat="1" applyFont="1" applyFill="1" applyBorder="1"/>
    <xf numFmtId="44" fontId="122" fillId="0" borderId="0" xfId="25745" applyFont="1" applyFill="1" applyAlignment="1"/>
    <xf numFmtId="44" fontId="0" fillId="0" borderId="79" xfId="25745" applyNumberFormat="1" applyFont="1" applyFill="1" applyBorder="1"/>
    <xf numFmtId="10" fontId="0" fillId="0" borderId="0" xfId="0" applyNumberFormat="1" applyFill="1"/>
    <xf numFmtId="10" fontId="122" fillId="0" borderId="0" xfId="25793" applyNumberFormat="1" applyFont="1" applyFill="1"/>
    <xf numFmtId="10" fontId="32" fillId="87" borderId="0" xfId="25793" applyNumberFormat="1" applyFont="1" applyFill="1"/>
    <xf numFmtId="10" fontId="122" fillId="87" borderId="0" xfId="25793" applyNumberFormat="1" applyFont="1" applyFill="1"/>
    <xf numFmtId="0" fontId="32" fillId="87" borderId="0" xfId="25794" applyFont="1" applyFill="1"/>
    <xf numFmtId="0" fontId="122" fillId="87" borderId="0" xfId="0" applyFont="1" applyFill="1"/>
    <xf numFmtId="4" fontId="32" fillId="87" borderId="0" xfId="25794" applyNumberFormat="1" applyFont="1" applyFill="1"/>
    <xf numFmtId="0" fontId="122" fillId="87" borderId="0" xfId="0" applyFont="1" applyFill="1" applyAlignment="1">
      <alignment horizontal="center"/>
    </xf>
    <xf numFmtId="0" fontId="32" fillId="87" borderId="0" xfId="25794" applyFont="1" applyFill="1" applyAlignment="1">
      <alignment horizontal="center"/>
    </xf>
    <xf numFmtId="43" fontId="122" fillId="87" borderId="0" xfId="0" applyNumberFormat="1" applyFont="1" applyFill="1"/>
    <xf numFmtId="43" fontId="32" fillId="87" borderId="82" xfId="0" applyNumberFormat="1" applyFont="1" applyFill="1" applyBorder="1"/>
    <xf numFmtId="43" fontId="32" fillId="87" borderId="11" xfId="0" applyNumberFormat="1" applyFont="1" applyFill="1" applyBorder="1"/>
    <xf numFmtId="39" fontId="32" fillId="87" borderId="87" xfId="0" applyNumberFormat="1" applyFont="1" applyFill="1" applyBorder="1"/>
    <xf numFmtId="4" fontId="122" fillId="87" borderId="0" xfId="0" applyNumberFormat="1" applyFont="1" applyFill="1"/>
    <xf numFmtId="43" fontId="32" fillId="87" borderId="87" xfId="0" applyNumberFormat="1" applyFont="1" applyFill="1" applyBorder="1"/>
    <xf numFmtId="10" fontId="143" fillId="87" borderId="0" xfId="25793" applyNumberFormat="1" applyFont="1" applyFill="1"/>
    <xf numFmtId="44" fontId="140" fillId="87" borderId="0" xfId="25745" applyFont="1" applyFill="1"/>
    <xf numFmtId="44" fontId="140" fillId="87" borderId="0" xfId="0" applyNumberFormat="1" applyFont="1" applyFill="1"/>
    <xf numFmtId="43" fontId="143" fillId="87" borderId="150" xfId="25742" applyFont="1" applyFill="1" applyBorder="1"/>
    <xf numFmtId="43" fontId="143" fillId="87" borderId="0" xfId="25742" applyFont="1" applyFill="1"/>
    <xf numFmtId="43" fontId="140" fillId="87" borderId="0" xfId="25742" applyFont="1" applyFill="1" applyAlignment="1">
      <alignment horizontal="center"/>
    </xf>
    <xf numFmtId="43" fontId="0" fillId="87" borderId="0" xfId="0" applyNumberFormat="1" applyFill="1"/>
    <xf numFmtId="43" fontId="144" fillId="87" borderId="0" xfId="0" applyNumberFormat="1" applyFont="1" applyFill="1"/>
    <xf numFmtId="37" fontId="32" fillId="87" borderId="0" xfId="25741" applyFont="1" applyFill="1" applyAlignment="1">
      <alignment horizontal="left"/>
    </xf>
    <xf numFmtId="37" fontId="32" fillId="87" borderId="0" xfId="25741" applyFont="1" applyFill="1" applyAlignment="1">
      <alignment horizontal="center"/>
    </xf>
    <xf numFmtId="37" fontId="121" fillId="87" borderId="79" xfId="25741" applyFont="1" applyFill="1" applyBorder="1" applyAlignment="1">
      <alignment horizontal="center"/>
    </xf>
    <xf numFmtId="0" fontId="146" fillId="0" borderId="0" xfId="25986" applyFont="1"/>
    <xf numFmtId="0" fontId="67" fillId="0" borderId="0" xfId="25986" applyFont="1"/>
    <xf numFmtId="0" fontId="147" fillId="0" borderId="0" xfId="25986" applyFont="1"/>
    <xf numFmtId="0" fontId="67" fillId="0" borderId="0" xfId="25986" applyFont="1" applyAlignment="1">
      <alignment horizontal="center"/>
    </xf>
    <xf numFmtId="0" fontId="147" fillId="0" borderId="132" xfId="25986" applyFont="1" applyBorder="1"/>
    <xf numFmtId="0" fontId="148" fillId="0" borderId="0" xfId="25986" applyFont="1"/>
    <xf numFmtId="0" fontId="67" fillId="0" borderId="85" xfId="25986" applyFont="1" applyBorder="1"/>
    <xf numFmtId="0" fontId="149" fillId="0" borderId="85" xfId="25986" applyFont="1" applyBorder="1"/>
    <xf numFmtId="0" fontId="146" fillId="0" borderId="85" xfId="25986" applyFont="1" applyBorder="1"/>
    <xf numFmtId="0" fontId="150" fillId="0" borderId="85" xfId="25986" applyFont="1" applyBorder="1" applyAlignment="1">
      <alignment horizontal="center"/>
    </xf>
    <xf numFmtId="0" fontId="148" fillId="0" borderId="85" xfId="25986" applyFont="1" applyBorder="1"/>
    <xf numFmtId="0" fontId="147" fillId="0" borderId="85" xfId="25986" applyFont="1" applyBorder="1"/>
    <xf numFmtId="0" fontId="146" fillId="0" borderId="0" xfId="25986" applyFont="1" applyAlignment="1">
      <alignment horizontal="center"/>
    </xf>
    <xf numFmtId="167" fontId="67" fillId="0" borderId="0" xfId="25986" applyNumberFormat="1" applyFont="1"/>
    <xf numFmtId="0" fontId="146" fillId="0" borderId="85" xfId="25986" applyFont="1" applyBorder="1" applyAlignment="1">
      <alignment horizontal="center"/>
    </xf>
    <xf numFmtId="0" fontId="67" fillId="0" borderId="85" xfId="25986" applyFont="1" applyBorder="1" applyAlignment="1">
      <alignment horizontal="center"/>
    </xf>
    <xf numFmtId="9" fontId="67" fillId="0" borderId="0" xfId="25986" applyNumberFormat="1" applyFont="1"/>
    <xf numFmtId="2" fontId="146" fillId="0" borderId="0" xfId="25986" quotePrefix="1" applyNumberFormat="1" applyFont="1"/>
    <xf numFmtId="41" fontId="146" fillId="0" borderId="0" xfId="25986" applyNumberFormat="1" applyFont="1"/>
    <xf numFmtId="5" fontId="146" fillId="0" borderId="0" xfId="25986" applyNumberFormat="1" applyFont="1"/>
    <xf numFmtId="3" fontId="67" fillId="0" borderId="0" xfId="25986" applyNumberFormat="1" applyFont="1"/>
    <xf numFmtId="10" fontId="67" fillId="0" borderId="0" xfId="25986" applyNumberFormat="1" applyFont="1"/>
    <xf numFmtId="2" fontId="67" fillId="0" borderId="0" xfId="25986" applyNumberFormat="1" applyFont="1"/>
    <xf numFmtId="41" fontId="67" fillId="0" borderId="0" xfId="25986" applyNumberFormat="1" applyFont="1"/>
    <xf numFmtId="0" fontId="67" fillId="98" borderId="143" xfId="25986" applyFont="1" applyFill="1" applyBorder="1"/>
    <xf numFmtId="0" fontId="67" fillId="98" borderId="165" xfId="25986" applyFont="1" applyFill="1" applyBorder="1"/>
    <xf numFmtId="0" fontId="67" fillId="98" borderId="133" xfId="25986" applyFont="1" applyFill="1" applyBorder="1"/>
    <xf numFmtId="0" fontId="67" fillId="98" borderId="171" xfId="25986" applyFont="1" applyFill="1" applyBorder="1"/>
    <xf numFmtId="0" fontId="67" fillId="98" borderId="168" xfId="25986" applyFont="1" applyFill="1" applyBorder="1"/>
    <xf numFmtId="0" fontId="67" fillId="98" borderId="172" xfId="25986" applyFont="1" applyFill="1" applyBorder="1"/>
    <xf numFmtId="41" fontId="147" fillId="0" borderId="0" xfId="25986" applyNumberFormat="1" applyFont="1"/>
    <xf numFmtId="0" fontId="67" fillId="98" borderId="132" xfId="25986" applyFont="1" applyFill="1" applyBorder="1"/>
    <xf numFmtId="10" fontId="67" fillId="98" borderId="0" xfId="25986" applyNumberFormat="1" applyFont="1" applyFill="1"/>
    <xf numFmtId="10" fontId="67" fillId="98" borderId="11" xfId="25748" applyNumberFormat="1" applyFont="1" applyFill="1" applyBorder="1"/>
    <xf numFmtId="10" fontId="67" fillId="98" borderId="168" xfId="25986" applyNumberFormat="1" applyFont="1" applyFill="1" applyBorder="1"/>
    <xf numFmtId="10" fontId="67" fillId="98" borderId="172" xfId="25748" applyNumberFormat="1" applyFont="1" applyFill="1" applyBorder="1"/>
    <xf numFmtId="206" fontId="67" fillId="0" borderId="0" xfId="25986" applyNumberFormat="1" applyFont="1"/>
    <xf numFmtId="0" fontId="67" fillId="0" borderId="0" xfId="25986" applyFont="1" applyAlignment="1">
      <alignment horizontal="right"/>
    </xf>
    <xf numFmtId="0" fontId="151" fillId="0" borderId="0" xfId="25986" applyFont="1"/>
    <xf numFmtId="41" fontId="146" fillId="0" borderId="165" xfId="25986" applyNumberFormat="1" applyFont="1" applyBorder="1"/>
    <xf numFmtId="41" fontId="67" fillId="0" borderId="165" xfId="25986" applyNumberFormat="1" applyFont="1" applyBorder="1"/>
    <xf numFmtId="41" fontId="146" fillId="0" borderId="79" xfId="25986" applyNumberFormat="1" applyFont="1" applyBorder="1"/>
    <xf numFmtId="0" fontId="67" fillId="0" borderId="168" xfId="25986" applyFont="1" applyBorder="1" applyAlignment="1">
      <alignment horizontal="center"/>
    </xf>
    <xf numFmtId="41" fontId="67" fillId="0" borderId="0" xfId="25986" applyNumberFormat="1" applyFont="1" applyAlignment="1">
      <alignment horizontal="right"/>
    </xf>
    <xf numFmtId="41" fontId="67" fillId="0" borderId="168" xfId="25986" applyNumberFormat="1" applyFont="1" applyBorder="1"/>
    <xf numFmtId="0" fontId="152" fillId="98" borderId="143" xfId="0" applyFont="1" applyFill="1" applyBorder="1"/>
    <xf numFmtId="0" fontId="152" fillId="98" borderId="165" xfId="0" applyFont="1" applyFill="1" applyBorder="1"/>
    <xf numFmtId="0" fontId="152" fillId="98" borderId="133" xfId="0" applyFont="1" applyFill="1" applyBorder="1"/>
    <xf numFmtId="0" fontId="152" fillId="0" borderId="0" xfId="0" applyFont="1"/>
    <xf numFmtId="0" fontId="152" fillId="98" borderId="132" xfId="0" applyFont="1" applyFill="1" applyBorder="1"/>
    <xf numFmtId="0" fontId="153" fillId="98" borderId="0" xfId="0" applyFont="1" applyFill="1"/>
    <xf numFmtId="0" fontId="152" fillId="98" borderId="11" xfId="0" applyFont="1" applyFill="1" applyBorder="1"/>
    <xf numFmtId="0" fontId="152" fillId="98" borderId="0" xfId="0" applyFont="1" applyFill="1"/>
    <xf numFmtId="0" fontId="122" fillId="98" borderId="0" xfId="0" applyFont="1" applyFill="1"/>
    <xf numFmtId="0" fontId="152" fillId="98" borderId="168" xfId="0" applyFont="1" applyFill="1" applyBorder="1"/>
    <xf numFmtId="0" fontId="152" fillId="98" borderId="171" xfId="0" applyFont="1" applyFill="1" applyBorder="1"/>
    <xf numFmtId="0" fontId="152" fillId="98" borderId="172" xfId="0" applyFont="1" applyFill="1" applyBorder="1"/>
    <xf numFmtId="41" fontId="152" fillId="98" borderId="0" xfId="0" applyNumberFormat="1" applyFont="1" applyFill="1"/>
    <xf numFmtId="41" fontId="152" fillId="0" borderId="0" xfId="0" applyNumberFormat="1" applyFont="1"/>
    <xf numFmtId="0" fontId="32" fillId="99" borderId="0" xfId="25455" applyFont="1" applyFill="1" applyAlignment="1">
      <alignment horizontal="center"/>
    </xf>
    <xf numFmtId="41" fontId="122" fillId="0" borderId="0" xfId="0" applyNumberFormat="1" applyFont="1" applyFill="1" applyAlignment="1"/>
    <xf numFmtId="49" fontId="32" fillId="0" borderId="172" xfId="25455" applyNumberFormat="1" applyFont="1" applyFill="1" applyBorder="1" applyAlignment="1">
      <alignment horizontal="center"/>
    </xf>
    <xf numFmtId="0" fontId="32" fillId="0" borderId="168" xfId="25455" applyFont="1" applyFill="1" applyBorder="1"/>
    <xf numFmtId="0" fontId="152" fillId="98" borderId="0" xfId="0" applyFont="1" applyFill="1" applyBorder="1"/>
    <xf numFmtId="0" fontId="154" fillId="98" borderId="0" xfId="0" applyFont="1" applyFill="1" applyBorder="1"/>
    <xf numFmtId="0" fontId="155" fillId="0" borderId="0" xfId="25986" applyFont="1"/>
    <xf numFmtId="0" fontId="152" fillId="98" borderId="0" xfId="0" applyFont="1" applyFill="1" applyAlignment="1">
      <alignment horizontal="left" indent="1"/>
    </xf>
    <xf numFmtId="2" fontId="43" fillId="98" borderId="0" xfId="25986" applyNumberFormat="1" applyFont="1" applyFill="1" applyAlignment="1">
      <alignment horizontal="left" indent="1"/>
    </xf>
    <xf numFmtId="41" fontId="152" fillId="98" borderId="0" xfId="0" applyNumberFormat="1" applyFont="1" applyFill="1" applyBorder="1"/>
    <xf numFmtId="207" fontId="153" fillId="98" borderId="0" xfId="25745" applyNumberFormat="1" applyFont="1" applyFill="1"/>
    <xf numFmtId="5" fontId="121" fillId="0" borderId="0" xfId="25455" applyNumberFormat="1" applyFont="1" applyFill="1" applyBorder="1"/>
    <xf numFmtId="5" fontId="121" fillId="0" borderId="0" xfId="25457" applyNumberFormat="1" applyFont="1" applyFill="1" applyBorder="1">
      <alignment horizontal="right"/>
    </xf>
    <xf numFmtId="37" fontId="32" fillId="0" borderId="0" xfId="25456" applyNumberFormat="1" applyFont="1" applyFill="1" applyBorder="1"/>
    <xf numFmtId="5" fontId="32" fillId="0" borderId="0" xfId="25457" applyNumberFormat="1" applyFont="1" applyFill="1" applyBorder="1">
      <alignment horizontal="right"/>
    </xf>
    <xf numFmtId="5" fontId="32" fillId="0" borderId="0" xfId="25456" applyNumberFormat="1" applyFont="1" applyFill="1" applyBorder="1"/>
    <xf numFmtId="183" fontId="121" fillId="0" borderId="0" xfId="25457" applyNumberFormat="1" applyFont="1" applyFill="1" applyBorder="1">
      <alignment horizontal="right"/>
    </xf>
    <xf numFmtId="0" fontId="121" fillId="0" borderId="0" xfId="25455" applyFont="1" applyFill="1" applyBorder="1" applyAlignment="1">
      <alignment horizontal="center"/>
    </xf>
    <xf numFmtId="16" fontId="121" fillId="0" borderId="0" xfId="25455" applyNumberFormat="1" applyFont="1" applyFill="1" applyBorder="1" applyAlignment="1">
      <alignment horizontal="center"/>
    </xf>
    <xf numFmtId="5" fontId="122" fillId="0" borderId="0" xfId="0" applyNumberFormat="1" applyFont="1" applyFill="1" applyBorder="1"/>
    <xf numFmtId="0" fontId="122" fillId="98" borderId="0" xfId="0" applyFont="1" applyFill="1" applyAlignment="1">
      <alignment horizontal="center"/>
    </xf>
    <xf numFmtId="0" fontId="152" fillId="98" borderId="85" xfId="0" applyFont="1" applyFill="1" applyBorder="1"/>
    <xf numFmtId="10" fontId="152" fillId="98" borderId="0" xfId="0" applyNumberFormat="1" applyFont="1" applyFill="1"/>
    <xf numFmtId="0" fontId="122" fillId="98" borderId="0" xfId="0" applyFont="1" applyFill="1" applyAlignment="1">
      <alignment horizontal="left" indent="1"/>
    </xf>
    <xf numFmtId="41" fontId="153" fillId="98" borderId="150" xfId="0" applyNumberFormat="1" applyFont="1" applyFill="1" applyBorder="1"/>
    <xf numFmtId="41" fontId="152" fillId="98" borderId="85" xfId="0" applyNumberFormat="1" applyFont="1" applyFill="1" applyBorder="1"/>
    <xf numFmtId="0" fontId="122" fillId="98" borderId="85" xfId="0" applyFont="1" applyFill="1" applyBorder="1" applyAlignment="1">
      <alignment horizontal="center"/>
    </xf>
    <xf numFmtId="0" fontId="152" fillId="98" borderId="0" xfId="0" applyFont="1" applyFill="1" applyAlignment="1">
      <alignment horizontal="center"/>
    </xf>
    <xf numFmtId="10" fontId="152" fillId="0" borderId="0" xfId="0" applyNumberFormat="1" applyFont="1"/>
    <xf numFmtId="14" fontId="152" fillId="0" borderId="0" xfId="0" applyNumberFormat="1" applyFont="1"/>
    <xf numFmtId="10" fontId="152" fillId="98" borderId="14" xfId="0" applyNumberFormat="1" applyFont="1" applyFill="1" applyBorder="1"/>
    <xf numFmtId="14" fontId="152" fillId="98" borderId="14" xfId="0" applyNumberFormat="1" applyFont="1" applyFill="1" applyBorder="1"/>
    <xf numFmtId="0" fontId="152" fillId="98" borderId="14" xfId="0" applyFont="1" applyFill="1" applyBorder="1"/>
    <xf numFmtId="0" fontId="152" fillId="100" borderId="14" xfId="0" applyFont="1" applyFill="1" applyBorder="1"/>
    <xf numFmtId="173" fontId="152" fillId="98" borderId="0" xfId="0" applyNumberFormat="1" applyFont="1" applyFill="1"/>
    <xf numFmtId="0" fontId="152" fillId="98" borderId="0" xfId="0" applyFont="1" applyFill="1" applyAlignment="1">
      <alignment horizontal="right"/>
    </xf>
    <xf numFmtId="0" fontId="153" fillId="98" borderId="85" xfId="0" applyFont="1" applyFill="1" applyBorder="1" applyAlignment="1">
      <alignment horizontal="center" vertical="center"/>
    </xf>
    <xf numFmtId="0" fontId="153" fillId="98" borderId="0" xfId="0" applyFont="1" applyFill="1" applyAlignment="1">
      <alignment horizontal="center" vertical="center"/>
    </xf>
    <xf numFmtId="0" fontId="153" fillId="98" borderId="85" xfId="0" applyFont="1" applyFill="1" applyBorder="1"/>
    <xf numFmtId="0" fontId="0" fillId="98" borderId="172" xfId="0" applyFill="1" applyBorder="1"/>
    <xf numFmtId="0" fontId="0" fillId="98" borderId="85" xfId="0" applyFill="1" applyBorder="1"/>
    <xf numFmtId="0" fontId="0" fillId="98" borderId="171" xfId="0" applyFill="1" applyBorder="1"/>
    <xf numFmtId="0" fontId="0" fillId="98" borderId="11" xfId="0" applyFill="1" applyBorder="1"/>
    <xf numFmtId="41" fontId="43" fillId="98" borderId="0" xfId="0" applyNumberFormat="1" applyFont="1" applyFill="1" applyAlignment="1">
      <alignment horizontal="right"/>
    </xf>
    <xf numFmtId="0" fontId="43" fillId="98" borderId="0" xfId="0" applyFont="1" applyFill="1" applyAlignment="1">
      <alignment horizontal="right"/>
    </xf>
    <xf numFmtId="0" fontId="43" fillId="98" borderId="0" xfId="0" applyFont="1" applyFill="1"/>
    <xf numFmtId="0" fontId="0" fillId="98" borderId="132" xfId="0" applyFill="1" applyBorder="1"/>
    <xf numFmtId="41" fontId="43" fillId="98" borderId="85" xfId="0" applyNumberFormat="1" applyFont="1" applyFill="1" applyBorder="1" applyAlignment="1">
      <alignment horizontal="right"/>
    </xf>
    <xf numFmtId="0" fontId="152" fillId="98" borderId="0" xfId="0" applyFont="1" applyFill="1" applyAlignment="1">
      <alignment horizontal="left" vertical="center"/>
    </xf>
    <xf numFmtId="0" fontId="0" fillId="98" borderId="133" xfId="0" applyFill="1" applyBorder="1"/>
    <xf numFmtId="0" fontId="0" fillId="98" borderId="165" xfId="0" applyFill="1" applyBorder="1"/>
    <xf numFmtId="0" fontId="0" fillId="98" borderId="143" xfId="0" applyFill="1" applyBorder="1"/>
    <xf numFmtId="0" fontId="156" fillId="0" borderId="0" xfId="0" applyFont="1"/>
    <xf numFmtId="0" fontId="0" fillId="98" borderId="0" xfId="0" applyFill="1"/>
    <xf numFmtId="41" fontId="0" fillId="0" borderId="0" xfId="0" applyNumberFormat="1"/>
    <xf numFmtId="0" fontId="0" fillId="0" borderId="0" xfId="0" applyAlignment="1">
      <alignment horizontal="left"/>
    </xf>
    <xf numFmtId="43" fontId="16" fillId="101" borderId="173" xfId="0" applyNumberFormat="1" applyFont="1" applyFill="1" applyBorder="1"/>
    <xf numFmtId="43" fontId="16" fillId="102" borderId="173" xfId="0" applyNumberFormat="1" applyFont="1" applyFill="1" applyBorder="1"/>
    <xf numFmtId="10" fontId="16" fillId="102" borderId="173" xfId="25793" applyNumberFormat="1" applyFont="1" applyFill="1" applyBorder="1"/>
    <xf numFmtId="0" fontId="16" fillId="102" borderId="173" xfId="0" applyFont="1" applyFill="1" applyBorder="1"/>
    <xf numFmtId="43" fontId="16" fillId="103" borderId="0" xfId="0" applyNumberFormat="1" applyFont="1" applyFill="1"/>
    <xf numFmtId="43" fontId="16" fillId="0" borderId="0" xfId="0" applyNumberFormat="1" applyFont="1"/>
    <xf numFmtId="10" fontId="16" fillId="0" borderId="0" xfId="25793" applyNumberFormat="1" applyFont="1"/>
    <xf numFmtId="0" fontId="16" fillId="0" borderId="0" xfId="0" applyFont="1"/>
    <xf numFmtId="43" fontId="0" fillId="103" borderId="0" xfId="0" applyNumberFormat="1" applyFill="1"/>
    <xf numFmtId="43" fontId="0" fillId="0" borderId="0" xfId="0" applyNumberFormat="1"/>
    <xf numFmtId="10" fontId="0" fillId="0" borderId="0" xfId="25793" applyNumberFormat="1" applyFont="1"/>
    <xf numFmtId="10" fontId="0" fillId="0" borderId="0" xfId="0" applyNumberFormat="1"/>
    <xf numFmtId="0" fontId="16" fillId="103" borderId="174" xfId="0" applyFont="1" applyFill="1" applyBorder="1"/>
    <xf numFmtId="0" fontId="16" fillId="102" borderId="174" xfId="0" applyFont="1" applyFill="1" applyBorder="1" applyAlignment="1">
      <alignment horizontal="center"/>
    </xf>
    <xf numFmtId="0" fontId="16" fillId="102" borderId="174" xfId="0" applyFont="1" applyFill="1" applyBorder="1"/>
    <xf numFmtId="10" fontId="16" fillId="102" borderId="174" xfId="25793" applyNumberFormat="1" applyFont="1" applyFill="1" applyBorder="1"/>
    <xf numFmtId="0" fontId="16" fillId="103" borderId="0" xfId="0" applyFont="1" applyFill="1" applyAlignment="1">
      <alignment horizontal="left"/>
    </xf>
    <xf numFmtId="0" fontId="16" fillId="102" borderId="0" xfId="0" applyFont="1" applyFill="1" applyAlignment="1">
      <alignment horizontal="left"/>
    </xf>
    <xf numFmtId="17" fontId="16" fillId="102" borderId="0" xfId="0" applyNumberFormat="1" applyFont="1" applyFill="1" applyAlignment="1">
      <alignment horizontal="left"/>
    </xf>
    <xf numFmtId="10" fontId="16" fillId="102" borderId="0" xfId="25793" applyNumberFormat="1" applyFont="1" applyFill="1" applyAlignment="1">
      <alignment horizontal="left"/>
    </xf>
    <xf numFmtId="0" fontId="16" fillId="102" borderId="0" xfId="0" applyFont="1" applyFill="1" applyBorder="1" applyAlignment="1">
      <alignment horizontal="center"/>
    </xf>
    <xf numFmtId="168" fontId="0" fillId="0" borderId="0" xfId="0" applyNumberFormat="1"/>
    <xf numFmtId="166" fontId="0" fillId="0" borderId="0" xfId="25742" applyNumberFormat="1" applyFont="1"/>
    <xf numFmtId="166" fontId="0" fillId="0" borderId="0" xfId="0" applyNumberFormat="1"/>
    <xf numFmtId="41" fontId="32" fillId="0" borderId="132" xfId="3" applyNumberFormat="1" applyFont="1" applyFill="1" applyBorder="1" applyProtection="1">
      <alignment horizontal="right"/>
    </xf>
    <xf numFmtId="41" fontId="32" fillId="0" borderId="11" xfId="1" applyNumberFormat="1" applyFont="1" applyFill="1" applyBorder="1"/>
    <xf numFmtId="41" fontId="32" fillId="0" borderId="0" xfId="2" applyNumberFormat="1" applyFont="1" applyFill="1" applyBorder="1"/>
    <xf numFmtId="41" fontId="32" fillId="0" borderId="0" xfId="3" applyNumberFormat="1" applyFont="1" applyFill="1" applyBorder="1">
      <alignment horizontal="right"/>
    </xf>
    <xf numFmtId="41" fontId="32" fillId="0" borderId="11" xfId="3" applyNumberFormat="1" applyFont="1" applyFill="1" applyBorder="1">
      <alignment horizontal="right"/>
    </xf>
    <xf numFmtId="41" fontId="32" fillId="0" borderId="132" xfId="2" applyNumberFormat="1" applyFont="1" applyFill="1" applyBorder="1" applyProtection="1"/>
    <xf numFmtId="41" fontId="32" fillId="0" borderId="153" xfId="2" applyNumberFormat="1" applyFont="1" applyFill="1" applyBorder="1" applyProtection="1"/>
    <xf numFmtId="41" fontId="32" fillId="0" borderId="33" xfId="2" applyNumberFormat="1" applyFont="1" applyFill="1" applyBorder="1" applyProtection="1"/>
    <xf numFmtId="41" fontId="32" fillId="0" borderId="0" xfId="2" applyNumberFormat="1" applyFont="1" applyFill="1" applyBorder="1" applyProtection="1"/>
    <xf numFmtId="41" fontId="32" fillId="0" borderId="34" xfId="2" applyNumberFormat="1" applyFont="1" applyFill="1" applyBorder="1" applyProtection="1"/>
    <xf numFmtId="41" fontId="32" fillId="0" borderId="11" xfId="2" applyNumberFormat="1" applyFont="1" applyFill="1" applyBorder="1" applyProtection="1"/>
    <xf numFmtId="41" fontId="32" fillId="0" borderId="15" xfId="3" applyNumberFormat="1" applyFont="1" applyFill="1" applyBorder="1">
      <alignment horizontal="right"/>
    </xf>
    <xf numFmtId="41" fontId="122" fillId="0" borderId="132" xfId="0" applyNumberFormat="1" applyFont="1" applyFill="1" applyBorder="1"/>
    <xf numFmtId="41" fontId="32" fillId="0" borderId="84" xfId="3" applyNumberFormat="1" applyFont="1" applyFill="1" applyBorder="1">
      <alignment horizontal="right"/>
    </xf>
    <xf numFmtId="41" fontId="32" fillId="0" borderId="79" xfId="3" applyNumberFormat="1" applyFont="1" applyFill="1" applyBorder="1">
      <alignment horizontal="right"/>
    </xf>
    <xf numFmtId="41" fontId="32" fillId="0" borderId="83" xfId="3" applyNumberFormat="1" applyFont="1" applyFill="1" applyBorder="1">
      <alignment horizontal="right"/>
    </xf>
    <xf numFmtId="41" fontId="32" fillId="0" borderId="132" xfId="3" applyNumberFormat="1" applyFont="1" applyFill="1" applyBorder="1">
      <alignment horizontal="right"/>
    </xf>
    <xf numFmtId="41" fontId="32" fillId="0" borderId="132" xfId="2" applyNumberFormat="1" applyFont="1" applyFill="1" applyBorder="1"/>
    <xf numFmtId="41" fontId="32" fillId="0" borderId="11" xfId="2" applyNumberFormat="1" applyFont="1" applyFill="1" applyBorder="1"/>
    <xf numFmtId="41" fontId="32" fillId="0" borderId="18" xfId="3" applyNumberFormat="1" applyFont="1" applyFill="1" applyBorder="1">
      <alignment horizontal="right"/>
    </xf>
    <xf numFmtId="41" fontId="32" fillId="0" borderId="132" xfId="4" applyNumberFormat="1" applyFont="1" applyFill="1" applyBorder="1"/>
    <xf numFmtId="41" fontId="32" fillId="0" borderId="0" xfId="1" applyNumberFormat="1" applyFont="1" applyFill="1" applyBorder="1"/>
    <xf numFmtId="41" fontId="32" fillId="0" borderId="0" xfId="4" applyNumberFormat="1" applyFont="1" applyFill="1" applyBorder="1"/>
    <xf numFmtId="41" fontId="32" fillId="0" borderId="11" xfId="4" applyNumberFormat="1" applyFont="1" applyFill="1" applyBorder="1"/>
    <xf numFmtId="5" fontId="122" fillId="0" borderId="0" xfId="0" applyNumberFormat="1" applyFont="1" applyFill="1"/>
    <xf numFmtId="189" fontId="122" fillId="0" borderId="55" xfId="0" applyNumberFormat="1" applyFont="1" applyFill="1" applyBorder="1"/>
    <xf numFmtId="189" fontId="124" fillId="0" borderId="79" xfId="0" applyNumberFormat="1" applyFont="1" applyFill="1" applyBorder="1"/>
    <xf numFmtId="167" fontId="124" fillId="0" borderId="0" xfId="0" applyNumberFormat="1" applyFont="1" applyFill="1"/>
    <xf numFmtId="41" fontId="32" fillId="0" borderId="14" xfId="25456" applyNumberFormat="1" applyFont="1" applyFill="1" applyBorder="1"/>
    <xf numFmtId="206" fontId="146" fillId="0" borderId="79" xfId="25986" applyNumberFormat="1" applyFont="1" applyBorder="1"/>
    <xf numFmtId="2" fontId="43" fillId="99" borderId="0" xfId="25986" applyNumberFormat="1" applyFont="1" applyFill="1" applyAlignment="1">
      <alignment horizontal="left" indent="1"/>
    </xf>
    <xf numFmtId="0" fontId="152" fillId="99" borderId="0" xfId="0" applyFont="1" applyFill="1"/>
    <xf numFmtId="41" fontId="152" fillId="99" borderId="0" xfId="0" applyNumberFormat="1" applyFont="1" applyFill="1"/>
    <xf numFmtId="0" fontId="0" fillId="99" borderId="0" xfId="0" applyFill="1"/>
    <xf numFmtId="41" fontId="0" fillId="99" borderId="0" xfId="0" applyNumberFormat="1" applyFill="1"/>
    <xf numFmtId="0" fontId="156" fillId="97" borderId="131" xfId="0" applyFont="1" applyFill="1" applyBorder="1" applyAlignment="1">
      <alignment horizontal="center" vertical="center" textRotation="90"/>
    </xf>
    <xf numFmtId="0" fontId="156" fillId="97" borderId="15" xfId="0" applyFont="1" applyFill="1" applyBorder="1" applyAlignment="1">
      <alignment horizontal="center" vertical="center" textRotation="90"/>
    </xf>
    <xf numFmtId="0" fontId="156" fillId="97" borderId="169" xfId="0" applyFont="1" applyFill="1" applyBorder="1" applyAlignment="1">
      <alignment horizontal="center" vertical="center" textRotation="90"/>
    </xf>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0" borderId="0"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4" fillId="0" borderId="0" xfId="0" applyFont="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96" borderId="0" xfId="0" applyFont="1" applyFill="1" applyAlignment="1">
      <alignment horizontal="center" wrapText="1"/>
    </xf>
    <xf numFmtId="0" fontId="136" fillId="95" borderId="91" xfId="0" applyFont="1" applyFill="1" applyBorder="1" applyAlignment="1">
      <alignment horizontal="center" vertical="center" wrapText="1"/>
    </xf>
    <xf numFmtId="0" fontId="136" fillId="95" borderId="92" xfId="0" applyFont="1" applyFill="1" applyBorder="1" applyAlignment="1">
      <alignment horizontal="center" vertical="center" wrapText="1"/>
    </xf>
    <xf numFmtId="0" fontId="136" fillId="95" borderId="93" xfId="0" applyFont="1" applyFill="1" applyBorder="1" applyAlignment="1">
      <alignment horizontal="center" vertical="center" wrapText="1"/>
    </xf>
    <xf numFmtId="0" fontId="136" fillId="95" borderId="88" xfId="0" applyFont="1" applyFill="1" applyBorder="1" applyAlignment="1">
      <alignment horizontal="center" vertical="center" wrapText="1"/>
    </xf>
    <xf numFmtId="0" fontId="136" fillId="95" borderId="0" xfId="0" applyFont="1" applyFill="1" applyBorder="1" applyAlignment="1">
      <alignment horizontal="center" vertical="center" wrapText="1"/>
    </xf>
    <xf numFmtId="0" fontId="136" fillId="95"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6" fillId="0" borderId="91" xfId="0" applyFont="1" applyBorder="1" applyAlignment="1">
      <alignment horizontal="center" vertical="center" wrapText="1"/>
    </xf>
    <xf numFmtId="0" fontId="136" fillId="0" borderId="92" xfId="0" applyFont="1" applyBorder="1" applyAlignment="1">
      <alignment horizontal="center" vertical="center" wrapText="1"/>
    </xf>
    <xf numFmtId="0" fontId="136" fillId="0" borderId="93" xfId="0" applyFont="1" applyBorder="1" applyAlignment="1">
      <alignment horizontal="center" vertical="center" wrapText="1"/>
    </xf>
    <xf numFmtId="0" fontId="136" fillId="0" borderId="88" xfId="0" applyFont="1" applyBorder="1" applyAlignment="1">
      <alignment horizontal="center" vertical="center" wrapText="1"/>
    </xf>
    <xf numFmtId="0" fontId="136" fillId="0" borderId="0" xfId="0" applyFont="1" applyBorder="1" applyAlignment="1">
      <alignment horizontal="center" vertical="center" wrapText="1"/>
    </xf>
    <xf numFmtId="0" fontId="136" fillId="0" borderId="89" xfId="0" applyFont="1" applyBorder="1" applyAlignment="1">
      <alignment horizontal="center" vertical="center" wrapText="1"/>
    </xf>
    <xf numFmtId="0" fontId="136" fillId="0" borderId="94" xfId="0" applyFont="1" applyBorder="1" applyAlignment="1">
      <alignment horizontal="center" vertical="center" wrapText="1"/>
    </xf>
    <xf numFmtId="0" fontId="136" fillId="0" borderId="49" xfId="0" applyFont="1" applyBorder="1" applyAlignment="1">
      <alignment horizontal="center" vertical="center" wrapText="1"/>
    </xf>
    <xf numFmtId="0" fontId="136"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33" borderId="0" xfId="0" applyFont="1" applyFill="1" applyBorder="1" applyAlignment="1">
      <alignment horizontal="right"/>
    </xf>
    <xf numFmtId="0" fontId="122" fillId="33" borderId="89" xfId="0" applyFont="1" applyFill="1" applyBorder="1" applyAlignment="1">
      <alignment horizontal="right"/>
    </xf>
    <xf numFmtId="49" fontId="121" fillId="0" borderId="0" xfId="25293" applyNumberFormat="1" applyFont="1" applyFill="1" applyBorder="1" applyAlignment="1">
      <alignment horizont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22" fillId="0" borderId="0" xfId="0" applyFont="1" applyBorder="1" applyAlignment="1">
      <alignment horizontal="left"/>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1" fillId="88" borderId="0" xfId="24690" applyFont="1" applyFill="1" applyBorder="1" applyAlignment="1">
      <alignment horizontal="center"/>
    </xf>
    <xf numFmtId="0" fontId="122" fillId="0" borderId="0" xfId="0" applyFont="1" applyFill="1" applyBorder="1" applyAlignment="1">
      <alignment horizontal="center"/>
    </xf>
    <xf numFmtId="0" fontId="121" fillId="97" borderId="0" xfId="24690" applyFont="1" applyFill="1" applyBorder="1" applyAlignment="1">
      <alignment horizontal="center"/>
    </xf>
    <xf numFmtId="0" fontId="57" fillId="0" borderId="0" xfId="0" applyFont="1" applyFill="1" applyAlignment="1">
      <alignment horizontal="left" wrapText="1"/>
    </xf>
  </cellXfs>
  <cellStyles count="33354">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s>
  <dxfs count="0"/>
  <tableStyles count="0" defaultTableStyle="TableStyleMedium2" defaultPivotStyle="PivotStyleLight16"/>
  <colors>
    <mruColors>
      <color rgb="FF8DC9C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xdr:col>
      <xdr:colOff>56029</xdr:colOff>
      <xdr:row>4</xdr:row>
      <xdr:rowOff>33618</xdr:rowOff>
    </xdr:from>
    <xdr:ext cx="5747216" cy="3384176"/>
    <xdr:pic>
      <xdr:nvPicPr>
        <xdr:cNvPr id="2" name="Picture 1">
          <a:extLst>
            <a:ext uri="{FF2B5EF4-FFF2-40B4-BE49-F238E27FC236}">
              <a16:creationId xmlns:a16="http://schemas.microsoft.com/office/drawing/2014/main" id="{97723D6A-669A-4470-A467-04299678D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5229" y="795618"/>
          <a:ext cx="5747216" cy="3384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31097</xdr:colOff>
      <xdr:row>22</xdr:row>
      <xdr:rowOff>32524</xdr:rowOff>
    </xdr:from>
    <xdr:ext cx="5757755" cy="3393130"/>
    <xdr:pic>
      <xdr:nvPicPr>
        <xdr:cNvPr id="3" name="Picture 2">
          <a:extLst>
            <a:ext uri="{FF2B5EF4-FFF2-40B4-BE49-F238E27FC236}">
              <a16:creationId xmlns:a16="http://schemas.microsoft.com/office/drawing/2014/main" id="{0F7791F1-D118-41EA-AB11-BC112C9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0297" y="4223524"/>
          <a:ext cx="5757755" cy="339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NEW-PSE-WP-SEF-4.00E-ELECTRIC-MODEL-19GRC-06-2019%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rk/15_cng/CA07%20-%20UG-200568/dir/exh/Exh%20BGM-6%20Pro%20Forma%20Capi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23NEW-PSE-WP-SEF-4.00G-GAS-MODEL-19GRC-06-2019%20-%20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rk/22_pse/3022-64%20UE-190529/3022-64%20UE-190529/br/Mullins%20Exh%20BGM-9%20-%20Electric%20Rev%20Req.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rpRevnu\PUBLIC\%23%202019%20GRC\Attrition%20Change\190529-30-PSE-WP-SEF-4.00E-ELECTRIC-MODEL-19GRC-09-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rk/22_pse/3022-64%20UE-190529/3022-64%20UE-190529/br/Mullins%20Exh%20BGM-10%20-%20Natural%20Gas%20Rev%20Re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wrk\30_ava\3046-8%20-%20UE-160228%202016%20GRC\disc\BR1\Attachment%20Bench%20Request%201\Exhibit%20No.%20BGM-13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rad\Desktop\avista\3046-9%20-%202018%20GRC\dir\_wps\_fnl\UE-170485%20-%20UG-170486_Exh%20BGM-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rk/15_cng/CA07%20-%20UG-200568/dir/exh/Exh%20BGM-4%20-%20Cost%20of%20Deb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Summary"/>
      <sheetName val="Detailed Summary"/>
      <sheetName val="COC-Restating"/>
      <sheetName val="Common Adj"/>
      <sheetName val="Electric Adj"/>
      <sheetName val="Named Ranges"/>
      <sheetName val="ETR GRC vs CBR TBPI 100%"/>
      <sheetName val="ETR GRC vs CBR"/>
      <sheetName val="ETR"/>
      <sheetName val="Check ETR"/>
      <sheetName val="Dirty only==&gt;"/>
      <sheetName val="FIT Plug Temp Adj"/>
      <sheetName val="Verify"/>
      <sheetName val="ARAM"/>
      <sheetName val="Matrix"/>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UE-__________</v>
          </cell>
        </row>
        <row r="8">
          <cell r="C8" t="str">
            <v>PUGET SOUND ENERGY - ELECTRIC</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BGM-6"/>
      <sheetName val="MCP-6 - 2020 Plant Additions"/>
      <sheetName val="MCP-6 - 2020 Plant Addi (Depr )"/>
      <sheetName val="MCP-6 - 2019 Plant Additions"/>
      <sheetName val="Pro Forma Plant Additions (CA)"/>
      <sheetName val="Pro Forma Plant Additions (A1)"/>
      <sheetName val="Pro Forma Plant Additions (A2)"/>
      <sheetName val="Pro Forma Plant Additions (A3)"/>
    </sheetNames>
    <sheetDataSet>
      <sheetData sheetId="0"/>
      <sheetData sheetId="1"/>
      <sheetData sheetId="2">
        <row r="222">
          <cell r="K222">
            <v>4.3000427423046883E-2</v>
          </cell>
        </row>
      </sheetData>
      <sheetData sheetId="3"/>
      <sheetData sheetId="4"/>
      <sheetData sheetId="5">
        <row r="18">
          <cell r="J18">
            <v>-1480314.251811529</v>
          </cell>
        </row>
        <row r="25">
          <cell r="H25">
            <v>-26761017.637089193</v>
          </cell>
        </row>
      </sheetData>
      <sheetData sheetId="6">
        <row r="18">
          <cell r="J18">
            <v>-238330.72809787869</v>
          </cell>
        </row>
        <row r="25">
          <cell r="H25">
            <v>-5425703.9612515941</v>
          </cell>
        </row>
      </sheetData>
      <sheetData sheetId="7">
        <row r="9">
          <cell r="E9">
            <v>7118539.0799999908</v>
          </cell>
        </row>
        <row r="18">
          <cell r="E18">
            <v>740496.80555199902</v>
          </cell>
          <cell r="J18">
            <v>-1066608.1311668484</v>
          </cell>
        </row>
        <row r="25">
          <cell r="H25">
            <v>-25737795.735607043</v>
          </cell>
        </row>
        <row r="27">
          <cell r="E27">
            <v>1281027.22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CA"/>
      <sheetName val="Exh. No. BGM-9 (1)"/>
      <sheetName val="Exh. No. BGM-9 (1A)"/>
      <sheetName val="BGM-9 (2) Detailed Summary"/>
      <sheetName val="BGM-9 (4) Electric Adj"/>
      <sheetName val="BGM-9 (3) Common Adj"/>
      <sheetName val="DR 046"/>
      <sheetName val="Impacts"/>
      <sheetName val="Rllfwd"/>
      <sheetName val="COC, Def, ConvF"/>
      <sheetName val="Summary"/>
      <sheetName val="COC-Restating"/>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v>0.21</v>
          </cell>
        </row>
        <row r="4">
          <cell r="C4" t="str">
            <v>2019 GENERAL RATE CASE</v>
          </cell>
        </row>
        <row r="5">
          <cell r="C5" t="str">
            <v>12 MONTHS ENDED DECEMBER 31, 2018</v>
          </cell>
        </row>
        <row r="6">
          <cell r="C6" t="str">
            <v>UE-190529</v>
          </cell>
        </row>
        <row r="8">
          <cell r="C8" t="str">
            <v>PUGET SOUND ENERGY - ELECTRIC -AWEC CROSS ANSWERING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3R"/>
      <sheetName val="Exh. No. BGM-13R -2"/>
      <sheetName val="Exh. No. BGM-13R -3"/>
      <sheetName val="Exh. No. BGM-13R -4"/>
      <sheetName val="Exh. No. BGM-13R -5"/>
      <sheetName val="DEBT CALC"/>
      <sheetName val="LEAD SHEETS-DO NOT ENTER"/>
      <sheetName val="ADJ SUMMARY"/>
      <sheetName val="ROO INPUT"/>
      <sheetName val="COMPARISON"/>
    </sheetNames>
    <sheetDataSet>
      <sheetData sheetId="0">
        <row r="25">
          <cell r="W25">
            <v>330.47300000000001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3 2"/>
      <sheetName val="Exh. No. BGM-3 3"/>
      <sheetName val="Exh. No. BGM-3 4"/>
      <sheetName val="Acerno_Cache_XXXXX"/>
      <sheetName val="Workpapers-&gt;"/>
      <sheetName val="ADJ SUMMARY"/>
      <sheetName val="LEAD SHEETS-DO NOT ENTER"/>
      <sheetName val="ROO INPUT"/>
      <sheetName val="DEBT CALC"/>
      <sheetName val="COMPARISON"/>
      <sheetName val="PROPOSED RATES-2018-NOT USED"/>
      <sheetName val="RETAIL REVENUE CREDIT-not used"/>
      <sheetName val="PROPOSED RATES-2019-not used"/>
    </sheetNames>
    <sheetDataSet>
      <sheetData sheetId="0">
        <row r="24">
          <cell r="E24">
            <v>196.52699999999999</v>
          </cell>
        </row>
      </sheetData>
      <sheetData sheetId="1">
        <row r="24">
          <cell r="E24">
            <v>0.61941299999999999</v>
          </cell>
        </row>
      </sheetData>
      <sheetData sheetId="2">
        <row r="7">
          <cell r="F7" t="str">
            <v xml:space="preserve">Deferred </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C-55"/>
      <sheetName val="AWEC-26"/>
    </sheetNames>
    <sheetDataSet>
      <sheetData sheetId="0">
        <row r="13">
          <cell r="D13">
            <v>20000000</v>
          </cell>
          <cell r="E13">
            <v>15000000</v>
          </cell>
          <cell r="F13">
            <v>40000000</v>
          </cell>
          <cell r="G13">
            <v>25000000</v>
          </cell>
          <cell r="H13">
            <v>25000000</v>
          </cell>
          <cell r="I13">
            <v>12500000</v>
          </cell>
          <cell r="J13">
            <v>12500000</v>
          </cell>
          <cell r="K13">
            <v>12500000</v>
          </cell>
          <cell r="L13">
            <v>12500000</v>
          </cell>
          <cell r="M13">
            <v>25000000</v>
          </cell>
          <cell r="N13">
            <v>20000000</v>
          </cell>
          <cell r="O13">
            <v>30000000</v>
          </cell>
          <cell r="P13">
            <v>30000000</v>
          </cell>
          <cell r="Q13">
            <v>20000000</v>
          </cell>
          <cell r="R13">
            <v>25000000</v>
          </cell>
        </row>
        <row r="19">
          <cell r="T19">
            <v>4.5404544820512822E-2</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C0CD-B003-4261-89CD-AC8BAD8EC4D3}">
  <dimension ref="B2:Q29"/>
  <sheetViews>
    <sheetView tabSelected="1" zoomScale="115" zoomScaleNormal="115" workbookViewId="0"/>
  </sheetViews>
  <sheetFormatPr defaultRowHeight="15"/>
  <cols>
    <col min="1" max="1" width="2.7109375" style="892" customWidth="1"/>
    <col min="2" max="3" width="3.140625" style="892" customWidth="1"/>
    <col min="4" max="4" width="6.85546875" style="892" customWidth="1"/>
    <col min="5" max="5" width="10.7109375" style="892" customWidth="1"/>
    <col min="6" max="6" width="32.5703125" style="892" bestFit="1" customWidth="1"/>
    <col min="7" max="7" width="3.140625" style="892" customWidth="1"/>
    <col min="8" max="8" width="18.140625" style="892" bestFit="1" customWidth="1"/>
    <col min="9" max="9" width="3.140625" style="892" customWidth="1"/>
    <col min="10" max="14" width="9.140625" style="892"/>
    <col min="15" max="15" width="11" style="892" bestFit="1" customWidth="1"/>
    <col min="16" max="16" width="9.140625" style="892"/>
    <col min="17" max="17" width="18.42578125" style="892" customWidth="1"/>
    <col min="18" max="16384" width="9.140625" style="892"/>
  </cols>
  <sheetData>
    <row r="2" spans="2:15">
      <c r="B2" s="889"/>
      <c r="C2" s="890"/>
      <c r="D2" s="890"/>
      <c r="E2" s="890"/>
      <c r="F2" s="890"/>
      <c r="G2" s="890"/>
      <c r="H2" s="890"/>
      <c r="I2" s="891"/>
    </row>
    <row r="3" spans="2:15">
      <c r="B3" s="893"/>
      <c r="C3" s="908">
        <v>1</v>
      </c>
      <c r="D3" s="907"/>
      <c r="E3" s="894" t="s">
        <v>2524</v>
      </c>
      <c r="F3" s="894"/>
      <c r="G3" s="894"/>
      <c r="H3" s="913">
        <v>14281139.401334135</v>
      </c>
      <c r="I3" s="895"/>
    </row>
    <row r="4" spans="2:15">
      <c r="B4" s="893"/>
      <c r="C4" s="908"/>
      <c r="D4" s="907"/>
      <c r="E4" s="896"/>
      <c r="F4" s="896"/>
      <c r="G4" s="896"/>
      <c r="H4" s="896"/>
      <c r="I4" s="895"/>
    </row>
    <row r="5" spans="2:15">
      <c r="B5" s="893"/>
      <c r="C5" s="909">
        <f ca="1">+MAX(OFFSET($C$3,0,0,ROW($C5)-ROW($C$3),1))+1</f>
        <v>2</v>
      </c>
      <c r="D5" s="907"/>
      <c r="E5" s="894" t="s">
        <v>2572</v>
      </c>
      <c r="F5" s="896"/>
      <c r="G5" s="896"/>
      <c r="H5" s="896"/>
      <c r="I5" s="895"/>
    </row>
    <row r="6" spans="2:15">
      <c r="B6" s="893"/>
      <c r="C6" s="908">
        <f t="shared" ref="C6:C26" ca="1" si="0">+MAX(OFFSET($C$3,0,0,ROW($C6)-ROW($C$3),1))+1</f>
        <v>3</v>
      </c>
      <c r="D6" s="907"/>
      <c r="E6" s="910" t="s">
        <v>2563</v>
      </c>
      <c r="F6" s="896" t="s">
        <v>2525</v>
      </c>
      <c r="G6" s="896"/>
      <c r="H6" s="901">
        <f>+M6*1000</f>
        <v>-2764542.7436790527</v>
      </c>
      <c r="I6" s="895"/>
      <c r="M6" s="902">
        <f>+'Exh. No. BGM-3 (2)'!M32</f>
        <v>-2764.5427436790528</v>
      </c>
    </row>
    <row r="7" spans="2:15">
      <c r="B7" s="893"/>
      <c r="C7" s="908">
        <f t="shared" ca="1" si="0"/>
        <v>4</v>
      </c>
      <c r="D7" s="907"/>
      <c r="E7" s="910" t="s">
        <v>2564</v>
      </c>
      <c r="F7" s="896" t="s">
        <v>2526</v>
      </c>
      <c r="G7" s="896"/>
      <c r="H7" s="901">
        <f>+M7*1000</f>
        <v>-616377.07971652935</v>
      </c>
      <c r="I7" s="895"/>
      <c r="M7" s="902">
        <f>+'Exh. No. BGM-3 (2)'!M33</f>
        <v>-616.37707971652935</v>
      </c>
    </row>
    <row r="8" spans="2:15">
      <c r="B8" s="893"/>
      <c r="C8" s="908">
        <f t="shared" ca="1" si="0"/>
        <v>5</v>
      </c>
      <c r="D8" s="907"/>
      <c r="E8" s="910" t="s">
        <v>2565</v>
      </c>
      <c r="F8" s="896" t="s">
        <v>2520</v>
      </c>
      <c r="G8" s="896"/>
      <c r="H8" s="901">
        <f>+M8*1000</f>
        <v>-982541.68152831856</v>
      </c>
      <c r="I8" s="895"/>
      <c r="M8" s="902">
        <f>+'Exh. No. BGM-3 (2)'!M34</f>
        <v>-982.54168152831858</v>
      </c>
    </row>
    <row r="9" spans="2:15">
      <c r="B9" s="893"/>
      <c r="C9" s="908">
        <f t="shared" ca="1" si="0"/>
        <v>6</v>
      </c>
      <c r="D9" s="907"/>
      <c r="E9" s="910" t="s">
        <v>2575</v>
      </c>
      <c r="F9" s="896" t="s">
        <v>2538</v>
      </c>
      <c r="G9" s="896"/>
      <c r="H9" s="901">
        <f>+M9*1000</f>
        <v>-2276888.4787573498</v>
      </c>
      <c r="I9" s="895"/>
      <c r="M9" s="902">
        <f>+'Exh. No. BGM-3 (2)'!AC27</f>
        <v>-2276.8884787573497</v>
      </c>
      <c r="O9" s="902">
        <f>+H9+1500000</f>
        <v>-776888.47875734977</v>
      </c>
    </row>
    <row r="10" spans="2:15">
      <c r="B10" s="893"/>
      <c r="C10" s="908">
        <f t="shared" ca="1" si="0"/>
        <v>7</v>
      </c>
      <c r="D10" s="907"/>
      <c r="E10" s="911" t="s">
        <v>743</v>
      </c>
      <c r="F10" s="896" t="s">
        <v>2527</v>
      </c>
      <c r="G10" s="896"/>
      <c r="H10" s="901">
        <f>+M10*1000</f>
        <v>-2332144.6446185084</v>
      </c>
      <c r="I10" s="895"/>
      <c r="M10" s="902">
        <f>+'Exh. No. BGM-3 (1)'!AC14</f>
        <v>-2332.1446446185082</v>
      </c>
    </row>
    <row r="11" spans="2:15">
      <c r="B11" s="893"/>
      <c r="C11" s="908">
        <f t="shared" ca="1" si="0"/>
        <v>8</v>
      </c>
      <c r="D11" s="907"/>
      <c r="E11" s="910" t="s">
        <v>2539</v>
      </c>
      <c r="F11" s="896" t="s">
        <v>2528</v>
      </c>
      <c r="G11" s="896"/>
      <c r="H11" s="901">
        <f t="shared" ref="H11:H22" si="1">+M11*1000</f>
        <v>-3970461.8221051795</v>
      </c>
      <c r="I11" s="895"/>
      <c r="M11" s="902">
        <f>+'Exh. No. BGM-3 (1)'!AC29</f>
        <v>-3970.4618221051796</v>
      </c>
    </row>
    <row r="12" spans="2:15">
      <c r="B12" s="893"/>
      <c r="C12" s="908">
        <f t="shared" ca="1" si="0"/>
        <v>9</v>
      </c>
      <c r="D12" s="907"/>
      <c r="E12" s="910" t="s">
        <v>2540</v>
      </c>
      <c r="F12" s="896" t="s">
        <v>2529</v>
      </c>
      <c r="G12" s="896"/>
      <c r="H12" s="901">
        <f t="shared" si="1"/>
        <v>-740318.77348124527</v>
      </c>
      <c r="I12" s="895"/>
      <c r="M12" s="902">
        <f>+'Exh. No. BGM-3 (1)'!AC30</f>
        <v>-740.31877348124522</v>
      </c>
    </row>
    <row r="13" spans="2:15">
      <c r="B13" s="893"/>
      <c r="C13" s="908">
        <f t="shared" ca="1" si="0"/>
        <v>10</v>
      </c>
      <c r="D13" s="907"/>
      <c r="E13" s="910" t="s">
        <v>2541</v>
      </c>
      <c r="F13" s="896" t="s">
        <v>2648</v>
      </c>
      <c r="G13" s="896"/>
      <c r="H13" s="901">
        <f t="shared" si="1"/>
        <v>-3444896.6817224026</v>
      </c>
      <c r="I13" s="895"/>
      <c r="M13" s="902">
        <f>+'Exh. No. BGM-3 (1)'!AC31</f>
        <v>-3444.8966817224027</v>
      </c>
    </row>
    <row r="14" spans="2:15">
      <c r="B14" s="893"/>
      <c r="C14" s="908">
        <f t="shared" ca="1" si="0"/>
        <v>11</v>
      </c>
      <c r="D14" s="907"/>
      <c r="E14" s="910" t="s">
        <v>2542</v>
      </c>
      <c r="F14" s="896" t="s">
        <v>2543</v>
      </c>
      <c r="G14" s="896"/>
      <c r="H14" s="901">
        <f t="shared" si="1"/>
        <v>1281027.22</v>
      </c>
      <c r="I14" s="895"/>
      <c r="M14" s="902">
        <f>+'Exh. No. BGM-3 (1)'!AC32</f>
        <v>1281.0272199999999</v>
      </c>
    </row>
    <row r="15" spans="2:15">
      <c r="B15" s="893"/>
      <c r="C15" s="908">
        <f t="shared" ca="1" si="0"/>
        <v>12</v>
      </c>
      <c r="D15" s="907"/>
      <c r="E15" s="910" t="s">
        <v>2573</v>
      </c>
      <c r="F15" s="896" t="s">
        <v>2531</v>
      </c>
      <c r="G15" s="896"/>
      <c r="H15" s="901">
        <f t="shared" si="1"/>
        <v>-493016.51522206003</v>
      </c>
      <c r="I15" s="895"/>
      <c r="M15" s="902">
        <f>+'Exh. No. BGM-3 (1)'!AC33</f>
        <v>-493.01651522206004</v>
      </c>
    </row>
    <row r="16" spans="2:15">
      <c r="B16" s="893"/>
      <c r="C16" s="908">
        <f t="shared" ca="1" si="0"/>
        <v>13</v>
      </c>
      <c r="D16" s="907"/>
      <c r="E16" s="910" t="s">
        <v>2545</v>
      </c>
      <c r="F16" s="896" t="s">
        <v>2532</v>
      </c>
      <c r="G16" s="896"/>
      <c r="H16" s="901">
        <f t="shared" si="1"/>
        <v>-153063.79804924841</v>
      </c>
      <c r="I16" s="895"/>
      <c r="M16" s="902">
        <f>+'Exh. No. BGM-3 (1)'!AC34</f>
        <v>-153.06379804924842</v>
      </c>
    </row>
    <row r="17" spans="2:17">
      <c r="B17" s="893"/>
      <c r="C17" s="908">
        <f t="shared" ca="1" si="0"/>
        <v>14</v>
      </c>
      <c r="D17" s="907"/>
      <c r="E17" s="1013" t="s">
        <v>2555</v>
      </c>
      <c r="F17" s="1014" t="s">
        <v>2651</v>
      </c>
      <c r="G17" s="1014"/>
      <c r="H17" s="1015">
        <f t="shared" si="1"/>
        <v>-1255374.1062688038</v>
      </c>
      <c r="I17" s="895"/>
      <c r="M17" s="902">
        <f>+'Exh. No. BGM-3 (1)'!AC19</f>
        <v>-1255.3741062688039</v>
      </c>
    </row>
    <row r="18" spans="2:17">
      <c r="B18" s="893"/>
      <c r="C18" s="908">
        <f t="shared" ca="1" si="0"/>
        <v>15</v>
      </c>
      <c r="D18" s="907"/>
      <c r="E18" s="911" t="s">
        <v>2551</v>
      </c>
      <c r="F18" s="896" t="s">
        <v>2533</v>
      </c>
      <c r="G18" s="896"/>
      <c r="H18" s="901">
        <f t="shared" si="1"/>
        <v>-498092.17228088254</v>
      </c>
      <c r="I18" s="895"/>
      <c r="M18" s="902">
        <f>+'Exh. No. BGM-3 (1)'!AC16</f>
        <v>-498.09217228088255</v>
      </c>
    </row>
    <row r="19" spans="2:17">
      <c r="B19" s="893"/>
      <c r="C19" s="908">
        <f t="shared" ca="1" si="0"/>
        <v>16</v>
      </c>
      <c r="D19" s="907"/>
      <c r="E19" s="911" t="s">
        <v>2552</v>
      </c>
      <c r="F19" s="896" t="s">
        <v>2534</v>
      </c>
      <c r="G19" s="896"/>
      <c r="H19" s="901">
        <f t="shared" si="1"/>
        <v>-1046762.2454153786</v>
      </c>
      <c r="I19" s="895"/>
      <c r="M19" s="902">
        <f>+'Exh. No. BGM-3 (1)'!AC17</f>
        <v>-1046.7622454153786</v>
      </c>
    </row>
    <row r="20" spans="2:17">
      <c r="B20" s="893"/>
      <c r="C20" s="908">
        <f t="shared" ca="1" si="0"/>
        <v>17</v>
      </c>
      <c r="D20" s="907"/>
      <c r="E20" s="910" t="s">
        <v>2553</v>
      </c>
      <c r="F20" s="896" t="s">
        <v>2535</v>
      </c>
      <c r="G20" s="896"/>
      <c r="H20" s="901">
        <f t="shared" si="1"/>
        <v>-183351.45229966834</v>
      </c>
      <c r="I20" s="895"/>
      <c r="M20" s="902">
        <f>+'Exh. No. BGM-3 (1)'!AC20</f>
        <v>-183.35145229966832</v>
      </c>
    </row>
    <row r="21" spans="2:17">
      <c r="B21" s="893"/>
      <c r="C21" s="908">
        <f t="shared" ca="1" si="0"/>
        <v>18</v>
      </c>
      <c r="D21" s="907"/>
      <c r="E21" s="1013" t="s">
        <v>2566</v>
      </c>
      <c r="F21" s="1014" t="s">
        <v>2536</v>
      </c>
      <c r="G21" s="1014"/>
      <c r="H21" s="1015">
        <f t="shared" si="1"/>
        <v>0</v>
      </c>
      <c r="I21" s="895"/>
      <c r="M21" s="902">
        <f>+'Exh. No. BGM-3 (1)'!AC13</f>
        <v>0</v>
      </c>
    </row>
    <row r="22" spans="2:17">
      <c r="B22" s="893"/>
      <c r="C22" s="908">
        <f t="shared" ca="1" si="0"/>
        <v>19</v>
      </c>
      <c r="D22" s="907"/>
      <c r="E22" s="910" t="s">
        <v>676</v>
      </c>
      <c r="F22" s="896" t="s">
        <v>2574</v>
      </c>
      <c r="G22" s="896"/>
      <c r="H22" s="901">
        <f t="shared" si="1"/>
        <v>466735.56020387175</v>
      </c>
      <c r="I22" s="895"/>
      <c r="M22" s="912">
        <f>+'Exh. No. BGM-3 (1)'!AC26</f>
        <v>466.73556020387173</v>
      </c>
    </row>
    <row r="23" spans="2:17">
      <c r="B23" s="893"/>
      <c r="C23" s="907"/>
      <c r="D23" s="907"/>
      <c r="E23" s="896"/>
      <c r="F23" s="896"/>
      <c r="G23" s="896"/>
      <c r="H23" s="898"/>
      <c r="I23" s="895"/>
    </row>
    <row r="24" spans="2:17">
      <c r="B24" s="893"/>
      <c r="C24" s="908">
        <f t="shared" ca="1" si="0"/>
        <v>20</v>
      </c>
      <c r="D24" s="907"/>
      <c r="E24" s="894" t="s">
        <v>2537</v>
      </c>
      <c r="F24" s="894"/>
      <c r="G24" s="894"/>
      <c r="H24" s="913">
        <f>+SUM(H5:H23)</f>
        <v>-19010069.414940756</v>
      </c>
      <c r="I24" s="895"/>
    </row>
    <row r="25" spans="2:17">
      <c r="B25" s="893"/>
      <c r="C25" s="907"/>
      <c r="D25" s="907"/>
      <c r="E25" s="896"/>
      <c r="F25" s="896"/>
      <c r="G25" s="896"/>
      <c r="H25" s="896"/>
      <c r="I25" s="895"/>
    </row>
    <row r="26" spans="2:17">
      <c r="B26" s="893"/>
      <c r="C26" s="908">
        <f t="shared" ca="1" si="0"/>
        <v>21</v>
      </c>
      <c r="D26" s="907"/>
      <c r="E26" s="894" t="s">
        <v>2</v>
      </c>
      <c r="F26" s="894"/>
      <c r="G26" s="894"/>
      <c r="H26" s="913">
        <f>+H3+H24</f>
        <v>-4728930.013606621</v>
      </c>
      <c r="I26" s="895"/>
    </row>
    <row r="27" spans="2:17" ht="15.75">
      <c r="B27" s="899"/>
      <c r="C27" s="898"/>
      <c r="D27" s="898"/>
      <c r="E27" s="898"/>
      <c r="F27" s="898"/>
      <c r="G27" s="898"/>
      <c r="H27" s="898"/>
      <c r="I27" s="900"/>
      <c r="Q27" s="119"/>
    </row>
    <row r="29" spans="2:17" ht="15.75">
      <c r="F29" s="892" t="s">
        <v>2515</v>
      </c>
      <c r="H29" s="902">
        <f>+H26-'Exh. No. BGM-3 (1)'!T40*1000</f>
        <v>1.7695128917694092E-8</v>
      </c>
      <c r="Q29" s="119"/>
    </row>
  </sheetData>
  <phoneticPr fontId="142" type="noConversion"/>
  <pageMargins left="0.7" right="0.7" top="0.75" bottom="0.75" header="0.3" footer="0.3"/>
  <pageSetup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8DC9C9"/>
    <pageSetUpPr fitToPage="1"/>
  </sheetPr>
  <dimension ref="A1:EA67"/>
  <sheetViews>
    <sheetView view="pageBreakPreview" zoomScale="60" zoomScaleNormal="68" workbookViewId="0"/>
  </sheetViews>
  <sheetFormatPr defaultColWidth="9.140625" defaultRowHeight="15.75"/>
  <cols>
    <col min="1" max="1" width="3.28515625" style="3" bestFit="1" customWidth="1"/>
    <col min="2" max="2" width="2.85546875" style="3" customWidth="1"/>
    <col min="3" max="3" width="31.140625" style="3" customWidth="1"/>
    <col min="4" max="4" width="1.7109375" style="3" customWidth="1"/>
    <col min="5" max="5" width="1.42578125" style="3" customWidth="1"/>
    <col min="6" max="6" width="1.140625" style="3" customWidth="1"/>
    <col min="7" max="7" width="15.42578125" style="3" bestFit="1" customWidth="1"/>
    <col min="8" max="8" width="13.85546875" style="3" bestFit="1" customWidth="1"/>
    <col min="9" max="9" width="19.85546875" style="3" bestFit="1" customWidth="1"/>
    <col min="10" max="10" width="22.140625" style="3" bestFit="1" customWidth="1"/>
    <col min="11" max="11" width="14.140625" style="16" bestFit="1" customWidth="1"/>
    <col min="12" max="12" width="14.42578125" style="16" bestFit="1" customWidth="1"/>
    <col min="13" max="13" width="14.42578125" style="16" customWidth="1"/>
    <col min="14" max="14" width="14.28515625" style="3" bestFit="1" customWidth="1"/>
    <col min="15" max="15" width="14.42578125" style="73" bestFit="1" customWidth="1"/>
    <col min="16" max="16" width="16.28515625" style="3" bestFit="1" customWidth="1"/>
    <col min="17" max="17" width="14.5703125" style="16" bestFit="1" customWidth="1"/>
    <col min="18" max="18" width="2.140625" style="3" customWidth="1"/>
    <col min="19" max="19" width="15.28515625" style="3" bestFit="1" customWidth="1"/>
    <col min="20" max="20" width="9.140625" style="3"/>
    <col min="21" max="21" width="14.42578125" style="3" bestFit="1" customWidth="1"/>
    <col min="22" max="22" width="14.5703125" style="3" customWidth="1"/>
    <col min="23" max="23" width="9.140625" style="3"/>
    <col min="24" max="26" width="15.28515625" style="3" bestFit="1" customWidth="1"/>
    <col min="27" max="27" width="9.140625" style="3"/>
    <col min="28" max="28" width="12.5703125" style="3" bestFit="1" customWidth="1"/>
    <col min="29" max="16384" width="9.140625" style="3"/>
  </cols>
  <sheetData>
    <row r="1" spans="1:28">
      <c r="A1" s="49"/>
      <c r="B1" s="49"/>
      <c r="C1" s="49"/>
      <c r="D1" s="49"/>
      <c r="E1" s="49"/>
      <c r="F1" s="49"/>
      <c r="G1" s="49"/>
      <c r="H1" s="49"/>
      <c r="I1" s="49"/>
      <c r="J1" s="49"/>
      <c r="K1" s="97"/>
      <c r="L1" s="97"/>
      <c r="M1" s="97"/>
      <c r="N1" s="49"/>
      <c r="O1" s="72"/>
      <c r="P1" s="49"/>
      <c r="Q1" s="97"/>
      <c r="R1" s="49"/>
      <c r="S1" s="49"/>
      <c r="X1" s="49"/>
      <c r="Y1" s="49"/>
      <c r="Z1" s="49"/>
    </row>
    <row r="2" spans="1:28">
      <c r="A2" s="3" t="s">
        <v>56</v>
      </c>
    </row>
    <row r="3" spans="1:28">
      <c r="P3" s="1029"/>
      <c r="Q3" s="1029"/>
      <c r="R3" s="1029"/>
      <c r="S3" s="1029"/>
      <c r="T3" s="1029"/>
    </row>
    <row r="4" spans="1:28">
      <c r="P4" s="1029"/>
      <c r="Q4" s="1029"/>
      <c r="R4" s="1029"/>
      <c r="S4" s="1029"/>
      <c r="T4" s="1029"/>
    </row>
    <row r="5" spans="1:28">
      <c r="B5" s="1027" t="s">
        <v>2522</v>
      </c>
      <c r="C5" s="1027"/>
      <c r="D5" s="1027"/>
      <c r="E5" s="1027"/>
      <c r="F5" s="1027"/>
      <c r="G5" s="1027"/>
      <c r="H5" s="1027"/>
      <c r="I5" s="1027"/>
      <c r="J5" s="1027"/>
      <c r="K5" s="1027"/>
      <c r="L5" s="1027"/>
      <c r="M5" s="1027"/>
      <c r="N5" s="1027"/>
      <c r="O5" s="1027"/>
      <c r="P5" s="1027"/>
      <c r="Q5" s="1027"/>
      <c r="R5" s="1027"/>
      <c r="S5" s="1027"/>
      <c r="W5" s="47"/>
      <c r="X5" s="47"/>
      <c r="Y5" s="47"/>
      <c r="Z5" s="47"/>
      <c r="AA5" s="47"/>
      <c r="AB5" s="47"/>
    </row>
    <row r="6" spans="1:28">
      <c r="A6" s="13"/>
      <c r="B6" s="1027" t="s">
        <v>673</v>
      </c>
      <c r="C6" s="1027"/>
      <c r="D6" s="1027"/>
      <c r="E6" s="1027"/>
      <c r="F6" s="1027"/>
      <c r="G6" s="1027"/>
      <c r="H6" s="1027"/>
      <c r="I6" s="1027"/>
      <c r="J6" s="1027"/>
      <c r="K6" s="1027"/>
      <c r="L6" s="1027"/>
      <c r="M6" s="1027"/>
      <c r="N6" s="1027"/>
      <c r="O6" s="1027"/>
      <c r="P6" s="1027"/>
      <c r="Q6" s="1027"/>
      <c r="R6" s="1027"/>
      <c r="S6" s="1027"/>
      <c r="W6" s="47"/>
      <c r="X6" s="47"/>
      <c r="Y6" s="47"/>
      <c r="Z6" s="47"/>
      <c r="AA6" s="47"/>
      <c r="AB6" s="47"/>
    </row>
    <row r="7" spans="1:28">
      <c r="A7" s="74" t="s">
        <v>56</v>
      </c>
      <c r="B7" s="1027" t="s">
        <v>1853</v>
      </c>
      <c r="C7" s="1027"/>
      <c r="D7" s="1027"/>
      <c r="E7" s="1027"/>
      <c r="F7" s="1027"/>
      <c r="G7" s="1027"/>
      <c r="H7" s="1027"/>
      <c r="I7" s="1027"/>
      <c r="J7" s="1027"/>
      <c r="K7" s="1027"/>
      <c r="L7" s="1027"/>
      <c r="M7" s="1027"/>
      <c r="N7" s="1027"/>
      <c r="O7" s="1027"/>
      <c r="P7" s="1027"/>
      <c r="Q7" s="1027"/>
      <c r="R7" s="1027"/>
      <c r="S7" s="1027"/>
      <c r="W7" s="47"/>
      <c r="X7" s="47"/>
      <c r="Y7" s="47"/>
      <c r="Z7" s="47"/>
      <c r="AA7" s="47"/>
      <c r="AB7" s="47"/>
    </row>
    <row r="8" spans="1:28">
      <c r="A8" s="74"/>
      <c r="B8" s="75"/>
      <c r="C8" s="75"/>
      <c r="D8" s="75"/>
      <c r="E8" s="75"/>
      <c r="F8" s="75"/>
      <c r="G8" s="75"/>
      <c r="H8" s="75"/>
      <c r="I8" s="75"/>
      <c r="J8" s="75"/>
      <c r="K8" s="75"/>
      <c r="L8" s="75"/>
      <c r="M8" s="75"/>
      <c r="N8" s="75"/>
      <c r="O8" s="75"/>
      <c r="P8" s="625"/>
      <c r="Q8" s="625"/>
      <c r="R8" s="75"/>
      <c r="S8" s="75"/>
      <c r="W8" s="47"/>
      <c r="X8" s="74"/>
      <c r="Y8" s="74"/>
      <c r="Z8" s="74"/>
      <c r="AA8" s="47"/>
      <c r="AB8" s="47"/>
    </row>
    <row r="9" spans="1:28">
      <c r="A9" s="50"/>
      <c r="B9" s="50"/>
      <c r="C9" s="50"/>
      <c r="D9" s="50"/>
      <c r="E9" s="50"/>
      <c r="F9" s="49"/>
      <c r="G9" s="76"/>
      <c r="H9" s="49"/>
      <c r="I9" s="49"/>
      <c r="J9" s="49"/>
      <c r="K9" s="97"/>
      <c r="L9" s="97"/>
      <c r="M9" s="97"/>
      <c r="N9" s="49"/>
      <c r="O9" s="72"/>
      <c r="P9" s="49"/>
      <c r="Q9" s="97"/>
      <c r="R9" s="49"/>
      <c r="S9" s="49"/>
      <c r="W9" s="47"/>
      <c r="X9" s="50"/>
      <c r="Y9" s="50"/>
      <c r="Z9" s="50"/>
      <c r="AA9" s="47"/>
      <c r="AB9" s="47"/>
    </row>
    <row r="10" spans="1:28">
      <c r="A10" s="50"/>
      <c r="B10" s="50"/>
      <c r="C10" s="50"/>
      <c r="D10" s="50"/>
      <c r="E10" s="50"/>
      <c r="F10" s="49"/>
      <c r="G10" s="76"/>
      <c r="H10" s="49"/>
      <c r="I10" s="903" t="s">
        <v>2523</v>
      </c>
      <c r="J10" s="903" t="s">
        <v>2523</v>
      </c>
      <c r="K10" s="903" t="s">
        <v>2523</v>
      </c>
      <c r="L10" s="903" t="s">
        <v>2523</v>
      </c>
      <c r="M10" s="903" t="s">
        <v>2560</v>
      </c>
      <c r="N10" s="49"/>
      <c r="O10" s="72"/>
      <c r="P10" s="903" t="s">
        <v>2523</v>
      </c>
      <c r="Q10" s="97"/>
      <c r="R10" s="49"/>
      <c r="S10" s="49"/>
      <c r="W10" s="47"/>
      <c r="X10" s="50"/>
      <c r="Y10" s="50"/>
      <c r="Z10" s="50"/>
      <c r="AA10" s="47"/>
      <c r="AB10" s="47"/>
    </row>
    <row r="11" spans="1:28">
      <c r="A11" s="77"/>
      <c r="B11" s="78"/>
      <c r="C11" s="79"/>
      <c r="D11" s="80"/>
      <c r="E11" s="81"/>
      <c r="F11" s="49"/>
      <c r="G11" s="352" t="s">
        <v>685</v>
      </c>
      <c r="H11" s="464" t="s">
        <v>61</v>
      </c>
      <c r="I11" s="82" t="s">
        <v>718</v>
      </c>
      <c r="J11" s="621" t="s">
        <v>718</v>
      </c>
      <c r="K11" s="352" t="s">
        <v>1841</v>
      </c>
      <c r="L11" s="464" t="s">
        <v>1105</v>
      </c>
      <c r="M11" s="464" t="s">
        <v>2558</v>
      </c>
      <c r="N11" s="352" t="s">
        <v>63</v>
      </c>
      <c r="O11" s="590" t="s">
        <v>679</v>
      </c>
      <c r="P11" s="82" t="s">
        <v>679</v>
      </c>
      <c r="Q11" s="82" t="s">
        <v>734</v>
      </c>
      <c r="R11" s="76"/>
      <c r="S11" s="494" t="s">
        <v>58</v>
      </c>
      <c r="W11" s="47"/>
      <c r="X11" s="920"/>
      <c r="Y11" s="921"/>
      <c r="Z11" s="920"/>
      <c r="AA11" s="47"/>
      <c r="AB11" s="47"/>
    </row>
    <row r="12" spans="1:28">
      <c r="A12" s="77"/>
      <c r="B12" s="83"/>
      <c r="C12" s="84"/>
      <c r="D12" s="77"/>
      <c r="E12" s="81"/>
      <c r="F12" s="49"/>
      <c r="G12" s="86" t="s">
        <v>744</v>
      </c>
      <c r="H12" s="85" t="s">
        <v>57</v>
      </c>
      <c r="I12" s="86" t="s">
        <v>715</v>
      </c>
      <c r="J12" s="622" t="s">
        <v>1844</v>
      </c>
      <c r="K12" s="86" t="s">
        <v>108</v>
      </c>
      <c r="L12" s="85" t="s">
        <v>1106</v>
      </c>
      <c r="M12" s="85" t="s">
        <v>2559</v>
      </c>
      <c r="N12" s="86" t="s">
        <v>64</v>
      </c>
      <c r="O12" s="591" t="s">
        <v>683</v>
      </c>
      <c r="P12" s="86" t="s">
        <v>719</v>
      </c>
      <c r="Q12" s="86" t="s">
        <v>735</v>
      </c>
      <c r="R12" s="76"/>
      <c r="S12" s="495" t="s">
        <v>1</v>
      </c>
      <c r="W12" s="47"/>
      <c r="X12" s="920"/>
      <c r="Y12" s="920"/>
      <c r="Z12" s="920"/>
      <c r="AA12" s="47"/>
      <c r="AB12" s="47"/>
    </row>
    <row r="13" spans="1:28">
      <c r="A13" s="77"/>
      <c r="B13" s="83"/>
      <c r="C13" s="81"/>
      <c r="D13" s="77"/>
      <c r="E13" s="81"/>
      <c r="F13" s="49"/>
      <c r="G13" s="86" t="s">
        <v>62</v>
      </c>
      <c r="H13" s="85" t="s">
        <v>62</v>
      </c>
      <c r="I13" s="86" t="s">
        <v>62</v>
      </c>
      <c r="J13" s="622" t="s">
        <v>1843</v>
      </c>
      <c r="K13" s="86"/>
      <c r="L13" s="85"/>
      <c r="M13" s="85"/>
      <c r="N13" s="86" t="s">
        <v>62</v>
      </c>
      <c r="O13" s="591" t="s">
        <v>62</v>
      </c>
      <c r="P13" s="86" t="s">
        <v>65</v>
      </c>
      <c r="Q13" s="86" t="s">
        <v>736</v>
      </c>
      <c r="R13" s="76"/>
      <c r="S13" s="495"/>
      <c r="W13" s="47"/>
      <c r="X13" s="920"/>
      <c r="Y13" s="920"/>
      <c r="Z13" s="920"/>
      <c r="AA13" s="47"/>
      <c r="AB13" s="47"/>
    </row>
    <row r="14" spans="1:28">
      <c r="A14" s="77"/>
      <c r="B14" s="83"/>
      <c r="C14" s="81"/>
      <c r="D14" s="77"/>
      <c r="E14" s="81"/>
      <c r="F14" s="49"/>
      <c r="G14" s="87" t="s">
        <v>674</v>
      </c>
      <c r="H14" s="490" t="s">
        <v>675</v>
      </c>
      <c r="I14" s="86" t="s">
        <v>717</v>
      </c>
      <c r="J14" s="622" t="s">
        <v>743</v>
      </c>
      <c r="K14" s="86" t="s">
        <v>1387</v>
      </c>
      <c r="L14" s="85" t="s">
        <v>1388</v>
      </c>
      <c r="M14" s="85" t="s">
        <v>2553</v>
      </c>
      <c r="N14" s="86" t="s">
        <v>676</v>
      </c>
      <c r="O14" s="591" t="s">
        <v>677</v>
      </c>
      <c r="P14" s="86" t="s">
        <v>745</v>
      </c>
      <c r="Q14" s="86" t="s">
        <v>678</v>
      </c>
      <c r="R14" s="76"/>
      <c r="S14" s="495"/>
      <c r="W14" s="47"/>
      <c r="X14" s="920"/>
      <c r="Y14" s="920"/>
      <c r="Z14" s="920"/>
      <c r="AA14" s="47"/>
      <c r="AB14" s="47"/>
    </row>
    <row r="15" spans="1:28">
      <c r="A15" s="77"/>
      <c r="B15" s="88"/>
      <c r="C15" s="89"/>
      <c r="D15" s="90"/>
      <c r="E15" s="81"/>
      <c r="F15" s="49"/>
      <c r="G15" s="492"/>
      <c r="H15" s="491"/>
      <c r="I15" s="91"/>
      <c r="J15" s="623"/>
      <c r="K15" s="91"/>
      <c r="L15" s="488"/>
      <c r="M15" s="905"/>
      <c r="N15" s="493"/>
      <c r="O15" s="592"/>
      <c r="P15" s="91"/>
      <c r="Q15" s="91"/>
      <c r="R15" s="92"/>
      <c r="S15" s="496"/>
      <c r="W15" s="47"/>
      <c r="X15" s="50"/>
      <c r="Y15" s="50"/>
      <c r="Z15" s="50"/>
      <c r="AA15" s="47"/>
      <c r="AB15" s="47"/>
    </row>
    <row r="16" spans="1:28">
      <c r="A16" s="77">
        <v>1</v>
      </c>
      <c r="B16" s="81"/>
      <c r="C16" s="23" t="s">
        <v>11</v>
      </c>
      <c r="D16" s="77"/>
      <c r="E16" s="81"/>
      <c r="F16" s="49"/>
      <c r="G16" s="88"/>
      <c r="H16" s="93"/>
      <c r="I16" s="497"/>
      <c r="J16" s="94"/>
      <c r="K16" s="497"/>
      <c r="L16" s="497"/>
      <c r="M16" s="906"/>
      <c r="N16" s="545"/>
      <c r="O16" s="593"/>
      <c r="P16" s="594"/>
      <c r="Q16" s="594"/>
      <c r="R16" s="92"/>
      <c r="S16" s="95"/>
      <c r="W16" s="47"/>
      <c r="X16" s="50"/>
      <c r="Y16" s="50"/>
      <c r="Z16" s="50"/>
      <c r="AA16" s="47"/>
      <c r="AB16" s="47"/>
    </row>
    <row r="17" spans="1:28">
      <c r="A17" s="96">
        <v>2</v>
      </c>
      <c r="B17" s="50"/>
      <c r="C17" s="37" t="s">
        <v>30</v>
      </c>
      <c r="D17" s="96"/>
      <c r="E17" s="50"/>
      <c r="F17" s="97"/>
      <c r="G17" s="647">
        <f>+'Operating Report'!I15</f>
        <v>-2904184.2</v>
      </c>
      <c r="H17" s="647"/>
      <c r="I17" s="647">
        <f>+'Operating Report'!K15</f>
        <v>14922775.820000002</v>
      </c>
      <c r="J17" s="647">
        <v>0</v>
      </c>
      <c r="K17" s="98"/>
      <c r="L17" s="98"/>
      <c r="M17" s="98"/>
      <c r="N17" s="98"/>
      <c r="O17" s="595"/>
      <c r="P17" s="647">
        <f>+'Operating Report'!Q17</f>
        <v>0</v>
      </c>
      <c r="Q17" s="98"/>
      <c r="R17" s="98"/>
      <c r="S17" s="99">
        <f>SUM(G17:R17)</f>
        <v>12018591.620000001</v>
      </c>
      <c r="W17" s="47"/>
      <c r="X17" s="916"/>
      <c r="Y17" s="916"/>
      <c r="Z17" s="916"/>
      <c r="AA17" s="47"/>
      <c r="AB17" s="47"/>
    </row>
    <row r="18" spans="1:28">
      <c r="A18" s="96">
        <v>3</v>
      </c>
      <c r="B18" s="50"/>
      <c r="C18" s="37" t="s">
        <v>31</v>
      </c>
      <c r="D18" s="96"/>
      <c r="E18" s="50"/>
      <c r="F18" s="97"/>
      <c r="G18" s="100"/>
      <c r="H18" s="100"/>
      <c r="I18" s="100"/>
      <c r="J18" s="100"/>
      <c r="K18" s="100"/>
      <c r="L18" s="100"/>
      <c r="M18" s="100"/>
      <c r="N18" s="100"/>
      <c r="O18" s="100"/>
      <c r="P18" s="100">
        <f>+'Pro Forma Plant Additions'!E14</f>
        <v>0</v>
      </c>
      <c r="Q18" s="100"/>
      <c r="R18" s="100"/>
      <c r="S18" s="100">
        <f>SUM(G18:R18)</f>
        <v>0</v>
      </c>
      <c r="W18" s="47"/>
      <c r="X18" s="916"/>
      <c r="Y18" s="916"/>
      <c r="Z18" s="916"/>
      <c r="AA18" s="47"/>
      <c r="AB18" s="47"/>
    </row>
    <row r="19" spans="1:28">
      <c r="A19" s="96">
        <v>4</v>
      </c>
      <c r="B19" s="50"/>
      <c r="C19" s="37" t="s">
        <v>32</v>
      </c>
      <c r="D19" s="96"/>
      <c r="E19" s="50"/>
      <c r="F19" s="97"/>
      <c r="G19" s="100"/>
      <c r="H19" s="100"/>
      <c r="I19" s="100"/>
      <c r="J19" s="100"/>
      <c r="K19" s="100"/>
      <c r="L19" s="100"/>
      <c r="M19" s="100"/>
      <c r="N19" s="100"/>
      <c r="O19" s="100"/>
      <c r="P19" s="100"/>
      <c r="Q19" s="100"/>
      <c r="R19" s="100"/>
      <c r="S19" s="100">
        <f>SUM(G19:R19)</f>
        <v>0</v>
      </c>
      <c r="W19" s="47"/>
      <c r="X19" s="916"/>
      <c r="Y19" s="916"/>
      <c r="Z19" s="916"/>
      <c r="AA19" s="47"/>
      <c r="AB19" s="47"/>
    </row>
    <row r="20" spans="1:28" ht="16.5" thickBot="1">
      <c r="A20" s="96">
        <v>5</v>
      </c>
      <c r="B20" s="101"/>
      <c r="C20" s="41" t="s">
        <v>758</v>
      </c>
      <c r="D20" s="102"/>
      <c r="E20" s="101"/>
      <c r="F20" s="103"/>
      <c r="G20" s="104">
        <f t="shared" ref="G20:P20" si="0">+G17+G18+G19</f>
        <v>-2904184.2</v>
      </c>
      <c r="H20" s="104">
        <f t="shared" si="0"/>
        <v>0</v>
      </c>
      <c r="I20" s="104">
        <f>+I17+I18+I19</f>
        <v>14922775.820000002</v>
      </c>
      <c r="J20" s="104">
        <f>+J17+J18+J19</f>
        <v>0</v>
      </c>
      <c r="K20" s="104">
        <f t="shared" ref="K20:M20" si="1">+K17+K18+K19</f>
        <v>0</v>
      </c>
      <c r="L20" s="104">
        <f t="shared" si="1"/>
        <v>0</v>
      </c>
      <c r="M20" s="104">
        <f t="shared" si="1"/>
        <v>0</v>
      </c>
      <c r="N20" s="104">
        <f t="shared" si="0"/>
        <v>0</v>
      </c>
      <c r="O20" s="104">
        <f t="shared" si="0"/>
        <v>0</v>
      </c>
      <c r="P20" s="104">
        <f t="shared" si="0"/>
        <v>0</v>
      </c>
      <c r="Q20" s="104"/>
      <c r="R20" s="104"/>
      <c r="S20" s="104">
        <f>+S19+S18+S17</f>
        <v>12018591.620000001</v>
      </c>
      <c r="W20" s="47"/>
      <c r="X20" s="915"/>
      <c r="Y20" s="915"/>
      <c r="Z20" s="915"/>
      <c r="AA20" s="47"/>
      <c r="AB20" s="47"/>
    </row>
    <row r="21" spans="1:28">
      <c r="A21" s="96"/>
      <c r="B21" s="101"/>
      <c r="C21" s="41"/>
      <c r="D21" s="102"/>
      <c r="E21" s="101"/>
      <c r="F21" s="103"/>
      <c r="G21" s="105"/>
      <c r="H21" s="105"/>
      <c r="I21" s="105"/>
      <c r="J21" s="105"/>
      <c r="K21" s="105"/>
      <c r="L21" s="105"/>
      <c r="M21" s="105"/>
      <c r="N21" s="105"/>
      <c r="O21" s="105"/>
      <c r="P21" s="105"/>
      <c r="Q21" s="105"/>
      <c r="R21" s="800"/>
      <c r="S21" s="800"/>
      <c r="W21" s="47"/>
      <c r="X21" s="915"/>
      <c r="Y21" s="915"/>
      <c r="Z21" s="915"/>
      <c r="AA21" s="47"/>
      <c r="AB21" s="47"/>
    </row>
    <row r="22" spans="1:28">
      <c r="A22" s="96"/>
      <c r="B22" s="101"/>
      <c r="C22" s="41" t="s">
        <v>12</v>
      </c>
      <c r="D22" s="102"/>
      <c r="E22" s="101"/>
      <c r="F22" s="103"/>
      <c r="G22" s="105"/>
      <c r="H22" s="105"/>
      <c r="I22" s="105"/>
      <c r="J22" s="105"/>
      <c r="K22" s="105"/>
      <c r="L22" s="105"/>
      <c r="M22" s="105"/>
      <c r="N22" s="105"/>
      <c r="O22" s="105"/>
      <c r="P22" s="105"/>
      <c r="Q22" s="105"/>
      <c r="R22" s="800"/>
      <c r="S22" s="800"/>
      <c r="W22" s="47"/>
      <c r="X22" s="915"/>
      <c r="Y22" s="915"/>
      <c r="Z22" s="915"/>
      <c r="AA22" s="47"/>
      <c r="AB22" s="47"/>
    </row>
    <row r="23" spans="1:28">
      <c r="A23" s="96">
        <v>6</v>
      </c>
      <c r="B23" s="81"/>
      <c r="C23" s="37" t="s">
        <v>756</v>
      </c>
      <c r="D23" s="77"/>
      <c r="E23" s="81"/>
      <c r="F23" s="49"/>
      <c r="G23" s="100"/>
      <c r="H23" s="100"/>
      <c r="I23" s="100"/>
      <c r="J23" s="100"/>
      <c r="K23" s="100"/>
      <c r="L23" s="100"/>
      <c r="M23" s="100"/>
      <c r="N23" s="100"/>
      <c r="O23" s="100"/>
      <c r="P23" s="100"/>
      <c r="Q23" s="100"/>
      <c r="R23" s="108"/>
      <c r="S23" s="801">
        <f t="shared" ref="S23:S35" si="2">SUM(G23:R23)</f>
        <v>0</v>
      </c>
      <c r="W23" s="47"/>
      <c r="X23" s="917"/>
      <c r="Y23" s="917"/>
      <c r="Z23" s="917"/>
      <c r="AA23" s="47"/>
      <c r="AB23" s="47"/>
    </row>
    <row r="24" spans="1:28">
      <c r="A24" s="96">
        <v>7</v>
      </c>
      <c r="B24" s="81"/>
      <c r="C24" s="37" t="s">
        <v>757</v>
      </c>
      <c r="D24" s="77"/>
      <c r="E24" s="81"/>
      <c r="F24" s="49"/>
      <c r="G24" s="100">
        <f>+'Operating Report'!I53</f>
        <v>-117677.54378400001</v>
      </c>
      <c r="H24" s="100"/>
      <c r="I24" s="100">
        <f>+'Operating Report'!K53</f>
        <v>604670.87622640014</v>
      </c>
      <c r="J24" s="100">
        <v>0</v>
      </c>
      <c r="K24" s="100"/>
      <c r="L24" s="100"/>
      <c r="M24" s="100"/>
      <c r="N24" s="100"/>
      <c r="O24" s="100"/>
      <c r="P24" s="100">
        <f>+'Operating Report'!Q53</f>
        <v>0</v>
      </c>
      <c r="Q24" s="100"/>
      <c r="R24" s="108"/>
      <c r="S24" s="801">
        <f t="shared" si="2"/>
        <v>486993.33244240016</v>
      </c>
      <c r="W24" s="47"/>
      <c r="X24" s="917"/>
      <c r="Y24" s="917"/>
      <c r="Z24" s="917"/>
      <c r="AA24" s="47"/>
      <c r="AB24" s="47"/>
    </row>
    <row r="25" spans="1:28">
      <c r="A25" s="96">
        <v>8</v>
      </c>
      <c r="B25" s="81"/>
      <c r="C25" s="43" t="s">
        <v>34</v>
      </c>
      <c r="D25" s="77"/>
      <c r="E25" s="81"/>
      <c r="F25" s="49"/>
      <c r="G25" s="100"/>
      <c r="H25" s="100"/>
      <c r="I25" s="100"/>
      <c r="J25" s="100"/>
      <c r="K25" s="100">
        <f>+'Operating Report'!M57</f>
        <v>0</v>
      </c>
      <c r="L25" s="100"/>
      <c r="M25" s="100"/>
      <c r="N25" s="100"/>
      <c r="O25" s="100">
        <f>+'Operating Report'!P57</f>
        <v>3255.585</v>
      </c>
      <c r="P25" s="100"/>
      <c r="Q25" s="100"/>
      <c r="R25" s="108"/>
      <c r="S25" s="98">
        <f t="shared" si="2"/>
        <v>3255.585</v>
      </c>
      <c r="W25" s="47"/>
      <c r="X25" s="917"/>
      <c r="Y25" s="917"/>
      <c r="Z25" s="917"/>
      <c r="AA25" s="47"/>
      <c r="AB25" s="47"/>
    </row>
    <row r="26" spans="1:28">
      <c r="A26" s="96">
        <v>9</v>
      </c>
      <c r="B26" s="81"/>
      <c r="C26" s="43" t="s">
        <v>13</v>
      </c>
      <c r="D26" s="77"/>
      <c r="E26" s="81"/>
      <c r="F26" s="49"/>
      <c r="G26" s="100"/>
      <c r="H26" s="100"/>
      <c r="I26" s="100"/>
      <c r="J26" s="100"/>
      <c r="K26" s="100">
        <f>+'Operating Report'!M85</f>
        <v>77164.839599999992</v>
      </c>
      <c r="L26" s="100"/>
      <c r="M26" s="100"/>
      <c r="N26" s="100"/>
      <c r="O26" s="100">
        <f>+'Operating Report'!P85</f>
        <v>368811.96778800001</v>
      </c>
      <c r="P26" s="100"/>
      <c r="Q26" s="100">
        <f>+'Operating Report'!R61</f>
        <v>925749.91111111105</v>
      </c>
      <c r="R26" s="108"/>
      <c r="S26" s="98">
        <f t="shared" si="2"/>
        <v>1371726.718499111</v>
      </c>
      <c r="W26" s="47"/>
      <c r="X26" s="917"/>
      <c r="Y26" s="917"/>
      <c r="Z26" s="917"/>
      <c r="AA26" s="47"/>
      <c r="AB26" s="47"/>
    </row>
    <row r="27" spans="1:28">
      <c r="A27" s="96">
        <v>10</v>
      </c>
      <c r="B27" s="81"/>
      <c r="C27" s="43" t="s">
        <v>35</v>
      </c>
      <c r="D27" s="77"/>
      <c r="E27" s="81"/>
      <c r="F27" s="49"/>
      <c r="G27" s="802">
        <f>+'Operating Report'!I93</f>
        <v>-11674.481745569734</v>
      </c>
      <c r="H27" s="803"/>
      <c r="I27" s="98">
        <f>+'Operating Report'!K91</f>
        <v>59987.818232679398</v>
      </c>
      <c r="J27" s="98">
        <v>0</v>
      </c>
      <c r="K27" s="595">
        <f>+'Operating Report'!M93</f>
        <v>3359.4546</v>
      </c>
      <c r="L27" s="98"/>
      <c r="M27" s="98"/>
      <c r="N27" s="98"/>
      <c r="O27" s="595">
        <f>+'Operating Report'!P93</f>
        <v>63425.371837999992</v>
      </c>
      <c r="P27" s="595">
        <f>+'Operating Report'!Q91</f>
        <v>0</v>
      </c>
      <c r="Q27" s="98"/>
      <c r="R27" s="804"/>
      <c r="S27" s="98">
        <f t="shared" si="2"/>
        <v>115098.16292510965</v>
      </c>
      <c r="W27" s="47"/>
      <c r="X27" s="917"/>
      <c r="Y27" s="917"/>
      <c r="Z27" s="917"/>
      <c r="AA27" s="47"/>
      <c r="AB27" s="47"/>
    </row>
    <row r="28" spans="1:28">
      <c r="A28" s="96">
        <v>11</v>
      </c>
      <c r="B28" s="81"/>
      <c r="C28" s="43" t="s">
        <v>14</v>
      </c>
      <c r="D28" s="77"/>
      <c r="E28" s="81"/>
      <c r="F28" s="49"/>
      <c r="G28" s="805"/>
      <c r="H28" s="100"/>
      <c r="I28" s="100"/>
      <c r="J28" s="100"/>
      <c r="K28" s="100"/>
      <c r="L28" s="100"/>
      <c r="M28" s="100"/>
      <c r="N28" s="100"/>
      <c r="O28" s="595">
        <f>+'Operating Report'!P100</f>
        <v>13994.48</v>
      </c>
      <c r="P28" s="100"/>
      <c r="Q28" s="100"/>
      <c r="R28" s="100"/>
      <c r="S28" s="98">
        <f t="shared" si="2"/>
        <v>13994.48</v>
      </c>
      <c r="W28" s="47"/>
      <c r="X28" s="917"/>
      <c r="Y28" s="917"/>
      <c r="Z28" s="917"/>
      <c r="AA28" s="47"/>
      <c r="AB28" s="47"/>
    </row>
    <row r="29" spans="1:28">
      <c r="A29" s="96">
        <v>12</v>
      </c>
      <c r="B29" s="81"/>
      <c r="C29" s="43" t="s">
        <v>15</v>
      </c>
      <c r="D29" s="77"/>
      <c r="E29" s="81"/>
      <c r="F29" s="49"/>
      <c r="G29" s="100"/>
      <c r="H29" s="100">
        <f>+'Operating Report'!J105</f>
        <v>-1977.2275</v>
      </c>
      <c r="I29" s="100"/>
      <c r="J29" s="100"/>
      <c r="K29" s="100"/>
      <c r="L29" s="100"/>
      <c r="M29" s="100"/>
      <c r="N29" s="100"/>
      <c r="O29" s="100">
        <f>'Operating Report'!P107</f>
        <v>53.44</v>
      </c>
      <c r="P29" s="100"/>
      <c r="Q29" s="100"/>
      <c r="R29" s="100"/>
      <c r="S29" s="98">
        <f t="shared" si="2"/>
        <v>-1923.7874999999999</v>
      </c>
      <c r="W29" s="47"/>
      <c r="X29" s="917"/>
      <c r="Y29" s="917"/>
      <c r="Z29" s="917"/>
      <c r="AA29" s="47"/>
      <c r="AB29" s="47"/>
    </row>
    <row r="30" spans="1:28">
      <c r="A30" s="96">
        <v>13</v>
      </c>
      <c r="B30" s="101"/>
      <c r="C30" s="43" t="s">
        <v>16</v>
      </c>
      <c r="D30" s="102"/>
      <c r="E30" s="101"/>
      <c r="F30" s="103"/>
      <c r="G30" s="100"/>
      <c r="H30" s="100">
        <f>+'Operating Report'!J117</f>
        <v>-25714.466148000007</v>
      </c>
      <c r="I30" s="100"/>
      <c r="J30" s="100"/>
      <c r="K30" s="100">
        <f>+'Operating Report'!M123</f>
        <v>39.050400000000003</v>
      </c>
      <c r="L30" s="100">
        <f>+'Operating Report'!N121</f>
        <v>-2430195.31</v>
      </c>
      <c r="M30" s="100">
        <f>-'Exh. No. BGM-3 (1)'!W20*1000</f>
        <v>-175185</v>
      </c>
      <c r="N30" s="100"/>
      <c r="O30" s="100">
        <f>+'Operating Report'!P123</f>
        <v>56721.552872</v>
      </c>
      <c r="P30" s="100"/>
      <c r="Q30" s="100"/>
      <c r="R30" s="100"/>
      <c r="S30" s="98">
        <f t="shared" si="2"/>
        <v>-2574334.1728760004</v>
      </c>
      <c r="W30" s="47"/>
      <c r="X30" s="917"/>
      <c r="Y30" s="917"/>
      <c r="Z30" s="917"/>
      <c r="AA30" s="47"/>
      <c r="AB30" s="47"/>
    </row>
    <row r="31" spans="1:28">
      <c r="A31" s="96">
        <v>14</v>
      </c>
      <c r="B31" s="81"/>
      <c r="C31" s="43" t="s">
        <v>36</v>
      </c>
      <c r="D31" s="77"/>
      <c r="E31" s="81"/>
      <c r="F31" s="49"/>
      <c r="G31" s="804"/>
      <c r="H31" s="804"/>
      <c r="I31" s="804"/>
      <c r="J31" s="1011">
        <f>+SUM('AWEC-20 DEPR Study'!AH4:AH94)</f>
        <v>670360.92777574621</v>
      </c>
      <c r="K31" s="100"/>
      <c r="L31" s="804"/>
      <c r="M31" s="804"/>
      <c r="N31" s="804"/>
      <c r="O31" s="100"/>
      <c r="P31" s="100">
        <f>+'Operating Report'!Q128</f>
        <v>95306.739380771993</v>
      </c>
      <c r="Q31" s="100"/>
      <c r="R31" s="99"/>
      <c r="S31" s="98">
        <f t="shared" si="2"/>
        <v>765667.6671565182</v>
      </c>
      <c r="W31" s="47"/>
      <c r="X31" s="917"/>
      <c r="Y31" s="917"/>
      <c r="Z31" s="917"/>
      <c r="AA31" s="47"/>
      <c r="AB31" s="47"/>
    </row>
    <row r="32" spans="1:28">
      <c r="A32" s="96">
        <v>15</v>
      </c>
      <c r="B32" s="81"/>
      <c r="C32" s="43" t="s">
        <v>37</v>
      </c>
      <c r="D32" s="77"/>
      <c r="E32" s="81"/>
      <c r="F32" s="49"/>
      <c r="G32" s="100"/>
      <c r="H32" s="100"/>
      <c r="I32" s="100"/>
      <c r="J32" s="100"/>
      <c r="K32" s="100"/>
      <c r="L32" s="100"/>
      <c r="M32" s="100"/>
      <c r="N32" s="100"/>
      <c r="O32" s="100"/>
      <c r="P32" s="100"/>
      <c r="Q32" s="100"/>
      <c r="R32" s="100"/>
      <c r="S32" s="98">
        <f t="shared" si="2"/>
        <v>0</v>
      </c>
      <c r="W32" s="47"/>
      <c r="X32" s="917"/>
      <c r="Y32" s="917"/>
      <c r="Z32" s="917"/>
      <c r="AA32" s="47"/>
      <c r="AB32" s="47"/>
    </row>
    <row r="33" spans="1:131">
      <c r="A33" s="96">
        <v>16</v>
      </c>
      <c r="B33" s="81"/>
      <c r="C33" s="43" t="s">
        <v>38</v>
      </c>
      <c r="D33" s="77"/>
      <c r="E33" s="81"/>
      <c r="F33" s="49"/>
      <c r="G33" s="100"/>
      <c r="H33" s="100"/>
      <c r="I33" s="100"/>
      <c r="J33" s="100"/>
      <c r="K33" s="100">
        <f>+'Operating Report'!M140</f>
        <v>6163.0958619000021</v>
      </c>
      <c r="L33" s="100"/>
      <c r="M33" s="100"/>
      <c r="N33" s="100"/>
      <c r="O33" s="100">
        <f>+'Operating Report'!P140</f>
        <v>38480.021182106997</v>
      </c>
      <c r="P33" s="100">
        <f>+'Operating Report'!Q140</f>
        <v>82445.795722386451</v>
      </c>
      <c r="Q33" s="100"/>
      <c r="R33" s="100"/>
      <c r="S33" s="98">
        <f t="shared" si="2"/>
        <v>127088.91276639345</v>
      </c>
      <c r="T33" s="49"/>
      <c r="W33" s="47"/>
      <c r="X33" s="917"/>
      <c r="Y33" s="917"/>
      <c r="Z33" s="917"/>
      <c r="AA33" s="47"/>
      <c r="AB33" s="47"/>
    </row>
    <row r="34" spans="1:131">
      <c r="A34" s="96">
        <v>17</v>
      </c>
      <c r="B34" s="81"/>
      <c r="C34" s="43" t="s">
        <v>39</v>
      </c>
      <c r="D34" s="77"/>
      <c r="E34" s="81"/>
      <c r="F34" s="49"/>
      <c r="G34" s="100">
        <f>+'Operating Report'!I149</f>
        <v>-582714.75663879036</v>
      </c>
      <c r="H34" s="100">
        <f>+'Operating Report'!J143</f>
        <v>5815.255666080001</v>
      </c>
      <c r="I34" s="100">
        <f>+'Operating Report'!K149</f>
        <v>2994204.5963635934</v>
      </c>
      <c r="J34" s="100">
        <f>-J31*0.21</f>
        <v>-140775.79483290669</v>
      </c>
      <c r="K34" s="100">
        <f>+'Operating Report'!M149</f>
        <v>-18212.552496998997</v>
      </c>
      <c r="L34" s="100">
        <f>+'Operating Report'!N149</f>
        <v>510341.01510000002</v>
      </c>
      <c r="M34" s="100">
        <f>-M30*0.21</f>
        <v>36788.85</v>
      </c>
      <c r="N34" s="100">
        <f>+'Operating Report'!O149</f>
        <v>444447.57275021065</v>
      </c>
      <c r="O34" s="100">
        <f>+'Operating Report'!P143</f>
        <v>-114395.90792282246</v>
      </c>
      <c r="P34" s="100">
        <f>+'Operating Report'!Q143</f>
        <v>-37328.03237166327</v>
      </c>
      <c r="Q34" s="100">
        <f>+'Operating Report'!R143</f>
        <v>-194407.4813333333</v>
      </c>
      <c r="R34" s="100"/>
      <c r="S34" s="98">
        <f t="shared" si="2"/>
        <v>2903762.7642833693</v>
      </c>
      <c r="T34" s="49"/>
      <c r="W34" s="47"/>
      <c r="X34" s="917"/>
      <c r="Y34" s="917"/>
      <c r="Z34" s="917"/>
      <c r="AA34" s="47"/>
      <c r="AB34" s="922"/>
    </row>
    <row r="35" spans="1:131">
      <c r="A35" s="96">
        <v>18</v>
      </c>
      <c r="B35" s="81"/>
      <c r="C35" s="46" t="s">
        <v>40</v>
      </c>
      <c r="D35" s="77"/>
      <c r="E35" s="81"/>
      <c r="F35" s="49"/>
      <c r="G35" s="100">
        <f>SUM(G23:G34)</f>
        <v>-712066.78216836008</v>
      </c>
      <c r="H35" s="100">
        <f>SUM(H23:H34)</f>
        <v>-21876.437981920008</v>
      </c>
      <c r="I35" s="100">
        <f t="shared" ref="I35" si="3">SUM(I23:I34)</f>
        <v>3658863.2908226727</v>
      </c>
      <c r="J35" s="100">
        <f>SUM(J23:J34)</f>
        <v>529585.13294283953</v>
      </c>
      <c r="K35" s="100">
        <f t="shared" ref="K35" si="4">SUM(K23:K34)</f>
        <v>68513.88796490099</v>
      </c>
      <c r="L35" s="100">
        <f>SUM(L25:L34)</f>
        <v>-1919854.2949000001</v>
      </c>
      <c r="M35" s="100">
        <f>SUM(M25:M34)</f>
        <v>-138396.15</v>
      </c>
      <c r="N35" s="100">
        <f>SUM(N25:N34)</f>
        <v>444447.57275021065</v>
      </c>
      <c r="O35" s="100">
        <f t="shared" ref="O35:Q35" si="5">SUM(O23:O34)</f>
        <v>430346.51075728453</v>
      </c>
      <c r="P35" s="100">
        <f>SUM(P23:P34)</f>
        <v>140424.50273149519</v>
      </c>
      <c r="Q35" s="100">
        <f t="shared" si="5"/>
        <v>731342.42977777775</v>
      </c>
      <c r="R35" s="100"/>
      <c r="S35" s="98">
        <f t="shared" si="2"/>
        <v>3211329.6626969017</v>
      </c>
      <c r="T35" s="49"/>
      <c r="W35" s="47"/>
      <c r="X35" s="917"/>
      <c r="Y35" s="917"/>
      <c r="Z35" s="917"/>
      <c r="AA35" s="47"/>
      <c r="AB35" s="47"/>
    </row>
    <row r="36" spans="1:131" ht="16.5" thickBot="1">
      <c r="A36" s="96">
        <v>19</v>
      </c>
      <c r="B36" s="81"/>
      <c r="C36" s="46" t="s">
        <v>17</v>
      </c>
      <c r="D36" s="77"/>
      <c r="E36" s="81"/>
      <c r="F36" s="49"/>
      <c r="G36" s="353">
        <f>+G20-G35</f>
        <v>-2192117.4178316402</v>
      </c>
      <c r="H36" s="353">
        <f>+H20-H35</f>
        <v>21876.437981920008</v>
      </c>
      <c r="I36" s="353">
        <f t="shared" ref="I36" si="6">+I20-I35</f>
        <v>11263912.52917733</v>
      </c>
      <c r="J36" s="353">
        <f>+J20-J35</f>
        <v>-529585.13294283953</v>
      </c>
      <c r="K36" s="353">
        <f t="shared" ref="K36" si="7">+K20-K35</f>
        <v>-68513.88796490099</v>
      </c>
      <c r="L36" s="353">
        <f t="shared" ref="L36:M36" si="8">+L20-L35</f>
        <v>1919854.2949000001</v>
      </c>
      <c r="M36" s="353">
        <f t="shared" si="8"/>
        <v>138396.15</v>
      </c>
      <c r="N36" s="353">
        <f t="shared" ref="N36:Q36" si="9">+N20-N35</f>
        <v>-444447.57275021065</v>
      </c>
      <c r="O36" s="353">
        <f>+O20-O35</f>
        <v>-430346.51075728453</v>
      </c>
      <c r="P36" s="353">
        <f>+P20-P35</f>
        <v>-140424.50273149519</v>
      </c>
      <c r="Q36" s="353">
        <f t="shared" si="9"/>
        <v>-731342.42977777775</v>
      </c>
      <c r="R36" s="353"/>
      <c r="S36" s="353">
        <f>+S20-S35</f>
        <v>8807261.9573030993</v>
      </c>
      <c r="T36" s="49"/>
      <c r="W36" s="47"/>
      <c r="X36" s="917"/>
      <c r="Y36" s="917"/>
      <c r="Z36" s="917"/>
      <c r="AA36" s="47"/>
      <c r="AB36" s="47"/>
    </row>
    <row r="37" spans="1:131" ht="16.5" thickBot="1">
      <c r="A37" s="96"/>
      <c r="B37" s="81"/>
      <c r="C37" s="46"/>
      <c r="D37" s="77"/>
      <c r="E37" s="81"/>
      <c r="F37" s="49"/>
      <c r="G37" s="106"/>
      <c r="H37" s="106"/>
      <c r="I37" s="106"/>
      <c r="J37" s="106"/>
      <c r="K37" s="106"/>
      <c r="L37" s="106"/>
      <c r="M37" s="106"/>
      <c r="N37" s="106"/>
      <c r="O37" s="596"/>
      <c r="P37" s="106"/>
      <c r="Q37" s="106"/>
      <c r="R37" s="807"/>
      <c r="S37" s="106"/>
      <c r="T37" s="107"/>
      <c r="W37" s="47"/>
      <c r="X37" s="915"/>
      <c r="Y37" s="915"/>
      <c r="Z37" s="915"/>
      <c r="AA37" s="47"/>
      <c r="AB37" s="47"/>
    </row>
    <row r="38" spans="1:131" ht="16.5" thickTop="1">
      <c r="A38" s="96">
        <v>20</v>
      </c>
      <c r="B38" s="81"/>
      <c r="C38" s="46" t="s">
        <v>41</v>
      </c>
      <c r="D38" s="77"/>
      <c r="E38" s="81"/>
      <c r="F38" s="49"/>
      <c r="G38" s="108"/>
      <c r="H38" s="108"/>
      <c r="I38" s="108"/>
      <c r="J38" s="108"/>
      <c r="K38" s="354"/>
      <c r="L38" s="108"/>
      <c r="M38" s="108"/>
      <c r="N38" s="108"/>
      <c r="O38" s="99"/>
      <c r="P38" s="108"/>
      <c r="Q38" s="108"/>
      <c r="R38" s="108"/>
      <c r="S38" s="808"/>
      <c r="T38" s="49"/>
      <c r="W38" s="47"/>
      <c r="X38" s="918"/>
      <c r="Y38" s="918"/>
      <c r="Z38" s="918"/>
      <c r="AA38" s="47"/>
      <c r="AB38" s="47"/>
    </row>
    <row r="39" spans="1:131">
      <c r="A39" s="96">
        <v>21</v>
      </c>
      <c r="B39" s="81"/>
      <c r="C39" s="37" t="s">
        <v>43</v>
      </c>
      <c r="D39" s="77"/>
      <c r="E39" s="81"/>
      <c r="F39" s="49"/>
      <c r="G39" s="804"/>
      <c r="H39" s="804"/>
      <c r="I39" s="804"/>
      <c r="J39" s="100">
        <v>0</v>
      </c>
      <c r="K39" s="804"/>
      <c r="L39" s="804"/>
      <c r="M39" s="804"/>
      <c r="N39" s="804"/>
      <c r="O39" s="100"/>
      <c r="P39" s="100">
        <f>+'Pro Forma Plant Additions'!E16</f>
        <v>7118539.0799999908</v>
      </c>
      <c r="Q39" s="100"/>
      <c r="R39" s="804"/>
      <c r="S39" s="98">
        <f>SUM(G39:R39)</f>
        <v>7118539.0799999908</v>
      </c>
      <c r="T39" s="49"/>
      <c r="W39" s="47"/>
      <c r="X39" s="917"/>
      <c r="Y39" s="917"/>
      <c r="Z39" s="917"/>
      <c r="AA39" s="47"/>
      <c r="AB39" s="47"/>
    </row>
    <row r="40" spans="1:131">
      <c r="A40" s="96">
        <v>22</v>
      </c>
      <c r="B40" s="81"/>
      <c r="C40" s="37" t="s">
        <v>44</v>
      </c>
      <c r="D40" s="77"/>
      <c r="E40" s="81"/>
      <c r="F40" s="49"/>
      <c r="G40" s="99"/>
      <c r="H40" s="99"/>
      <c r="I40" s="99"/>
      <c r="J40" s="99">
        <v>0</v>
      </c>
      <c r="K40" s="809"/>
      <c r="L40" s="99"/>
      <c r="M40" s="99"/>
      <c r="N40" s="99"/>
      <c r="O40" s="99"/>
      <c r="P40" s="99">
        <f>-'Pro Forma Plant Additions'!E19+SUM('Exh. No. BGM-3 (1)'!AA33:AA34)*1000</f>
        <v>-47653.369690385996</v>
      </c>
      <c r="Q40" s="99"/>
      <c r="R40" s="100"/>
      <c r="S40" s="98">
        <f>SUM(G40:R40)</f>
        <v>-47653.369690385996</v>
      </c>
      <c r="T40" s="49"/>
      <c r="W40" s="47"/>
      <c r="X40" s="917"/>
      <c r="Y40" s="917"/>
      <c r="Z40" s="917"/>
      <c r="AA40" s="47"/>
      <c r="AB40" s="47"/>
    </row>
    <row r="41" spans="1:131">
      <c r="A41" s="96">
        <v>23</v>
      </c>
      <c r="B41" s="81"/>
      <c r="C41" s="40" t="s">
        <v>18</v>
      </c>
      <c r="D41" s="77"/>
      <c r="E41" s="81"/>
      <c r="F41" s="49"/>
      <c r="G41" s="99"/>
      <c r="H41" s="99"/>
      <c r="I41" s="99"/>
      <c r="J41" s="99">
        <v>0</v>
      </c>
      <c r="K41" s="809"/>
      <c r="L41" s="99"/>
      <c r="M41" s="99"/>
      <c r="N41" s="99"/>
      <c r="O41" s="99"/>
      <c r="P41" s="99"/>
      <c r="Q41" s="99"/>
      <c r="R41" s="100"/>
      <c r="S41" s="98">
        <f>SUM(G41:R41)</f>
        <v>0</v>
      </c>
      <c r="T41" s="49"/>
      <c r="W41" s="47"/>
      <c r="X41" s="917"/>
      <c r="Y41" s="917"/>
      <c r="Z41" s="917"/>
      <c r="AA41" s="47"/>
      <c r="AB41" s="47"/>
    </row>
    <row r="42" spans="1:131" ht="16.5" thickBot="1">
      <c r="A42" s="96">
        <v>24</v>
      </c>
      <c r="B42" s="81"/>
      <c r="C42" s="40" t="s">
        <v>45</v>
      </c>
      <c r="D42" s="77"/>
      <c r="E42" s="81"/>
      <c r="F42" s="49"/>
      <c r="G42" s="99"/>
      <c r="H42" s="99"/>
      <c r="I42" s="99"/>
      <c r="J42" s="99">
        <v>0</v>
      </c>
      <c r="K42" s="809"/>
      <c r="L42" s="99"/>
      <c r="M42" s="99"/>
      <c r="N42" s="99"/>
      <c r="O42" s="99"/>
      <c r="P42" s="99">
        <f>-'Pro Forma Plant Additions'!E22</f>
        <v>49722.916955459936</v>
      </c>
      <c r="Q42" s="99"/>
      <c r="R42" s="109"/>
      <c r="S42" s="98">
        <f>SUM(G42:R42)</f>
        <v>49722.916955459936</v>
      </c>
      <c r="T42" s="49"/>
      <c r="W42" s="47"/>
      <c r="X42" s="917"/>
      <c r="Y42" s="917"/>
      <c r="Z42" s="917"/>
      <c r="AA42" s="47"/>
      <c r="AB42" s="47"/>
    </row>
    <row r="43" spans="1:131">
      <c r="A43" s="96">
        <v>25</v>
      </c>
      <c r="B43" s="81"/>
      <c r="C43" s="40" t="s">
        <v>46</v>
      </c>
      <c r="D43" s="77"/>
      <c r="E43" s="81"/>
      <c r="F43" s="49"/>
      <c r="G43" s="99"/>
      <c r="H43" s="99"/>
      <c r="I43" s="99"/>
      <c r="J43" s="99">
        <f>+'Rate Base'!H18-'Rate Base'!D18</f>
        <v>0</v>
      </c>
      <c r="K43" s="809"/>
      <c r="L43" s="99"/>
      <c r="M43" s="99"/>
      <c r="N43" s="99"/>
      <c r="O43" s="99"/>
      <c r="P43" s="99"/>
      <c r="Q43" s="99"/>
      <c r="R43" s="100"/>
      <c r="S43" s="98">
        <f>SUM(G43:R43)</f>
        <v>0</v>
      </c>
      <c r="T43" s="49"/>
      <c r="W43" s="47"/>
      <c r="X43" s="917"/>
      <c r="Y43" s="917"/>
      <c r="Z43" s="917"/>
      <c r="AA43" s="47"/>
      <c r="AB43" s="47"/>
    </row>
    <row r="44" spans="1:131" ht="16.5" thickBot="1">
      <c r="A44" s="96">
        <v>26</v>
      </c>
      <c r="B44" s="81"/>
      <c r="C44" s="46" t="s">
        <v>42</v>
      </c>
      <c r="D44" s="77"/>
      <c r="E44" s="81"/>
      <c r="F44" s="49"/>
      <c r="G44" s="109">
        <f>SUM(G39:G43)</f>
        <v>0</v>
      </c>
      <c r="H44" s="109">
        <f>SUM(H39:H43)</f>
        <v>0</v>
      </c>
      <c r="I44" s="109">
        <f>SUM(I39:I43)</f>
        <v>0</v>
      </c>
      <c r="J44" s="109">
        <f>SUM(J39:J43)</f>
        <v>0</v>
      </c>
      <c r="K44" s="109">
        <f t="shared" ref="K44" si="10">SUM(K39:K43)</f>
        <v>0</v>
      </c>
      <c r="L44" s="109">
        <f>SUM(L39:L43)</f>
        <v>0</v>
      </c>
      <c r="M44" s="109">
        <f>SUM(M39:M43)</f>
        <v>0</v>
      </c>
      <c r="N44" s="109">
        <f>SUM(N39:N43)</f>
        <v>0</v>
      </c>
      <c r="O44" s="109">
        <f>SUM(O39:O43)</f>
        <v>0</v>
      </c>
      <c r="P44" s="109">
        <f>SUM(P39:P43)</f>
        <v>7120608.627265065</v>
      </c>
      <c r="Q44" s="109"/>
      <c r="R44" s="109"/>
      <c r="S44" s="109">
        <f>SUM(S39:S43)</f>
        <v>7120608.627265065</v>
      </c>
      <c r="T44" s="49"/>
      <c r="W44" s="47"/>
      <c r="X44" s="918"/>
      <c r="Y44" s="918"/>
      <c r="Z44" s="918"/>
      <c r="AA44" s="47"/>
      <c r="AB44" s="47"/>
    </row>
    <row r="45" spans="1:131" ht="16.5" thickBot="1">
      <c r="A45" s="96"/>
      <c r="B45" s="101"/>
      <c r="C45" s="110"/>
      <c r="D45" s="102"/>
      <c r="E45" s="101"/>
      <c r="F45" s="103"/>
      <c r="G45" s="104"/>
      <c r="H45" s="104"/>
      <c r="I45" s="104"/>
      <c r="J45" s="104"/>
      <c r="K45" s="104"/>
      <c r="L45" s="104"/>
      <c r="M45" s="104"/>
      <c r="N45" s="104"/>
      <c r="O45" s="597"/>
      <c r="P45" s="111"/>
      <c r="Q45" s="104"/>
      <c r="R45" s="806"/>
      <c r="S45" s="111"/>
      <c r="T45" s="112"/>
      <c r="W45" s="110"/>
      <c r="X45" s="919"/>
      <c r="Y45" s="919"/>
      <c r="Z45" s="919"/>
      <c r="AA45" s="110"/>
      <c r="AB45" s="110"/>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row>
    <row r="46" spans="1:131">
      <c r="A46" s="96">
        <v>27</v>
      </c>
      <c r="B46" s="113"/>
      <c r="C46" s="114" t="s">
        <v>59</v>
      </c>
      <c r="D46" s="115"/>
      <c r="E46" s="101"/>
      <c r="F46" s="103"/>
      <c r="G46" s="116">
        <f>((+G44*'Capital Structure Calculation'!$J$14)-'Summary of Adj'!G36)/' Conversion Factor'!$C$25</f>
        <v>2904184.2</v>
      </c>
      <c r="H46" s="116">
        <f>((+H44*'Capital Structure Calculation'!$J$14)-'Summary of Adj'!H36)/' Conversion Factor'!$C$25</f>
        <v>-28982.574118779015</v>
      </c>
      <c r="I46" s="116">
        <f>((+I44*'Capital Structure Calculation'!$J$14)-'Summary of Adj'!I36)/' Conversion Factor'!$C$25</f>
        <v>-14922775.820000004</v>
      </c>
      <c r="J46" s="116">
        <f>((+J44*'Capital Structure Calculation'!$J$14)-'Summary of Adj'!J36)/' Conversion Factor'!$C$25</f>
        <v>701610.58122919267</v>
      </c>
      <c r="K46" s="116">
        <f>((+K44*'Capital Structure Calculation'!$J$14)-'Summary of Adj'!K36)/' Conversion Factor'!$C$25</f>
        <v>90769.294240203672</v>
      </c>
      <c r="L46" s="116">
        <f>((+L44*'Capital Structure Calculation'!$J$14)-'Summary of Adj'!L36)/' Conversion Factor'!$C$25</f>
        <v>-2543481.6877035284</v>
      </c>
      <c r="M46" s="116">
        <f>((+M44*'Capital Structure Calculation'!$J$14)-'Summary of Adj'!M36)/' Conversion Factor'!$C$25</f>
        <v>-183351.45229966831</v>
      </c>
      <c r="N46" s="116">
        <f>((+N44*'Capital Structure Calculation'!$J$14)-'Summary of Adj'!N36)/' Conversion Factor'!$C$25</f>
        <v>588817.73759467737</v>
      </c>
      <c r="O46" s="116">
        <f>((+O44*'Capital Structure Calculation'!$J$14)-'Summary of Adj'!O36)/' Conversion Factor'!$C$25</f>
        <v>570136.21939225146</v>
      </c>
      <c r="P46" s="116">
        <f>((+P44*'Capital Structure Calculation'!$J$14)-'Summary of Adj'!P36)/' Conversion Factor'!$C$25</f>
        <v>830259.22616630804</v>
      </c>
      <c r="Q46" s="116">
        <f>((+Q44*'Capital Structure Calculation'!$J$14)-'Summary of Adj'!Q36)/' Conversion Factor'!$C$25</f>
        <v>968904.8187259814</v>
      </c>
      <c r="R46" s="116"/>
      <c r="S46" s="116">
        <f>((+S44*'Capital Structure Calculation'!$J$14)-'Summary of Adj'!S36)/' Conversion Factor'!$C$25</f>
        <v>-11023909.456773361</v>
      </c>
      <c r="T46" s="117"/>
      <c r="W46" s="914"/>
      <c r="X46" s="914"/>
      <c r="Y46" s="914"/>
      <c r="Z46" s="914"/>
      <c r="AA46" s="914"/>
      <c r="AB46" s="914"/>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row>
    <row r="47" spans="1:131">
      <c r="A47" s="49"/>
      <c r="B47" s="49"/>
      <c r="C47" s="49"/>
      <c r="D47" s="49"/>
      <c r="E47" s="49"/>
      <c r="F47" s="49"/>
      <c r="G47" s="118"/>
      <c r="H47" s="118"/>
      <c r="I47" s="118"/>
      <c r="J47" s="118"/>
      <c r="K47" s="299"/>
      <c r="L47" s="299"/>
      <c r="M47" s="299"/>
      <c r="N47" s="118"/>
      <c r="O47" s="118"/>
      <c r="P47" s="118"/>
      <c r="Q47" s="299"/>
      <c r="R47" s="118"/>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row>
    <row r="48" spans="1:131">
      <c r="A48" s="49"/>
      <c r="B48" s="49"/>
      <c r="C48" s="49"/>
      <c r="D48" s="49"/>
      <c r="E48" s="49"/>
      <c r="F48" s="49"/>
      <c r="G48" s="119"/>
      <c r="H48" s="119"/>
      <c r="I48" s="119"/>
      <c r="J48" s="119"/>
      <c r="K48" s="149"/>
      <c r="L48" s="149"/>
      <c r="M48" s="149"/>
      <c r="N48" s="119"/>
      <c r="O48" s="119"/>
      <c r="P48" s="119"/>
      <c r="Q48" s="149"/>
      <c r="R48" s="120"/>
      <c r="S48" s="50"/>
      <c r="T48" s="50"/>
      <c r="U48" s="50"/>
      <c r="V48" s="50"/>
      <c r="W48" s="50"/>
      <c r="X48" s="50"/>
      <c r="Y48" s="50"/>
      <c r="Z48" s="50"/>
      <c r="AA48" s="50"/>
      <c r="AB48" s="50"/>
      <c r="AC48" s="50"/>
      <c r="AD48" s="50"/>
      <c r="AE48" s="50"/>
      <c r="AF48" s="50"/>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row>
    <row r="49" spans="1:131">
      <c r="A49" s="49"/>
      <c r="B49" s="49"/>
      <c r="C49" s="49"/>
      <c r="D49" s="49"/>
      <c r="E49" s="49"/>
      <c r="F49" s="49"/>
      <c r="G49" s="50"/>
      <c r="H49" s="50"/>
      <c r="I49" s="50"/>
      <c r="J49" s="50"/>
      <c r="K49" s="50"/>
      <c r="L49" s="50"/>
      <c r="M49" s="50"/>
      <c r="N49" s="50"/>
      <c r="O49" s="121"/>
      <c r="P49" s="50"/>
      <c r="Q49" s="50"/>
      <c r="R49" s="50"/>
      <c r="S49" s="122"/>
      <c r="T49" s="50"/>
      <c r="U49" s="50"/>
      <c r="V49" s="50"/>
      <c r="W49" s="50"/>
      <c r="X49" s="122"/>
      <c r="Y49" s="122"/>
      <c r="Z49" s="122"/>
      <c r="AA49" s="50"/>
      <c r="AB49" s="50"/>
      <c r="AC49" s="50"/>
      <c r="AD49" s="50"/>
      <c r="AE49" s="50"/>
      <c r="AF49" s="50"/>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row>
    <row r="50" spans="1:131">
      <c r="A50" s="49"/>
      <c r="B50" s="49"/>
      <c r="C50" s="49"/>
      <c r="D50" s="49"/>
      <c r="E50" s="49"/>
      <c r="F50" s="49"/>
      <c r="G50" s="50"/>
      <c r="H50" s="50"/>
      <c r="I50" s="50"/>
      <c r="J50" s="50"/>
      <c r="K50" s="50"/>
      <c r="L50" s="50"/>
      <c r="M50" s="50"/>
      <c r="N50" s="50"/>
      <c r="O50" s="123"/>
      <c r="P50" s="50"/>
      <c r="Q50" s="50"/>
      <c r="R50" s="50"/>
      <c r="S50" s="124"/>
      <c r="T50" s="50"/>
      <c r="U50" s="50"/>
      <c r="V50" s="50"/>
      <c r="W50" s="50"/>
      <c r="X50" s="124"/>
      <c r="Y50" s="124"/>
      <c r="Z50" s="124"/>
      <c r="AA50" s="50"/>
      <c r="AB50" s="50"/>
      <c r="AC50" s="50"/>
      <c r="AD50" s="50"/>
      <c r="AE50" s="50"/>
      <c r="AF50" s="50"/>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row>
    <row r="51" spans="1:131">
      <c r="A51" s="49"/>
      <c r="B51" s="49"/>
      <c r="C51" s="49"/>
      <c r="D51" s="49"/>
      <c r="E51" s="49"/>
      <c r="F51" s="49"/>
      <c r="G51" s="50"/>
      <c r="H51" s="125"/>
      <c r="I51" s="125"/>
      <c r="J51" s="125"/>
      <c r="K51" s="125"/>
      <c r="L51" s="125"/>
      <c r="M51" s="125"/>
      <c r="N51" s="125"/>
      <c r="O51" s="123"/>
      <c r="P51" s="125"/>
      <c r="Q51" s="125"/>
      <c r="R51" s="50"/>
      <c r="S51" s="50"/>
      <c r="T51" s="50"/>
      <c r="U51" s="50"/>
      <c r="V51" s="50"/>
      <c r="W51" s="50"/>
      <c r="X51" s="50"/>
      <c r="Y51" s="50"/>
      <c r="Z51" s="50"/>
      <c r="AA51" s="50"/>
      <c r="AB51" s="50"/>
      <c r="AC51" s="50"/>
      <c r="AD51" s="50"/>
      <c r="AE51" s="50"/>
      <c r="AF51" s="50"/>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row>
    <row r="52" spans="1:131">
      <c r="A52" s="49"/>
      <c r="B52" s="49"/>
      <c r="C52" s="49"/>
      <c r="D52" s="49"/>
      <c r="E52" s="49"/>
      <c r="F52" s="49"/>
      <c r="G52" s="50"/>
      <c r="H52" s="50"/>
      <c r="I52" s="50"/>
      <c r="J52" s="50"/>
      <c r="K52" s="50"/>
      <c r="L52" s="50"/>
      <c r="M52" s="50"/>
      <c r="N52" s="50"/>
      <c r="O52" s="123"/>
      <c r="P52" s="50"/>
      <c r="Q52" s="50"/>
      <c r="R52" s="50"/>
      <c r="S52" s="50"/>
      <c r="T52" s="50"/>
      <c r="U52" s="50"/>
      <c r="V52" s="50"/>
      <c r="W52" s="50"/>
      <c r="X52" s="50"/>
      <c r="Y52" s="50"/>
      <c r="Z52" s="50"/>
      <c r="AA52" s="50"/>
      <c r="AB52" s="50"/>
      <c r="AC52" s="50"/>
      <c r="AD52" s="50"/>
      <c r="AE52" s="50"/>
      <c r="AF52" s="50"/>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row>
    <row r="53" spans="1:131">
      <c r="A53" s="49"/>
      <c r="B53" s="49"/>
      <c r="C53" s="49"/>
      <c r="D53" s="49"/>
      <c r="E53" s="49"/>
      <c r="F53" s="49"/>
      <c r="G53" s="50"/>
      <c r="H53" s="125"/>
      <c r="I53" s="125"/>
      <c r="J53" s="125"/>
      <c r="K53" s="125"/>
      <c r="L53" s="125"/>
      <c r="M53" s="125"/>
      <c r="N53" s="125"/>
      <c r="O53" s="123"/>
      <c r="P53" s="125"/>
      <c r="Q53" s="125"/>
      <c r="R53" s="50"/>
      <c r="S53" s="50"/>
      <c r="T53" s="50"/>
      <c r="U53" s="50"/>
      <c r="V53" s="50"/>
      <c r="W53" s="50"/>
      <c r="X53" s="50"/>
      <c r="Y53" s="50"/>
      <c r="Z53" s="50"/>
      <c r="AA53" s="50"/>
      <c r="AB53" s="50"/>
      <c r="AC53" s="50"/>
      <c r="AD53" s="50"/>
      <c r="AE53" s="50"/>
      <c r="AF53" s="50"/>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row>
    <row r="54" spans="1:131">
      <c r="A54" s="49"/>
      <c r="B54" s="49"/>
      <c r="C54" s="49"/>
      <c r="D54" s="49"/>
      <c r="E54" s="49"/>
      <c r="F54" s="49"/>
      <c r="G54" s="50"/>
      <c r="H54" s="126"/>
      <c r="I54" s="126"/>
      <c r="J54" s="126"/>
      <c r="K54" s="126"/>
      <c r="L54" s="126"/>
      <c r="M54" s="126"/>
      <c r="N54" s="126"/>
      <c r="O54" s="123"/>
      <c r="P54" s="126"/>
      <c r="Q54" s="126"/>
      <c r="R54" s="50"/>
      <c r="S54" s="50"/>
      <c r="T54" s="50"/>
      <c r="U54" s="50"/>
      <c r="V54" s="50"/>
      <c r="W54" s="50"/>
      <c r="X54" s="50"/>
      <c r="Y54" s="50"/>
      <c r="Z54" s="50"/>
      <c r="AA54" s="50"/>
      <c r="AB54" s="50"/>
      <c r="AC54" s="50"/>
      <c r="AD54" s="50"/>
      <c r="AE54" s="50"/>
      <c r="AF54" s="50"/>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row>
    <row r="55" spans="1:131">
      <c r="A55" s="49"/>
      <c r="B55" s="49"/>
      <c r="C55" s="49"/>
      <c r="D55" s="49"/>
      <c r="E55" s="49"/>
      <c r="F55" s="49"/>
      <c r="G55" s="50"/>
      <c r="H55" s="126"/>
      <c r="I55" s="126"/>
      <c r="J55" s="126"/>
      <c r="K55" s="126"/>
      <c r="L55" s="126"/>
      <c r="M55" s="126"/>
      <c r="N55" s="126"/>
      <c r="O55" s="123"/>
      <c r="P55" s="126"/>
      <c r="Q55" s="126"/>
      <c r="R55" s="50"/>
      <c r="S55" s="50"/>
      <c r="T55" s="50"/>
      <c r="U55" s="50"/>
      <c r="V55" s="50"/>
      <c r="W55" s="50"/>
      <c r="X55" s="50"/>
      <c r="Y55" s="50"/>
      <c r="Z55" s="50"/>
      <c r="AA55" s="50"/>
      <c r="AB55" s="50"/>
      <c r="AC55" s="50"/>
      <c r="AD55" s="50"/>
      <c r="AE55" s="50"/>
      <c r="AF55" s="50"/>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row>
    <row r="56" spans="1:131">
      <c r="A56" s="49"/>
      <c r="B56" s="49"/>
      <c r="C56" s="49"/>
      <c r="D56" s="49"/>
      <c r="E56" s="49"/>
      <c r="F56" s="49"/>
      <c r="G56" s="50"/>
      <c r="H56" s="126"/>
      <c r="I56" s="126"/>
      <c r="J56" s="126"/>
      <c r="K56" s="126"/>
      <c r="L56" s="126"/>
      <c r="M56" s="126"/>
      <c r="N56" s="126"/>
      <c r="O56" s="123"/>
      <c r="P56" s="126"/>
      <c r="Q56" s="126"/>
      <c r="R56" s="50"/>
      <c r="S56" s="50"/>
      <c r="T56" s="50"/>
      <c r="U56" s="50"/>
      <c r="V56" s="50"/>
      <c r="W56" s="50"/>
      <c r="X56" s="50"/>
      <c r="Y56" s="50"/>
      <c r="Z56" s="50"/>
      <c r="AA56" s="50"/>
      <c r="AB56" s="50"/>
      <c r="AC56" s="50"/>
      <c r="AD56" s="50"/>
      <c r="AE56" s="50"/>
      <c r="AF56" s="50"/>
    </row>
    <row r="57" spans="1:131">
      <c r="A57" s="49"/>
      <c r="B57" s="49"/>
      <c r="C57" s="49"/>
      <c r="D57" s="49"/>
      <c r="E57" s="49"/>
      <c r="F57" s="49"/>
      <c r="G57" s="50"/>
      <c r="H57" s="126"/>
      <c r="I57" s="126"/>
      <c r="J57" s="126"/>
      <c r="K57" s="126"/>
      <c r="L57" s="126"/>
      <c r="M57" s="126"/>
      <c r="N57" s="126"/>
      <c r="O57" s="123"/>
      <c r="P57" s="126"/>
      <c r="Q57" s="126"/>
      <c r="R57" s="50"/>
      <c r="S57" s="50"/>
      <c r="T57" s="50"/>
      <c r="U57" s="50"/>
      <c r="V57" s="50"/>
      <c r="W57" s="50"/>
      <c r="X57" s="50"/>
      <c r="Y57" s="50"/>
      <c r="Z57" s="50"/>
      <c r="AA57" s="50"/>
      <c r="AB57" s="50"/>
      <c r="AC57" s="50"/>
      <c r="AD57" s="50"/>
      <c r="AE57" s="50"/>
      <c r="AF57" s="50"/>
    </row>
    <row r="58" spans="1:131">
      <c r="A58" s="49"/>
      <c r="B58" s="49"/>
      <c r="C58" s="49"/>
      <c r="D58" s="49"/>
      <c r="E58" s="49"/>
      <c r="F58" s="49"/>
      <c r="G58" s="50"/>
      <c r="H58" s="50"/>
      <c r="I58" s="50"/>
      <c r="J58" s="50"/>
      <c r="K58" s="50"/>
      <c r="L58" s="50"/>
      <c r="M58" s="50"/>
      <c r="N58" s="50"/>
      <c r="O58" s="123"/>
      <c r="P58" s="50"/>
      <c r="Q58" s="50"/>
      <c r="R58" s="50"/>
      <c r="S58" s="50"/>
      <c r="T58" s="50"/>
      <c r="U58" s="50"/>
      <c r="V58" s="50"/>
      <c r="W58" s="50"/>
      <c r="X58" s="50"/>
      <c r="Y58" s="50"/>
      <c r="Z58" s="50"/>
      <c r="AA58" s="50"/>
      <c r="AB58" s="50"/>
      <c r="AC58" s="50"/>
      <c r="AD58" s="50"/>
      <c r="AE58" s="50"/>
      <c r="AF58" s="50"/>
    </row>
    <row r="59" spans="1:131">
      <c r="A59" s="49"/>
      <c r="B59" s="49"/>
      <c r="C59" s="49"/>
      <c r="D59" s="49"/>
      <c r="E59" s="49"/>
      <c r="F59" s="49"/>
      <c r="G59" s="50"/>
      <c r="H59" s="126"/>
      <c r="I59" s="126"/>
      <c r="J59" s="126"/>
      <c r="K59" s="126"/>
      <c r="L59" s="126"/>
      <c r="M59" s="126"/>
      <c r="N59" s="126"/>
      <c r="O59" s="123"/>
      <c r="P59" s="126"/>
      <c r="Q59" s="126"/>
      <c r="R59" s="50"/>
      <c r="S59" s="50"/>
      <c r="T59" s="50"/>
      <c r="U59" s="50"/>
      <c r="V59" s="50"/>
      <c r="W59" s="50"/>
      <c r="X59" s="50"/>
      <c r="Y59" s="50"/>
      <c r="Z59" s="50"/>
      <c r="AA59" s="50"/>
      <c r="AB59" s="50"/>
      <c r="AC59" s="50"/>
      <c r="AD59" s="50"/>
      <c r="AE59" s="50"/>
      <c r="AF59" s="50"/>
    </row>
    <row r="60" spans="1:131">
      <c r="A60" s="49"/>
      <c r="B60" s="49"/>
      <c r="C60" s="49"/>
      <c r="D60" s="49"/>
      <c r="E60" s="49"/>
      <c r="F60" s="49"/>
      <c r="G60" s="50"/>
      <c r="H60" s="127"/>
      <c r="I60" s="127"/>
      <c r="J60" s="127"/>
      <c r="K60" s="127"/>
      <c r="L60" s="127"/>
      <c r="M60" s="127"/>
      <c r="N60" s="127"/>
      <c r="O60" s="123"/>
      <c r="P60" s="127"/>
      <c r="Q60" s="127"/>
      <c r="R60" s="50"/>
      <c r="S60" s="50"/>
      <c r="T60" s="50"/>
      <c r="U60" s="50"/>
      <c r="V60" s="50"/>
      <c r="W60" s="50"/>
      <c r="X60" s="50"/>
      <c r="Y60" s="50"/>
      <c r="Z60" s="50"/>
      <c r="AA60" s="50"/>
      <c r="AB60" s="50"/>
      <c r="AC60" s="50"/>
      <c r="AD60" s="50"/>
      <c r="AE60" s="50"/>
      <c r="AF60" s="50"/>
    </row>
    <row r="61" spans="1:131">
      <c r="A61" s="49"/>
      <c r="B61" s="49"/>
      <c r="C61" s="49"/>
      <c r="D61" s="49"/>
      <c r="E61" s="49"/>
      <c r="F61" s="49"/>
      <c r="G61" s="50"/>
      <c r="H61" s="127"/>
      <c r="I61" s="127"/>
      <c r="J61" s="127"/>
      <c r="K61" s="127"/>
      <c r="L61" s="127"/>
      <c r="M61" s="127"/>
      <c r="N61" s="127"/>
      <c r="O61" s="123"/>
      <c r="P61" s="127"/>
      <c r="Q61" s="127"/>
      <c r="R61" s="50"/>
      <c r="S61" s="50"/>
      <c r="T61" s="50"/>
      <c r="U61" s="50"/>
      <c r="V61" s="50"/>
      <c r="W61" s="50"/>
      <c r="X61" s="50"/>
      <c r="Y61" s="50"/>
      <c r="Z61" s="50"/>
      <c r="AA61" s="50"/>
      <c r="AB61" s="50"/>
      <c r="AC61" s="50"/>
      <c r="AD61" s="50"/>
      <c r="AE61" s="50"/>
      <c r="AF61" s="50"/>
    </row>
    <row r="62" spans="1:131">
      <c r="A62" s="49"/>
      <c r="B62" s="49"/>
      <c r="C62" s="49"/>
      <c r="D62" s="49"/>
      <c r="E62" s="49"/>
      <c r="F62" s="49"/>
      <c r="G62" s="50"/>
      <c r="H62" s="50"/>
      <c r="I62" s="50"/>
      <c r="J62" s="50"/>
      <c r="K62" s="50"/>
      <c r="L62" s="50"/>
      <c r="M62" s="50"/>
      <c r="N62" s="50"/>
      <c r="O62" s="123"/>
      <c r="P62" s="50"/>
      <c r="Q62" s="50"/>
      <c r="R62" s="50"/>
      <c r="S62" s="50"/>
      <c r="T62" s="50"/>
      <c r="U62" s="50"/>
      <c r="V62" s="50"/>
      <c r="W62" s="50"/>
      <c r="X62" s="50"/>
      <c r="Y62" s="50"/>
      <c r="Z62" s="50"/>
      <c r="AA62" s="50"/>
      <c r="AB62" s="50"/>
      <c r="AC62" s="50"/>
      <c r="AD62" s="50"/>
      <c r="AE62" s="50"/>
      <c r="AF62" s="50"/>
    </row>
    <row r="63" spans="1:131">
      <c r="A63" s="49"/>
      <c r="B63" s="49"/>
      <c r="C63" s="49"/>
      <c r="D63" s="49"/>
      <c r="E63" s="49"/>
      <c r="F63" s="49"/>
      <c r="G63" s="50"/>
      <c r="H63" s="126"/>
      <c r="I63" s="126"/>
      <c r="J63" s="126"/>
      <c r="K63" s="126"/>
      <c r="L63" s="126"/>
      <c r="M63" s="126"/>
      <c r="N63" s="126"/>
      <c r="O63" s="128"/>
      <c r="P63" s="126"/>
      <c r="Q63" s="126"/>
      <c r="R63" s="50"/>
      <c r="S63" s="50"/>
      <c r="T63" s="50"/>
      <c r="U63" s="50"/>
      <c r="V63" s="50"/>
      <c r="W63" s="50"/>
      <c r="X63" s="50"/>
      <c r="Y63" s="50"/>
      <c r="Z63" s="50"/>
      <c r="AA63" s="50"/>
      <c r="AB63" s="50"/>
      <c r="AC63" s="50"/>
      <c r="AD63" s="50"/>
      <c r="AE63" s="50"/>
      <c r="AF63" s="50"/>
    </row>
    <row r="64" spans="1:131">
      <c r="A64" s="49"/>
      <c r="B64" s="49"/>
      <c r="C64" s="49"/>
      <c r="D64" s="49"/>
      <c r="E64" s="49"/>
      <c r="F64" s="49"/>
      <c r="G64" s="50"/>
      <c r="H64" s="126"/>
      <c r="I64" s="126"/>
      <c r="J64" s="126"/>
      <c r="K64" s="126"/>
      <c r="L64" s="126"/>
      <c r="M64" s="126"/>
      <c r="N64" s="126"/>
      <c r="O64" s="123"/>
      <c r="P64" s="126"/>
      <c r="Q64" s="126"/>
      <c r="R64" s="50"/>
      <c r="S64" s="50"/>
      <c r="T64" s="50"/>
      <c r="U64" s="50"/>
      <c r="V64" s="50"/>
      <c r="W64" s="50"/>
      <c r="X64" s="50"/>
      <c r="Y64" s="50"/>
      <c r="Z64" s="50"/>
      <c r="AA64" s="50"/>
      <c r="AB64" s="50"/>
      <c r="AC64" s="50"/>
      <c r="AD64" s="50"/>
      <c r="AE64" s="50"/>
      <c r="AF64" s="50"/>
    </row>
    <row r="65" spans="1:32">
      <c r="A65" s="49"/>
      <c r="B65" s="49"/>
      <c r="C65" s="49"/>
      <c r="D65" s="49"/>
      <c r="E65" s="49"/>
      <c r="F65" s="49"/>
      <c r="G65" s="50"/>
      <c r="H65" s="50"/>
      <c r="I65" s="50"/>
      <c r="J65" s="50"/>
      <c r="K65" s="50"/>
      <c r="L65" s="50"/>
      <c r="M65" s="50"/>
      <c r="N65" s="50"/>
      <c r="O65" s="123"/>
      <c r="P65" s="50"/>
      <c r="Q65" s="50"/>
      <c r="R65" s="50"/>
      <c r="S65" s="50"/>
      <c r="T65" s="50"/>
      <c r="U65" s="50"/>
      <c r="V65" s="50"/>
      <c r="W65" s="50"/>
      <c r="X65" s="50"/>
      <c r="Y65" s="50"/>
      <c r="Z65" s="50"/>
      <c r="AA65" s="50"/>
      <c r="AB65" s="50"/>
      <c r="AC65" s="50"/>
      <c r="AD65" s="50"/>
      <c r="AE65" s="50"/>
      <c r="AF65" s="50"/>
    </row>
    <row r="66" spans="1:32">
      <c r="A66" s="49"/>
      <c r="B66" s="49"/>
      <c r="C66" s="49"/>
      <c r="D66" s="49"/>
      <c r="E66" s="49"/>
      <c r="F66" s="49"/>
      <c r="G66" s="50"/>
      <c r="H66" s="50"/>
      <c r="I66" s="50"/>
      <c r="J66" s="50"/>
      <c r="K66" s="50"/>
      <c r="L66" s="50"/>
      <c r="M66" s="50"/>
      <c r="N66" s="50"/>
      <c r="O66" s="123"/>
      <c r="P66" s="50"/>
      <c r="Q66" s="50"/>
      <c r="R66" s="50"/>
      <c r="S66" s="50"/>
      <c r="T66" s="50"/>
      <c r="U66" s="50"/>
      <c r="V66" s="50"/>
      <c r="W66" s="50"/>
      <c r="X66" s="50"/>
      <c r="Y66" s="50"/>
      <c r="Z66" s="50"/>
      <c r="AA66" s="50"/>
      <c r="AB66" s="50"/>
      <c r="AC66" s="50"/>
      <c r="AD66" s="50"/>
      <c r="AE66" s="50"/>
      <c r="AF66" s="50"/>
    </row>
    <row r="67" spans="1:32">
      <c r="A67" s="49"/>
      <c r="B67" s="49"/>
      <c r="C67" s="49"/>
      <c r="D67" s="49"/>
      <c r="E67" s="49"/>
      <c r="F67" s="49"/>
      <c r="G67" s="50"/>
      <c r="H67" s="50"/>
      <c r="I67" s="50"/>
      <c r="J67" s="50"/>
      <c r="K67" s="50"/>
      <c r="L67" s="50"/>
      <c r="M67" s="50"/>
      <c r="N67" s="50"/>
      <c r="O67" s="123"/>
      <c r="P67" s="50"/>
      <c r="Q67" s="50"/>
      <c r="R67" s="50"/>
      <c r="S67" s="50"/>
      <c r="T67" s="50"/>
      <c r="U67" s="50"/>
      <c r="V67" s="50"/>
      <c r="W67" s="50"/>
      <c r="X67" s="50"/>
      <c r="Y67" s="50"/>
      <c r="Z67" s="50"/>
      <c r="AA67" s="50"/>
      <c r="AB67" s="50"/>
      <c r="AC67" s="50"/>
      <c r="AD67" s="50"/>
      <c r="AE67" s="50"/>
      <c r="AF67" s="50"/>
    </row>
  </sheetData>
  <mergeCells count="5">
    <mergeCell ref="P3:T3"/>
    <mergeCell ref="P4:T4"/>
    <mergeCell ref="B5:S5"/>
    <mergeCell ref="B6:S6"/>
    <mergeCell ref="B7:S7"/>
  </mergeCells>
  <printOptions horizontalCentered="1"/>
  <pageMargins left="0" right="0" top="0.5" bottom="0.5" header="0.3" footer="0.3"/>
  <pageSetup paperSize="5" scale="71" orientation="landscape"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DC9C9"/>
  </sheetPr>
  <dimension ref="A1:G33"/>
  <sheetViews>
    <sheetView view="pageBreakPreview" zoomScale="60" zoomScaleNormal="100" workbookViewId="0">
      <selection sqref="A1:C1"/>
    </sheetView>
  </sheetViews>
  <sheetFormatPr defaultColWidth="9.140625" defaultRowHeight="15.75"/>
  <cols>
    <col min="1" max="1" width="34" style="3" bestFit="1" customWidth="1"/>
    <col min="2" max="2" width="9.140625" style="3"/>
    <col min="3" max="3" width="21.28515625" style="58" customWidth="1"/>
    <col min="4" max="16384" width="9.140625" style="3"/>
  </cols>
  <sheetData>
    <row r="1" spans="1:7">
      <c r="A1" s="1021" t="s">
        <v>2522</v>
      </c>
      <c r="B1" s="1021"/>
      <c r="C1" s="1021"/>
    </row>
    <row r="2" spans="1:7">
      <c r="A2" s="1021" t="s">
        <v>785</v>
      </c>
      <c r="B2" s="1021"/>
      <c r="C2" s="1021"/>
    </row>
    <row r="3" spans="1:7">
      <c r="A3" s="1033" t="s">
        <v>1853</v>
      </c>
      <c r="B3" s="1033"/>
      <c r="C3" s="1033"/>
    </row>
    <row r="4" spans="1:7">
      <c r="A4" s="1030" t="s">
        <v>20</v>
      </c>
      <c r="B4" s="1031"/>
      <c r="C4" s="1032"/>
    </row>
    <row r="5" spans="1:7">
      <c r="A5" s="53"/>
      <c r="B5" s="54"/>
      <c r="C5" s="55"/>
    </row>
    <row r="6" spans="1:7">
      <c r="A6" s="53" t="s">
        <v>21</v>
      </c>
      <c r="B6" s="54"/>
      <c r="C6" s="55">
        <v>1</v>
      </c>
    </row>
    <row r="7" spans="1:7">
      <c r="A7" s="56" t="s">
        <v>22</v>
      </c>
      <c r="B7" s="54"/>
      <c r="C7" s="55"/>
    </row>
    <row r="8" spans="1:7">
      <c r="A8" s="57" t="s">
        <v>23</v>
      </c>
      <c r="B8" s="54"/>
      <c r="C8" s="298">
        <f>+'Operating Report'!G91/'Operating Report'!G28</f>
        <v>4.0198833619333558E-3</v>
      </c>
    </row>
    <row r="9" spans="1:7">
      <c r="A9" s="57" t="s">
        <v>667</v>
      </c>
      <c r="B9" s="54"/>
      <c r="C9" s="298">
        <v>3.8519999999999999E-2</v>
      </c>
    </row>
    <row r="10" spans="1:7">
      <c r="A10" s="57" t="s">
        <v>666</v>
      </c>
      <c r="B10" s="54"/>
      <c r="C10" s="298">
        <v>2E-3</v>
      </c>
      <c r="D10" s="58">
        <f>+C8+C9+C10</f>
        <v>4.4539883361933354E-2</v>
      </c>
    </row>
    <row r="11" spans="1:7">
      <c r="A11" s="56" t="s">
        <v>24</v>
      </c>
      <c r="B11" s="54"/>
      <c r="C11" s="59"/>
      <c r="G11" s="13"/>
    </row>
    <row r="12" spans="1:7" ht="16.5" thickBot="1">
      <c r="A12" s="56" t="s">
        <v>25</v>
      </c>
      <c r="B12" s="54"/>
      <c r="C12" s="60">
        <f>+C6-SUM(C8:C11)</f>
        <v>0.95546011663806663</v>
      </c>
    </row>
    <row r="13" spans="1:7">
      <c r="A13" s="61"/>
      <c r="B13" s="54"/>
      <c r="C13" s="55"/>
    </row>
    <row r="14" spans="1:7" ht="16.5" thickBot="1">
      <c r="A14" s="56" t="s">
        <v>26</v>
      </c>
      <c r="B14" s="54"/>
      <c r="C14" s="62">
        <v>0</v>
      </c>
    </row>
    <row r="15" spans="1:7">
      <c r="A15" s="61"/>
      <c r="B15" s="54"/>
      <c r="C15" s="55"/>
    </row>
    <row r="16" spans="1:7" ht="16.5" thickBot="1">
      <c r="A16" s="61" t="s">
        <v>27</v>
      </c>
      <c r="B16" s="54"/>
      <c r="C16" s="62">
        <f>+C12-C14</f>
        <v>0.95546011663806663</v>
      </c>
    </row>
    <row r="17" spans="1:3">
      <c r="A17" s="61"/>
      <c r="B17" s="54"/>
      <c r="C17" s="55"/>
    </row>
    <row r="18" spans="1:3" ht="16.5" thickBot="1">
      <c r="A18" s="345" t="s">
        <v>1104</v>
      </c>
      <c r="B18" s="346"/>
      <c r="C18" s="62">
        <f>+C16*0.21</f>
        <v>0.20064662449399398</v>
      </c>
    </row>
    <row r="19" spans="1:3">
      <c r="A19" s="345"/>
      <c r="B19" s="346"/>
      <c r="C19" s="59"/>
    </row>
    <row r="20" spans="1:3" ht="16.5" thickBot="1">
      <c r="A20" s="345" t="s">
        <v>66</v>
      </c>
      <c r="B20" s="346"/>
      <c r="C20" s="60">
        <f>+C14+C18</f>
        <v>0.20064662449399398</v>
      </c>
    </row>
    <row r="21" spans="1:3">
      <c r="A21" s="345"/>
      <c r="B21" s="346"/>
      <c r="C21" s="55"/>
    </row>
    <row r="22" spans="1:3" ht="16.5" thickBot="1">
      <c r="A22" s="345" t="s">
        <v>28</v>
      </c>
      <c r="B22" s="346"/>
      <c r="C22" s="62">
        <f>SUM(C8:C11)+C20</f>
        <v>0.24518650785592733</v>
      </c>
    </row>
    <row r="23" spans="1:3">
      <c r="A23" s="345"/>
      <c r="B23" s="346"/>
      <c r="C23" s="55"/>
    </row>
    <row r="24" spans="1:3">
      <c r="A24" s="345" t="s">
        <v>784</v>
      </c>
      <c r="B24" s="346"/>
      <c r="C24" s="55"/>
    </row>
    <row r="25" spans="1:3" ht="16.5" thickBot="1">
      <c r="A25" s="345" t="s">
        <v>29</v>
      </c>
      <c r="B25" s="346"/>
      <c r="C25" s="63">
        <f>+C6-C22</f>
        <v>0.75481349214407267</v>
      </c>
    </row>
    <row r="26" spans="1:3">
      <c r="A26" s="347"/>
      <c r="B26" s="348"/>
      <c r="C26" s="59"/>
    </row>
    <row r="27" spans="1:3">
      <c r="A27" s="349"/>
      <c r="B27" s="346"/>
      <c r="C27" s="55"/>
    </row>
    <row r="28" spans="1:3">
      <c r="A28" s="349"/>
      <c r="B28" s="346"/>
      <c r="C28" s="55"/>
    </row>
    <row r="29" spans="1:3">
      <c r="A29" s="350" t="s">
        <v>99</v>
      </c>
      <c r="B29" s="351"/>
      <c r="C29" s="65"/>
    </row>
    <row r="30" spans="1:3">
      <c r="A30" s="350" t="s">
        <v>100</v>
      </c>
      <c r="B30" s="351"/>
      <c r="C30" s="65">
        <v>0</v>
      </c>
    </row>
    <row r="31" spans="1:3">
      <c r="A31" s="350" t="s">
        <v>101</v>
      </c>
      <c r="B31" s="351"/>
      <c r="C31" s="65">
        <v>0.21</v>
      </c>
    </row>
    <row r="32" spans="1:3">
      <c r="A32" s="66"/>
      <c r="B32" s="64"/>
      <c r="C32" s="67"/>
    </row>
    <row r="33" spans="1:3">
      <c r="A33" s="68" t="s">
        <v>102</v>
      </c>
      <c r="B33" s="69"/>
      <c r="C33" s="70">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28B97-9549-454D-91F4-204555CD7DD9}">
  <dimension ref="A1:AJ96"/>
  <sheetViews>
    <sheetView workbookViewId="0">
      <pane xSplit="5" ySplit="2" topLeftCell="F3" activePane="bottomRight" state="frozen"/>
      <selection pane="topRight" activeCell="F1" sqref="F1"/>
      <selection pane="bottomLeft" activeCell="A3" sqref="A3"/>
      <selection pane="bottomRight" activeCell="F3" sqref="F3"/>
    </sheetView>
  </sheetViews>
  <sheetFormatPr defaultRowHeight="15"/>
  <cols>
    <col min="1" max="1" width="22.85546875" style="629" bestFit="1" customWidth="1"/>
    <col min="2" max="2" width="29" style="629" bestFit="1" customWidth="1"/>
    <col min="3" max="3" width="38.140625" style="629" bestFit="1" customWidth="1"/>
    <col min="4" max="4" width="14.7109375" style="629" bestFit="1" customWidth="1"/>
    <col min="5" max="5" width="14.85546875" style="629" bestFit="1" customWidth="1"/>
    <col min="6" max="6" width="19.140625" style="629" bestFit="1" customWidth="1"/>
    <col min="7" max="7" width="20.85546875" style="629" bestFit="1" customWidth="1"/>
    <col min="8" max="8" width="19.140625" style="629" bestFit="1" customWidth="1"/>
    <col min="9" max="9" width="20.85546875" style="629" bestFit="1" customWidth="1"/>
    <col min="10" max="10" width="19.140625" style="629" bestFit="1" customWidth="1"/>
    <col min="11" max="11" width="20.85546875" style="629" bestFit="1" customWidth="1"/>
    <col min="12" max="12" width="19.140625" style="629" bestFit="1" customWidth="1"/>
    <col min="13" max="13" width="20.85546875" style="629" bestFit="1" customWidth="1"/>
    <col min="14" max="14" width="19.140625" style="629" bestFit="1" customWidth="1"/>
    <col min="15" max="15" width="20.85546875" style="629" bestFit="1" customWidth="1"/>
    <col min="16" max="16" width="19.140625" style="629" bestFit="1" customWidth="1"/>
    <col min="17" max="17" width="20.85546875" style="629" bestFit="1" customWidth="1"/>
    <col min="18" max="18" width="19.140625" style="629" bestFit="1" customWidth="1"/>
    <col min="19" max="19" width="20.85546875" style="629" bestFit="1" customWidth="1"/>
    <col min="20" max="20" width="19.140625" style="629" bestFit="1" customWidth="1"/>
    <col min="21" max="21" width="20.85546875" style="629" bestFit="1" customWidth="1"/>
    <col min="22" max="22" width="19.140625" style="629" bestFit="1" customWidth="1"/>
    <col min="23" max="23" width="20.85546875" style="629" bestFit="1" customWidth="1"/>
    <col min="24" max="24" width="19.140625" style="629" bestFit="1" customWidth="1"/>
    <col min="25" max="25" width="20.85546875" style="629" bestFit="1" customWidth="1"/>
    <col min="26" max="26" width="19.140625" style="629" bestFit="1" customWidth="1"/>
    <col min="27" max="27" width="20.85546875" style="629" bestFit="1" customWidth="1"/>
    <col min="28" max="28" width="19.140625" style="629" bestFit="1" customWidth="1"/>
    <col min="29" max="29" width="20.85546875" style="629" bestFit="1" customWidth="1"/>
    <col min="30" max="30" width="26" style="629" bestFit="1" customWidth="1"/>
    <col min="31" max="31" width="9.140625" style="629"/>
    <col min="32" max="32" width="31.42578125" style="629" customWidth="1"/>
    <col min="33" max="33" width="9.140625" style="629"/>
    <col min="34" max="34" width="18.5703125" style="629" customWidth="1"/>
    <col min="35" max="35" width="23.5703125" style="629" customWidth="1"/>
    <col min="36" max="36" width="14.42578125" style="629" customWidth="1"/>
    <col min="37" max="16384" width="9.140625" style="629"/>
  </cols>
  <sheetData>
    <row r="1" spans="1:36" s="958" customFormat="1">
      <c r="A1" s="976"/>
      <c r="B1" s="976"/>
      <c r="C1" s="976"/>
      <c r="D1" s="978"/>
      <c r="E1" s="976"/>
      <c r="F1" s="977">
        <v>43466</v>
      </c>
      <c r="G1" s="976"/>
      <c r="H1" s="977">
        <v>43497</v>
      </c>
      <c r="I1" s="976"/>
      <c r="J1" s="977">
        <v>43525</v>
      </c>
      <c r="K1" s="976"/>
      <c r="L1" s="977">
        <v>43556</v>
      </c>
      <c r="M1" s="976"/>
      <c r="N1" s="977">
        <v>43586</v>
      </c>
      <c r="O1" s="976"/>
      <c r="P1" s="977">
        <v>43617</v>
      </c>
      <c r="Q1" s="976"/>
      <c r="R1" s="977">
        <v>43647</v>
      </c>
      <c r="S1" s="976"/>
      <c r="T1" s="977">
        <v>43678</v>
      </c>
      <c r="U1" s="976"/>
      <c r="V1" s="977">
        <v>43709</v>
      </c>
      <c r="W1" s="976"/>
      <c r="X1" s="977">
        <v>43739</v>
      </c>
      <c r="Y1" s="976"/>
      <c r="Z1" s="977">
        <v>43770</v>
      </c>
      <c r="AA1" s="976"/>
      <c r="AB1" s="977">
        <v>43800</v>
      </c>
      <c r="AC1" s="976"/>
      <c r="AD1" s="975" t="s">
        <v>2643</v>
      </c>
    </row>
    <row r="2" spans="1:36">
      <c r="A2" s="973" t="s">
        <v>2642</v>
      </c>
      <c r="B2" s="973" t="s">
        <v>2641</v>
      </c>
      <c r="C2" s="973" t="s">
        <v>2640</v>
      </c>
      <c r="D2" s="974" t="s">
        <v>2639</v>
      </c>
      <c r="E2" s="973" t="s">
        <v>2638</v>
      </c>
      <c r="F2" s="972" t="s">
        <v>719</v>
      </c>
      <c r="G2" s="972" t="s">
        <v>776</v>
      </c>
      <c r="H2" s="972" t="s">
        <v>719</v>
      </c>
      <c r="I2" s="972" t="s">
        <v>776</v>
      </c>
      <c r="J2" s="972" t="s">
        <v>719</v>
      </c>
      <c r="K2" s="972" t="s">
        <v>776</v>
      </c>
      <c r="L2" s="972" t="s">
        <v>719</v>
      </c>
      <c r="M2" s="972" t="s">
        <v>776</v>
      </c>
      <c r="N2" s="972" t="s">
        <v>719</v>
      </c>
      <c r="O2" s="972" t="s">
        <v>776</v>
      </c>
      <c r="P2" s="972" t="s">
        <v>719</v>
      </c>
      <c r="Q2" s="972" t="s">
        <v>776</v>
      </c>
      <c r="R2" s="972" t="s">
        <v>719</v>
      </c>
      <c r="S2" s="972" t="s">
        <v>776</v>
      </c>
      <c r="T2" s="972" t="s">
        <v>719</v>
      </c>
      <c r="U2" s="972" t="s">
        <v>776</v>
      </c>
      <c r="V2" s="972" t="s">
        <v>719</v>
      </c>
      <c r="W2" s="972" t="s">
        <v>776</v>
      </c>
      <c r="X2" s="972" t="s">
        <v>719</v>
      </c>
      <c r="Y2" s="972" t="s">
        <v>776</v>
      </c>
      <c r="Z2" s="972" t="s">
        <v>719</v>
      </c>
      <c r="AA2" s="972" t="s">
        <v>776</v>
      </c>
      <c r="AB2" s="972" t="s">
        <v>719</v>
      </c>
      <c r="AC2" s="972" t="s">
        <v>776</v>
      </c>
      <c r="AD2" s="971"/>
      <c r="AF2" s="979" t="s">
        <v>2644</v>
      </c>
      <c r="AG2" s="979" t="s">
        <v>2645</v>
      </c>
      <c r="AH2" s="979" t="s">
        <v>2646</v>
      </c>
      <c r="AI2" s="979" t="s">
        <v>2647</v>
      </c>
      <c r="AJ2" s="979" t="s">
        <v>1819</v>
      </c>
    </row>
    <row r="3" spans="1:36">
      <c r="A3" s="966" t="s">
        <v>106</v>
      </c>
      <c r="B3" s="966" t="s">
        <v>825</v>
      </c>
      <c r="D3" s="969"/>
      <c r="F3" s="968">
        <v>0</v>
      </c>
      <c r="G3" s="968">
        <v>0</v>
      </c>
      <c r="H3" s="968">
        <v>0</v>
      </c>
      <c r="I3" s="968">
        <v>0</v>
      </c>
      <c r="J3" s="968">
        <v>0</v>
      </c>
      <c r="K3" s="968">
        <v>0</v>
      </c>
      <c r="L3" s="968">
        <v>0</v>
      </c>
      <c r="M3" s="968">
        <v>0</v>
      </c>
      <c r="N3" s="968">
        <v>0</v>
      </c>
      <c r="O3" s="968">
        <v>0</v>
      </c>
      <c r="P3" s="968">
        <v>0</v>
      </c>
      <c r="Q3" s="968">
        <v>0</v>
      </c>
      <c r="R3" s="968">
        <v>0</v>
      </c>
      <c r="S3" s="968">
        <v>0</v>
      </c>
      <c r="T3" s="968">
        <v>0</v>
      </c>
      <c r="U3" s="968">
        <v>0</v>
      </c>
      <c r="V3" s="968">
        <v>0</v>
      </c>
      <c r="W3" s="968">
        <v>0</v>
      </c>
      <c r="X3" s="968">
        <v>0</v>
      </c>
      <c r="Y3" s="968">
        <v>0</v>
      </c>
      <c r="Z3" s="968">
        <v>0</v>
      </c>
      <c r="AA3" s="968">
        <v>0</v>
      </c>
      <c r="AB3" s="968">
        <v>0</v>
      </c>
      <c r="AC3" s="968">
        <v>0</v>
      </c>
      <c r="AD3" s="967">
        <v>0</v>
      </c>
      <c r="AH3" s="982">
        <f>+SUM(AH4:AH94)</f>
        <v>670360.92777574621</v>
      </c>
      <c r="AI3" s="982">
        <f>+SUM(AI4:AI94)</f>
        <v>28662548.867775753</v>
      </c>
      <c r="AJ3" s="982">
        <f>+SUM(AJ4:AJ94)</f>
        <v>29358445.786047321</v>
      </c>
    </row>
    <row r="4" spans="1:36">
      <c r="A4" s="966"/>
      <c r="B4" s="966" t="s">
        <v>862</v>
      </c>
      <c r="C4" s="629" t="s">
        <v>860</v>
      </c>
      <c r="D4" s="965">
        <v>0</v>
      </c>
      <c r="E4" s="970">
        <v>1</v>
      </c>
      <c r="F4" s="968">
        <v>138157.95000000001</v>
      </c>
      <c r="G4" s="968">
        <v>0</v>
      </c>
      <c r="H4" s="968">
        <v>138157.95000000001</v>
      </c>
      <c r="I4" s="968">
        <v>0</v>
      </c>
      <c r="J4" s="968">
        <v>138157.95000000001</v>
      </c>
      <c r="K4" s="968">
        <v>0</v>
      </c>
      <c r="L4" s="968">
        <v>138157.95000000001</v>
      </c>
      <c r="M4" s="968">
        <v>0</v>
      </c>
      <c r="N4" s="968">
        <v>138157.95000000001</v>
      </c>
      <c r="O4" s="968">
        <v>0</v>
      </c>
      <c r="P4" s="968">
        <v>138157.95000000001</v>
      </c>
      <c r="Q4" s="968">
        <v>0</v>
      </c>
      <c r="R4" s="968">
        <v>138157.95000000001</v>
      </c>
      <c r="S4" s="968">
        <v>0</v>
      </c>
      <c r="T4" s="968">
        <v>138157.95000000001</v>
      </c>
      <c r="U4" s="968">
        <v>0</v>
      </c>
      <c r="V4" s="968">
        <v>138157.95000000001</v>
      </c>
      <c r="W4" s="968">
        <v>0</v>
      </c>
      <c r="X4" s="968">
        <v>138157.95000000001</v>
      </c>
      <c r="Y4" s="968">
        <v>0</v>
      </c>
      <c r="Z4" s="968">
        <v>138157.95000000001</v>
      </c>
      <c r="AA4" s="968">
        <v>0</v>
      </c>
      <c r="AB4" s="968">
        <v>138157.95000000001</v>
      </c>
      <c r="AC4" s="968">
        <v>-0.02</v>
      </c>
      <c r="AD4" s="967">
        <v>-0.02</v>
      </c>
      <c r="AF4" s="747" t="s">
        <v>1457</v>
      </c>
      <c r="AG4" s="980">
        <f>+INDEX('EOP Depreciation Expense Adj'!$O$12:$O$53,MATCH(AF4,'EOP Depreciation Expense Adj'!$A$12:$A$53,0))</f>
        <v>0</v>
      </c>
      <c r="AH4" s="981">
        <f>+IF(AG4=0,AD4,AD4/D4*AG4)-AD4</f>
        <v>0</v>
      </c>
      <c r="AI4" s="981">
        <f>+IF($AG4=0,$AD4,$AD4/$D4*$AG4)</f>
        <v>-0.02</v>
      </c>
      <c r="AJ4" s="981">
        <f>+IF($AG4=0,$AC4,$AC4/$D4*$AG4)*12</f>
        <v>-0.24</v>
      </c>
    </row>
    <row r="5" spans="1:36">
      <c r="A5" s="966"/>
      <c r="B5" s="966"/>
      <c r="C5" s="629" t="s">
        <v>861</v>
      </c>
      <c r="D5" s="965">
        <v>0.05</v>
      </c>
      <c r="E5" s="970">
        <v>1</v>
      </c>
      <c r="F5" s="968">
        <v>0</v>
      </c>
      <c r="G5" s="968">
        <v>0</v>
      </c>
      <c r="H5" s="968">
        <v>0</v>
      </c>
      <c r="I5" s="968">
        <v>0</v>
      </c>
      <c r="J5" s="968">
        <v>0</v>
      </c>
      <c r="K5" s="968">
        <v>0</v>
      </c>
      <c r="L5" s="968">
        <v>0</v>
      </c>
      <c r="M5" s="968">
        <v>0</v>
      </c>
      <c r="N5" s="968">
        <v>0</v>
      </c>
      <c r="O5" s="968">
        <v>0</v>
      </c>
      <c r="P5" s="968">
        <v>0</v>
      </c>
      <c r="Q5" s="968">
        <v>0</v>
      </c>
      <c r="R5" s="968">
        <v>0</v>
      </c>
      <c r="S5" s="968">
        <v>0</v>
      </c>
      <c r="T5" s="968">
        <v>0</v>
      </c>
      <c r="U5" s="968">
        <v>0</v>
      </c>
      <c r="V5" s="968">
        <v>0</v>
      </c>
      <c r="W5" s="968">
        <v>0</v>
      </c>
      <c r="X5" s="968">
        <v>0</v>
      </c>
      <c r="Y5" s="968">
        <v>0</v>
      </c>
      <c r="Z5" s="968">
        <v>0</v>
      </c>
      <c r="AA5" s="968">
        <v>0</v>
      </c>
      <c r="AB5" s="968">
        <v>0</v>
      </c>
      <c r="AC5" s="968">
        <v>0</v>
      </c>
      <c r="AD5" s="967">
        <v>0</v>
      </c>
      <c r="AF5" s="747" t="s">
        <v>1458</v>
      </c>
      <c r="AG5" s="980">
        <f>+INDEX('EOP Depreciation Expense Adj'!$O$12:$O$53,MATCH(AF5,'EOP Depreciation Expense Adj'!$A$12:$A$53,0))</f>
        <v>0</v>
      </c>
      <c r="AH5" s="981">
        <f t="shared" ref="AH5:AH68" si="0">+IF(AG5=0,AD5,AD5/D5*AG5)-AD5</f>
        <v>0</v>
      </c>
      <c r="AI5" s="981">
        <f t="shared" ref="AI5:AI67" si="1">+IF(AG5=0,AD5,AD5/D5*AG5)</f>
        <v>0</v>
      </c>
      <c r="AJ5" s="981">
        <f t="shared" ref="AJ5:AJ68" si="2">+IF($AG5=0,$AC5,$AC5/$D5*$AG5)*12</f>
        <v>0</v>
      </c>
    </row>
    <row r="6" spans="1:36">
      <c r="A6" s="966"/>
      <c r="B6" s="966"/>
      <c r="C6" s="629" t="s">
        <v>1345</v>
      </c>
      <c r="D6" s="965">
        <v>0.05</v>
      </c>
      <c r="E6" s="970">
        <v>1</v>
      </c>
      <c r="F6" s="968">
        <v>12647.45</v>
      </c>
      <c r="G6" s="968">
        <v>52.7</v>
      </c>
      <c r="H6" s="968">
        <v>12647.45</v>
      </c>
      <c r="I6" s="968">
        <v>52.7</v>
      </c>
      <c r="J6" s="968">
        <v>12647.45</v>
      </c>
      <c r="K6" s="968">
        <v>52.7</v>
      </c>
      <c r="L6" s="968">
        <v>12647.45</v>
      </c>
      <c r="M6" s="968">
        <v>52.7</v>
      </c>
      <c r="N6" s="968">
        <v>12647.45</v>
      </c>
      <c r="O6" s="968">
        <v>52.7</v>
      </c>
      <c r="P6" s="968">
        <v>12647.45</v>
      </c>
      <c r="Q6" s="968">
        <v>52.7</v>
      </c>
      <c r="R6" s="968">
        <v>12647.45</v>
      </c>
      <c r="S6" s="968">
        <v>52.7</v>
      </c>
      <c r="T6" s="968">
        <v>12647.45</v>
      </c>
      <c r="U6" s="968">
        <v>52.7</v>
      </c>
      <c r="V6" s="968">
        <v>12647.45</v>
      </c>
      <c r="W6" s="968">
        <v>52.7</v>
      </c>
      <c r="X6" s="968">
        <v>12647.45</v>
      </c>
      <c r="Y6" s="968">
        <v>52.7</v>
      </c>
      <c r="Z6" s="968">
        <v>12647.45</v>
      </c>
      <c r="AA6" s="968">
        <v>52.7</v>
      </c>
      <c r="AB6" s="968">
        <v>12647.45</v>
      </c>
      <c r="AC6" s="968">
        <v>52.7</v>
      </c>
      <c r="AD6" s="967">
        <v>632.40000000000009</v>
      </c>
      <c r="AF6" s="747" t="s">
        <v>1458</v>
      </c>
      <c r="AG6" s="980">
        <f>+INDEX('EOP Depreciation Expense Adj'!$O$12:$O$53,MATCH(AF6,'EOP Depreciation Expense Adj'!$A$12:$A$53,0))</f>
        <v>0</v>
      </c>
      <c r="AH6" s="981">
        <f t="shared" si="0"/>
        <v>0</v>
      </c>
      <c r="AI6" s="981">
        <f t="shared" si="1"/>
        <v>632.40000000000009</v>
      </c>
      <c r="AJ6" s="981">
        <f t="shared" si="2"/>
        <v>632.40000000000009</v>
      </c>
    </row>
    <row r="7" spans="1:36">
      <c r="A7" s="966"/>
      <c r="B7" s="966"/>
      <c r="C7" s="629" t="s">
        <v>863</v>
      </c>
      <c r="D7" s="965">
        <v>2.5000000000000001E-2</v>
      </c>
      <c r="E7" s="970">
        <v>1</v>
      </c>
      <c r="F7" s="968">
        <v>45037.37</v>
      </c>
      <c r="G7" s="968">
        <v>93.83</v>
      </c>
      <c r="H7" s="968">
        <v>45037.37</v>
      </c>
      <c r="I7" s="968">
        <v>93.83</v>
      </c>
      <c r="J7" s="968">
        <v>45037.37</v>
      </c>
      <c r="K7" s="968">
        <v>93.83</v>
      </c>
      <c r="L7" s="968">
        <v>45037.37</v>
      </c>
      <c r="M7" s="968">
        <v>93.83</v>
      </c>
      <c r="N7" s="968">
        <v>45037.37</v>
      </c>
      <c r="O7" s="968">
        <v>93.83</v>
      </c>
      <c r="P7" s="968">
        <v>45037.37</v>
      </c>
      <c r="Q7" s="968">
        <v>93.83</v>
      </c>
      <c r="R7" s="968">
        <v>45037.37</v>
      </c>
      <c r="S7" s="968">
        <v>93.83</v>
      </c>
      <c r="T7" s="968">
        <v>45037.37</v>
      </c>
      <c r="U7" s="968">
        <v>93.83</v>
      </c>
      <c r="V7" s="968">
        <v>45037.37</v>
      </c>
      <c r="W7" s="968">
        <v>93.83</v>
      </c>
      <c r="X7" s="968">
        <v>45037.37</v>
      </c>
      <c r="Y7" s="968">
        <v>93.83</v>
      </c>
      <c r="Z7" s="968">
        <v>45037.37</v>
      </c>
      <c r="AA7" s="968">
        <v>93.83</v>
      </c>
      <c r="AB7" s="968">
        <v>45037.37</v>
      </c>
      <c r="AC7" s="968">
        <v>93.83</v>
      </c>
      <c r="AD7" s="967">
        <v>1125.96</v>
      </c>
      <c r="AF7" s="747" t="s">
        <v>1458</v>
      </c>
      <c r="AG7" s="980">
        <f>+INDEX('EOP Depreciation Expense Adj'!$O$12:$O$53,MATCH(AF7,'EOP Depreciation Expense Adj'!$A$12:$A$53,0))</f>
        <v>0</v>
      </c>
      <c r="AH7" s="981">
        <f t="shared" si="0"/>
        <v>0</v>
      </c>
      <c r="AI7" s="981">
        <f t="shared" si="1"/>
        <v>1125.96</v>
      </c>
      <c r="AJ7" s="981">
        <f t="shared" si="2"/>
        <v>1125.96</v>
      </c>
    </row>
    <row r="8" spans="1:36">
      <c r="A8" s="966"/>
      <c r="B8" s="966"/>
      <c r="C8" s="629" t="s">
        <v>864</v>
      </c>
      <c r="D8" s="965">
        <v>2.5000000000000001E-2</v>
      </c>
      <c r="E8" s="970">
        <v>1</v>
      </c>
      <c r="F8" s="968">
        <v>1218966.19</v>
      </c>
      <c r="G8" s="968">
        <v>2539.5100000000002</v>
      </c>
      <c r="H8" s="968">
        <v>1218966.19</v>
      </c>
      <c r="I8" s="968">
        <v>2539.5100000000002</v>
      </c>
      <c r="J8" s="968">
        <v>1218966.19</v>
      </c>
      <c r="K8" s="968">
        <v>2539.5100000000002</v>
      </c>
      <c r="L8" s="968">
        <v>1218966.19</v>
      </c>
      <c r="M8" s="968">
        <v>2539.5100000000002</v>
      </c>
      <c r="N8" s="968">
        <v>1218966.19</v>
      </c>
      <c r="O8" s="968">
        <v>2539.5100000000002</v>
      </c>
      <c r="P8" s="968">
        <v>1218966.19</v>
      </c>
      <c r="Q8" s="968">
        <v>2539.5100000000002</v>
      </c>
      <c r="R8" s="968">
        <v>1218966.19</v>
      </c>
      <c r="S8" s="968">
        <v>2539.5100000000002</v>
      </c>
      <c r="T8" s="968">
        <v>1218966.19</v>
      </c>
      <c r="U8" s="968">
        <v>2539.5100000000002</v>
      </c>
      <c r="V8" s="968">
        <v>1218966.19</v>
      </c>
      <c r="W8" s="968">
        <v>2539.5100000000002</v>
      </c>
      <c r="X8" s="968">
        <v>1218966.19</v>
      </c>
      <c r="Y8" s="968">
        <v>2539.5100000000002</v>
      </c>
      <c r="Z8" s="968">
        <v>1218966.19</v>
      </c>
      <c r="AA8" s="968">
        <v>2539.5100000000002</v>
      </c>
      <c r="AB8" s="968">
        <v>1218966.19</v>
      </c>
      <c r="AC8" s="968">
        <v>2539.5100000000002</v>
      </c>
      <c r="AD8" s="967">
        <v>30474.12000000001</v>
      </c>
      <c r="AF8" s="747" t="s">
        <v>1458</v>
      </c>
      <c r="AG8" s="980">
        <f>+INDEX('EOP Depreciation Expense Adj'!$O$12:$O$53,MATCH(AF8,'EOP Depreciation Expense Adj'!$A$12:$A$53,0))</f>
        <v>0</v>
      </c>
      <c r="AH8" s="981">
        <f t="shared" si="0"/>
        <v>0</v>
      </c>
      <c r="AI8" s="981">
        <f t="shared" si="1"/>
        <v>30474.12000000001</v>
      </c>
      <c r="AJ8" s="981">
        <f t="shared" si="2"/>
        <v>30474.120000000003</v>
      </c>
    </row>
    <row r="9" spans="1:36">
      <c r="A9" s="966"/>
      <c r="B9" s="966"/>
      <c r="C9" s="629" t="s">
        <v>1346</v>
      </c>
      <c r="D9" s="965">
        <v>2.5000000000000001E-2</v>
      </c>
      <c r="E9" s="970">
        <v>1</v>
      </c>
      <c r="F9" s="968">
        <v>2333239.5299999998</v>
      </c>
      <c r="G9" s="968">
        <v>4860.92</v>
      </c>
      <c r="H9" s="968">
        <v>2333239.5299999998</v>
      </c>
      <c r="I9" s="968">
        <v>4860.92</v>
      </c>
      <c r="J9" s="968">
        <v>2333239.5299999998</v>
      </c>
      <c r="K9" s="968">
        <v>4860.92</v>
      </c>
      <c r="L9" s="968">
        <v>2333239.5299999998</v>
      </c>
      <c r="M9" s="968">
        <v>4860.92</v>
      </c>
      <c r="N9" s="968">
        <v>2333239.5299999998</v>
      </c>
      <c r="O9" s="968">
        <v>4860.92</v>
      </c>
      <c r="P9" s="968">
        <v>2333239.5299999998</v>
      </c>
      <c r="Q9" s="968">
        <v>4860.92</v>
      </c>
      <c r="R9" s="968">
        <v>2333239.5299999998</v>
      </c>
      <c r="S9" s="968">
        <v>4860.92</v>
      </c>
      <c r="T9" s="968">
        <v>2333239.5299999998</v>
      </c>
      <c r="U9" s="968">
        <v>4860.92</v>
      </c>
      <c r="V9" s="968">
        <v>2333239.5299999998</v>
      </c>
      <c r="W9" s="968">
        <v>4860.92</v>
      </c>
      <c r="X9" s="968">
        <v>2333239.5299999998</v>
      </c>
      <c r="Y9" s="968">
        <v>4860.92</v>
      </c>
      <c r="Z9" s="968">
        <v>2333239.5299999998</v>
      </c>
      <c r="AA9" s="968">
        <v>4860.92</v>
      </c>
      <c r="AB9" s="968">
        <v>2333239.5299999998</v>
      </c>
      <c r="AC9" s="968">
        <v>4860.92</v>
      </c>
      <c r="AD9" s="967">
        <v>58331.039999999986</v>
      </c>
      <c r="AF9" s="747" t="s">
        <v>1458</v>
      </c>
      <c r="AG9" s="980">
        <f>+INDEX('EOP Depreciation Expense Adj'!$O$12:$O$53,MATCH(AF9,'EOP Depreciation Expense Adj'!$A$12:$A$53,0))</f>
        <v>0</v>
      </c>
      <c r="AH9" s="981">
        <f t="shared" si="0"/>
        <v>0</v>
      </c>
      <c r="AI9" s="981">
        <f t="shared" si="1"/>
        <v>58331.039999999986</v>
      </c>
      <c r="AJ9" s="981">
        <f t="shared" si="2"/>
        <v>58331.040000000001</v>
      </c>
    </row>
    <row r="10" spans="1:36">
      <c r="A10" s="966"/>
      <c r="B10" s="966"/>
      <c r="C10" s="629" t="s">
        <v>1347</v>
      </c>
      <c r="D10" s="965">
        <v>2.5000000000000001E-2</v>
      </c>
      <c r="E10" s="970">
        <v>1</v>
      </c>
      <c r="F10" s="968">
        <v>8000.9</v>
      </c>
      <c r="G10" s="968">
        <v>16.670000000000002</v>
      </c>
      <c r="H10" s="968">
        <v>8000.9</v>
      </c>
      <c r="I10" s="968">
        <v>16.670000000000002</v>
      </c>
      <c r="J10" s="968">
        <v>8000.9</v>
      </c>
      <c r="K10" s="968">
        <v>16.670000000000002</v>
      </c>
      <c r="L10" s="968">
        <v>8000.9</v>
      </c>
      <c r="M10" s="968">
        <v>16.670000000000002</v>
      </c>
      <c r="N10" s="968">
        <v>8000.9</v>
      </c>
      <c r="O10" s="968">
        <v>16.670000000000002</v>
      </c>
      <c r="P10" s="968">
        <v>8000.9</v>
      </c>
      <c r="Q10" s="968">
        <v>16.670000000000002</v>
      </c>
      <c r="R10" s="968">
        <v>8000.9</v>
      </c>
      <c r="S10" s="968">
        <v>16.670000000000002</v>
      </c>
      <c r="T10" s="968">
        <v>8000.9</v>
      </c>
      <c r="U10" s="968">
        <v>16.670000000000002</v>
      </c>
      <c r="V10" s="968">
        <v>8000.9</v>
      </c>
      <c r="W10" s="968">
        <v>16.670000000000002</v>
      </c>
      <c r="X10" s="968">
        <v>8000.9</v>
      </c>
      <c r="Y10" s="968">
        <v>16.670000000000002</v>
      </c>
      <c r="Z10" s="968">
        <v>8000.9</v>
      </c>
      <c r="AA10" s="968">
        <v>16.670000000000002</v>
      </c>
      <c r="AB10" s="968">
        <v>8000.9</v>
      </c>
      <c r="AC10" s="968">
        <v>16.670000000000002</v>
      </c>
      <c r="AD10" s="967">
        <v>200.04000000000008</v>
      </c>
      <c r="AF10" s="747" t="s">
        <v>1458</v>
      </c>
      <c r="AG10" s="980">
        <f>+INDEX('EOP Depreciation Expense Adj'!$O$12:$O$53,MATCH(AF10,'EOP Depreciation Expense Adj'!$A$12:$A$53,0))</f>
        <v>0</v>
      </c>
      <c r="AH10" s="981">
        <f t="shared" si="0"/>
        <v>0</v>
      </c>
      <c r="AI10" s="981">
        <f t="shared" si="1"/>
        <v>200.04000000000008</v>
      </c>
      <c r="AJ10" s="981">
        <f t="shared" si="2"/>
        <v>200.04000000000002</v>
      </c>
    </row>
    <row r="11" spans="1:36">
      <c r="A11" s="966"/>
      <c r="B11" s="966"/>
      <c r="C11" s="629" t="s">
        <v>865</v>
      </c>
      <c r="D11" s="965">
        <v>0</v>
      </c>
      <c r="E11" s="970">
        <v>1</v>
      </c>
      <c r="F11" s="968">
        <v>211404.97</v>
      </c>
      <c r="G11" s="968">
        <v>0</v>
      </c>
      <c r="H11" s="968">
        <v>211404.97</v>
      </c>
      <c r="I11" s="968">
        <v>0</v>
      </c>
      <c r="J11" s="968">
        <v>211404.97</v>
      </c>
      <c r="K11" s="968">
        <v>0</v>
      </c>
      <c r="L11" s="968">
        <v>211404.97</v>
      </c>
      <c r="M11" s="968">
        <v>0</v>
      </c>
      <c r="N11" s="968">
        <v>211404.97</v>
      </c>
      <c r="O11" s="968">
        <v>0</v>
      </c>
      <c r="P11" s="968">
        <v>211404.97</v>
      </c>
      <c r="Q11" s="968">
        <v>0</v>
      </c>
      <c r="R11" s="968">
        <v>211404.97</v>
      </c>
      <c r="S11" s="968">
        <v>0</v>
      </c>
      <c r="T11" s="968">
        <v>211404.97</v>
      </c>
      <c r="U11" s="968">
        <v>0</v>
      </c>
      <c r="V11" s="968">
        <v>211404.97</v>
      </c>
      <c r="W11" s="968">
        <v>0</v>
      </c>
      <c r="X11" s="968">
        <v>211404.97</v>
      </c>
      <c r="Y11" s="968">
        <v>0</v>
      </c>
      <c r="Z11" s="968">
        <v>211404.97</v>
      </c>
      <c r="AA11" s="968">
        <v>0</v>
      </c>
      <c r="AB11" s="968">
        <v>211404.97</v>
      </c>
      <c r="AC11" s="968">
        <v>0</v>
      </c>
      <c r="AD11" s="967">
        <v>0</v>
      </c>
      <c r="AF11" s="747" t="s">
        <v>1459</v>
      </c>
      <c r="AG11" s="980">
        <f>+INDEX('EOP Depreciation Expense Adj'!$O$12:$O$53,MATCH(AF11,'EOP Depreciation Expense Adj'!$A$12:$A$53,0))</f>
        <v>0</v>
      </c>
      <c r="AH11" s="981">
        <f t="shared" si="0"/>
        <v>0</v>
      </c>
      <c r="AI11" s="981">
        <f t="shared" si="1"/>
        <v>0</v>
      </c>
      <c r="AJ11" s="981">
        <f t="shared" si="2"/>
        <v>0</v>
      </c>
    </row>
    <row r="12" spans="1:36">
      <c r="A12" s="966"/>
      <c r="B12" s="966"/>
      <c r="C12" s="629" t="s">
        <v>866</v>
      </c>
      <c r="D12" s="965">
        <v>1.5800000000000002E-2</v>
      </c>
      <c r="E12" s="970">
        <v>1</v>
      </c>
      <c r="F12" s="968">
        <v>1018396.75</v>
      </c>
      <c r="G12" s="968">
        <v>1340.89</v>
      </c>
      <c r="H12" s="968">
        <v>1018396.75</v>
      </c>
      <c r="I12" s="968">
        <v>1340.89</v>
      </c>
      <c r="J12" s="968">
        <v>1018396.75</v>
      </c>
      <c r="K12" s="968">
        <v>1340.89</v>
      </c>
      <c r="L12" s="968">
        <v>1018396.75</v>
      </c>
      <c r="M12" s="968">
        <v>1340.89</v>
      </c>
      <c r="N12" s="968">
        <v>1018396.75</v>
      </c>
      <c r="O12" s="968">
        <v>1340.89</v>
      </c>
      <c r="P12" s="968">
        <v>1018396.75</v>
      </c>
      <c r="Q12" s="968">
        <v>1340.89</v>
      </c>
      <c r="R12" s="968">
        <v>1018396.75</v>
      </c>
      <c r="S12" s="968">
        <v>1340.89</v>
      </c>
      <c r="T12" s="968">
        <v>1018396.75</v>
      </c>
      <c r="U12" s="968">
        <v>1340.89</v>
      </c>
      <c r="V12" s="968">
        <v>1018396.75</v>
      </c>
      <c r="W12" s="968">
        <v>1340.89</v>
      </c>
      <c r="X12" s="968">
        <v>1018396.75</v>
      </c>
      <c r="Y12" s="968">
        <v>1340.89</v>
      </c>
      <c r="Z12" s="968">
        <v>1018396.75</v>
      </c>
      <c r="AA12" s="968">
        <v>1340.89</v>
      </c>
      <c r="AB12" s="968">
        <v>1018396.75</v>
      </c>
      <c r="AC12" s="968">
        <v>1340.89</v>
      </c>
      <c r="AD12" s="967">
        <v>16090.679999999998</v>
      </c>
      <c r="AF12" s="747" t="s">
        <v>1460</v>
      </c>
      <c r="AG12" s="980">
        <f>+INDEX('EOP Depreciation Expense Adj'!$O$12:$O$53,MATCH(AF12,'EOP Depreciation Expense Adj'!$A$12:$A$53,0))</f>
        <v>6.5000000000000006E-3</v>
      </c>
      <c r="AH12" s="981">
        <f t="shared" si="0"/>
        <v>-9471.0964556962026</v>
      </c>
      <c r="AI12" s="981">
        <f t="shared" si="1"/>
        <v>6619.5835443037968</v>
      </c>
      <c r="AJ12" s="981">
        <f t="shared" si="2"/>
        <v>6619.5835443037968</v>
      </c>
    </row>
    <row r="13" spans="1:36">
      <c r="A13" s="966"/>
      <c r="B13" s="966"/>
      <c r="C13" s="629" t="s">
        <v>867</v>
      </c>
      <c r="D13" s="965">
        <v>1.8200000000000001E-2</v>
      </c>
      <c r="E13" s="970">
        <v>1</v>
      </c>
      <c r="F13" s="968">
        <v>15968181.91</v>
      </c>
      <c r="G13" s="968">
        <v>24218.41</v>
      </c>
      <c r="H13" s="968">
        <v>15968181.91</v>
      </c>
      <c r="I13" s="968">
        <v>24218.41</v>
      </c>
      <c r="J13" s="968">
        <v>15968181.91</v>
      </c>
      <c r="K13" s="968">
        <v>24218.41</v>
      </c>
      <c r="L13" s="968">
        <v>15968181.91</v>
      </c>
      <c r="M13" s="968">
        <v>24218.41</v>
      </c>
      <c r="N13" s="968">
        <v>15968181.91</v>
      </c>
      <c r="O13" s="968">
        <v>24218.41</v>
      </c>
      <c r="P13" s="968">
        <v>15968181.91</v>
      </c>
      <c r="Q13" s="968">
        <v>24218.41</v>
      </c>
      <c r="R13" s="968">
        <v>15968181.91</v>
      </c>
      <c r="S13" s="968">
        <v>24218.41</v>
      </c>
      <c r="T13" s="968">
        <v>15968181.91</v>
      </c>
      <c r="U13" s="968">
        <v>24218.41</v>
      </c>
      <c r="V13" s="968">
        <v>15900055.619999999</v>
      </c>
      <c r="W13" s="968">
        <v>24218.41</v>
      </c>
      <c r="X13" s="968">
        <v>15900055.619999999</v>
      </c>
      <c r="Y13" s="968">
        <v>24115.08</v>
      </c>
      <c r="Z13" s="968">
        <v>15900055.619999999</v>
      </c>
      <c r="AA13" s="968">
        <v>24115.08</v>
      </c>
      <c r="AB13" s="968">
        <v>15900055.619999999</v>
      </c>
      <c r="AC13" s="968">
        <v>24115.08</v>
      </c>
      <c r="AD13" s="967">
        <v>290310.93000000005</v>
      </c>
      <c r="AF13" s="747" t="s">
        <v>1461</v>
      </c>
      <c r="AG13" s="980">
        <f>+INDEX('EOP Depreciation Expense Adj'!$O$12:$O$53,MATCH(AF13,'EOP Depreciation Expense Adj'!$A$12:$A$53,0))</f>
        <v>1.4999999999999999E-2</v>
      </c>
      <c r="AH13" s="981">
        <f t="shared" si="0"/>
        <v>-51043.680000000022</v>
      </c>
      <c r="AI13" s="981">
        <f t="shared" si="1"/>
        <v>239267.25000000003</v>
      </c>
      <c r="AJ13" s="981">
        <f t="shared" si="2"/>
        <v>238500.7912087912</v>
      </c>
    </row>
    <row r="14" spans="1:36">
      <c r="A14" s="966"/>
      <c r="B14" s="966"/>
      <c r="C14" s="629" t="s">
        <v>868</v>
      </c>
      <c r="D14" s="965">
        <v>4.1000000000000003E-3</v>
      </c>
      <c r="E14" s="970">
        <v>1</v>
      </c>
      <c r="F14" s="968">
        <v>144661.1</v>
      </c>
      <c r="G14" s="968">
        <v>49.43</v>
      </c>
      <c r="H14" s="968">
        <v>144661.1</v>
      </c>
      <c r="I14" s="968">
        <v>49.43</v>
      </c>
      <c r="J14" s="968">
        <v>144661.1</v>
      </c>
      <c r="K14" s="968">
        <v>49.43</v>
      </c>
      <c r="L14" s="968">
        <v>144661.1</v>
      </c>
      <c r="M14" s="968">
        <v>49.43</v>
      </c>
      <c r="N14" s="968">
        <v>144661.1</v>
      </c>
      <c r="O14" s="968">
        <v>49.43</v>
      </c>
      <c r="P14" s="968">
        <v>144661.1</v>
      </c>
      <c r="Q14" s="968">
        <v>49.43</v>
      </c>
      <c r="R14" s="968">
        <v>144661.1</v>
      </c>
      <c r="S14" s="968">
        <v>49.43</v>
      </c>
      <c r="T14" s="968">
        <v>144661.1</v>
      </c>
      <c r="U14" s="968">
        <v>49.43</v>
      </c>
      <c r="V14" s="968">
        <v>144661.1</v>
      </c>
      <c r="W14" s="968">
        <v>49.43</v>
      </c>
      <c r="X14" s="968">
        <v>144661.1</v>
      </c>
      <c r="Y14" s="968">
        <v>49.43</v>
      </c>
      <c r="Z14" s="968">
        <v>144661.1</v>
      </c>
      <c r="AA14" s="968">
        <v>49.43</v>
      </c>
      <c r="AB14" s="968">
        <v>144661.1</v>
      </c>
      <c r="AC14" s="968">
        <v>49.43</v>
      </c>
      <c r="AD14" s="967">
        <v>593.16</v>
      </c>
      <c r="AF14" s="747" t="s">
        <v>1462</v>
      </c>
      <c r="AG14" s="980">
        <f>+INDEX('EOP Depreciation Expense Adj'!$O$12:$O$53,MATCH(AF14,'EOP Depreciation Expense Adj'!$A$12:$A$53,0))</f>
        <v>4.5999999999999999E-2</v>
      </c>
      <c r="AH14" s="981">
        <f t="shared" si="0"/>
        <v>6061.8058536585359</v>
      </c>
      <c r="AI14" s="981">
        <f t="shared" si="1"/>
        <v>6654.9658536585357</v>
      </c>
      <c r="AJ14" s="981">
        <f t="shared" si="2"/>
        <v>6654.9658536585357</v>
      </c>
    </row>
    <row r="15" spans="1:36">
      <c r="A15" s="966"/>
      <c r="B15" s="966"/>
      <c r="C15" s="629" t="s">
        <v>869</v>
      </c>
      <c r="D15" s="965">
        <v>1.8800000000000001E-2</v>
      </c>
      <c r="E15" s="970">
        <v>1</v>
      </c>
      <c r="F15" s="968">
        <v>1922322.92</v>
      </c>
      <c r="G15" s="968">
        <v>3011.64</v>
      </c>
      <c r="H15" s="968">
        <v>1922322.92</v>
      </c>
      <c r="I15" s="968">
        <v>3011.64</v>
      </c>
      <c r="J15" s="968">
        <v>1922322.92</v>
      </c>
      <c r="K15" s="968">
        <v>3011.64</v>
      </c>
      <c r="L15" s="968">
        <v>1922322.92</v>
      </c>
      <c r="M15" s="968">
        <v>3011.64</v>
      </c>
      <c r="N15" s="968">
        <v>1922322.92</v>
      </c>
      <c r="O15" s="968">
        <v>3011.64</v>
      </c>
      <c r="P15" s="968">
        <v>1922322.92</v>
      </c>
      <c r="Q15" s="968">
        <v>3011.64</v>
      </c>
      <c r="R15" s="968">
        <v>1922322.92</v>
      </c>
      <c r="S15" s="968">
        <v>3011.64</v>
      </c>
      <c r="T15" s="968">
        <v>1922322.92</v>
      </c>
      <c r="U15" s="968">
        <v>3011.64</v>
      </c>
      <c r="V15" s="968">
        <v>1922322.92</v>
      </c>
      <c r="W15" s="968">
        <v>3011.64</v>
      </c>
      <c r="X15" s="968">
        <v>1922322.92</v>
      </c>
      <c r="Y15" s="968">
        <v>3011.64</v>
      </c>
      <c r="Z15" s="968">
        <v>1922322.92</v>
      </c>
      <c r="AA15" s="968">
        <v>3011.64</v>
      </c>
      <c r="AB15" s="968">
        <v>1922322.92</v>
      </c>
      <c r="AC15" s="968">
        <v>3011.64</v>
      </c>
      <c r="AD15" s="967">
        <v>36139.68</v>
      </c>
      <c r="AF15" s="747" t="s">
        <v>1463</v>
      </c>
      <c r="AG15" s="980">
        <f>+INDEX('EOP Depreciation Expense Adj'!$O$12:$O$53,MATCH(AF15,'EOP Depreciation Expense Adj'!$A$12:$A$53,0))</f>
        <v>1.6399999999999998E-2</v>
      </c>
      <c r="AH15" s="981">
        <f t="shared" si="0"/>
        <v>-4613.5761702127711</v>
      </c>
      <c r="AI15" s="981">
        <f t="shared" si="1"/>
        <v>31526.103829787229</v>
      </c>
      <c r="AJ15" s="981">
        <f t="shared" si="2"/>
        <v>31526.103829787229</v>
      </c>
    </row>
    <row r="16" spans="1:36">
      <c r="A16" s="966"/>
      <c r="B16" s="966"/>
      <c r="C16" s="629" t="s">
        <v>870</v>
      </c>
      <c r="D16" s="965">
        <v>0</v>
      </c>
      <c r="E16" s="970">
        <v>1</v>
      </c>
      <c r="F16" s="968">
        <v>268634.65999999997</v>
      </c>
      <c r="G16" s="968">
        <v>0</v>
      </c>
      <c r="H16" s="968">
        <v>268634.65999999997</v>
      </c>
      <c r="I16" s="968">
        <v>0</v>
      </c>
      <c r="J16" s="968">
        <v>268634.65999999997</v>
      </c>
      <c r="K16" s="968">
        <v>0</v>
      </c>
      <c r="L16" s="968">
        <v>325865.8</v>
      </c>
      <c r="M16" s="968">
        <v>0</v>
      </c>
      <c r="N16" s="968">
        <v>325865.8</v>
      </c>
      <c r="O16" s="968">
        <v>0</v>
      </c>
      <c r="P16" s="968">
        <v>325865.8</v>
      </c>
      <c r="Q16" s="968">
        <v>0</v>
      </c>
      <c r="R16" s="968">
        <v>316965.8</v>
      </c>
      <c r="S16" s="968">
        <v>0</v>
      </c>
      <c r="T16" s="968">
        <v>316965.8</v>
      </c>
      <c r="U16" s="968">
        <v>0</v>
      </c>
      <c r="V16" s="968">
        <v>316965.8</v>
      </c>
      <c r="W16" s="968">
        <v>0</v>
      </c>
      <c r="X16" s="968">
        <v>316965.8</v>
      </c>
      <c r="Y16" s="968">
        <v>0</v>
      </c>
      <c r="Z16" s="968">
        <v>316965.8</v>
      </c>
      <c r="AA16" s="968">
        <v>0</v>
      </c>
      <c r="AB16" s="968">
        <v>316965.8</v>
      </c>
      <c r="AC16" s="968">
        <v>0</v>
      </c>
      <c r="AD16" s="967">
        <v>0</v>
      </c>
      <c r="AF16" s="747" t="s">
        <v>1464</v>
      </c>
      <c r="AG16" s="980">
        <f>+INDEX('EOP Depreciation Expense Adj'!$O$12:$O$53,MATCH(AF16,'EOP Depreciation Expense Adj'!$A$12:$A$53,0))</f>
        <v>0</v>
      </c>
      <c r="AH16" s="981">
        <f t="shared" si="0"/>
        <v>0</v>
      </c>
      <c r="AI16" s="981">
        <f t="shared" si="1"/>
        <v>0</v>
      </c>
      <c r="AJ16" s="981">
        <f t="shared" si="2"/>
        <v>0</v>
      </c>
    </row>
    <row r="17" spans="1:36">
      <c r="A17" s="966"/>
      <c r="B17" s="966"/>
      <c r="C17" s="629" t="s">
        <v>871</v>
      </c>
      <c r="D17" s="965">
        <v>1.2200000000000001E-2</v>
      </c>
      <c r="E17" s="970">
        <v>1</v>
      </c>
      <c r="F17" s="968">
        <v>702922.71</v>
      </c>
      <c r="G17" s="968">
        <v>714.64</v>
      </c>
      <c r="H17" s="968">
        <v>702922.71</v>
      </c>
      <c r="I17" s="968">
        <v>714.64</v>
      </c>
      <c r="J17" s="968">
        <v>702922.71</v>
      </c>
      <c r="K17" s="968">
        <v>714.64</v>
      </c>
      <c r="L17" s="968">
        <v>702922.71</v>
      </c>
      <c r="M17" s="968">
        <v>714.64</v>
      </c>
      <c r="N17" s="968">
        <v>702922.71</v>
      </c>
      <c r="O17" s="968">
        <v>714.64</v>
      </c>
      <c r="P17" s="968">
        <v>702922.71</v>
      </c>
      <c r="Q17" s="968">
        <v>714.64</v>
      </c>
      <c r="R17" s="968">
        <v>702922.71</v>
      </c>
      <c r="S17" s="968">
        <v>714.64</v>
      </c>
      <c r="T17" s="968">
        <v>702922.71</v>
      </c>
      <c r="U17" s="968">
        <v>714.64</v>
      </c>
      <c r="V17" s="968">
        <v>702922.71</v>
      </c>
      <c r="W17" s="968">
        <v>714.64</v>
      </c>
      <c r="X17" s="968">
        <v>702922.71</v>
      </c>
      <c r="Y17" s="968">
        <v>714.64</v>
      </c>
      <c r="Z17" s="968">
        <v>702922.71</v>
      </c>
      <c r="AA17" s="968">
        <v>714.64</v>
      </c>
      <c r="AB17" s="968">
        <v>702922.71</v>
      </c>
      <c r="AC17" s="968">
        <v>714.64</v>
      </c>
      <c r="AD17" s="967">
        <v>8575.6800000000021</v>
      </c>
      <c r="AF17" s="747" t="s">
        <v>1465</v>
      </c>
      <c r="AG17" s="980">
        <f>+INDEX('EOP Depreciation Expense Adj'!$O$12:$O$53,MATCH(AF17,'EOP Depreciation Expense Adj'!$A$12:$A$53,0))</f>
        <v>8.3999999999999995E-3</v>
      </c>
      <c r="AH17" s="981">
        <f t="shared" si="0"/>
        <v>-2671.1134426229528</v>
      </c>
      <c r="AI17" s="981">
        <f t="shared" si="1"/>
        <v>5904.5665573770493</v>
      </c>
      <c r="AJ17" s="981">
        <f t="shared" si="2"/>
        <v>5904.5665573770484</v>
      </c>
    </row>
    <row r="18" spans="1:36">
      <c r="A18" s="966"/>
      <c r="B18" s="966"/>
      <c r="C18" s="629" t="s">
        <v>872</v>
      </c>
      <c r="D18" s="965">
        <v>1.2500000000000001E-2</v>
      </c>
      <c r="E18" s="970">
        <v>1</v>
      </c>
      <c r="F18" s="968">
        <v>152285876.18000001</v>
      </c>
      <c r="G18" s="968">
        <v>158417.83000000002</v>
      </c>
      <c r="H18" s="968">
        <v>152383338.86000001</v>
      </c>
      <c r="I18" s="968">
        <v>158631.12</v>
      </c>
      <c r="J18" s="968">
        <v>152545252</v>
      </c>
      <c r="K18" s="968">
        <v>158732.64000000001</v>
      </c>
      <c r="L18" s="968">
        <v>152635695.47</v>
      </c>
      <c r="M18" s="968">
        <v>158901.31</v>
      </c>
      <c r="N18" s="968">
        <v>152533201.38</v>
      </c>
      <c r="O18" s="968">
        <v>158995.52000000002</v>
      </c>
      <c r="P18" s="968">
        <v>152584663.47999999</v>
      </c>
      <c r="Q18" s="968">
        <v>158888.75</v>
      </c>
      <c r="R18" s="968">
        <v>152894625.53</v>
      </c>
      <c r="S18" s="968">
        <v>158942.35999999999</v>
      </c>
      <c r="T18" s="968">
        <v>152672504.81999999</v>
      </c>
      <c r="U18" s="968">
        <v>159265.24000000002</v>
      </c>
      <c r="V18" s="968">
        <v>152717699.28999999</v>
      </c>
      <c r="W18" s="968">
        <v>159033.85999999999</v>
      </c>
      <c r="X18" s="968">
        <v>153253677.31</v>
      </c>
      <c r="Y18" s="968">
        <v>159080.93</v>
      </c>
      <c r="Z18" s="968">
        <v>155549589.37</v>
      </c>
      <c r="AA18" s="968">
        <v>159639.25</v>
      </c>
      <c r="AB18" s="968">
        <v>159069534.16</v>
      </c>
      <c r="AC18" s="968">
        <v>162030.82</v>
      </c>
      <c r="AD18" s="967">
        <v>1910559.63</v>
      </c>
      <c r="AF18" s="747" t="s">
        <v>1466</v>
      </c>
      <c r="AG18" s="980">
        <f>+INDEX('EOP Depreciation Expense Adj'!$O$12:$O$53,MATCH(AF18,'EOP Depreciation Expense Adj'!$A$12:$A$53,0))</f>
        <v>1.52E-2</v>
      </c>
      <c r="AH18" s="981">
        <f t="shared" si="0"/>
        <v>412680.88007999957</v>
      </c>
      <c r="AI18" s="981">
        <f t="shared" si="1"/>
        <v>2323240.5100799995</v>
      </c>
      <c r="AJ18" s="981">
        <f t="shared" si="2"/>
        <v>2364353.7254400002</v>
      </c>
    </row>
    <row r="19" spans="1:36">
      <c r="A19" s="966"/>
      <c r="B19" s="966"/>
      <c r="C19" s="629" t="s">
        <v>873</v>
      </c>
      <c r="D19" s="965">
        <v>4.1300000000000003E-2</v>
      </c>
      <c r="E19" s="970">
        <v>1</v>
      </c>
      <c r="F19" s="968">
        <v>137006519.52000001</v>
      </c>
      <c r="G19" s="968">
        <v>468384.47</v>
      </c>
      <c r="H19" s="968">
        <v>137612464.56999999</v>
      </c>
      <c r="I19" s="968">
        <v>471530.77</v>
      </c>
      <c r="J19" s="968">
        <v>138162323.05000001</v>
      </c>
      <c r="K19" s="968">
        <v>473616.24</v>
      </c>
      <c r="L19" s="968">
        <v>138840522.22999999</v>
      </c>
      <c r="M19" s="968">
        <v>475508.66</v>
      </c>
      <c r="N19" s="968">
        <v>140704316.47</v>
      </c>
      <c r="O19" s="968">
        <v>477842.8</v>
      </c>
      <c r="P19" s="968">
        <v>141664246.24000001</v>
      </c>
      <c r="Q19" s="968">
        <v>484257.36</v>
      </c>
      <c r="R19" s="968">
        <v>142461885.88999999</v>
      </c>
      <c r="S19" s="968">
        <v>487561.12</v>
      </c>
      <c r="T19" s="968">
        <v>143506434.94</v>
      </c>
      <c r="U19" s="968">
        <v>490306.32</v>
      </c>
      <c r="V19" s="968">
        <v>145731909.34999999</v>
      </c>
      <c r="W19" s="968">
        <v>493901.31</v>
      </c>
      <c r="X19" s="968">
        <v>148303899.88</v>
      </c>
      <c r="Y19" s="968">
        <v>501560.66000000003</v>
      </c>
      <c r="Z19" s="968">
        <v>149221778.66999999</v>
      </c>
      <c r="AA19" s="968">
        <v>510412.58999999997</v>
      </c>
      <c r="AB19" s="968">
        <v>151836907.28999999</v>
      </c>
      <c r="AC19" s="968">
        <v>513571.62</v>
      </c>
      <c r="AD19" s="967">
        <v>5848453.9199999999</v>
      </c>
      <c r="AF19" s="747" t="s">
        <v>1467</v>
      </c>
      <c r="AG19" s="980">
        <f>+INDEX('EOP Depreciation Expense Adj'!$O$12:$O$53,MATCH(AF19,'EOP Depreciation Expense Adj'!$A$12:$A$53,0))</f>
        <v>2.81E-2</v>
      </c>
      <c r="AH19" s="981">
        <f t="shared" si="0"/>
        <v>-1869239.5095399516</v>
      </c>
      <c r="AI19" s="981">
        <f t="shared" si="1"/>
        <v>3979214.4104600484</v>
      </c>
      <c r="AJ19" s="981">
        <f t="shared" si="2"/>
        <v>4193131.9676513318</v>
      </c>
    </row>
    <row r="20" spans="1:36">
      <c r="A20" s="966"/>
      <c r="B20" s="966"/>
      <c r="C20" s="629" t="s">
        <v>874</v>
      </c>
      <c r="D20" s="965">
        <v>2.1999999999999999E-2</v>
      </c>
      <c r="E20" s="970">
        <v>1</v>
      </c>
      <c r="F20" s="968">
        <v>116699053.47</v>
      </c>
      <c r="G20" s="968">
        <v>213699.15</v>
      </c>
      <c r="H20" s="968">
        <v>116700326.02</v>
      </c>
      <c r="I20" s="968">
        <v>213948.27</v>
      </c>
      <c r="J20" s="968">
        <v>116789435.97</v>
      </c>
      <c r="K20" s="968">
        <v>213950.6</v>
      </c>
      <c r="L20" s="968">
        <v>116804618.29000001</v>
      </c>
      <c r="M20" s="968">
        <v>214113.96999999997</v>
      </c>
      <c r="N20" s="968">
        <v>116789795.88</v>
      </c>
      <c r="O20" s="968">
        <v>214141.8</v>
      </c>
      <c r="P20" s="968">
        <v>116864730.40000001</v>
      </c>
      <c r="Q20" s="968">
        <v>214114.62</v>
      </c>
      <c r="R20" s="968">
        <v>116979841.54000001</v>
      </c>
      <c r="S20" s="968">
        <v>214252.01</v>
      </c>
      <c r="T20" s="968">
        <v>117271774.18000001</v>
      </c>
      <c r="U20" s="968">
        <v>214463.05</v>
      </c>
      <c r="V20" s="968">
        <v>117750554.17</v>
      </c>
      <c r="W20" s="968">
        <v>214998.25</v>
      </c>
      <c r="X20" s="968">
        <v>117973295.04000001</v>
      </c>
      <c r="Y20" s="968">
        <v>215876.01</v>
      </c>
      <c r="Z20" s="968">
        <v>118237750.54000001</v>
      </c>
      <c r="AA20" s="968">
        <v>216284.38</v>
      </c>
      <c r="AB20" s="968">
        <v>118986847.06999999</v>
      </c>
      <c r="AC20" s="968">
        <v>216769.21000000002</v>
      </c>
      <c r="AD20" s="967">
        <v>2576611.3200000003</v>
      </c>
      <c r="AF20" s="747" t="s">
        <v>1468</v>
      </c>
      <c r="AG20" s="980">
        <f>+INDEX('EOP Depreciation Expense Adj'!$O$12:$O$53,MATCH(AF20,'EOP Depreciation Expense Adj'!$A$12:$A$53,0))</f>
        <v>3.56E-2</v>
      </c>
      <c r="AH20" s="981">
        <f t="shared" si="0"/>
        <v>1592814.2705454552</v>
      </c>
      <c r="AI20" s="981">
        <f t="shared" si="1"/>
        <v>4169425.5905454555</v>
      </c>
      <c r="AJ20" s="981">
        <f t="shared" si="2"/>
        <v>4209263.9323636368</v>
      </c>
    </row>
    <row r="21" spans="1:36">
      <c r="A21" s="966"/>
      <c r="B21" s="966"/>
      <c r="C21" s="629" t="s">
        <v>875</v>
      </c>
      <c r="D21" s="965">
        <v>1.78E-2</v>
      </c>
      <c r="E21" s="970">
        <v>1</v>
      </c>
      <c r="F21" s="968">
        <v>2097766.77</v>
      </c>
      <c r="G21" s="968">
        <v>3111.69</v>
      </c>
      <c r="H21" s="968">
        <v>2097766.77</v>
      </c>
      <c r="I21" s="968">
        <v>3111.69</v>
      </c>
      <c r="J21" s="968">
        <v>2097766.77</v>
      </c>
      <c r="K21" s="968">
        <v>3111.69</v>
      </c>
      <c r="L21" s="968">
        <v>2097766.77</v>
      </c>
      <c r="M21" s="968">
        <v>3111.69</v>
      </c>
      <c r="N21" s="968">
        <v>2097766.77</v>
      </c>
      <c r="O21" s="968">
        <v>3111.69</v>
      </c>
      <c r="P21" s="968">
        <v>2097766.77</v>
      </c>
      <c r="Q21" s="968">
        <v>3111.69</v>
      </c>
      <c r="R21" s="968">
        <v>2097766.77</v>
      </c>
      <c r="S21" s="968">
        <v>3111.69</v>
      </c>
      <c r="T21" s="968">
        <v>2097766.77</v>
      </c>
      <c r="U21" s="968">
        <v>3111.69</v>
      </c>
      <c r="V21" s="968">
        <v>2097766.77</v>
      </c>
      <c r="W21" s="968">
        <v>3111.69</v>
      </c>
      <c r="X21" s="968">
        <v>2097766.77</v>
      </c>
      <c r="Y21" s="968">
        <v>3111.69</v>
      </c>
      <c r="Z21" s="968">
        <v>2097766.77</v>
      </c>
      <c r="AA21" s="968">
        <v>3111.69</v>
      </c>
      <c r="AB21" s="968">
        <v>2097766.77</v>
      </c>
      <c r="AC21" s="968">
        <v>3111.69</v>
      </c>
      <c r="AD21" s="967">
        <v>37340.28</v>
      </c>
      <c r="AF21" s="747" t="s">
        <v>1491</v>
      </c>
      <c r="AG21" s="980">
        <f>+INDEX('EOP Depreciation Expense Adj'!$O$12:$O$53,MATCH(AF21,'EOP Depreciation Expense Adj'!$A$12:$A$53,0))</f>
        <v>1.72E-2</v>
      </c>
      <c r="AH21" s="981">
        <f t="shared" si="0"/>
        <v>-1258.6611235955061</v>
      </c>
      <c r="AI21" s="981">
        <f t="shared" si="1"/>
        <v>36081.618876404493</v>
      </c>
      <c r="AJ21" s="981">
        <f t="shared" si="2"/>
        <v>36081.618876404493</v>
      </c>
    </row>
    <row r="22" spans="1:36">
      <c r="A22" s="966"/>
      <c r="B22" s="966"/>
      <c r="C22" s="629" t="s">
        <v>876</v>
      </c>
      <c r="D22" s="965">
        <v>1.9199999999999998E-2</v>
      </c>
      <c r="E22" s="970">
        <v>1</v>
      </c>
      <c r="F22" s="968">
        <v>22415457.609999999</v>
      </c>
      <c r="G22" s="968">
        <v>35897.760000000002</v>
      </c>
      <c r="H22" s="968">
        <v>22449834.93</v>
      </c>
      <c r="I22" s="968">
        <v>35864.74</v>
      </c>
      <c r="J22" s="968">
        <v>22558546.760000002</v>
      </c>
      <c r="K22" s="968">
        <v>35919.74</v>
      </c>
      <c r="L22" s="968">
        <v>22498581.940000001</v>
      </c>
      <c r="M22" s="968">
        <v>36093.68</v>
      </c>
      <c r="N22" s="968">
        <v>22507090.149999999</v>
      </c>
      <c r="O22" s="968">
        <v>35997.729999999996</v>
      </c>
      <c r="P22" s="968">
        <v>23436311.629999999</v>
      </c>
      <c r="Q22" s="968">
        <v>36011.35</v>
      </c>
      <c r="R22" s="968">
        <v>23520464.469999999</v>
      </c>
      <c r="S22" s="968">
        <v>37498.1</v>
      </c>
      <c r="T22" s="968">
        <v>23606781.100000001</v>
      </c>
      <c r="U22" s="968">
        <v>37632.74</v>
      </c>
      <c r="V22" s="968">
        <v>24157840.940000001</v>
      </c>
      <c r="W22" s="968">
        <v>37770.850000000006</v>
      </c>
      <c r="X22" s="968">
        <v>24242516.460000001</v>
      </c>
      <c r="Y22" s="968">
        <v>38652.550000000003</v>
      </c>
      <c r="Z22" s="968">
        <v>24548567.699999999</v>
      </c>
      <c r="AA22" s="968">
        <v>38788.020000000004</v>
      </c>
      <c r="AB22" s="968">
        <v>25599862.800000001</v>
      </c>
      <c r="AC22" s="968">
        <v>39277.71</v>
      </c>
      <c r="AD22" s="967">
        <v>445404.97</v>
      </c>
      <c r="AF22" s="747" t="s">
        <v>2363</v>
      </c>
      <c r="AG22" s="980">
        <f>+INDEX('EOP Depreciation Expense Adj'!$O$12:$O$53,MATCH(AF22,'EOP Depreciation Expense Adj'!$A$12:$A$53,0))</f>
        <v>1.9699999999999999E-2</v>
      </c>
      <c r="AH22" s="981">
        <f t="shared" si="0"/>
        <v>11599.087760416616</v>
      </c>
      <c r="AI22" s="981">
        <f t="shared" si="1"/>
        <v>457004.05776041659</v>
      </c>
      <c r="AJ22" s="981">
        <f t="shared" si="2"/>
        <v>483606.80437500001</v>
      </c>
    </row>
    <row r="23" spans="1:36">
      <c r="A23" s="966"/>
      <c r="B23" s="966"/>
      <c r="C23" s="629" t="s">
        <v>877</v>
      </c>
      <c r="D23" s="965">
        <v>3.8800000000000001E-2</v>
      </c>
      <c r="E23" s="970">
        <v>1</v>
      </c>
      <c r="F23" s="968">
        <v>132332881.73</v>
      </c>
      <c r="G23" s="968">
        <v>423319.64</v>
      </c>
      <c r="H23" s="968">
        <v>133094871.36</v>
      </c>
      <c r="I23" s="968">
        <v>427876.31999999995</v>
      </c>
      <c r="J23" s="968">
        <v>133983648.92</v>
      </c>
      <c r="K23" s="968">
        <v>430340.07999999996</v>
      </c>
      <c r="L23" s="968">
        <v>134936279.41</v>
      </c>
      <c r="M23" s="968">
        <v>433213.8</v>
      </c>
      <c r="N23" s="968">
        <v>136394856.5</v>
      </c>
      <c r="O23" s="968">
        <v>436293.97000000003</v>
      </c>
      <c r="P23" s="968">
        <v>137743445.83000001</v>
      </c>
      <c r="Q23" s="968">
        <v>441010.03</v>
      </c>
      <c r="R23" s="968">
        <v>139037096.52000001</v>
      </c>
      <c r="S23" s="968">
        <v>445370.47000000003</v>
      </c>
      <c r="T23" s="968">
        <v>140108686.43000001</v>
      </c>
      <c r="U23" s="968">
        <v>449553.28</v>
      </c>
      <c r="V23" s="968">
        <v>141392550.86000001</v>
      </c>
      <c r="W23" s="968">
        <v>453018.08</v>
      </c>
      <c r="X23" s="968">
        <v>143370497.22999999</v>
      </c>
      <c r="Y23" s="968">
        <v>457169.24</v>
      </c>
      <c r="Z23" s="968">
        <v>144375197.65000001</v>
      </c>
      <c r="AA23" s="968">
        <v>463564.6</v>
      </c>
      <c r="AB23" s="968">
        <v>146616703.03999999</v>
      </c>
      <c r="AC23" s="968">
        <v>466813.14</v>
      </c>
      <c r="AD23" s="967">
        <v>5327542.6499999994</v>
      </c>
      <c r="AF23" s="747" t="s">
        <v>1469</v>
      </c>
      <c r="AG23" s="980">
        <f>+INDEX('EOP Depreciation Expense Adj'!$O$12:$O$53,MATCH(AF23,'EOP Depreciation Expense Adj'!$A$12:$A$53,0))</f>
        <v>3.3599999999999998E-2</v>
      </c>
      <c r="AH23" s="981">
        <f t="shared" si="0"/>
        <v>-714000.5613402063</v>
      </c>
      <c r="AI23" s="981">
        <f t="shared" si="1"/>
        <v>4613542.0886597931</v>
      </c>
      <c r="AJ23" s="981">
        <f t="shared" si="2"/>
        <v>4851006.6507216496</v>
      </c>
    </row>
    <row r="24" spans="1:36">
      <c r="A24" s="966"/>
      <c r="B24" s="966"/>
      <c r="C24" s="629" t="s">
        <v>878</v>
      </c>
      <c r="D24" s="965">
        <v>3.3299999999999996E-2</v>
      </c>
      <c r="E24" s="970">
        <v>1</v>
      </c>
      <c r="F24" s="968">
        <v>62177550.359999999</v>
      </c>
      <c r="G24" s="968">
        <v>172684.66999999998</v>
      </c>
      <c r="H24" s="968">
        <v>62163585.369999997</v>
      </c>
      <c r="I24" s="968">
        <v>172542.7</v>
      </c>
      <c r="J24" s="968">
        <v>62156756.439999998</v>
      </c>
      <c r="K24" s="968">
        <v>172503.95</v>
      </c>
      <c r="L24" s="968">
        <v>62144887.159999996</v>
      </c>
      <c r="M24" s="968">
        <v>172485</v>
      </c>
      <c r="N24" s="968">
        <v>62144888.009999998</v>
      </c>
      <c r="O24" s="968">
        <v>172452.07</v>
      </c>
      <c r="P24" s="968">
        <v>62143627.539999999</v>
      </c>
      <c r="Q24" s="968">
        <v>172452.07</v>
      </c>
      <c r="R24" s="968">
        <v>62143627.600000001</v>
      </c>
      <c r="S24" s="968">
        <v>172448.57</v>
      </c>
      <c r="T24" s="968">
        <v>62141310.5</v>
      </c>
      <c r="U24" s="968">
        <v>172448.57</v>
      </c>
      <c r="V24" s="968">
        <v>62143085.75</v>
      </c>
      <c r="W24" s="968">
        <v>172442.13</v>
      </c>
      <c r="X24" s="968">
        <v>62167487.270000003</v>
      </c>
      <c r="Y24" s="968">
        <v>172447.06</v>
      </c>
      <c r="Z24" s="968">
        <v>62152142.090000004</v>
      </c>
      <c r="AA24" s="968">
        <v>172514.78</v>
      </c>
      <c r="AB24" s="968">
        <v>62126401.859999999</v>
      </c>
      <c r="AC24" s="968">
        <v>172472.19</v>
      </c>
      <c r="AD24" s="967">
        <v>2069893.7600000005</v>
      </c>
      <c r="AF24" s="747" t="s">
        <v>1470</v>
      </c>
      <c r="AG24" s="980">
        <f>+INDEX('EOP Depreciation Expense Adj'!$O$12:$O$53,MATCH(AF24,'EOP Depreciation Expense Adj'!$A$12:$A$53,0))</f>
        <v>3.4700000000000002E-2</v>
      </c>
      <c r="AH24" s="981">
        <f t="shared" si="0"/>
        <v>87022.560480480781</v>
      </c>
      <c r="AI24" s="981">
        <f t="shared" si="1"/>
        <v>2156916.3204804813</v>
      </c>
      <c r="AJ24" s="981">
        <f t="shared" si="2"/>
        <v>2156679.2767567569</v>
      </c>
    </row>
    <row r="25" spans="1:36">
      <c r="A25" s="966"/>
      <c r="B25" s="966"/>
      <c r="C25" s="629" t="s">
        <v>879</v>
      </c>
      <c r="D25" s="965">
        <v>0</v>
      </c>
      <c r="E25" s="970">
        <v>1</v>
      </c>
      <c r="F25" s="968">
        <v>0</v>
      </c>
      <c r="G25" s="968">
        <v>0</v>
      </c>
      <c r="H25" s="968">
        <v>0</v>
      </c>
      <c r="I25" s="968">
        <v>0</v>
      </c>
      <c r="J25" s="968">
        <v>0</v>
      </c>
      <c r="K25" s="968">
        <v>0</v>
      </c>
      <c r="L25" s="968">
        <v>0</v>
      </c>
      <c r="M25" s="968">
        <v>0</v>
      </c>
      <c r="N25" s="968">
        <v>0</v>
      </c>
      <c r="O25" s="968">
        <v>0</v>
      </c>
      <c r="P25" s="968">
        <v>0</v>
      </c>
      <c r="Q25" s="968">
        <v>0</v>
      </c>
      <c r="R25" s="968">
        <v>0</v>
      </c>
      <c r="S25" s="968">
        <v>0</v>
      </c>
      <c r="T25" s="968">
        <v>0</v>
      </c>
      <c r="U25" s="968">
        <v>0</v>
      </c>
      <c r="V25" s="968">
        <v>0</v>
      </c>
      <c r="W25" s="968">
        <v>0</v>
      </c>
      <c r="X25" s="968">
        <v>0</v>
      </c>
      <c r="Y25" s="968">
        <v>0</v>
      </c>
      <c r="Z25" s="968">
        <v>0</v>
      </c>
      <c r="AA25" s="968">
        <v>0</v>
      </c>
      <c r="AB25" s="968">
        <v>0</v>
      </c>
      <c r="AC25" s="968">
        <v>0</v>
      </c>
      <c r="AD25" s="967">
        <v>0</v>
      </c>
      <c r="AF25" s="747" t="s">
        <v>1472</v>
      </c>
      <c r="AG25" s="980">
        <f>+INDEX('EOP Depreciation Expense Adj'!$O$12:$O$53,MATCH(AF25,'EOP Depreciation Expense Adj'!$A$12:$A$53,0))</f>
        <v>2.6099999999999998E-2</v>
      </c>
      <c r="AH25" s="981"/>
      <c r="AI25" s="981"/>
      <c r="AJ25" s="981"/>
    </row>
    <row r="26" spans="1:36">
      <c r="A26" s="966"/>
      <c r="B26" s="966"/>
      <c r="C26" s="629" t="s">
        <v>880</v>
      </c>
      <c r="D26" s="965">
        <v>1.8599999999999998E-2</v>
      </c>
      <c r="E26" s="970">
        <v>1</v>
      </c>
      <c r="F26" s="968">
        <v>24009499.109999999</v>
      </c>
      <c r="G26" s="968">
        <v>37193.35</v>
      </c>
      <c r="H26" s="968">
        <v>24028445.699999999</v>
      </c>
      <c r="I26" s="968">
        <v>37214.720000000001</v>
      </c>
      <c r="J26" s="968">
        <v>24046225.010000002</v>
      </c>
      <c r="K26" s="968">
        <v>37244.090000000004</v>
      </c>
      <c r="L26" s="968">
        <v>24040527.699999999</v>
      </c>
      <c r="M26" s="968">
        <v>37271.65</v>
      </c>
      <c r="N26" s="968">
        <v>24074886.859999999</v>
      </c>
      <c r="O26" s="968">
        <v>37262.82</v>
      </c>
      <c r="P26" s="968">
        <v>24091655.710000001</v>
      </c>
      <c r="Q26" s="968">
        <v>37316.080000000002</v>
      </c>
      <c r="R26" s="968">
        <v>24106981.829999998</v>
      </c>
      <c r="S26" s="968">
        <v>37342.07</v>
      </c>
      <c r="T26" s="968">
        <v>24110435.620000001</v>
      </c>
      <c r="U26" s="968">
        <v>37365.83</v>
      </c>
      <c r="V26" s="968">
        <v>24120106.18</v>
      </c>
      <c r="W26" s="968">
        <v>37371.18</v>
      </c>
      <c r="X26" s="968">
        <v>24143286.52</v>
      </c>
      <c r="Y26" s="968">
        <v>37386.160000000003</v>
      </c>
      <c r="Z26" s="968">
        <v>24151932.48</v>
      </c>
      <c r="AA26" s="968">
        <v>37422.1</v>
      </c>
      <c r="AB26" s="968">
        <v>24129820.09</v>
      </c>
      <c r="AC26" s="968">
        <v>37435.5</v>
      </c>
      <c r="AD26" s="967">
        <v>447825.55000000005</v>
      </c>
      <c r="AF26" s="747" t="s">
        <v>1473</v>
      </c>
      <c r="AG26" s="980">
        <f>+INDEX('EOP Depreciation Expense Adj'!$O$12:$O$53,MATCH(AF26,'EOP Depreciation Expense Adj'!$A$12:$A$53,0))</f>
        <v>2.6099999999999998E-2</v>
      </c>
      <c r="AH26" s="981">
        <f t="shared" si="0"/>
        <v>180574.81854838715</v>
      </c>
      <c r="AI26" s="981">
        <f t="shared" si="1"/>
        <v>628400.3685483872</v>
      </c>
      <c r="AJ26" s="981">
        <f t="shared" si="2"/>
        <v>630365.51612903224</v>
      </c>
    </row>
    <row r="27" spans="1:36">
      <c r="A27" s="966"/>
      <c r="B27" s="966"/>
      <c r="C27" s="629" t="s">
        <v>881</v>
      </c>
      <c r="D27" s="965">
        <v>2.18E-2</v>
      </c>
      <c r="E27" s="970">
        <v>1</v>
      </c>
      <c r="F27" s="968">
        <v>9454018.0099999998</v>
      </c>
      <c r="G27" s="968">
        <v>17152.84</v>
      </c>
      <c r="H27" s="968">
        <v>9458587.6999999993</v>
      </c>
      <c r="I27" s="968">
        <v>17174.8</v>
      </c>
      <c r="J27" s="968">
        <v>9459900.9499999993</v>
      </c>
      <c r="K27" s="968">
        <v>17183.099999999999</v>
      </c>
      <c r="L27" s="968">
        <v>9473642.7100000009</v>
      </c>
      <c r="M27" s="968">
        <v>17185.490000000002</v>
      </c>
      <c r="N27" s="968">
        <v>9457659.2300000004</v>
      </c>
      <c r="O27" s="968">
        <v>17210.45</v>
      </c>
      <c r="P27" s="968">
        <v>9464898.5399999991</v>
      </c>
      <c r="Q27" s="968">
        <v>17181.41</v>
      </c>
      <c r="R27" s="968">
        <v>9507831.6600000001</v>
      </c>
      <c r="S27" s="968">
        <v>17194.57</v>
      </c>
      <c r="T27" s="968">
        <v>9548823.1099999994</v>
      </c>
      <c r="U27" s="968">
        <v>17272.560000000001</v>
      </c>
      <c r="V27" s="968">
        <v>9598790.9299999997</v>
      </c>
      <c r="W27" s="968">
        <v>17347.03</v>
      </c>
      <c r="X27" s="968">
        <v>9623421.2200000007</v>
      </c>
      <c r="Y27" s="968">
        <v>17437.8</v>
      </c>
      <c r="Z27" s="968">
        <v>9642433.2200000007</v>
      </c>
      <c r="AA27" s="968">
        <v>17482.55</v>
      </c>
      <c r="AB27" s="968">
        <v>9718288.5999999996</v>
      </c>
      <c r="AC27" s="968">
        <v>17517.09</v>
      </c>
      <c r="AD27" s="967">
        <v>207339.68999999997</v>
      </c>
      <c r="AF27" s="747" t="s">
        <v>1475</v>
      </c>
      <c r="AG27" s="980">
        <f>+INDEX('EOP Depreciation Expense Adj'!$O$12:$O$53,MATCH(AF27,'EOP Depreciation Expense Adj'!$A$12:$A$53,0))</f>
        <v>1.7000000000000001E-2</v>
      </c>
      <c r="AH27" s="981">
        <f t="shared" si="0"/>
        <v>-45652.775779816497</v>
      </c>
      <c r="AI27" s="981">
        <f t="shared" si="1"/>
        <v>161686.91422018348</v>
      </c>
      <c r="AJ27" s="981">
        <f t="shared" si="2"/>
        <v>163921.39266055048</v>
      </c>
    </row>
    <row r="28" spans="1:36">
      <c r="A28" s="966"/>
      <c r="B28" s="966"/>
      <c r="C28" s="629" t="s">
        <v>882</v>
      </c>
      <c r="D28" s="965">
        <v>0</v>
      </c>
      <c r="E28" s="970">
        <v>1</v>
      </c>
      <c r="F28" s="968">
        <v>0</v>
      </c>
      <c r="G28" s="968">
        <v>0</v>
      </c>
      <c r="H28" s="968">
        <v>0</v>
      </c>
      <c r="I28" s="968">
        <v>0</v>
      </c>
      <c r="J28" s="968">
        <v>0</v>
      </c>
      <c r="K28" s="968">
        <v>0</v>
      </c>
      <c r="L28" s="968">
        <v>0</v>
      </c>
      <c r="M28" s="968">
        <v>0</v>
      </c>
      <c r="N28" s="968">
        <v>0</v>
      </c>
      <c r="O28" s="968">
        <v>0</v>
      </c>
      <c r="P28" s="968">
        <v>0</v>
      </c>
      <c r="Q28" s="968">
        <v>0</v>
      </c>
      <c r="R28" s="968">
        <v>0</v>
      </c>
      <c r="S28" s="968">
        <v>0</v>
      </c>
      <c r="T28" s="968">
        <v>0</v>
      </c>
      <c r="U28" s="968">
        <v>0</v>
      </c>
      <c r="V28" s="968">
        <v>0</v>
      </c>
      <c r="W28" s="968">
        <v>0</v>
      </c>
      <c r="X28" s="968">
        <v>0</v>
      </c>
      <c r="Y28" s="968">
        <v>0</v>
      </c>
      <c r="Z28" s="968">
        <v>0</v>
      </c>
      <c r="AA28" s="968">
        <v>0</v>
      </c>
      <c r="AB28" s="968">
        <v>0</v>
      </c>
      <c r="AC28" s="968">
        <v>0</v>
      </c>
      <c r="AD28" s="967">
        <v>0</v>
      </c>
      <c r="AG28" s="980"/>
      <c r="AH28" s="981">
        <f t="shared" ref="AH28" si="3">+IF(AG28=0,AD28,AD28/D28*AG28)-AD28</f>
        <v>0</v>
      </c>
      <c r="AI28" s="981">
        <f t="shared" si="1"/>
        <v>0</v>
      </c>
      <c r="AJ28" s="981">
        <f t="shared" si="2"/>
        <v>0</v>
      </c>
    </row>
    <row r="29" spans="1:36">
      <c r="A29" s="966"/>
      <c r="B29" s="966"/>
      <c r="C29" s="629" t="s">
        <v>883</v>
      </c>
      <c r="D29" s="965">
        <v>0</v>
      </c>
      <c r="E29" s="970">
        <v>1</v>
      </c>
      <c r="F29" s="968">
        <v>2020069.02</v>
      </c>
      <c r="G29" s="968">
        <v>0</v>
      </c>
      <c r="H29" s="968">
        <v>2020069.02</v>
      </c>
      <c r="I29" s="968">
        <v>0</v>
      </c>
      <c r="J29" s="968">
        <v>2020069.02</v>
      </c>
      <c r="K29" s="968">
        <v>0</v>
      </c>
      <c r="L29" s="968">
        <v>2020069.02</v>
      </c>
      <c r="M29" s="968">
        <v>0</v>
      </c>
      <c r="N29" s="968">
        <v>2020069.02</v>
      </c>
      <c r="O29" s="968">
        <v>0</v>
      </c>
      <c r="P29" s="968">
        <v>2020069.02</v>
      </c>
      <c r="Q29" s="968">
        <v>0</v>
      </c>
      <c r="R29" s="968">
        <v>2020069.02</v>
      </c>
      <c r="S29" s="968">
        <v>0</v>
      </c>
      <c r="T29" s="968">
        <v>2020069.02</v>
      </c>
      <c r="U29" s="968">
        <v>0</v>
      </c>
      <c r="V29" s="968">
        <v>2558710.29</v>
      </c>
      <c r="W29" s="968">
        <v>0</v>
      </c>
      <c r="X29" s="968">
        <v>2558710.29</v>
      </c>
      <c r="Y29" s="968">
        <v>0</v>
      </c>
      <c r="Z29" s="968">
        <v>2558710.29</v>
      </c>
      <c r="AA29" s="968">
        <v>0</v>
      </c>
      <c r="AB29" s="968">
        <v>2549877.4</v>
      </c>
      <c r="AC29" s="968">
        <v>0</v>
      </c>
      <c r="AD29" s="967">
        <v>0</v>
      </c>
      <c r="AF29" s="747" t="s">
        <v>1476</v>
      </c>
      <c r="AG29" s="980">
        <f>+INDEX('EOP Depreciation Expense Adj'!$O$12:$O$53,MATCH(AF29,'EOP Depreciation Expense Adj'!$A$12:$A$53,0))</f>
        <v>0</v>
      </c>
      <c r="AH29" s="981">
        <f t="shared" si="0"/>
        <v>0</v>
      </c>
      <c r="AI29" s="981">
        <f t="shared" si="1"/>
        <v>0</v>
      </c>
      <c r="AJ29" s="981">
        <f t="shared" si="2"/>
        <v>0</v>
      </c>
    </row>
    <row r="30" spans="1:36">
      <c r="A30" s="966"/>
      <c r="B30" s="966"/>
      <c r="C30" s="629" t="s">
        <v>884</v>
      </c>
      <c r="D30" s="965">
        <v>0</v>
      </c>
      <c r="E30" s="970">
        <v>1</v>
      </c>
      <c r="F30" s="968">
        <v>7933.28</v>
      </c>
      <c r="G30" s="968">
        <v>0</v>
      </c>
      <c r="H30" s="968">
        <v>7933.28</v>
      </c>
      <c r="I30" s="968">
        <v>0</v>
      </c>
      <c r="J30" s="968">
        <v>7933.28</v>
      </c>
      <c r="K30" s="968">
        <v>0</v>
      </c>
      <c r="L30" s="968">
        <v>7933.28</v>
      </c>
      <c r="M30" s="968">
        <v>0</v>
      </c>
      <c r="N30" s="968">
        <v>7933.28</v>
      </c>
      <c r="O30" s="968">
        <v>0</v>
      </c>
      <c r="P30" s="968">
        <v>7933.28</v>
      </c>
      <c r="Q30" s="968">
        <v>0</v>
      </c>
      <c r="R30" s="968">
        <v>7933.28</v>
      </c>
      <c r="S30" s="968">
        <v>0</v>
      </c>
      <c r="T30" s="968">
        <v>7933.28</v>
      </c>
      <c r="U30" s="968">
        <v>0</v>
      </c>
      <c r="V30" s="968">
        <v>7933.28</v>
      </c>
      <c r="W30" s="968">
        <v>0</v>
      </c>
      <c r="X30" s="968">
        <v>7933.28</v>
      </c>
      <c r="Y30" s="968">
        <v>0</v>
      </c>
      <c r="Z30" s="968">
        <v>7933.28</v>
      </c>
      <c r="AA30" s="968">
        <v>0</v>
      </c>
      <c r="AB30" s="968">
        <v>7933.28</v>
      </c>
      <c r="AC30" s="968">
        <v>0</v>
      </c>
      <c r="AD30" s="967">
        <v>0</v>
      </c>
      <c r="AF30" s="747" t="s">
        <v>1477</v>
      </c>
      <c r="AG30" s="980">
        <f>+INDEX('EOP Depreciation Expense Adj'!$O$12:$O$53,MATCH(AF30,'EOP Depreciation Expense Adj'!$A$12:$A$53,0))</f>
        <v>0</v>
      </c>
      <c r="AH30" s="981">
        <f t="shared" si="0"/>
        <v>0</v>
      </c>
      <c r="AI30" s="981">
        <f t="shared" si="1"/>
        <v>0</v>
      </c>
      <c r="AJ30" s="981">
        <f t="shared" si="2"/>
        <v>0</v>
      </c>
    </row>
    <row r="31" spans="1:36">
      <c r="A31" s="966"/>
      <c r="B31" s="966"/>
      <c r="C31" s="629" t="s">
        <v>885</v>
      </c>
      <c r="D31" s="965">
        <v>1.24E-2</v>
      </c>
      <c r="E31" s="970">
        <v>1</v>
      </c>
      <c r="F31" s="968">
        <v>9562360.2200000007</v>
      </c>
      <c r="G31" s="968">
        <v>9874.07</v>
      </c>
      <c r="H31" s="968">
        <v>9559168.8499999996</v>
      </c>
      <c r="I31" s="968">
        <v>9881.11</v>
      </c>
      <c r="J31" s="968">
        <v>9539433.9399999995</v>
      </c>
      <c r="K31" s="968">
        <v>9877.81</v>
      </c>
      <c r="L31" s="968">
        <v>12328441.6</v>
      </c>
      <c r="M31" s="968">
        <v>9857.42</v>
      </c>
      <c r="N31" s="968">
        <v>12354137.25</v>
      </c>
      <c r="O31" s="968">
        <v>12739.39</v>
      </c>
      <c r="P31" s="968">
        <v>12354280.359999999</v>
      </c>
      <c r="Q31" s="968">
        <v>12765.94</v>
      </c>
      <c r="R31" s="968">
        <v>12358344.220000001</v>
      </c>
      <c r="S31" s="968">
        <v>12766.09</v>
      </c>
      <c r="T31" s="968">
        <v>12359983.75</v>
      </c>
      <c r="U31" s="968">
        <v>12770.29</v>
      </c>
      <c r="V31" s="968">
        <v>12360374.58</v>
      </c>
      <c r="W31" s="968">
        <v>12771.98</v>
      </c>
      <c r="X31" s="968">
        <v>12360374.58</v>
      </c>
      <c r="Y31" s="968">
        <v>12772.39</v>
      </c>
      <c r="Z31" s="968">
        <v>12383866.98</v>
      </c>
      <c r="AA31" s="968">
        <v>12772.39</v>
      </c>
      <c r="AB31" s="968">
        <v>12467225.67</v>
      </c>
      <c r="AC31" s="968">
        <v>12796.66</v>
      </c>
      <c r="AD31" s="967">
        <v>141645.53999999998</v>
      </c>
      <c r="AF31" s="747" t="s">
        <v>1478</v>
      </c>
      <c r="AG31" s="980">
        <f>+INDEX('EOP Depreciation Expense Adj'!$O$12:$O$53,MATCH(AF31,'EOP Depreciation Expense Adj'!$A$12:$A$53,0))</f>
        <v>1.44E-2</v>
      </c>
      <c r="AH31" s="981">
        <f t="shared" si="0"/>
        <v>22846.054838709679</v>
      </c>
      <c r="AI31" s="981">
        <f t="shared" si="1"/>
        <v>164491.59483870966</v>
      </c>
      <c r="AJ31" s="981">
        <f t="shared" si="2"/>
        <v>178327.64903225805</v>
      </c>
    </row>
    <row r="32" spans="1:36">
      <c r="A32" s="966"/>
      <c r="B32" s="966"/>
      <c r="C32" s="629" t="s">
        <v>886</v>
      </c>
      <c r="D32" s="965">
        <v>0.17369999999999999</v>
      </c>
      <c r="E32" s="970">
        <v>1</v>
      </c>
      <c r="F32" s="968">
        <v>102325.73</v>
      </c>
      <c r="G32" s="968">
        <v>1481.16</v>
      </c>
      <c r="H32" s="968">
        <v>102325.73</v>
      </c>
      <c r="I32" s="968">
        <v>1481.16</v>
      </c>
      <c r="J32" s="968">
        <v>102325.73</v>
      </c>
      <c r="K32" s="968">
        <v>1481.16</v>
      </c>
      <c r="L32" s="968">
        <v>102325.73</v>
      </c>
      <c r="M32" s="968">
        <v>1481.16</v>
      </c>
      <c r="N32" s="968">
        <v>102325.73</v>
      </c>
      <c r="O32" s="968">
        <v>1481.16</v>
      </c>
      <c r="P32" s="968">
        <v>102325.73</v>
      </c>
      <c r="Q32" s="968">
        <v>1481.16</v>
      </c>
      <c r="R32" s="968">
        <v>102325.73</v>
      </c>
      <c r="S32" s="968">
        <v>1481.16</v>
      </c>
      <c r="T32" s="968">
        <v>113762.56</v>
      </c>
      <c r="U32" s="968">
        <v>1481.16</v>
      </c>
      <c r="V32" s="968">
        <v>114979.17</v>
      </c>
      <c r="W32" s="968">
        <v>1646.71</v>
      </c>
      <c r="X32" s="968">
        <v>114979.17</v>
      </c>
      <c r="Y32" s="968">
        <v>1664.32</v>
      </c>
      <c r="Z32" s="968">
        <v>114979.17</v>
      </c>
      <c r="AA32" s="968">
        <v>1664.32</v>
      </c>
      <c r="AB32" s="968">
        <v>114769.47</v>
      </c>
      <c r="AC32" s="968">
        <v>1664.32</v>
      </c>
      <c r="AD32" s="967">
        <v>18488.95</v>
      </c>
      <c r="AF32" s="747" t="s">
        <v>1479</v>
      </c>
      <c r="AG32" s="980">
        <f>+INDEX('EOP Depreciation Expense Adj'!$O$12:$O$53,MATCH(AF32,'EOP Depreciation Expense Adj'!$A$12:$A$53,0))</f>
        <v>0.26369999999999999</v>
      </c>
      <c r="AH32" s="981">
        <f t="shared" si="0"/>
        <v>9579.7668393782369</v>
      </c>
      <c r="AI32" s="981">
        <f t="shared" si="1"/>
        <v>28068.716839378238</v>
      </c>
      <c r="AJ32" s="981">
        <f t="shared" si="2"/>
        <v>30319.943626943004</v>
      </c>
    </row>
    <row r="33" spans="1:36">
      <c r="A33" s="966"/>
      <c r="B33" s="966"/>
      <c r="C33" s="629" t="s">
        <v>887</v>
      </c>
      <c r="D33" s="965">
        <v>4.9799999999999997E-2</v>
      </c>
      <c r="E33" s="970">
        <v>1</v>
      </c>
      <c r="F33" s="968">
        <v>447968.56</v>
      </c>
      <c r="G33" s="968">
        <v>1859.07</v>
      </c>
      <c r="H33" s="968">
        <v>447968.56</v>
      </c>
      <c r="I33" s="968">
        <v>1859.07</v>
      </c>
      <c r="J33" s="968">
        <v>441814.81</v>
      </c>
      <c r="K33" s="968">
        <v>1859.07</v>
      </c>
      <c r="L33" s="968">
        <v>441814.81</v>
      </c>
      <c r="M33" s="968">
        <v>1833.53</v>
      </c>
      <c r="N33" s="968">
        <v>441814.81</v>
      </c>
      <c r="O33" s="968">
        <v>1833.53</v>
      </c>
      <c r="P33" s="968">
        <v>441814.81</v>
      </c>
      <c r="Q33" s="968">
        <v>1833.53</v>
      </c>
      <c r="R33" s="968">
        <v>441814.81</v>
      </c>
      <c r="S33" s="968">
        <v>1833.53</v>
      </c>
      <c r="T33" s="968">
        <v>446171.05</v>
      </c>
      <c r="U33" s="968">
        <v>1833.53</v>
      </c>
      <c r="V33" s="968">
        <v>446171.05</v>
      </c>
      <c r="W33" s="968">
        <v>1851.61</v>
      </c>
      <c r="X33" s="968">
        <v>446171.05</v>
      </c>
      <c r="Y33" s="968">
        <v>1851.61</v>
      </c>
      <c r="Z33" s="968">
        <v>446171.05</v>
      </c>
      <c r="AA33" s="968">
        <v>1851.61</v>
      </c>
      <c r="AB33" s="968">
        <v>446098.85</v>
      </c>
      <c r="AC33" s="968">
        <v>1851.61</v>
      </c>
      <c r="AD33" s="967">
        <v>22151.300000000003</v>
      </c>
      <c r="AF33" s="747" t="s">
        <v>1480</v>
      </c>
      <c r="AG33" s="980">
        <f>+INDEX('EOP Depreciation Expense Adj'!$O$12:$O$53,MATCH(AF33,'EOP Depreciation Expense Adj'!$A$12:$A$53,0))</f>
        <v>0.19</v>
      </c>
      <c r="AH33" s="981">
        <f t="shared" si="0"/>
        <v>62361.691967871506</v>
      </c>
      <c r="AI33" s="981">
        <f t="shared" si="1"/>
        <v>84512.991967871509</v>
      </c>
      <c r="AJ33" s="981">
        <f t="shared" si="2"/>
        <v>84772.506024096379</v>
      </c>
    </row>
    <row r="34" spans="1:36">
      <c r="A34" s="966"/>
      <c r="B34" s="966"/>
      <c r="C34" s="629" t="s">
        <v>890</v>
      </c>
      <c r="D34" s="965">
        <v>5.3400000000000003E-2</v>
      </c>
      <c r="E34" s="970">
        <v>1</v>
      </c>
      <c r="F34" s="968">
        <v>23837.02</v>
      </c>
      <c r="G34" s="968">
        <v>106.07</v>
      </c>
      <c r="H34" s="968">
        <v>23837.02</v>
      </c>
      <c r="I34" s="968">
        <v>106.07</v>
      </c>
      <c r="J34" s="968">
        <v>23837.02</v>
      </c>
      <c r="K34" s="968">
        <v>106.07</v>
      </c>
      <c r="L34" s="968">
        <v>23837.02</v>
      </c>
      <c r="M34" s="968">
        <v>106.07</v>
      </c>
      <c r="N34" s="968">
        <v>23837.02</v>
      </c>
      <c r="O34" s="968">
        <v>106.07</v>
      </c>
      <c r="P34" s="968">
        <v>23837.02</v>
      </c>
      <c r="Q34" s="968">
        <v>106.07</v>
      </c>
      <c r="R34" s="968">
        <v>23837.02</v>
      </c>
      <c r="S34" s="968">
        <v>106.07</v>
      </c>
      <c r="T34" s="968">
        <v>23837.02</v>
      </c>
      <c r="U34" s="968">
        <v>106.07</v>
      </c>
      <c r="V34" s="968">
        <v>23837.02</v>
      </c>
      <c r="W34" s="968">
        <v>106.07</v>
      </c>
      <c r="X34" s="968">
        <v>23837.02</v>
      </c>
      <c r="Y34" s="968">
        <v>106.07</v>
      </c>
      <c r="Z34" s="968">
        <v>23837.02</v>
      </c>
      <c r="AA34" s="968">
        <v>106.07</v>
      </c>
      <c r="AB34" s="968">
        <v>23837.02</v>
      </c>
      <c r="AC34" s="968">
        <v>106.07</v>
      </c>
      <c r="AD34" s="967">
        <v>1272.8399999999995</v>
      </c>
      <c r="AF34" s="747" t="s">
        <v>1482</v>
      </c>
      <c r="AG34" s="980">
        <f>+INDEX('EOP Depreciation Expense Adj'!$O$12:$O$53,MATCH(AF34,'EOP Depreciation Expense Adj'!$A$12:$A$53,0))</f>
        <v>8.4000000000000005E-2</v>
      </c>
      <c r="AH34" s="981">
        <f t="shared" si="0"/>
        <v>729.38022471910062</v>
      </c>
      <c r="AI34" s="981">
        <f t="shared" si="1"/>
        <v>2002.2202247191001</v>
      </c>
      <c r="AJ34" s="981">
        <f t="shared" si="2"/>
        <v>2002.2202247191008</v>
      </c>
    </row>
    <row r="35" spans="1:36">
      <c r="A35" s="966"/>
      <c r="B35" s="966"/>
      <c r="C35" s="629" t="s">
        <v>891</v>
      </c>
      <c r="D35" s="965">
        <v>3.56E-2</v>
      </c>
      <c r="E35" s="970">
        <v>1</v>
      </c>
      <c r="F35" s="968">
        <v>4882862.6399999997</v>
      </c>
      <c r="G35" s="968">
        <v>14466.32</v>
      </c>
      <c r="H35" s="968">
        <v>4911312.6100000003</v>
      </c>
      <c r="I35" s="968">
        <v>14485.83</v>
      </c>
      <c r="J35" s="968">
        <v>4865469.66</v>
      </c>
      <c r="K35" s="968">
        <v>14570.23</v>
      </c>
      <c r="L35" s="968">
        <v>4905803.05</v>
      </c>
      <c r="M35" s="968">
        <v>14434.23</v>
      </c>
      <c r="N35" s="968">
        <v>4918419.63</v>
      </c>
      <c r="O35" s="968">
        <v>14553.88</v>
      </c>
      <c r="P35" s="968">
        <v>4964085.72</v>
      </c>
      <c r="Q35" s="968">
        <v>14591.31</v>
      </c>
      <c r="R35" s="968">
        <v>4969215.47</v>
      </c>
      <c r="S35" s="968">
        <v>14726.79</v>
      </c>
      <c r="T35" s="968">
        <v>4973980.4800000004</v>
      </c>
      <c r="U35" s="968">
        <v>14742.01</v>
      </c>
      <c r="V35" s="968">
        <v>4979486.47</v>
      </c>
      <c r="W35" s="968">
        <v>14756.14</v>
      </c>
      <c r="X35" s="968">
        <v>4984424.6399999997</v>
      </c>
      <c r="Y35" s="968">
        <v>14772.48</v>
      </c>
      <c r="Z35" s="968">
        <v>4984424.6399999997</v>
      </c>
      <c r="AA35" s="968">
        <v>14787.13</v>
      </c>
      <c r="AB35" s="968">
        <v>5008038.0999999996</v>
      </c>
      <c r="AC35" s="968">
        <v>14787.13</v>
      </c>
      <c r="AD35" s="967">
        <v>175673.48</v>
      </c>
      <c r="AF35" s="747" t="s">
        <v>1483</v>
      </c>
      <c r="AG35" s="980">
        <f>+INDEX('EOP Depreciation Expense Adj'!$O$12:$O$53,MATCH(AF35,'EOP Depreciation Expense Adj'!$A$12:$A$53,0))</f>
        <v>0.1066</v>
      </c>
      <c r="AH35" s="981">
        <f t="shared" si="0"/>
        <v>350360.03033707873</v>
      </c>
      <c r="AI35" s="981">
        <f t="shared" si="1"/>
        <v>526033.51033707871</v>
      </c>
      <c r="AJ35" s="981">
        <f t="shared" si="2"/>
        <v>531339.79483146069</v>
      </c>
    </row>
    <row r="36" spans="1:36">
      <c r="A36" s="966"/>
      <c r="B36" s="966"/>
      <c r="C36" s="629" t="s">
        <v>892</v>
      </c>
      <c r="D36" s="965">
        <v>1.84E-2</v>
      </c>
      <c r="E36" s="970">
        <v>1</v>
      </c>
      <c r="F36" s="968">
        <v>131231.01999999999</v>
      </c>
      <c r="G36" s="968">
        <v>201.22</v>
      </c>
      <c r="H36" s="968">
        <v>131231.01999999999</v>
      </c>
      <c r="I36" s="968">
        <v>201.22</v>
      </c>
      <c r="J36" s="968">
        <v>131231.01999999999</v>
      </c>
      <c r="K36" s="968">
        <v>201.22</v>
      </c>
      <c r="L36" s="968">
        <v>131231.01999999999</v>
      </c>
      <c r="M36" s="968">
        <v>201.22</v>
      </c>
      <c r="N36" s="968">
        <v>131231.01999999999</v>
      </c>
      <c r="O36" s="968">
        <v>201.22</v>
      </c>
      <c r="P36" s="968">
        <v>131231.01999999999</v>
      </c>
      <c r="Q36" s="968">
        <v>201.22</v>
      </c>
      <c r="R36" s="968">
        <v>131231.01999999999</v>
      </c>
      <c r="S36" s="968">
        <v>201.22</v>
      </c>
      <c r="T36" s="968">
        <v>131231.01999999999</v>
      </c>
      <c r="U36" s="968">
        <v>201.22</v>
      </c>
      <c r="V36" s="968">
        <v>131231.01999999999</v>
      </c>
      <c r="W36" s="968">
        <v>201.22</v>
      </c>
      <c r="X36" s="968">
        <v>131231.01999999999</v>
      </c>
      <c r="Y36" s="968">
        <v>201.22</v>
      </c>
      <c r="Z36" s="968">
        <v>131231.01999999999</v>
      </c>
      <c r="AA36" s="968">
        <v>201.22</v>
      </c>
      <c r="AB36" s="968">
        <v>131231.01999999999</v>
      </c>
      <c r="AC36" s="968">
        <v>201.22</v>
      </c>
      <c r="AD36" s="967">
        <v>2414.64</v>
      </c>
      <c r="AF36" s="747" t="s">
        <v>1492</v>
      </c>
      <c r="AG36" s="980">
        <f>+INDEX('EOP Depreciation Expense Adj'!$O$12:$O$53,MATCH(AF36,'EOP Depreciation Expense Adj'!$A$12:$A$53,0))</f>
        <v>1.52E-2</v>
      </c>
      <c r="AH36" s="981">
        <f t="shared" si="0"/>
        <v>-419.93739130434756</v>
      </c>
      <c r="AI36" s="981">
        <f t="shared" si="1"/>
        <v>1994.7026086956523</v>
      </c>
      <c r="AJ36" s="981">
        <f t="shared" si="2"/>
        <v>1994.7026086956525</v>
      </c>
    </row>
    <row r="37" spans="1:36">
      <c r="A37" s="966"/>
      <c r="B37" s="966"/>
      <c r="C37" s="629" t="s">
        <v>893</v>
      </c>
      <c r="D37" s="965">
        <v>4.5999999999999999E-2</v>
      </c>
      <c r="E37" s="970">
        <v>1</v>
      </c>
      <c r="F37" s="968">
        <v>29277.34</v>
      </c>
      <c r="G37" s="968">
        <v>112.23</v>
      </c>
      <c r="H37" s="968">
        <v>29277.34</v>
      </c>
      <c r="I37" s="968">
        <v>112.23</v>
      </c>
      <c r="J37" s="968">
        <v>5249.37</v>
      </c>
      <c r="K37" s="968">
        <v>112.23</v>
      </c>
      <c r="L37" s="968">
        <v>5249.37</v>
      </c>
      <c r="M37" s="968">
        <v>20.12</v>
      </c>
      <c r="N37" s="968">
        <v>5249.37</v>
      </c>
      <c r="O37" s="968">
        <v>20.12</v>
      </c>
      <c r="P37" s="968">
        <v>5249.37</v>
      </c>
      <c r="Q37" s="968">
        <v>20.12</v>
      </c>
      <c r="R37" s="968">
        <v>5249.37</v>
      </c>
      <c r="S37" s="968">
        <v>20.12</v>
      </c>
      <c r="T37" s="968">
        <v>5249.37</v>
      </c>
      <c r="U37" s="968">
        <v>20.12</v>
      </c>
      <c r="V37" s="968">
        <v>5249.37</v>
      </c>
      <c r="W37" s="968">
        <v>20.12</v>
      </c>
      <c r="X37" s="968">
        <v>5249.37</v>
      </c>
      <c r="Y37" s="968">
        <v>20.12</v>
      </c>
      <c r="Z37" s="968">
        <v>5249.37</v>
      </c>
      <c r="AA37" s="968">
        <v>20.12</v>
      </c>
      <c r="AB37" s="968">
        <v>5249.37</v>
      </c>
      <c r="AC37" s="968">
        <v>20.12</v>
      </c>
      <c r="AD37" s="967">
        <v>517.77</v>
      </c>
      <c r="AF37" s="747" t="s">
        <v>1484</v>
      </c>
      <c r="AG37" s="980">
        <f>+INDEX('EOP Depreciation Expense Adj'!$O$12:$O$53,MATCH(AF37,'EOP Depreciation Expense Adj'!$A$12:$A$53,0))</f>
        <v>0.14550000000000002</v>
      </c>
      <c r="AH37" s="981">
        <f t="shared" si="0"/>
        <v>1119.9590217391308</v>
      </c>
      <c r="AI37" s="981">
        <f t="shared" si="1"/>
        <v>1637.7290217391308</v>
      </c>
      <c r="AJ37" s="981">
        <f t="shared" si="2"/>
        <v>763.68521739130449</v>
      </c>
    </row>
    <row r="38" spans="1:36">
      <c r="A38" s="966"/>
      <c r="B38" s="966"/>
      <c r="C38" s="629" t="s">
        <v>896</v>
      </c>
      <c r="D38" s="965">
        <v>4.5600000000000002E-2</v>
      </c>
      <c r="E38" s="970">
        <v>1</v>
      </c>
      <c r="F38" s="968">
        <v>194717.3</v>
      </c>
      <c r="G38" s="968">
        <v>739.93</v>
      </c>
      <c r="H38" s="968">
        <v>194717.3</v>
      </c>
      <c r="I38" s="968">
        <v>739.93</v>
      </c>
      <c r="J38" s="968">
        <v>194717.3</v>
      </c>
      <c r="K38" s="968">
        <v>739.93</v>
      </c>
      <c r="L38" s="968">
        <v>194717.3</v>
      </c>
      <c r="M38" s="968">
        <v>739.93</v>
      </c>
      <c r="N38" s="968">
        <v>194717.3</v>
      </c>
      <c r="O38" s="968">
        <v>739.93</v>
      </c>
      <c r="P38" s="968">
        <v>194717.3</v>
      </c>
      <c r="Q38" s="968">
        <v>739.93</v>
      </c>
      <c r="R38" s="968">
        <v>194717.3</v>
      </c>
      <c r="S38" s="968">
        <v>739.93</v>
      </c>
      <c r="T38" s="968">
        <v>194717.3</v>
      </c>
      <c r="U38" s="968">
        <v>739.93</v>
      </c>
      <c r="V38" s="968">
        <v>194717.3</v>
      </c>
      <c r="W38" s="968">
        <v>739.93</v>
      </c>
      <c r="X38" s="968">
        <v>194717.3</v>
      </c>
      <c r="Y38" s="968">
        <v>739.93</v>
      </c>
      <c r="Z38" s="968">
        <v>194717.3</v>
      </c>
      <c r="AA38" s="968">
        <v>739.93</v>
      </c>
      <c r="AB38" s="968">
        <v>194717.3</v>
      </c>
      <c r="AC38" s="968">
        <v>739.93</v>
      </c>
      <c r="AD38" s="967">
        <v>8879.1600000000017</v>
      </c>
      <c r="AF38" s="747" t="s">
        <v>1485</v>
      </c>
      <c r="AG38" s="980">
        <f>+INDEX('EOP Depreciation Expense Adj'!$O$12:$O$53,MATCH(AF38,'EOP Depreciation Expense Adj'!$A$12:$A$53,0))</f>
        <v>5.3499999999999999E-2</v>
      </c>
      <c r="AH38" s="981">
        <f t="shared" si="0"/>
        <v>1538.2755263157887</v>
      </c>
      <c r="AI38" s="981">
        <f t="shared" si="1"/>
        <v>10417.43552631579</v>
      </c>
      <c r="AJ38" s="981">
        <f t="shared" si="2"/>
        <v>10417.435526315789</v>
      </c>
    </row>
    <row r="39" spans="1:36">
      <c r="A39" s="966"/>
      <c r="B39" s="966"/>
      <c r="C39" s="629" t="s">
        <v>897</v>
      </c>
      <c r="D39" s="965">
        <v>9.3700000000000006E-2</v>
      </c>
      <c r="E39" s="970">
        <v>1</v>
      </c>
      <c r="F39" s="968">
        <v>924622.43</v>
      </c>
      <c r="G39" s="968">
        <v>7219.76</v>
      </c>
      <c r="H39" s="968">
        <v>924622.43</v>
      </c>
      <c r="I39" s="968">
        <v>7219.76</v>
      </c>
      <c r="J39" s="968">
        <v>924622.43</v>
      </c>
      <c r="K39" s="968">
        <v>7219.76</v>
      </c>
      <c r="L39" s="968">
        <v>924622.43</v>
      </c>
      <c r="M39" s="968">
        <v>7219.76</v>
      </c>
      <c r="N39" s="968">
        <v>924622.43</v>
      </c>
      <c r="O39" s="968">
        <v>7219.76</v>
      </c>
      <c r="P39" s="968">
        <v>924622.43</v>
      </c>
      <c r="Q39" s="968">
        <v>7219.76</v>
      </c>
      <c r="R39" s="968">
        <v>924622.43</v>
      </c>
      <c r="S39" s="968">
        <v>7219.76</v>
      </c>
      <c r="T39" s="968">
        <v>924622.43</v>
      </c>
      <c r="U39" s="968">
        <v>7219.76</v>
      </c>
      <c r="V39" s="968">
        <v>924622.43</v>
      </c>
      <c r="W39" s="968">
        <v>7219.76</v>
      </c>
      <c r="X39" s="968">
        <v>924622.43</v>
      </c>
      <c r="Y39" s="968">
        <v>7219.76</v>
      </c>
      <c r="Z39" s="968">
        <v>924622.43</v>
      </c>
      <c r="AA39" s="968">
        <v>7219.76</v>
      </c>
      <c r="AB39" s="968">
        <v>924622.43</v>
      </c>
      <c r="AC39" s="968">
        <v>7219.76</v>
      </c>
      <c r="AD39" s="967">
        <v>86637.119999999995</v>
      </c>
      <c r="AF39" s="747" t="s">
        <v>1486</v>
      </c>
      <c r="AG39" s="980">
        <f>+INDEX('EOP Depreciation Expense Adj'!$O$12:$O$53,MATCH(AF39,'EOP Depreciation Expense Adj'!$A$12:$A$53,0))</f>
        <v>6.9900000000000004E-2</v>
      </c>
      <c r="AH39" s="981">
        <f t="shared" si="0"/>
        <v>-22006.013404482386</v>
      </c>
      <c r="AI39" s="981">
        <f t="shared" si="1"/>
        <v>64631.106595517609</v>
      </c>
      <c r="AJ39" s="981">
        <f t="shared" si="2"/>
        <v>64631.106595517616</v>
      </c>
    </row>
    <row r="40" spans="1:36">
      <c r="A40" s="966"/>
      <c r="B40" s="966"/>
      <c r="C40" s="629" t="s">
        <v>898</v>
      </c>
      <c r="D40" s="965">
        <v>1.2999999999999999E-3</v>
      </c>
      <c r="E40" s="970">
        <v>1</v>
      </c>
      <c r="F40" s="968">
        <v>3202003.54</v>
      </c>
      <c r="G40" s="968">
        <v>346.88</v>
      </c>
      <c r="H40" s="968">
        <v>3202003.54</v>
      </c>
      <c r="I40" s="968">
        <v>346.88</v>
      </c>
      <c r="J40" s="968">
        <v>3204746.09</v>
      </c>
      <c r="K40" s="968">
        <v>346.88</v>
      </c>
      <c r="L40" s="968">
        <v>3204746.09</v>
      </c>
      <c r="M40" s="968">
        <v>347.18</v>
      </c>
      <c r="N40" s="968">
        <v>3204746.09</v>
      </c>
      <c r="O40" s="968">
        <v>347.18</v>
      </c>
      <c r="P40" s="968">
        <v>3204746.09</v>
      </c>
      <c r="Q40" s="968">
        <v>347.18</v>
      </c>
      <c r="R40" s="968">
        <v>3204746.09</v>
      </c>
      <c r="S40" s="968">
        <v>347.18</v>
      </c>
      <c r="T40" s="968">
        <v>3204746.09</v>
      </c>
      <c r="U40" s="968">
        <v>347.18</v>
      </c>
      <c r="V40" s="968">
        <v>3204655.82</v>
      </c>
      <c r="W40" s="968">
        <v>347.18</v>
      </c>
      <c r="X40" s="968">
        <v>3204655.82</v>
      </c>
      <c r="Y40" s="968">
        <v>347.17</v>
      </c>
      <c r="Z40" s="968">
        <v>3204655.82</v>
      </c>
      <c r="AA40" s="968">
        <v>347.17</v>
      </c>
      <c r="AB40" s="968">
        <v>3235888.5</v>
      </c>
      <c r="AC40" s="968">
        <v>347.17</v>
      </c>
      <c r="AD40" s="967">
        <v>4165.2299999999996</v>
      </c>
      <c r="AF40" s="747" t="s">
        <v>1487</v>
      </c>
      <c r="AG40" s="980">
        <f>+INDEX('EOP Depreciation Expense Adj'!$O$12:$O$53,MATCH(AF40,'EOP Depreciation Expense Adj'!$A$12:$A$53,0))</f>
        <v>5.5300000000000002E-2</v>
      </c>
      <c r="AH40" s="981">
        <f t="shared" si="0"/>
        <v>173017.24615384612</v>
      </c>
      <c r="AI40" s="981">
        <f t="shared" si="1"/>
        <v>177182.47615384613</v>
      </c>
      <c r="AJ40" s="981">
        <f t="shared" si="2"/>
        <v>177216.93230769233</v>
      </c>
    </row>
    <row r="41" spans="1:36">
      <c r="A41" s="966"/>
      <c r="B41" s="966"/>
      <c r="C41" s="629" t="s">
        <v>899</v>
      </c>
      <c r="D41" s="965">
        <v>9.1800000000000007E-2</v>
      </c>
      <c r="E41" s="970">
        <v>1</v>
      </c>
      <c r="F41" s="968">
        <v>322181.13</v>
      </c>
      <c r="G41" s="968">
        <v>2464.69</v>
      </c>
      <c r="H41" s="968">
        <v>322181.13</v>
      </c>
      <c r="I41" s="968">
        <v>2464.69</v>
      </c>
      <c r="J41" s="968">
        <v>321462.03000000003</v>
      </c>
      <c r="K41" s="968">
        <v>2464.69</v>
      </c>
      <c r="L41" s="968">
        <v>321462.03000000003</v>
      </c>
      <c r="M41" s="968">
        <v>2459.1799999999998</v>
      </c>
      <c r="N41" s="968">
        <v>321462.03000000003</v>
      </c>
      <c r="O41" s="968">
        <v>2459.1799999999998</v>
      </c>
      <c r="P41" s="968">
        <v>321462.03000000003</v>
      </c>
      <c r="Q41" s="968">
        <v>2459.1799999999998</v>
      </c>
      <c r="R41" s="968">
        <v>321462.03000000003</v>
      </c>
      <c r="S41" s="968">
        <v>2459.1799999999998</v>
      </c>
      <c r="T41" s="968">
        <v>321462.03000000003</v>
      </c>
      <c r="U41" s="968">
        <v>2459.1799999999998</v>
      </c>
      <c r="V41" s="968">
        <v>321462.03000000003</v>
      </c>
      <c r="W41" s="968">
        <v>2459.1799999999998</v>
      </c>
      <c r="X41" s="968">
        <v>321462.03000000003</v>
      </c>
      <c r="Y41" s="968">
        <v>2459.1799999999998</v>
      </c>
      <c r="Z41" s="968">
        <v>321462.03000000003</v>
      </c>
      <c r="AA41" s="968">
        <v>2459.1799999999998</v>
      </c>
      <c r="AB41" s="968">
        <v>321462.03000000003</v>
      </c>
      <c r="AC41" s="968">
        <v>2459.1799999999998</v>
      </c>
      <c r="AD41" s="967">
        <v>29526.690000000002</v>
      </c>
      <c r="AF41" s="747" t="s">
        <v>1488</v>
      </c>
      <c r="AG41" s="980">
        <f>+INDEX('EOP Depreciation Expense Adj'!$O$12:$O$53,MATCH(AF41,'EOP Depreciation Expense Adj'!$A$12:$A$53,0))</f>
        <v>0.2162</v>
      </c>
      <c r="AH41" s="981">
        <f t="shared" si="0"/>
        <v>40012.203006535943</v>
      </c>
      <c r="AI41" s="981">
        <f t="shared" si="1"/>
        <v>69538.893006535945</v>
      </c>
      <c r="AJ41" s="981">
        <f t="shared" si="2"/>
        <v>69499.962875816986</v>
      </c>
    </row>
    <row r="42" spans="1:36">
      <c r="A42" s="966"/>
      <c r="B42" s="966"/>
      <c r="C42" s="629" t="s">
        <v>900</v>
      </c>
      <c r="D42" s="965">
        <v>0.1051</v>
      </c>
      <c r="E42" s="970">
        <v>1</v>
      </c>
      <c r="F42" s="968">
        <v>14274.33</v>
      </c>
      <c r="G42" s="968">
        <v>125.02</v>
      </c>
      <c r="H42" s="968">
        <v>14274.33</v>
      </c>
      <c r="I42" s="968">
        <v>125.02</v>
      </c>
      <c r="J42" s="968">
        <v>14274.33</v>
      </c>
      <c r="K42" s="968">
        <v>125.02</v>
      </c>
      <c r="L42" s="968">
        <v>14274.33</v>
      </c>
      <c r="M42" s="968">
        <v>125.02</v>
      </c>
      <c r="N42" s="968">
        <v>14274.33</v>
      </c>
      <c r="O42" s="968">
        <v>125.02</v>
      </c>
      <c r="P42" s="968">
        <v>14274.33</v>
      </c>
      <c r="Q42" s="968">
        <v>125.02</v>
      </c>
      <c r="R42" s="968">
        <v>14274.33</v>
      </c>
      <c r="S42" s="968">
        <v>125.02</v>
      </c>
      <c r="T42" s="968">
        <v>14274.33</v>
      </c>
      <c r="U42" s="968">
        <v>125.02</v>
      </c>
      <c r="V42" s="968">
        <v>14274.33</v>
      </c>
      <c r="W42" s="968">
        <v>125.02</v>
      </c>
      <c r="X42" s="968">
        <v>14274.33</v>
      </c>
      <c r="Y42" s="968">
        <v>125.02</v>
      </c>
      <c r="Z42" s="968">
        <v>14274.33</v>
      </c>
      <c r="AA42" s="968">
        <v>125.02</v>
      </c>
      <c r="AB42" s="968">
        <v>14274.33</v>
      </c>
      <c r="AC42" s="968">
        <v>125.02</v>
      </c>
      <c r="AD42" s="967">
        <v>1500.24</v>
      </c>
      <c r="AF42" s="747" t="s">
        <v>1489</v>
      </c>
      <c r="AG42" s="980">
        <f>+INDEX('EOP Depreciation Expense Adj'!$O$12:$O$53,MATCH(AF42,'EOP Depreciation Expense Adj'!$A$12:$A$53,0))</f>
        <v>4.3499999999999997E-2</v>
      </c>
      <c r="AH42" s="981">
        <f t="shared" si="0"/>
        <v>-879.30336822074219</v>
      </c>
      <c r="AI42" s="981">
        <f t="shared" si="1"/>
        <v>620.93663177925782</v>
      </c>
      <c r="AJ42" s="981">
        <f t="shared" si="2"/>
        <v>620.93663177925782</v>
      </c>
    </row>
    <row r="43" spans="1:36">
      <c r="A43" s="966"/>
      <c r="B43" s="966" t="s">
        <v>901</v>
      </c>
      <c r="C43" s="966"/>
      <c r="D43" s="965"/>
      <c r="E43" s="966"/>
      <c r="F43" s="964">
        <f t="shared" ref="F43:AD43" si="4">SUM(F4:F42)</f>
        <v>704336860.7299999</v>
      </c>
      <c r="G43" s="964">
        <f t="shared" si="4"/>
        <v>1605756.46</v>
      </c>
      <c r="H43" s="964">
        <f t="shared" si="4"/>
        <v>705872717.8499999</v>
      </c>
      <c r="I43" s="964">
        <f t="shared" si="4"/>
        <v>1613816.7399999998</v>
      </c>
      <c r="J43" s="964">
        <f t="shared" si="4"/>
        <v>707589616.30999982</v>
      </c>
      <c r="K43" s="964">
        <f t="shared" si="4"/>
        <v>1618604.8399999999</v>
      </c>
      <c r="L43" s="964">
        <f t="shared" si="4"/>
        <v>712148854.30999982</v>
      </c>
      <c r="M43" s="964">
        <f t="shared" si="4"/>
        <v>1623608.7099999997</v>
      </c>
      <c r="N43" s="964">
        <f t="shared" si="4"/>
        <v>715419106.10999978</v>
      </c>
      <c r="O43" s="964">
        <f t="shared" si="4"/>
        <v>1632033.9299999997</v>
      </c>
      <c r="P43" s="964">
        <f t="shared" si="4"/>
        <v>718851800.19999981</v>
      </c>
      <c r="Q43" s="964">
        <f t="shared" si="4"/>
        <v>1643132.42</v>
      </c>
      <c r="R43" s="964">
        <f t="shared" si="4"/>
        <v>721510869.4799999</v>
      </c>
      <c r="S43" s="964">
        <f t="shared" si="4"/>
        <v>1652645.6500000001</v>
      </c>
      <c r="T43" s="964">
        <f t="shared" si="4"/>
        <v>723847462.74999976</v>
      </c>
      <c r="U43" s="964">
        <f t="shared" si="4"/>
        <v>1660363.3900000001</v>
      </c>
      <c r="V43" s="964">
        <f t="shared" si="4"/>
        <v>728970787.65999973</v>
      </c>
      <c r="W43" s="964">
        <f t="shared" si="4"/>
        <v>1668137.94</v>
      </c>
      <c r="X43" s="964">
        <f t="shared" si="4"/>
        <v>734441269.28999972</v>
      </c>
      <c r="Y43" s="964">
        <f t="shared" si="4"/>
        <v>1681796.6800000002</v>
      </c>
      <c r="Z43" s="964">
        <f t="shared" si="4"/>
        <v>739266072.47999978</v>
      </c>
      <c r="AA43" s="964">
        <f t="shared" si="4"/>
        <v>1698309.19</v>
      </c>
      <c r="AB43" s="964">
        <f t="shared" si="4"/>
        <v>749600135.70999992</v>
      </c>
      <c r="AC43" s="964">
        <f t="shared" si="4"/>
        <v>1708112.45</v>
      </c>
      <c r="AD43" s="963">
        <f t="shared" si="4"/>
        <v>19806318.400000002</v>
      </c>
      <c r="AG43" s="980"/>
      <c r="AH43" s="981"/>
      <c r="AI43" s="981"/>
      <c r="AJ43" s="981"/>
    </row>
    <row r="44" spans="1:36">
      <c r="A44" s="966"/>
      <c r="B44" s="966" t="s">
        <v>906</v>
      </c>
      <c r="C44" s="629" t="s">
        <v>904</v>
      </c>
      <c r="D44" s="965">
        <v>0</v>
      </c>
      <c r="E44" s="969">
        <v>0.75170000000000003</v>
      </c>
      <c r="F44" s="968">
        <v>114308.07</v>
      </c>
      <c r="G44" s="968">
        <v>0</v>
      </c>
      <c r="H44" s="968">
        <v>114308.07</v>
      </c>
      <c r="I44" s="968">
        <v>0</v>
      </c>
      <c r="J44" s="968">
        <v>114308.07</v>
      </c>
      <c r="K44" s="968">
        <v>0</v>
      </c>
      <c r="L44" s="968">
        <v>114308.07</v>
      </c>
      <c r="M44" s="968">
        <v>0</v>
      </c>
      <c r="N44" s="968">
        <v>114308.07</v>
      </c>
      <c r="O44" s="968">
        <v>0</v>
      </c>
      <c r="P44" s="968">
        <v>114308.07</v>
      </c>
      <c r="Q44" s="968">
        <v>0</v>
      </c>
      <c r="R44" s="968">
        <v>114308.07</v>
      </c>
      <c r="S44" s="968">
        <v>0</v>
      </c>
      <c r="T44" s="968">
        <v>114308.07</v>
      </c>
      <c r="U44" s="968">
        <v>0</v>
      </c>
      <c r="V44" s="968">
        <v>114308.07</v>
      </c>
      <c r="W44" s="968">
        <v>0</v>
      </c>
      <c r="X44" s="968">
        <v>114308.07</v>
      </c>
      <c r="Y44" s="968">
        <v>0</v>
      </c>
      <c r="Z44" s="968">
        <v>114308.07</v>
      </c>
      <c r="AA44" s="968">
        <v>0</v>
      </c>
      <c r="AB44" s="968">
        <v>114308.07</v>
      </c>
      <c r="AC44" s="968">
        <v>0</v>
      </c>
      <c r="AD44" s="967">
        <v>0</v>
      </c>
      <c r="AF44" s="747" t="s">
        <v>2362</v>
      </c>
      <c r="AG44" s="980">
        <f>+INDEX('EOP Depreciation Expense Adj'!$O$12:$O$53,MATCH(AF44,'EOP Depreciation Expense Adj'!$A$12:$A$53,0))</f>
        <v>0</v>
      </c>
      <c r="AH44" s="981">
        <f t="shared" si="0"/>
        <v>0</v>
      </c>
      <c r="AI44" s="981">
        <f t="shared" si="1"/>
        <v>0</v>
      </c>
      <c r="AJ44" s="981">
        <f t="shared" si="2"/>
        <v>0</v>
      </c>
    </row>
    <row r="45" spans="1:36">
      <c r="A45" s="966"/>
      <c r="B45" s="966"/>
      <c r="C45" s="629" t="s">
        <v>905</v>
      </c>
      <c r="D45" s="965">
        <v>0.1</v>
      </c>
      <c r="E45" s="969">
        <v>0.75170000000000003</v>
      </c>
      <c r="F45" s="968">
        <v>1373173.91</v>
      </c>
      <c r="G45" s="968">
        <v>11443.11</v>
      </c>
      <c r="H45" s="968">
        <v>1373173.91</v>
      </c>
      <c r="I45" s="968">
        <v>11443.11</v>
      </c>
      <c r="J45" s="968">
        <v>1373173.91</v>
      </c>
      <c r="K45" s="968">
        <v>11443.11</v>
      </c>
      <c r="L45" s="968">
        <v>1373173.91</v>
      </c>
      <c r="M45" s="968">
        <v>11443.11</v>
      </c>
      <c r="N45" s="968">
        <v>1373173.91</v>
      </c>
      <c r="O45" s="968">
        <v>11443.11</v>
      </c>
      <c r="P45" s="968">
        <v>1373173.91</v>
      </c>
      <c r="Q45" s="968">
        <v>11443.11</v>
      </c>
      <c r="R45" s="968">
        <v>1373173.91</v>
      </c>
      <c r="S45" s="968">
        <v>11443.11</v>
      </c>
      <c r="T45" s="968">
        <v>1373173.91</v>
      </c>
      <c r="U45" s="968">
        <v>11443.11</v>
      </c>
      <c r="V45" s="968">
        <v>1373173.91</v>
      </c>
      <c r="W45" s="968">
        <v>11443.11</v>
      </c>
      <c r="X45" s="968">
        <v>1373173.91</v>
      </c>
      <c r="Y45" s="968">
        <v>11443.11</v>
      </c>
      <c r="Z45" s="968">
        <v>1373173.91</v>
      </c>
      <c r="AA45" s="968">
        <v>11443.11</v>
      </c>
      <c r="AB45" s="968">
        <v>0</v>
      </c>
      <c r="AC45" s="968">
        <v>11443.11</v>
      </c>
      <c r="AD45" s="967">
        <v>137317.32</v>
      </c>
      <c r="AF45" s="747" t="s">
        <v>1458</v>
      </c>
      <c r="AG45" s="980">
        <f>+INDEX('EOP Depreciation Expense Adj'!$O$12:$O$53,MATCH(AF45,'EOP Depreciation Expense Adj'!$A$12:$A$53,0))</f>
        <v>0</v>
      </c>
      <c r="AH45" s="981">
        <f t="shared" si="0"/>
        <v>0</v>
      </c>
      <c r="AI45" s="981">
        <f t="shared" si="1"/>
        <v>137317.32</v>
      </c>
      <c r="AJ45" s="981">
        <f t="shared" si="2"/>
        <v>137317.32</v>
      </c>
    </row>
    <row r="46" spans="1:36">
      <c r="A46" s="966"/>
      <c r="B46" s="966"/>
      <c r="C46" s="629" t="s">
        <v>907</v>
      </c>
      <c r="D46" s="965">
        <v>0.1</v>
      </c>
      <c r="E46" s="969">
        <v>0.75170000000000003</v>
      </c>
      <c r="F46" s="968">
        <v>1643371.67</v>
      </c>
      <c r="G46" s="968">
        <v>14908.75</v>
      </c>
      <c r="H46" s="968">
        <v>1643371.67</v>
      </c>
      <c r="I46" s="968">
        <v>14908.75</v>
      </c>
      <c r="J46" s="968">
        <v>1558748.9</v>
      </c>
      <c r="K46" s="968">
        <v>14908.75</v>
      </c>
      <c r="L46" s="968">
        <v>1558748.9</v>
      </c>
      <c r="M46" s="968">
        <v>12989.57</v>
      </c>
      <c r="N46" s="968">
        <v>1558748.9</v>
      </c>
      <c r="O46" s="968">
        <v>12989.57</v>
      </c>
      <c r="P46" s="968">
        <v>1558748.9</v>
      </c>
      <c r="Q46" s="968">
        <v>12989.57</v>
      </c>
      <c r="R46" s="968">
        <v>1558748.9</v>
      </c>
      <c r="S46" s="968">
        <v>12989.57</v>
      </c>
      <c r="T46" s="968">
        <v>1558748.9</v>
      </c>
      <c r="U46" s="968">
        <v>12989.57</v>
      </c>
      <c r="V46" s="968">
        <v>1558748.9</v>
      </c>
      <c r="W46" s="968">
        <v>12989.57</v>
      </c>
      <c r="X46" s="968">
        <v>1558748.9</v>
      </c>
      <c r="Y46" s="968">
        <v>12989.57</v>
      </c>
      <c r="Z46" s="968">
        <v>1558748.9</v>
      </c>
      <c r="AA46" s="968">
        <v>12989.57</v>
      </c>
      <c r="AB46" s="968">
        <v>1558748.9</v>
      </c>
      <c r="AC46" s="968">
        <v>12989.57</v>
      </c>
      <c r="AD46" s="967">
        <v>161632.38000000003</v>
      </c>
      <c r="AF46" s="747" t="s">
        <v>1458</v>
      </c>
      <c r="AG46" s="980">
        <f>+INDEX('EOP Depreciation Expense Adj'!$O$12:$O$53,MATCH(AF46,'EOP Depreciation Expense Adj'!$A$12:$A$53,0))</f>
        <v>0</v>
      </c>
      <c r="AH46" s="981">
        <f t="shared" si="0"/>
        <v>0</v>
      </c>
      <c r="AI46" s="981">
        <f t="shared" si="1"/>
        <v>161632.38000000003</v>
      </c>
      <c r="AJ46" s="981">
        <f t="shared" si="2"/>
        <v>155874.84</v>
      </c>
    </row>
    <row r="47" spans="1:36">
      <c r="A47" s="966"/>
      <c r="B47" s="966"/>
      <c r="C47" s="629" t="s">
        <v>1348</v>
      </c>
      <c r="D47" s="965">
        <v>0.1</v>
      </c>
      <c r="E47" s="969">
        <v>0.75170000000000003</v>
      </c>
      <c r="F47" s="968">
        <v>17090.28</v>
      </c>
      <c r="G47" s="968">
        <v>142.41999999999999</v>
      </c>
      <c r="H47" s="968">
        <v>17090.28</v>
      </c>
      <c r="I47" s="968">
        <v>142.41999999999999</v>
      </c>
      <c r="J47" s="968">
        <v>17090.28</v>
      </c>
      <c r="K47" s="968">
        <v>142.41999999999999</v>
      </c>
      <c r="L47" s="968">
        <v>17146.62</v>
      </c>
      <c r="M47" s="968">
        <v>142.41999999999999</v>
      </c>
      <c r="N47" s="968">
        <v>17146.62</v>
      </c>
      <c r="O47" s="968">
        <v>142.88999999999999</v>
      </c>
      <c r="P47" s="968">
        <v>17146.62</v>
      </c>
      <c r="Q47" s="968">
        <v>142.88999999999999</v>
      </c>
      <c r="R47" s="968">
        <v>17146.62</v>
      </c>
      <c r="S47" s="968">
        <v>142.88999999999999</v>
      </c>
      <c r="T47" s="968">
        <v>17146.62</v>
      </c>
      <c r="U47" s="968">
        <v>142.88999999999999</v>
      </c>
      <c r="V47" s="968">
        <v>17146.62</v>
      </c>
      <c r="W47" s="968">
        <v>142.88999999999999</v>
      </c>
      <c r="X47" s="968">
        <v>17146.62</v>
      </c>
      <c r="Y47" s="968">
        <v>142.88999999999999</v>
      </c>
      <c r="Z47" s="968">
        <v>17146.62</v>
      </c>
      <c r="AA47" s="968">
        <v>142.88999999999999</v>
      </c>
      <c r="AB47" s="968">
        <v>11022.97</v>
      </c>
      <c r="AC47" s="968">
        <v>142.88999999999999</v>
      </c>
      <c r="AD47" s="967">
        <v>1712.7999999999993</v>
      </c>
      <c r="AF47" s="747" t="s">
        <v>1458</v>
      </c>
      <c r="AG47" s="980">
        <f>+INDEX('EOP Depreciation Expense Adj'!$O$12:$O$53,MATCH(AF47,'EOP Depreciation Expense Adj'!$A$12:$A$53,0))</f>
        <v>0</v>
      </c>
      <c r="AH47" s="981">
        <f t="shared" si="0"/>
        <v>0</v>
      </c>
      <c r="AI47" s="981">
        <f t="shared" si="1"/>
        <v>1712.7999999999993</v>
      </c>
      <c r="AJ47" s="981">
        <f t="shared" si="2"/>
        <v>1714.6799999999998</v>
      </c>
    </row>
    <row r="48" spans="1:36">
      <c r="A48" s="966"/>
      <c r="B48" s="966"/>
      <c r="C48" s="629" t="s">
        <v>1349</v>
      </c>
      <c r="D48" s="965">
        <v>0.1</v>
      </c>
      <c r="E48" s="969">
        <v>0.75170000000000003</v>
      </c>
      <c r="F48" s="968">
        <v>323315.52</v>
      </c>
      <c r="G48" s="968">
        <v>2694.3</v>
      </c>
      <c r="H48" s="968">
        <v>323315.52</v>
      </c>
      <c r="I48" s="968">
        <v>2694.3</v>
      </c>
      <c r="J48" s="968">
        <v>323315.52</v>
      </c>
      <c r="K48" s="968">
        <v>2694.3</v>
      </c>
      <c r="L48" s="968">
        <v>323315.52</v>
      </c>
      <c r="M48" s="968">
        <v>2694.3</v>
      </c>
      <c r="N48" s="968">
        <v>323315.52</v>
      </c>
      <c r="O48" s="968">
        <v>2694.3</v>
      </c>
      <c r="P48" s="968">
        <v>323315.52</v>
      </c>
      <c r="Q48" s="968">
        <v>2694.3</v>
      </c>
      <c r="R48" s="968">
        <v>323315.52</v>
      </c>
      <c r="S48" s="968">
        <v>2694.3</v>
      </c>
      <c r="T48" s="968">
        <v>323315.52</v>
      </c>
      <c r="U48" s="968">
        <v>2694.3</v>
      </c>
      <c r="V48" s="968">
        <v>323315.52</v>
      </c>
      <c r="W48" s="968">
        <v>2694.3</v>
      </c>
      <c r="X48" s="968">
        <v>323315.52</v>
      </c>
      <c r="Y48" s="968">
        <v>2694.3</v>
      </c>
      <c r="Z48" s="968">
        <v>323315.52</v>
      </c>
      <c r="AA48" s="968">
        <v>2694.3</v>
      </c>
      <c r="AB48" s="968">
        <v>323315.52</v>
      </c>
      <c r="AC48" s="968">
        <v>2694.3</v>
      </c>
      <c r="AD48" s="967">
        <v>32331.599999999995</v>
      </c>
      <c r="AF48" s="747" t="s">
        <v>1458</v>
      </c>
      <c r="AG48" s="980">
        <f>+INDEX('EOP Depreciation Expense Adj'!$O$12:$O$53,MATCH(AF48,'EOP Depreciation Expense Adj'!$A$12:$A$53,0))</f>
        <v>0</v>
      </c>
      <c r="AH48" s="981">
        <f t="shared" si="0"/>
        <v>0</v>
      </c>
      <c r="AI48" s="981">
        <f t="shared" si="1"/>
        <v>32331.599999999995</v>
      </c>
      <c r="AJ48" s="981">
        <f t="shared" si="2"/>
        <v>32331.600000000002</v>
      </c>
    </row>
    <row r="49" spans="1:36">
      <c r="A49" s="966"/>
      <c r="B49" s="966"/>
      <c r="C49" s="629" t="s">
        <v>2266</v>
      </c>
      <c r="D49" s="965">
        <v>0.1</v>
      </c>
      <c r="E49" s="969">
        <v>0.75170000000000003</v>
      </c>
      <c r="F49" s="968"/>
      <c r="G49" s="968"/>
      <c r="H49" s="968"/>
      <c r="I49" s="968"/>
      <c r="J49" s="968"/>
      <c r="K49" s="968"/>
      <c r="L49" s="968">
        <v>75894.58</v>
      </c>
      <c r="M49" s="968">
        <v>0</v>
      </c>
      <c r="N49" s="968">
        <v>75894.58</v>
      </c>
      <c r="O49" s="968">
        <v>632.46</v>
      </c>
      <c r="P49" s="968">
        <v>76034.820000000007</v>
      </c>
      <c r="Q49" s="968">
        <v>632.46</v>
      </c>
      <c r="R49" s="968">
        <v>89487.67</v>
      </c>
      <c r="S49" s="968">
        <v>633.62</v>
      </c>
      <c r="T49" s="968">
        <v>89978.52</v>
      </c>
      <c r="U49" s="968">
        <v>745.73</v>
      </c>
      <c r="V49" s="968">
        <v>89978.52</v>
      </c>
      <c r="W49" s="968">
        <v>749.82</v>
      </c>
      <c r="X49" s="968">
        <v>89978.52</v>
      </c>
      <c r="Y49" s="968">
        <v>749.82</v>
      </c>
      <c r="Z49" s="968">
        <v>89978.52</v>
      </c>
      <c r="AA49" s="968">
        <v>749.82</v>
      </c>
      <c r="AB49" s="968">
        <v>38156.71</v>
      </c>
      <c r="AC49" s="968">
        <v>749.82</v>
      </c>
      <c r="AD49" s="967">
        <v>5643.5499999999993</v>
      </c>
      <c r="AF49" s="747" t="s">
        <v>1458</v>
      </c>
      <c r="AG49" s="980">
        <f>+INDEX('EOP Depreciation Expense Adj'!$O$12:$O$53,MATCH(AF49,'EOP Depreciation Expense Adj'!$A$12:$A$53,0))</f>
        <v>0</v>
      </c>
      <c r="AH49" s="981">
        <f t="shared" si="0"/>
        <v>0</v>
      </c>
      <c r="AI49" s="981">
        <f t="shared" si="1"/>
        <v>5643.5499999999993</v>
      </c>
      <c r="AJ49" s="981">
        <f t="shared" si="2"/>
        <v>8997.84</v>
      </c>
    </row>
    <row r="50" spans="1:36">
      <c r="A50" s="966"/>
      <c r="B50" s="966"/>
      <c r="C50" s="629" t="s">
        <v>908</v>
      </c>
      <c r="D50" s="965">
        <v>9.0899999999999995E-2</v>
      </c>
      <c r="E50" s="969">
        <v>0.75170000000000003</v>
      </c>
      <c r="F50" s="968">
        <v>0</v>
      </c>
      <c r="G50" s="968">
        <v>0</v>
      </c>
      <c r="H50" s="968">
        <v>0</v>
      </c>
      <c r="I50" s="968">
        <v>0</v>
      </c>
      <c r="J50" s="968">
        <v>0</v>
      </c>
      <c r="K50" s="968">
        <v>0</v>
      </c>
      <c r="L50" s="968">
        <v>0</v>
      </c>
      <c r="M50" s="968">
        <v>0</v>
      </c>
      <c r="N50" s="968">
        <v>0</v>
      </c>
      <c r="O50" s="968">
        <v>0</v>
      </c>
      <c r="P50" s="968">
        <v>0</v>
      </c>
      <c r="Q50" s="968">
        <v>0</v>
      </c>
      <c r="R50" s="968">
        <v>0</v>
      </c>
      <c r="S50" s="968">
        <v>0</v>
      </c>
      <c r="T50" s="968">
        <v>0</v>
      </c>
      <c r="U50" s="968">
        <v>0</v>
      </c>
      <c r="V50" s="968">
        <v>0</v>
      </c>
      <c r="W50" s="968">
        <v>0</v>
      </c>
      <c r="X50" s="968">
        <v>0</v>
      </c>
      <c r="Y50" s="968">
        <v>0</v>
      </c>
      <c r="Z50" s="968">
        <v>0</v>
      </c>
      <c r="AA50" s="968">
        <v>0</v>
      </c>
      <c r="AB50" s="968">
        <v>0</v>
      </c>
      <c r="AC50" s="968">
        <v>0</v>
      </c>
      <c r="AD50" s="967">
        <v>0</v>
      </c>
      <c r="AF50" s="747" t="s">
        <v>1458</v>
      </c>
      <c r="AG50" s="980">
        <f>+INDEX('EOP Depreciation Expense Adj'!$O$12:$O$53,MATCH(AF50,'EOP Depreciation Expense Adj'!$A$12:$A$53,0))</f>
        <v>0</v>
      </c>
      <c r="AH50" s="981">
        <f t="shared" si="0"/>
        <v>0</v>
      </c>
      <c r="AI50" s="981">
        <f t="shared" si="1"/>
        <v>0</v>
      </c>
      <c r="AJ50" s="981">
        <f t="shared" si="2"/>
        <v>0</v>
      </c>
    </row>
    <row r="51" spans="1:36">
      <c r="A51" s="966"/>
      <c r="B51" s="966"/>
      <c r="C51" s="629" t="s">
        <v>2267</v>
      </c>
      <c r="D51" s="965">
        <v>8.3299999999999999E-2</v>
      </c>
      <c r="E51" s="969">
        <v>0.75170000000000003</v>
      </c>
      <c r="F51" s="968"/>
      <c r="G51" s="968"/>
      <c r="H51" s="968"/>
      <c r="I51" s="968"/>
      <c r="J51" s="968"/>
      <c r="K51" s="968"/>
      <c r="L51" s="968"/>
      <c r="M51" s="968"/>
      <c r="N51" s="968"/>
      <c r="O51" s="968"/>
      <c r="P51" s="968"/>
      <c r="Q51" s="968"/>
      <c r="R51" s="968"/>
      <c r="S51" s="968"/>
      <c r="T51" s="968"/>
      <c r="U51" s="968"/>
      <c r="V51" s="968">
        <v>453562.85</v>
      </c>
      <c r="W51" s="968">
        <v>0</v>
      </c>
      <c r="X51" s="968">
        <v>453562.85</v>
      </c>
      <c r="Y51" s="968">
        <v>3148.48</v>
      </c>
      <c r="Z51" s="968">
        <v>453562.85</v>
      </c>
      <c r="AA51" s="968">
        <v>3148.48</v>
      </c>
      <c r="AB51" s="968">
        <v>895464.94</v>
      </c>
      <c r="AC51" s="968">
        <v>3148.48</v>
      </c>
      <c r="AD51" s="967">
        <v>9445.44</v>
      </c>
      <c r="AF51" s="747" t="s">
        <v>1458</v>
      </c>
      <c r="AG51" s="980">
        <f>+INDEX('EOP Depreciation Expense Adj'!$O$12:$O$53,MATCH(AF51,'EOP Depreciation Expense Adj'!$A$12:$A$53,0))</f>
        <v>0</v>
      </c>
      <c r="AH51" s="981">
        <f t="shared" si="0"/>
        <v>0</v>
      </c>
      <c r="AI51" s="981">
        <f t="shared" si="1"/>
        <v>9445.44</v>
      </c>
      <c r="AJ51" s="981">
        <f t="shared" si="2"/>
        <v>37781.760000000002</v>
      </c>
    </row>
    <row r="52" spans="1:36">
      <c r="A52" s="966"/>
      <c r="B52" s="966"/>
      <c r="C52" s="629" t="s">
        <v>909</v>
      </c>
      <c r="D52" s="965">
        <v>7.6899999999999996E-2</v>
      </c>
      <c r="E52" s="969">
        <v>0.75170000000000003</v>
      </c>
      <c r="F52" s="968">
        <v>3148230.05</v>
      </c>
      <c r="G52" s="968">
        <v>20174.91</v>
      </c>
      <c r="H52" s="968">
        <v>3148230.05</v>
      </c>
      <c r="I52" s="968">
        <v>20174.91</v>
      </c>
      <c r="J52" s="968">
        <v>3148230.05</v>
      </c>
      <c r="K52" s="968">
        <v>20174.91</v>
      </c>
      <c r="L52" s="968">
        <v>3148230.05</v>
      </c>
      <c r="M52" s="968">
        <v>20174.91</v>
      </c>
      <c r="N52" s="968">
        <v>3148230.05</v>
      </c>
      <c r="O52" s="968">
        <v>20174.91</v>
      </c>
      <c r="P52" s="968">
        <v>3148230.05</v>
      </c>
      <c r="Q52" s="968">
        <v>20174.91</v>
      </c>
      <c r="R52" s="968">
        <v>3148230.05</v>
      </c>
      <c r="S52" s="968">
        <v>20174.91</v>
      </c>
      <c r="T52" s="968">
        <v>3148230.05</v>
      </c>
      <c r="U52" s="968">
        <v>20174.91</v>
      </c>
      <c r="V52" s="968">
        <v>3148230.05</v>
      </c>
      <c r="W52" s="968">
        <v>20174.91</v>
      </c>
      <c r="X52" s="968">
        <v>3148230.05</v>
      </c>
      <c r="Y52" s="968">
        <v>20174.91</v>
      </c>
      <c r="Z52" s="968">
        <v>3148230.05</v>
      </c>
      <c r="AA52" s="968">
        <v>20174.91</v>
      </c>
      <c r="AB52" s="968">
        <v>3148230.05</v>
      </c>
      <c r="AC52" s="968">
        <v>20174.91</v>
      </c>
      <c r="AD52" s="967">
        <v>242098.92</v>
      </c>
      <c r="AF52" s="747" t="s">
        <v>1458</v>
      </c>
      <c r="AG52" s="980">
        <f>+INDEX('EOP Depreciation Expense Adj'!$O$12:$O$53,MATCH(AF52,'EOP Depreciation Expense Adj'!$A$12:$A$53,0))</f>
        <v>0</v>
      </c>
      <c r="AH52" s="981">
        <f t="shared" si="0"/>
        <v>0</v>
      </c>
      <c r="AI52" s="981">
        <f t="shared" si="1"/>
        <v>242098.92</v>
      </c>
      <c r="AJ52" s="981">
        <f t="shared" si="2"/>
        <v>242098.91999999998</v>
      </c>
    </row>
    <row r="53" spans="1:36">
      <c r="A53" s="966"/>
      <c r="B53" s="966"/>
      <c r="C53" s="629" t="s">
        <v>910</v>
      </c>
      <c r="D53" s="965">
        <v>7.1400000000000005E-2</v>
      </c>
      <c r="E53" s="969">
        <v>0.75170000000000003</v>
      </c>
      <c r="F53" s="968">
        <v>522561.67</v>
      </c>
      <c r="G53" s="968">
        <v>3109.24</v>
      </c>
      <c r="H53" s="968">
        <v>522561.67</v>
      </c>
      <c r="I53" s="968">
        <v>3109.24</v>
      </c>
      <c r="J53" s="968">
        <v>522561.67</v>
      </c>
      <c r="K53" s="968">
        <v>3109.24</v>
      </c>
      <c r="L53" s="968">
        <v>522561.67</v>
      </c>
      <c r="M53" s="968">
        <v>3109.24</v>
      </c>
      <c r="N53" s="968">
        <v>522561.67</v>
      </c>
      <c r="O53" s="968">
        <v>3109.24</v>
      </c>
      <c r="P53" s="968">
        <v>522561.67</v>
      </c>
      <c r="Q53" s="968">
        <v>3109.24</v>
      </c>
      <c r="R53" s="968">
        <v>522561.67</v>
      </c>
      <c r="S53" s="968">
        <v>3109.24</v>
      </c>
      <c r="T53" s="968">
        <v>522561.67</v>
      </c>
      <c r="U53" s="968">
        <v>3109.24</v>
      </c>
      <c r="V53" s="968">
        <v>522561.67</v>
      </c>
      <c r="W53" s="968">
        <v>3109.24</v>
      </c>
      <c r="X53" s="968">
        <v>522561.67</v>
      </c>
      <c r="Y53" s="968">
        <v>3109.24</v>
      </c>
      <c r="Z53" s="968">
        <v>522561.67</v>
      </c>
      <c r="AA53" s="968">
        <v>3109.24</v>
      </c>
      <c r="AB53" s="968">
        <v>522561.67</v>
      </c>
      <c r="AC53" s="968">
        <v>3109.24</v>
      </c>
      <c r="AD53" s="967">
        <v>37310.87999999999</v>
      </c>
      <c r="AF53" s="747" t="s">
        <v>1458</v>
      </c>
      <c r="AG53" s="980">
        <f>+INDEX('EOP Depreciation Expense Adj'!$O$12:$O$53,MATCH(AF53,'EOP Depreciation Expense Adj'!$A$12:$A$53,0))</f>
        <v>0</v>
      </c>
      <c r="AH53" s="981">
        <f t="shared" si="0"/>
        <v>0</v>
      </c>
      <c r="AI53" s="981">
        <f t="shared" si="1"/>
        <v>37310.87999999999</v>
      </c>
      <c r="AJ53" s="981">
        <f t="shared" si="2"/>
        <v>37310.879999999997</v>
      </c>
    </row>
    <row r="54" spans="1:36">
      <c r="A54" s="966"/>
      <c r="B54" s="966"/>
      <c r="C54" s="629" t="s">
        <v>911</v>
      </c>
      <c r="D54" s="965">
        <v>7.1400000000000005E-2</v>
      </c>
      <c r="E54" s="969">
        <v>0.75170000000000003</v>
      </c>
      <c r="F54" s="968">
        <v>1531942.7</v>
      </c>
      <c r="G54" s="968">
        <v>9115.06</v>
      </c>
      <c r="H54" s="968">
        <v>1531942.7</v>
      </c>
      <c r="I54" s="968">
        <v>9115.06</v>
      </c>
      <c r="J54" s="968">
        <v>1531942.7</v>
      </c>
      <c r="K54" s="968">
        <v>9115.06</v>
      </c>
      <c r="L54" s="968">
        <v>1531942.7</v>
      </c>
      <c r="M54" s="968">
        <v>9115.06</v>
      </c>
      <c r="N54" s="968">
        <v>1531942.7</v>
      </c>
      <c r="O54" s="968">
        <v>9115.06</v>
      </c>
      <c r="P54" s="968">
        <v>1531942.7</v>
      </c>
      <c r="Q54" s="968">
        <v>9115.06</v>
      </c>
      <c r="R54" s="968">
        <v>1531942.7</v>
      </c>
      <c r="S54" s="968">
        <v>9115.06</v>
      </c>
      <c r="T54" s="968">
        <v>1531942.7</v>
      </c>
      <c r="U54" s="968">
        <v>9115.06</v>
      </c>
      <c r="V54" s="968">
        <v>1531942.7</v>
      </c>
      <c r="W54" s="968">
        <v>9115.06</v>
      </c>
      <c r="X54" s="968">
        <v>1531942.7</v>
      </c>
      <c r="Y54" s="968">
        <v>9115.06</v>
      </c>
      <c r="Z54" s="968">
        <v>1531942.7</v>
      </c>
      <c r="AA54" s="968">
        <v>9115.06</v>
      </c>
      <c r="AB54" s="968">
        <v>1531942.7</v>
      </c>
      <c r="AC54" s="968">
        <v>9115.06</v>
      </c>
      <c r="AD54" s="967">
        <v>109380.71999999999</v>
      </c>
      <c r="AF54" s="747" t="s">
        <v>1458</v>
      </c>
      <c r="AG54" s="980">
        <f>+INDEX('EOP Depreciation Expense Adj'!$O$12:$O$53,MATCH(AF54,'EOP Depreciation Expense Adj'!$A$12:$A$53,0))</f>
        <v>0</v>
      </c>
      <c r="AH54" s="981">
        <f t="shared" si="0"/>
        <v>0</v>
      </c>
      <c r="AI54" s="981">
        <f t="shared" si="1"/>
        <v>109380.71999999999</v>
      </c>
      <c r="AJ54" s="981">
        <f t="shared" si="2"/>
        <v>109380.72</v>
      </c>
    </row>
    <row r="55" spans="1:36">
      <c r="A55" s="966"/>
      <c r="B55" s="966"/>
      <c r="C55" s="629" t="s">
        <v>912</v>
      </c>
      <c r="D55" s="965">
        <v>6.6699999999999995E-2</v>
      </c>
      <c r="E55" s="969">
        <v>0.75170000000000003</v>
      </c>
      <c r="F55" s="968">
        <v>12826698.51</v>
      </c>
      <c r="G55" s="968">
        <v>71295.070000000007</v>
      </c>
      <c r="H55" s="968">
        <v>12826698.51</v>
      </c>
      <c r="I55" s="968">
        <v>71295.070000000007</v>
      </c>
      <c r="J55" s="968">
        <v>12826698.51</v>
      </c>
      <c r="K55" s="968">
        <v>71295.070000000007</v>
      </c>
      <c r="L55" s="968">
        <v>12826698.51</v>
      </c>
      <c r="M55" s="968">
        <v>71295.070000000007</v>
      </c>
      <c r="N55" s="968">
        <v>12826698.51</v>
      </c>
      <c r="O55" s="968">
        <v>71295.070000000007</v>
      </c>
      <c r="P55" s="968">
        <v>12826698.51</v>
      </c>
      <c r="Q55" s="968">
        <v>71295.070000000007</v>
      </c>
      <c r="R55" s="968">
        <v>12826698.51</v>
      </c>
      <c r="S55" s="968">
        <v>71295.070000000007</v>
      </c>
      <c r="T55" s="968">
        <v>12826698.51</v>
      </c>
      <c r="U55" s="968">
        <v>71295.070000000007</v>
      </c>
      <c r="V55" s="968">
        <v>12826698.51</v>
      </c>
      <c r="W55" s="968">
        <v>71295.070000000007</v>
      </c>
      <c r="X55" s="968">
        <v>12826698.51</v>
      </c>
      <c r="Y55" s="968">
        <v>71295.070000000007</v>
      </c>
      <c r="Z55" s="968">
        <v>12826698.51</v>
      </c>
      <c r="AA55" s="968">
        <v>71295.070000000007</v>
      </c>
      <c r="AB55" s="968">
        <v>12826698.51</v>
      </c>
      <c r="AC55" s="968">
        <v>71295.070000000007</v>
      </c>
      <c r="AD55" s="967">
        <v>855540.84000000032</v>
      </c>
      <c r="AF55" s="747" t="s">
        <v>1458</v>
      </c>
      <c r="AG55" s="980">
        <f>+INDEX('EOP Depreciation Expense Adj'!$O$12:$O$53,MATCH(AF55,'EOP Depreciation Expense Adj'!$A$12:$A$53,0))</f>
        <v>0</v>
      </c>
      <c r="AH55" s="981">
        <f t="shared" si="0"/>
        <v>0</v>
      </c>
      <c r="AI55" s="981">
        <f t="shared" si="1"/>
        <v>855540.84000000032</v>
      </c>
      <c r="AJ55" s="981">
        <f t="shared" si="2"/>
        <v>855540.84000000008</v>
      </c>
    </row>
    <row r="56" spans="1:36">
      <c r="A56" s="966"/>
      <c r="B56" s="966"/>
      <c r="C56" s="629" t="s">
        <v>913</v>
      </c>
      <c r="D56" s="965">
        <v>6.6699999999999995E-2</v>
      </c>
      <c r="E56" s="969">
        <v>0.75170000000000003</v>
      </c>
      <c r="F56" s="968">
        <v>406850.55</v>
      </c>
      <c r="G56" s="968">
        <v>2261.41</v>
      </c>
      <c r="H56" s="968">
        <v>406850.55</v>
      </c>
      <c r="I56" s="968">
        <v>2261.41</v>
      </c>
      <c r="J56" s="968">
        <v>406850.55</v>
      </c>
      <c r="K56" s="968">
        <v>2261.41</v>
      </c>
      <c r="L56" s="968">
        <v>406850.55</v>
      </c>
      <c r="M56" s="968">
        <v>2261.41</v>
      </c>
      <c r="N56" s="968">
        <v>406850.55</v>
      </c>
      <c r="O56" s="968">
        <v>2261.41</v>
      </c>
      <c r="P56" s="968">
        <v>406850.55</v>
      </c>
      <c r="Q56" s="968">
        <v>2261.41</v>
      </c>
      <c r="R56" s="968">
        <v>406850.55</v>
      </c>
      <c r="S56" s="968">
        <v>2261.41</v>
      </c>
      <c r="T56" s="968">
        <v>406850.55</v>
      </c>
      <c r="U56" s="968">
        <v>2261.41</v>
      </c>
      <c r="V56" s="968">
        <v>406850.55</v>
      </c>
      <c r="W56" s="968">
        <v>2261.41</v>
      </c>
      <c r="X56" s="968">
        <v>406850.55</v>
      </c>
      <c r="Y56" s="968">
        <v>2261.41</v>
      </c>
      <c r="Z56" s="968">
        <v>406850.55</v>
      </c>
      <c r="AA56" s="968">
        <v>2261.41</v>
      </c>
      <c r="AB56" s="968">
        <v>406850.55</v>
      </c>
      <c r="AC56" s="968">
        <v>2261.41</v>
      </c>
      <c r="AD56" s="967">
        <v>27136.92</v>
      </c>
      <c r="AF56" s="747" t="s">
        <v>1458</v>
      </c>
      <c r="AG56" s="980">
        <f>+INDEX('EOP Depreciation Expense Adj'!$O$12:$O$53,MATCH(AF56,'EOP Depreciation Expense Adj'!$A$12:$A$53,0))</f>
        <v>0</v>
      </c>
      <c r="AH56" s="981">
        <f t="shared" si="0"/>
        <v>0</v>
      </c>
      <c r="AI56" s="981">
        <f t="shared" si="1"/>
        <v>27136.92</v>
      </c>
      <c r="AJ56" s="981">
        <f t="shared" si="2"/>
        <v>27136.92</v>
      </c>
    </row>
    <row r="57" spans="1:36">
      <c r="A57" s="966"/>
      <c r="B57" s="966"/>
      <c r="C57" s="629" t="s">
        <v>1350</v>
      </c>
      <c r="D57" s="965">
        <v>6.6699999999999995E-2</v>
      </c>
      <c r="E57" s="969">
        <v>0.75170000000000003</v>
      </c>
      <c r="F57" s="968">
        <v>100632.7</v>
      </c>
      <c r="G57" s="968">
        <v>559.35</v>
      </c>
      <c r="H57" s="968">
        <v>100632.7</v>
      </c>
      <c r="I57" s="968">
        <v>559.35</v>
      </c>
      <c r="J57" s="968">
        <v>100632.7</v>
      </c>
      <c r="K57" s="968">
        <v>559.35</v>
      </c>
      <c r="L57" s="968">
        <v>100632.7</v>
      </c>
      <c r="M57" s="968">
        <v>559.35</v>
      </c>
      <c r="N57" s="968">
        <v>100632.7</v>
      </c>
      <c r="O57" s="968">
        <v>559.35</v>
      </c>
      <c r="P57" s="968">
        <v>100632.7</v>
      </c>
      <c r="Q57" s="968">
        <v>559.35</v>
      </c>
      <c r="R57" s="968">
        <v>100632.7</v>
      </c>
      <c r="S57" s="968">
        <v>559.35</v>
      </c>
      <c r="T57" s="968">
        <v>100632.7</v>
      </c>
      <c r="U57" s="968">
        <v>559.35</v>
      </c>
      <c r="V57" s="968">
        <v>100632.7</v>
      </c>
      <c r="W57" s="968">
        <v>559.35</v>
      </c>
      <c r="X57" s="968">
        <v>100632.7</v>
      </c>
      <c r="Y57" s="968">
        <v>559.35</v>
      </c>
      <c r="Z57" s="968">
        <v>100632.7</v>
      </c>
      <c r="AA57" s="968">
        <v>559.35</v>
      </c>
      <c r="AB57" s="968">
        <v>100632.7</v>
      </c>
      <c r="AC57" s="968">
        <v>559.35</v>
      </c>
      <c r="AD57" s="967">
        <v>6712.2000000000016</v>
      </c>
      <c r="AF57" s="747" t="s">
        <v>1458</v>
      </c>
      <c r="AG57" s="980">
        <f>+INDEX('EOP Depreciation Expense Adj'!$O$12:$O$53,MATCH(AF57,'EOP Depreciation Expense Adj'!$A$12:$A$53,0))</f>
        <v>0</v>
      </c>
      <c r="AH57" s="981">
        <f t="shared" si="0"/>
        <v>0</v>
      </c>
      <c r="AI57" s="981">
        <f t="shared" si="1"/>
        <v>6712.2000000000016</v>
      </c>
      <c r="AJ57" s="981">
        <f t="shared" si="2"/>
        <v>6712.2000000000007</v>
      </c>
    </row>
    <row r="58" spans="1:36">
      <c r="A58" s="966"/>
      <c r="B58" s="966"/>
      <c r="C58" s="629" t="s">
        <v>1351</v>
      </c>
      <c r="D58" s="965">
        <v>6.6699999999999995E-2</v>
      </c>
      <c r="E58" s="969">
        <v>0.75170000000000003</v>
      </c>
      <c r="F58" s="968">
        <v>41767.870000000003</v>
      </c>
      <c r="G58" s="968">
        <v>232.16</v>
      </c>
      <c r="H58" s="968">
        <v>41767.870000000003</v>
      </c>
      <c r="I58" s="968">
        <v>232.16</v>
      </c>
      <c r="J58" s="968">
        <v>41767.870000000003</v>
      </c>
      <c r="K58" s="968">
        <v>232.16</v>
      </c>
      <c r="L58" s="968">
        <v>41767.870000000003</v>
      </c>
      <c r="M58" s="968">
        <v>232.16</v>
      </c>
      <c r="N58" s="968">
        <v>41767.870000000003</v>
      </c>
      <c r="O58" s="968">
        <v>232.16</v>
      </c>
      <c r="P58" s="968">
        <v>41767.870000000003</v>
      </c>
      <c r="Q58" s="968">
        <v>232.16</v>
      </c>
      <c r="R58" s="968">
        <v>41767.870000000003</v>
      </c>
      <c r="S58" s="968">
        <v>232.16</v>
      </c>
      <c r="T58" s="968">
        <v>41767.870000000003</v>
      </c>
      <c r="U58" s="968">
        <v>232.16</v>
      </c>
      <c r="V58" s="968">
        <v>41767.870000000003</v>
      </c>
      <c r="W58" s="968">
        <v>232.16</v>
      </c>
      <c r="X58" s="968">
        <v>41767.870000000003</v>
      </c>
      <c r="Y58" s="968">
        <v>232.16</v>
      </c>
      <c r="Z58" s="968">
        <v>41767.870000000003</v>
      </c>
      <c r="AA58" s="968">
        <v>232.16</v>
      </c>
      <c r="AB58" s="968">
        <v>41767.870000000003</v>
      </c>
      <c r="AC58" s="968">
        <v>232.16</v>
      </c>
      <c r="AD58" s="967">
        <v>2785.9199999999996</v>
      </c>
      <c r="AF58" s="747" t="s">
        <v>1458</v>
      </c>
      <c r="AG58" s="980">
        <f>+INDEX('EOP Depreciation Expense Adj'!$O$12:$O$53,MATCH(AF58,'EOP Depreciation Expense Adj'!$A$12:$A$53,0))</f>
        <v>0</v>
      </c>
      <c r="AH58" s="981">
        <f t="shared" si="0"/>
        <v>0</v>
      </c>
      <c r="AI58" s="981">
        <f t="shared" si="1"/>
        <v>2785.9199999999996</v>
      </c>
      <c r="AJ58" s="981">
        <f t="shared" si="2"/>
        <v>2785.92</v>
      </c>
    </row>
    <row r="59" spans="1:36">
      <c r="A59" s="966"/>
      <c r="B59" s="966"/>
      <c r="C59" s="629" t="s">
        <v>914</v>
      </c>
      <c r="D59" s="965">
        <v>0</v>
      </c>
      <c r="E59" s="969">
        <v>0.75170000000000003</v>
      </c>
      <c r="F59" s="968">
        <v>5803.29</v>
      </c>
      <c r="G59" s="968">
        <v>0</v>
      </c>
      <c r="H59" s="968">
        <v>5803.29</v>
      </c>
      <c r="I59" s="968">
        <v>0</v>
      </c>
      <c r="J59" s="968">
        <v>5803.29</v>
      </c>
      <c r="K59" s="968">
        <v>0</v>
      </c>
      <c r="L59" s="968">
        <v>5803.29</v>
      </c>
      <c r="M59" s="968">
        <v>0</v>
      </c>
      <c r="N59" s="968">
        <v>5803.29</v>
      </c>
      <c r="O59" s="968">
        <v>0</v>
      </c>
      <c r="P59" s="968">
        <v>5803.29</v>
      </c>
      <c r="Q59" s="968">
        <v>0</v>
      </c>
      <c r="R59" s="968">
        <v>5803.29</v>
      </c>
      <c r="S59" s="968">
        <v>0</v>
      </c>
      <c r="T59" s="968">
        <v>5803.29</v>
      </c>
      <c r="U59" s="968">
        <v>0</v>
      </c>
      <c r="V59" s="968">
        <v>5803.29</v>
      </c>
      <c r="W59" s="968">
        <v>0</v>
      </c>
      <c r="X59" s="968">
        <v>5803.29</v>
      </c>
      <c r="Y59" s="968">
        <v>0</v>
      </c>
      <c r="Z59" s="968">
        <v>5803.29</v>
      </c>
      <c r="AA59" s="968">
        <v>0</v>
      </c>
      <c r="AB59" s="968">
        <v>5803.29</v>
      </c>
      <c r="AC59" s="968">
        <v>0</v>
      </c>
      <c r="AD59" s="967">
        <v>0</v>
      </c>
      <c r="AF59" s="747" t="s">
        <v>1458</v>
      </c>
      <c r="AG59" s="980">
        <f>+INDEX('EOP Depreciation Expense Adj'!$O$12:$O$53,MATCH(AF59,'EOP Depreciation Expense Adj'!$A$12:$A$53,0))</f>
        <v>0</v>
      </c>
      <c r="AH59" s="981">
        <f t="shared" si="0"/>
        <v>0</v>
      </c>
      <c r="AI59" s="981">
        <f t="shared" si="1"/>
        <v>0</v>
      </c>
      <c r="AJ59" s="981">
        <f t="shared" si="2"/>
        <v>0</v>
      </c>
    </row>
    <row r="60" spans="1:36">
      <c r="A60" s="966"/>
      <c r="B60" s="966"/>
      <c r="C60" s="629" t="s">
        <v>1352</v>
      </c>
      <c r="D60" s="965">
        <v>0.33333333999999998</v>
      </c>
      <c r="E60" s="969">
        <v>0.75170000000000003</v>
      </c>
      <c r="F60" s="968">
        <v>23022.89</v>
      </c>
      <c r="G60" s="968">
        <v>639.52</v>
      </c>
      <c r="H60" s="968">
        <v>23022.89</v>
      </c>
      <c r="I60" s="968">
        <v>639.52</v>
      </c>
      <c r="J60" s="968">
        <v>23022.89</v>
      </c>
      <c r="K60" s="968">
        <v>639.52</v>
      </c>
      <c r="L60" s="968">
        <v>23022.89</v>
      </c>
      <c r="M60" s="968">
        <v>639.52</v>
      </c>
      <c r="N60" s="968">
        <v>23022.89</v>
      </c>
      <c r="O60" s="968">
        <v>639.52</v>
      </c>
      <c r="P60" s="968">
        <v>23022.89</v>
      </c>
      <c r="Q60" s="968">
        <v>639.52</v>
      </c>
      <c r="R60" s="968">
        <v>23022.89</v>
      </c>
      <c r="S60" s="968">
        <v>639.52</v>
      </c>
      <c r="T60" s="968">
        <v>23022.89</v>
      </c>
      <c r="U60" s="968">
        <v>639.52</v>
      </c>
      <c r="V60" s="968">
        <v>23022.89</v>
      </c>
      <c r="W60" s="968">
        <v>639.52</v>
      </c>
      <c r="X60" s="968">
        <v>23022.89</v>
      </c>
      <c r="Y60" s="968">
        <v>639.52</v>
      </c>
      <c r="Z60" s="968">
        <v>23022.89</v>
      </c>
      <c r="AA60" s="968">
        <v>639.52</v>
      </c>
      <c r="AB60" s="968">
        <v>23022.89</v>
      </c>
      <c r="AC60" s="968">
        <v>639.52</v>
      </c>
      <c r="AD60" s="967">
        <v>7674.2400000000016</v>
      </c>
      <c r="AF60" s="747" t="s">
        <v>1458</v>
      </c>
      <c r="AG60" s="980">
        <f>+INDEX('EOP Depreciation Expense Adj'!$O$12:$O$53,MATCH(AF60,'EOP Depreciation Expense Adj'!$A$12:$A$53,0))</f>
        <v>0</v>
      </c>
      <c r="AH60" s="981">
        <f t="shared" si="0"/>
        <v>0</v>
      </c>
      <c r="AI60" s="981">
        <f t="shared" si="1"/>
        <v>7674.2400000000016</v>
      </c>
      <c r="AJ60" s="981">
        <f t="shared" si="2"/>
        <v>7674.24</v>
      </c>
    </row>
    <row r="61" spans="1:36">
      <c r="A61" s="966"/>
      <c r="B61" s="966"/>
      <c r="C61" s="629" t="s">
        <v>915</v>
      </c>
      <c r="D61" s="965">
        <v>0.2</v>
      </c>
      <c r="E61" s="969">
        <v>0.75170000000000003</v>
      </c>
      <c r="F61" s="968">
        <v>10727.89</v>
      </c>
      <c r="G61" s="968">
        <v>0</v>
      </c>
      <c r="H61" s="968">
        <v>10727.89</v>
      </c>
      <c r="I61" s="968">
        <v>0</v>
      </c>
      <c r="J61" s="968">
        <v>10727.89</v>
      </c>
      <c r="K61" s="968">
        <v>0</v>
      </c>
      <c r="L61" s="968">
        <v>10727.89</v>
      </c>
      <c r="M61" s="968">
        <v>0</v>
      </c>
      <c r="N61" s="968">
        <v>10727.89</v>
      </c>
      <c r="O61" s="968">
        <v>0</v>
      </c>
      <c r="P61" s="968">
        <v>10727.89</v>
      </c>
      <c r="Q61" s="968">
        <v>0</v>
      </c>
      <c r="R61" s="968">
        <v>10727.89</v>
      </c>
      <c r="S61" s="968">
        <v>0</v>
      </c>
      <c r="T61" s="968">
        <v>10727.89</v>
      </c>
      <c r="U61" s="968">
        <v>0</v>
      </c>
      <c r="V61" s="968">
        <v>10727.89</v>
      </c>
      <c r="W61" s="968">
        <v>0</v>
      </c>
      <c r="X61" s="968">
        <v>10727.89</v>
      </c>
      <c r="Y61" s="968">
        <v>0</v>
      </c>
      <c r="Z61" s="968">
        <v>10727.89</v>
      </c>
      <c r="AA61" s="968">
        <v>0</v>
      </c>
      <c r="AB61" s="968">
        <v>10727.89</v>
      </c>
      <c r="AC61" s="968">
        <v>0</v>
      </c>
      <c r="AD61" s="967">
        <v>0</v>
      </c>
      <c r="AF61" s="747" t="s">
        <v>1458</v>
      </c>
      <c r="AG61" s="980">
        <f>+INDEX('EOP Depreciation Expense Adj'!$O$12:$O$53,MATCH(AF61,'EOP Depreciation Expense Adj'!$A$12:$A$53,0))</f>
        <v>0</v>
      </c>
      <c r="AH61" s="981">
        <f t="shared" si="0"/>
        <v>0</v>
      </c>
      <c r="AI61" s="981">
        <f t="shared" si="1"/>
        <v>0</v>
      </c>
      <c r="AJ61" s="981">
        <f t="shared" si="2"/>
        <v>0</v>
      </c>
    </row>
    <row r="62" spans="1:36">
      <c r="A62" s="966"/>
      <c r="B62" s="966"/>
      <c r="C62" s="629" t="s">
        <v>1353</v>
      </c>
      <c r="D62" s="965">
        <v>0.2</v>
      </c>
      <c r="E62" s="969">
        <v>0.75170000000000003</v>
      </c>
      <c r="F62" s="968">
        <v>87847.38</v>
      </c>
      <c r="G62" s="968">
        <v>1464.12</v>
      </c>
      <c r="H62" s="968">
        <v>87847.38</v>
      </c>
      <c r="I62" s="968">
        <v>1464.12</v>
      </c>
      <c r="J62" s="968">
        <v>87847.38</v>
      </c>
      <c r="K62" s="968">
        <v>1464.12</v>
      </c>
      <c r="L62" s="968">
        <v>87847.38</v>
      </c>
      <c r="M62" s="968">
        <v>1464.12</v>
      </c>
      <c r="N62" s="968">
        <v>87847.38</v>
      </c>
      <c r="O62" s="968">
        <v>1464.12</v>
      </c>
      <c r="P62" s="968">
        <v>87847.38</v>
      </c>
      <c r="Q62" s="968">
        <v>1464.12</v>
      </c>
      <c r="R62" s="968">
        <v>87847.38</v>
      </c>
      <c r="S62" s="968">
        <v>1464.12</v>
      </c>
      <c r="T62" s="968">
        <v>87847.38</v>
      </c>
      <c r="U62" s="968">
        <v>1464.12</v>
      </c>
      <c r="V62" s="968">
        <v>87847.38</v>
      </c>
      <c r="W62" s="968">
        <v>1464.12</v>
      </c>
      <c r="X62" s="968">
        <v>87847.38</v>
      </c>
      <c r="Y62" s="968">
        <v>1464.12</v>
      </c>
      <c r="Z62" s="968">
        <v>87847.38</v>
      </c>
      <c r="AA62" s="968">
        <v>1464.12</v>
      </c>
      <c r="AB62" s="968">
        <v>87847.38</v>
      </c>
      <c r="AC62" s="968">
        <v>1464.12</v>
      </c>
      <c r="AD62" s="967">
        <v>17569.439999999995</v>
      </c>
      <c r="AF62" s="747" t="s">
        <v>1458</v>
      </c>
      <c r="AG62" s="980">
        <f>+INDEX('EOP Depreciation Expense Adj'!$O$12:$O$53,MATCH(AF62,'EOP Depreciation Expense Adj'!$A$12:$A$53,0))</f>
        <v>0</v>
      </c>
      <c r="AH62" s="981">
        <f t="shared" si="0"/>
        <v>0</v>
      </c>
      <c r="AI62" s="981">
        <f t="shared" si="1"/>
        <v>17569.439999999995</v>
      </c>
      <c r="AJ62" s="981">
        <f t="shared" si="2"/>
        <v>17569.439999999999</v>
      </c>
    </row>
    <row r="63" spans="1:36">
      <c r="A63" s="966"/>
      <c r="B63" s="966"/>
      <c r="C63" s="629" t="s">
        <v>1354</v>
      </c>
      <c r="D63" s="965">
        <v>0.2</v>
      </c>
      <c r="E63" s="969">
        <v>0.75170000000000003</v>
      </c>
      <c r="F63" s="968">
        <v>76972.820000000007</v>
      </c>
      <c r="G63" s="968">
        <v>1282.8800000000001</v>
      </c>
      <c r="H63" s="968">
        <v>76972.820000000007</v>
      </c>
      <c r="I63" s="968">
        <v>1282.8800000000001</v>
      </c>
      <c r="J63" s="968">
        <v>76972.820000000007</v>
      </c>
      <c r="K63" s="968">
        <v>1282.8800000000001</v>
      </c>
      <c r="L63" s="968">
        <v>76972.820000000007</v>
      </c>
      <c r="M63" s="968">
        <v>1282.8800000000001</v>
      </c>
      <c r="N63" s="968">
        <v>76972.820000000007</v>
      </c>
      <c r="O63" s="968">
        <v>1282.8800000000001</v>
      </c>
      <c r="P63" s="968">
        <v>76972.820000000007</v>
      </c>
      <c r="Q63" s="968">
        <v>1282.8800000000001</v>
      </c>
      <c r="R63" s="968">
        <v>76972.820000000007</v>
      </c>
      <c r="S63" s="968">
        <v>1282.8800000000001</v>
      </c>
      <c r="T63" s="968">
        <v>76972.820000000007</v>
      </c>
      <c r="U63" s="968">
        <v>1282.8800000000001</v>
      </c>
      <c r="V63" s="968">
        <v>76972.820000000007</v>
      </c>
      <c r="W63" s="968">
        <v>1282.8800000000001</v>
      </c>
      <c r="X63" s="968">
        <v>76972.820000000007</v>
      </c>
      <c r="Y63" s="968">
        <v>1282.8800000000001</v>
      </c>
      <c r="Z63" s="968">
        <v>76972.820000000007</v>
      </c>
      <c r="AA63" s="968">
        <v>1282.8800000000001</v>
      </c>
      <c r="AB63" s="968">
        <v>76972.820000000007</v>
      </c>
      <c r="AC63" s="968">
        <v>1282.8800000000001</v>
      </c>
      <c r="AD63" s="967">
        <v>15394.560000000005</v>
      </c>
      <c r="AF63" s="747" t="s">
        <v>1458</v>
      </c>
      <c r="AG63" s="980">
        <f>+INDEX('EOP Depreciation Expense Adj'!$O$12:$O$53,MATCH(AF63,'EOP Depreciation Expense Adj'!$A$12:$A$53,0))</f>
        <v>0</v>
      </c>
      <c r="AH63" s="981">
        <f t="shared" si="0"/>
        <v>0</v>
      </c>
      <c r="AI63" s="981">
        <f t="shared" si="1"/>
        <v>15394.560000000005</v>
      </c>
      <c r="AJ63" s="981">
        <f t="shared" si="2"/>
        <v>15394.560000000001</v>
      </c>
    </row>
    <row r="64" spans="1:36">
      <c r="A64" s="966"/>
      <c r="B64" s="966"/>
      <c r="C64" s="629" t="s">
        <v>1355</v>
      </c>
      <c r="D64" s="965">
        <v>0</v>
      </c>
      <c r="E64" s="969">
        <v>0.75170000000000003</v>
      </c>
      <c r="F64" s="968">
        <v>476465.56</v>
      </c>
      <c r="G64" s="968">
        <v>0</v>
      </c>
      <c r="H64" s="968">
        <v>476465.56</v>
      </c>
      <c r="I64" s="968">
        <v>0</v>
      </c>
      <c r="J64" s="968">
        <v>479087.24</v>
      </c>
      <c r="K64" s="968">
        <v>0</v>
      </c>
      <c r="L64" s="968">
        <v>479579.45</v>
      </c>
      <c r="M64" s="968">
        <v>0</v>
      </c>
      <c r="N64" s="968">
        <v>479579.45</v>
      </c>
      <c r="O64" s="968">
        <v>0</v>
      </c>
      <c r="P64" s="968">
        <v>479579.45</v>
      </c>
      <c r="Q64" s="968">
        <v>0</v>
      </c>
      <c r="R64" s="968">
        <v>479577.78</v>
      </c>
      <c r="S64" s="968">
        <v>0</v>
      </c>
      <c r="T64" s="968">
        <v>479577.78</v>
      </c>
      <c r="U64" s="968">
        <v>0</v>
      </c>
      <c r="V64" s="968">
        <v>479577.78</v>
      </c>
      <c r="W64" s="968">
        <v>0</v>
      </c>
      <c r="X64" s="968">
        <v>479577.78</v>
      </c>
      <c r="Y64" s="968">
        <v>0</v>
      </c>
      <c r="Z64" s="968">
        <v>479577.78</v>
      </c>
      <c r="AA64" s="968">
        <v>0</v>
      </c>
      <c r="AB64" s="968">
        <v>479525.74</v>
      </c>
      <c r="AC64" s="968">
        <v>0</v>
      </c>
      <c r="AD64" s="967">
        <v>0</v>
      </c>
      <c r="AF64" s="747" t="s">
        <v>1458</v>
      </c>
      <c r="AG64" s="980">
        <f>+INDEX('EOP Depreciation Expense Adj'!$O$12:$O$53,MATCH(AF64,'EOP Depreciation Expense Adj'!$A$12:$A$53,0))</f>
        <v>0</v>
      </c>
      <c r="AH64" s="981">
        <f t="shared" si="0"/>
        <v>0</v>
      </c>
      <c r="AI64" s="981">
        <f t="shared" si="1"/>
        <v>0</v>
      </c>
      <c r="AJ64" s="981">
        <f t="shared" si="2"/>
        <v>0</v>
      </c>
    </row>
    <row r="65" spans="1:36">
      <c r="A65" s="966"/>
      <c r="B65" s="966"/>
      <c r="C65" s="629" t="s">
        <v>2268</v>
      </c>
      <c r="D65" s="965">
        <v>0.2</v>
      </c>
      <c r="E65" s="969">
        <v>0.75170000000000003</v>
      </c>
      <c r="F65" s="968"/>
      <c r="G65" s="968"/>
      <c r="H65" s="968"/>
      <c r="I65" s="968"/>
      <c r="J65" s="968"/>
      <c r="K65" s="968"/>
      <c r="L65" s="968"/>
      <c r="M65" s="968"/>
      <c r="N65" s="968"/>
      <c r="O65" s="968"/>
      <c r="P65" s="968"/>
      <c r="Q65" s="968"/>
      <c r="R65" s="968"/>
      <c r="S65" s="968"/>
      <c r="T65" s="968"/>
      <c r="U65" s="968"/>
      <c r="V65" s="968"/>
      <c r="W65" s="968"/>
      <c r="X65" s="968"/>
      <c r="Y65" s="968"/>
      <c r="Z65" s="968"/>
      <c r="AA65" s="968"/>
      <c r="AB65" s="968">
        <v>10955.18</v>
      </c>
      <c r="AC65" s="968">
        <v>0</v>
      </c>
      <c r="AD65" s="967">
        <v>0</v>
      </c>
      <c r="AF65" s="747" t="s">
        <v>1458</v>
      </c>
      <c r="AG65" s="980">
        <f>+INDEX('EOP Depreciation Expense Adj'!$O$12:$O$53,MATCH(AF65,'EOP Depreciation Expense Adj'!$A$12:$A$53,0))</f>
        <v>0</v>
      </c>
      <c r="AH65" s="981">
        <f t="shared" si="0"/>
        <v>0</v>
      </c>
      <c r="AI65" s="981">
        <f t="shared" si="1"/>
        <v>0</v>
      </c>
      <c r="AJ65" s="981">
        <f t="shared" si="2"/>
        <v>0</v>
      </c>
    </row>
    <row r="66" spans="1:36">
      <c r="A66" s="966"/>
      <c r="B66" s="966"/>
      <c r="C66" s="629" t="s">
        <v>916</v>
      </c>
      <c r="D66" s="965">
        <v>0.1429</v>
      </c>
      <c r="E66" s="969">
        <v>0.75170000000000003</v>
      </c>
      <c r="F66" s="968">
        <v>98599.35</v>
      </c>
      <c r="G66" s="968">
        <v>1174.1600000000001</v>
      </c>
      <c r="H66" s="968">
        <v>98599.35</v>
      </c>
      <c r="I66" s="968">
        <v>1174.1600000000001</v>
      </c>
      <c r="J66" s="968">
        <v>98599.35</v>
      </c>
      <c r="K66" s="968">
        <v>1174.1600000000001</v>
      </c>
      <c r="L66" s="968">
        <v>98599.35</v>
      </c>
      <c r="M66" s="968">
        <v>1174.1600000000001</v>
      </c>
      <c r="N66" s="968">
        <v>98599.35</v>
      </c>
      <c r="O66" s="968">
        <v>1174.1600000000001</v>
      </c>
      <c r="P66" s="968">
        <v>98599.35</v>
      </c>
      <c r="Q66" s="968">
        <v>1174.1600000000001</v>
      </c>
      <c r="R66" s="968">
        <v>98599.35</v>
      </c>
      <c r="S66" s="968">
        <v>1174.1600000000001</v>
      </c>
      <c r="T66" s="968">
        <v>98599.35</v>
      </c>
      <c r="U66" s="968">
        <v>1174.1600000000001</v>
      </c>
      <c r="V66" s="968">
        <v>98599.35</v>
      </c>
      <c r="W66" s="968">
        <v>1174.1600000000001</v>
      </c>
      <c r="X66" s="968">
        <v>98599.35</v>
      </c>
      <c r="Y66" s="968">
        <v>656.65000000000009</v>
      </c>
      <c r="Z66" s="968">
        <v>98599.35</v>
      </c>
      <c r="AA66" s="968">
        <v>0</v>
      </c>
      <c r="AB66" s="968">
        <v>98599.35</v>
      </c>
      <c r="AC66" s="968">
        <v>0</v>
      </c>
      <c r="AD66" s="967">
        <v>11224.09</v>
      </c>
      <c r="AF66" s="747" t="s">
        <v>1458</v>
      </c>
      <c r="AG66" s="980">
        <f>+INDEX('EOP Depreciation Expense Adj'!$O$12:$O$53,MATCH(AF66,'EOP Depreciation Expense Adj'!$A$12:$A$53,0))</f>
        <v>0</v>
      </c>
      <c r="AH66" s="981">
        <f t="shared" si="0"/>
        <v>0</v>
      </c>
      <c r="AI66" s="981">
        <f t="shared" si="1"/>
        <v>11224.09</v>
      </c>
      <c r="AJ66" s="981">
        <f t="shared" si="2"/>
        <v>0</v>
      </c>
    </row>
    <row r="67" spans="1:36">
      <c r="A67" s="966"/>
      <c r="B67" s="966"/>
      <c r="C67" s="629" t="s">
        <v>917</v>
      </c>
      <c r="D67" s="965">
        <v>0.1429</v>
      </c>
      <c r="E67" s="969">
        <v>0.75170000000000003</v>
      </c>
      <c r="F67" s="968">
        <v>2258826.46</v>
      </c>
      <c r="G67" s="968">
        <v>26898.86</v>
      </c>
      <c r="H67" s="968">
        <v>2258826.46</v>
      </c>
      <c r="I67" s="968">
        <v>26898.86</v>
      </c>
      <c r="J67" s="968">
        <v>2258826.46</v>
      </c>
      <c r="K67" s="968">
        <v>26898.86</v>
      </c>
      <c r="L67" s="968">
        <v>2258826.46</v>
      </c>
      <c r="M67" s="968">
        <v>26898.86</v>
      </c>
      <c r="N67" s="968">
        <v>2258826.46</v>
      </c>
      <c r="O67" s="968">
        <v>26898.86</v>
      </c>
      <c r="P67" s="968">
        <v>2258826.46</v>
      </c>
      <c r="Q67" s="968">
        <v>26898.86</v>
      </c>
      <c r="R67" s="968">
        <v>2258826.46</v>
      </c>
      <c r="S67" s="968">
        <v>26898.86</v>
      </c>
      <c r="T67" s="968">
        <v>2258826.46</v>
      </c>
      <c r="U67" s="968">
        <v>26898.86</v>
      </c>
      <c r="V67" s="968">
        <v>2258826.46</v>
      </c>
      <c r="W67" s="968">
        <v>26898.86</v>
      </c>
      <c r="X67" s="968">
        <v>2258826.46</v>
      </c>
      <c r="Y67" s="968">
        <v>26898.86</v>
      </c>
      <c r="Z67" s="968">
        <v>2258826.46</v>
      </c>
      <c r="AA67" s="968">
        <v>26898.86</v>
      </c>
      <c r="AB67" s="968">
        <v>2258826.46</v>
      </c>
      <c r="AC67" s="968">
        <v>26898.86</v>
      </c>
      <c r="AD67" s="967">
        <v>322786.31999999989</v>
      </c>
      <c r="AF67" s="747" t="s">
        <v>1458</v>
      </c>
      <c r="AG67" s="980">
        <f>+INDEX('EOP Depreciation Expense Adj'!$O$12:$O$53,MATCH(AF67,'EOP Depreciation Expense Adj'!$A$12:$A$53,0))</f>
        <v>0</v>
      </c>
      <c r="AH67" s="981">
        <f t="shared" si="0"/>
        <v>0</v>
      </c>
      <c r="AI67" s="981">
        <f t="shared" si="1"/>
        <v>322786.31999999989</v>
      </c>
      <c r="AJ67" s="981">
        <f t="shared" si="2"/>
        <v>322786.32</v>
      </c>
    </row>
    <row r="68" spans="1:36">
      <c r="A68" s="966"/>
      <c r="B68" s="966"/>
      <c r="C68" s="629" t="s">
        <v>918</v>
      </c>
      <c r="D68" s="965">
        <v>0.1429</v>
      </c>
      <c r="E68" s="969">
        <v>0.75170000000000003</v>
      </c>
      <c r="F68" s="968">
        <v>439853.41</v>
      </c>
      <c r="G68" s="968">
        <v>5237.92</v>
      </c>
      <c r="H68" s="968">
        <v>439853.41</v>
      </c>
      <c r="I68" s="968">
        <v>5237.92</v>
      </c>
      <c r="J68" s="968">
        <v>439853.41</v>
      </c>
      <c r="K68" s="968">
        <v>5237.92</v>
      </c>
      <c r="L68" s="968">
        <v>439853.41</v>
      </c>
      <c r="M68" s="968">
        <v>5237.92</v>
      </c>
      <c r="N68" s="968">
        <v>439853.41</v>
      </c>
      <c r="O68" s="968">
        <v>5237.92</v>
      </c>
      <c r="P68" s="968">
        <v>439853.41</v>
      </c>
      <c r="Q68" s="968">
        <v>5237.92</v>
      </c>
      <c r="R68" s="968">
        <v>439853.41</v>
      </c>
      <c r="S68" s="968">
        <v>5237.92</v>
      </c>
      <c r="T68" s="968">
        <v>439853.41</v>
      </c>
      <c r="U68" s="968">
        <v>5237.92</v>
      </c>
      <c r="V68" s="968">
        <v>439853.41</v>
      </c>
      <c r="W68" s="968">
        <v>5237.92</v>
      </c>
      <c r="X68" s="968">
        <v>439853.41</v>
      </c>
      <c r="Y68" s="968">
        <v>5237.92</v>
      </c>
      <c r="Z68" s="968">
        <v>439853.41</v>
      </c>
      <c r="AA68" s="968">
        <v>5237.92</v>
      </c>
      <c r="AB68" s="968">
        <v>439853.41</v>
      </c>
      <c r="AC68" s="968">
        <v>5237.92</v>
      </c>
      <c r="AD68" s="967">
        <v>62855.039999999986</v>
      </c>
      <c r="AF68" s="747" t="s">
        <v>1458</v>
      </c>
      <c r="AG68" s="980">
        <f>+INDEX('EOP Depreciation Expense Adj'!$O$12:$O$53,MATCH(AF68,'EOP Depreciation Expense Adj'!$A$12:$A$53,0))</f>
        <v>0</v>
      </c>
      <c r="AH68" s="981">
        <f t="shared" si="0"/>
        <v>0</v>
      </c>
      <c r="AI68" s="981">
        <f t="shared" ref="AI68:AI79" si="5">+IF(AG68=0,AD68,AD68/D68*AG68)</f>
        <v>62855.039999999986</v>
      </c>
      <c r="AJ68" s="981">
        <f t="shared" si="2"/>
        <v>62855.040000000001</v>
      </c>
    </row>
    <row r="69" spans="1:36">
      <c r="A69" s="966"/>
      <c r="B69" s="966"/>
      <c r="C69" s="629" t="s">
        <v>919</v>
      </c>
      <c r="D69" s="965">
        <v>0.1429</v>
      </c>
      <c r="E69" s="969">
        <v>0.75170000000000003</v>
      </c>
      <c r="F69" s="968">
        <v>15455.44</v>
      </c>
      <c r="G69" s="968">
        <v>184.05</v>
      </c>
      <c r="H69" s="968">
        <v>15455.44</v>
      </c>
      <c r="I69" s="968">
        <v>184.05</v>
      </c>
      <c r="J69" s="968">
        <v>15455.44</v>
      </c>
      <c r="K69" s="968">
        <v>184.05</v>
      </c>
      <c r="L69" s="968">
        <v>15455.44</v>
      </c>
      <c r="M69" s="968">
        <v>184.05</v>
      </c>
      <c r="N69" s="968">
        <v>15455.44</v>
      </c>
      <c r="O69" s="968">
        <v>184.05</v>
      </c>
      <c r="P69" s="968">
        <v>15455.44</v>
      </c>
      <c r="Q69" s="968">
        <v>184.05</v>
      </c>
      <c r="R69" s="968">
        <v>15455.44</v>
      </c>
      <c r="S69" s="968">
        <v>184.05</v>
      </c>
      <c r="T69" s="968">
        <v>15455.44</v>
      </c>
      <c r="U69" s="968">
        <v>184.05</v>
      </c>
      <c r="V69" s="968">
        <v>15455.44</v>
      </c>
      <c r="W69" s="968">
        <v>184.05</v>
      </c>
      <c r="X69" s="968">
        <v>15455.44</v>
      </c>
      <c r="Y69" s="968">
        <v>184.05</v>
      </c>
      <c r="Z69" s="968">
        <v>15455.44</v>
      </c>
      <c r="AA69" s="968">
        <v>184.05</v>
      </c>
      <c r="AB69" s="968">
        <v>15455.44</v>
      </c>
      <c r="AC69" s="968">
        <v>184.05</v>
      </c>
      <c r="AD69" s="967">
        <v>2208.6</v>
      </c>
      <c r="AF69" s="747" t="s">
        <v>1458</v>
      </c>
      <c r="AG69" s="980">
        <f>+INDEX('EOP Depreciation Expense Adj'!$O$12:$O$53,MATCH(AF69,'EOP Depreciation Expense Adj'!$A$12:$A$53,0))</f>
        <v>0</v>
      </c>
      <c r="AH69" s="981">
        <f t="shared" ref="AH69:AH94" si="6">+IF(AG69=0,AD69,AD69/D69*AG69)-AD69</f>
        <v>0</v>
      </c>
      <c r="AI69" s="981">
        <f t="shared" si="5"/>
        <v>2208.6</v>
      </c>
      <c r="AJ69" s="981">
        <f t="shared" ref="AJ69:AJ94" si="7">+IF($AG69=0,$AC69,$AC69/$D69*$AG69)*12</f>
        <v>2208.6000000000004</v>
      </c>
    </row>
    <row r="70" spans="1:36">
      <c r="A70" s="966"/>
      <c r="B70" s="966"/>
      <c r="C70" s="629" t="s">
        <v>1356</v>
      </c>
      <c r="D70" s="965">
        <v>0.1429</v>
      </c>
      <c r="E70" s="969">
        <v>0.75170000000000003</v>
      </c>
      <c r="F70" s="968">
        <v>2252334.7999999998</v>
      </c>
      <c r="G70" s="968">
        <v>26821.55</v>
      </c>
      <c r="H70" s="968">
        <v>2252334.7999999998</v>
      </c>
      <c r="I70" s="968">
        <v>26821.55</v>
      </c>
      <c r="J70" s="968">
        <v>2252334.7999999998</v>
      </c>
      <c r="K70" s="968">
        <v>26821.55</v>
      </c>
      <c r="L70" s="968">
        <v>2252334.7999999998</v>
      </c>
      <c r="M70" s="968">
        <v>26821.55</v>
      </c>
      <c r="N70" s="968">
        <v>2252334.7999999998</v>
      </c>
      <c r="O70" s="968">
        <v>26821.55</v>
      </c>
      <c r="P70" s="968">
        <v>2252334.7999999998</v>
      </c>
      <c r="Q70" s="968">
        <v>26821.55</v>
      </c>
      <c r="R70" s="968">
        <v>2252334.7999999998</v>
      </c>
      <c r="S70" s="968">
        <v>26821.55</v>
      </c>
      <c r="T70" s="968">
        <v>2252334.7999999998</v>
      </c>
      <c r="U70" s="968">
        <v>26821.55</v>
      </c>
      <c r="V70" s="968">
        <v>2252334.7999999998</v>
      </c>
      <c r="W70" s="968">
        <v>26821.55</v>
      </c>
      <c r="X70" s="968">
        <v>2252334.7999999998</v>
      </c>
      <c r="Y70" s="968">
        <v>26821.55</v>
      </c>
      <c r="Z70" s="968">
        <v>2252334.7999999998</v>
      </c>
      <c r="AA70" s="968">
        <v>26821.55</v>
      </c>
      <c r="AB70" s="968">
        <v>1741493.74</v>
      </c>
      <c r="AC70" s="968">
        <v>26821.55</v>
      </c>
      <c r="AD70" s="967">
        <v>321858.59999999992</v>
      </c>
      <c r="AF70" s="747" t="s">
        <v>1458</v>
      </c>
      <c r="AG70" s="980">
        <f>+INDEX('EOP Depreciation Expense Adj'!$O$12:$O$53,MATCH(AF70,'EOP Depreciation Expense Adj'!$A$12:$A$53,0))</f>
        <v>0</v>
      </c>
      <c r="AH70" s="981">
        <f t="shared" si="6"/>
        <v>0</v>
      </c>
      <c r="AI70" s="981">
        <f t="shared" si="5"/>
        <v>321858.59999999992</v>
      </c>
      <c r="AJ70" s="981">
        <f t="shared" si="7"/>
        <v>321858.59999999998</v>
      </c>
    </row>
    <row r="71" spans="1:36">
      <c r="A71" s="966"/>
      <c r="B71" s="966"/>
      <c r="C71" s="629" t="s">
        <v>1357</v>
      </c>
      <c r="D71" s="965">
        <v>0.1429</v>
      </c>
      <c r="E71" s="969">
        <v>0.75170000000000003</v>
      </c>
      <c r="F71" s="968">
        <v>491725.11</v>
      </c>
      <c r="G71" s="968">
        <v>5879.28</v>
      </c>
      <c r="H71" s="968">
        <v>491725.11</v>
      </c>
      <c r="I71" s="968">
        <v>5855.63</v>
      </c>
      <c r="J71" s="968">
        <v>491725.11</v>
      </c>
      <c r="K71" s="968">
        <v>5855.63</v>
      </c>
      <c r="L71" s="968">
        <v>491725.11</v>
      </c>
      <c r="M71" s="968">
        <v>5855.63</v>
      </c>
      <c r="N71" s="968">
        <v>491725.11</v>
      </c>
      <c r="O71" s="968">
        <v>5855.63</v>
      </c>
      <c r="P71" s="968">
        <v>491725.11</v>
      </c>
      <c r="Q71" s="968">
        <v>5855.63</v>
      </c>
      <c r="R71" s="968">
        <v>491725.11</v>
      </c>
      <c r="S71" s="968">
        <v>5855.63</v>
      </c>
      <c r="T71" s="968">
        <v>491725.11</v>
      </c>
      <c r="U71" s="968">
        <v>5855.63</v>
      </c>
      <c r="V71" s="968">
        <v>491725.11</v>
      </c>
      <c r="W71" s="968">
        <v>5855.63</v>
      </c>
      <c r="X71" s="968">
        <v>491725.11</v>
      </c>
      <c r="Y71" s="968">
        <v>5855.63</v>
      </c>
      <c r="Z71" s="968">
        <v>491725.11</v>
      </c>
      <c r="AA71" s="968">
        <v>5855.63</v>
      </c>
      <c r="AB71" s="968">
        <v>491725.11</v>
      </c>
      <c r="AC71" s="968">
        <v>5855.63</v>
      </c>
      <c r="AD71" s="967">
        <v>70291.209999999992</v>
      </c>
      <c r="AF71" s="747" t="s">
        <v>1458</v>
      </c>
      <c r="AG71" s="980">
        <f>+INDEX('EOP Depreciation Expense Adj'!$O$12:$O$53,MATCH(AF71,'EOP Depreciation Expense Adj'!$A$12:$A$53,0))</f>
        <v>0</v>
      </c>
      <c r="AH71" s="981">
        <f t="shared" si="6"/>
        <v>0</v>
      </c>
      <c r="AI71" s="981">
        <f t="shared" si="5"/>
        <v>70291.209999999992</v>
      </c>
      <c r="AJ71" s="981">
        <f t="shared" si="7"/>
        <v>70267.56</v>
      </c>
    </row>
    <row r="72" spans="1:36">
      <c r="A72" s="966"/>
      <c r="B72" s="966"/>
      <c r="C72" s="629" t="s">
        <v>1358</v>
      </c>
      <c r="D72" s="965">
        <v>0.1429</v>
      </c>
      <c r="E72" s="969">
        <v>0.75170000000000003</v>
      </c>
      <c r="F72" s="968">
        <v>92888.37</v>
      </c>
      <c r="G72" s="968">
        <v>1106.1500000000001</v>
      </c>
      <c r="H72" s="968">
        <v>92888.37</v>
      </c>
      <c r="I72" s="968">
        <v>1106.1500000000001</v>
      </c>
      <c r="J72" s="968">
        <v>92888.37</v>
      </c>
      <c r="K72" s="968">
        <v>1106.1500000000001</v>
      </c>
      <c r="L72" s="968">
        <v>92888.37</v>
      </c>
      <c r="M72" s="968">
        <v>1106.1500000000001</v>
      </c>
      <c r="N72" s="968">
        <v>92888.37</v>
      </c>
      <c r="O72" s="968">
        <v>1106.1500000000001</v>
      </c>
      <c r="P72" s="968">
        <v>92888.37</v>
      </c>
      <c r="Q72" s="968">
        <v>1106.1500000000001</v>
      </c>
      <c r="R72" s="968">
        <v>92888.37</v>
      </c>
      <c r="S72" s="968">
        <v>1106.1500000000001</v>
      </c>
      <c r="T72" s="968">
        <v>92888.37</v>
      </c>
      <c r="U72" s="968">
        <v>1106.1500000000001</v>
      </c>
      <c r="V72" s="968">
        <v>92888.37</v>
      </c>
      <c r="W72" s="968">
        <v>1106.1500000000001</v>
      </c>
      <c r="X72" s="968">
        <v>92888.37</v>
      </c>
      <c r="Y72" s="968">
        <v>1106.1500000000001</v>
      </c>
      <c r="Z72" s="968">
        <v>92888.37</v>
      </c>
      <c r="AA72" s="968">
        <v>1106.1500000000001</v>
      </c>
      <c r="AB72" s="968">
        <v>92888.37</v>
      </c>
      <c r="AC72" s="968">
        <v>1106.1500000000001</v>
      </c>
      <c r="AD72" s="967">
        <v>13273.799999999997</v>
      </c>
      <c r="AF72" s="747" t="s">
        <v>1458</v>
      </c>
      <c r="AG72" s="980">
        <f>+INDEX('EOP Depreciation Expense Adj'!$O$12:$O$53,MATCH(AF72,'EOP Depreciation Expense Adj'!$A$12:$A$53,0))</f>
        <v>0</v>
      </c>
      <c r="AH72" s="981">
        <f t="shared" si="6"/>
        <v>0</v>
      </c>
      <c r="AI72" s="981">
        <f t="shared" si="5"/>
        <v>13273.799999999997</v>
      </c>
      <c r="AJ72" s="981">
        <f t="shared" si="7"/>
        <v>13273.800000000001</v>
      </c>
    </row>
    <row r="73" spans="1:36">
      <c r="A73" s="966"/>
      <c r="B73" s="966"/>
      <c r="C73" s="629" t="s">
        <v>2269</v>
      </c>
      <c r="D73" s="965">
        <v>0.1429</v>
      </c>
      <c r="E73" s="969">
        <v>0.75170000000000003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v>165550.43</v>
      </c>
      <c r="AC73" s="968">
        <v>0</v>
      </c>
      <c r="AD73" s="967">
        <v>0</v>
      </c>
      <c r="AF73" s="747" t="s">
        <v>1458</v>
      </c>
      <c r="AG73" s="980">
        <f>+INDEX('EOP Depreciation Expense Adj'!$O$12:$O$53,MATCH(AF73,'EOP Depreciation Expense Adj'!$A$12:$A$53,0))</f>
        <v>0</v>
      </c>
      <c r="AH73" s="981">
        <f t="shared" si="6"/>
        <v>0</v>
      </c>
      <c r="AI73" s="981">
        <f t="shared" si="5"/>
        <v>0</v>
      </c>
      <c r="AJ73" s="981">
        <f t="shared" si="7"/>
        <v>0</v>
      </c>
    </row>
    <row r="74" spans="1:36">
      <c r="A74" s="966"/>
      <c r="B74" s="966"/>
      <c r="C74" s="629" t="s">
        <v>2270</v>
      </c>
      <c r="D74" s="965">
        <v>0.125</v>
      </c>
      <c r="E74" s="969">
        <v>0.75170000000000003</v>
      </c>
      <c r="F74" s="968"/>
      <c r="G74" s="968"/>
      <c r="H74" s="968"/>
      <c r="I74" s="968"/>
      <c r="J74" s="968"/>
      <c r="K74" s="968"/>
      <c r="L74" s="968"/>
      <c r="M74" s="968"/>
      <c r="N74" s="968"/>
      <c r="O74" s="968"/>
      <c r="P74" s="968"/>
      <c r="Q74" s="968"/>
      <c r="R74" s="968"/>
      <c r="S74" s="968"/>
      <c r="T74" s="968"/>
      <c r="U74" s="968"/>
      <c r="V74" s="968"/>
      <c r="W74" s="968"/>
      <c r="X74" s="968"/>
      <c r="Y74" s="968"/>
      <c r="Z74" s="968">
        <v>126059.26</v>
      </c>
      <c r="AA74" s="968">
        <v>0</v>
      </c>
      <c r="AB74" s="968">
        <v>125049.02</v>
      </c>
      <c r="AC74" s="968">
        <v>1313.11</v>
      </c>
      <c r="AD74" s="967">
        <v>1313.11</v>
      </c>
      <c r="AF74" s="747" t="s">
        <v>1458</v>
      </c>
      <c r="AG74" s="980">
        <f>+INDEX('EOP Depreciation Expense Adj'!$O$12:$O$53,MATCH(AF74,'EOP Depreciation Expense Adj'!$A$12:$A$53,0))</f>
        <v>0</v>
      </c>
      <c r="AH74" s="981">
        <f t="shared" si="6"/>
        <v>0</v>
      </c>
      <c r="AI74" s="981">
        <f t="shared" si="5"/>
        <v>1313.11</v>
      </c>
      <c r="AJ74" s="981">
        <f t="shared" si="7"/>
        <v>15757.32</v>
      </c>
    </row>
    <row r="75" spans="1:36">
      <c r="A75" s="966"/>
      <c r="B75" s="966"/>
      <c r="C75" s="629" t="s">
        <v>2271</v>
      </c>
      <c r="D75" s="965">
        <v>9.3399999999999997E-2</v>
      </c>
      <c r="E75" s="969">
        <v>0.75170000000000003</v>
      </c>
      <c r="F75" s="968"/>
      <c r="G75" s="968"/>
      <c r="H75" s="968"/>
      <c r="I75" s="968"/>
      <c r="J75" s="968"/>
      <c r="K75" s="968"/>
      <c r="L75" s="968"/>
      <c r="M75" s="968"/>
      <c r="N75" s="968"/>
      <c r="O75" s="968"/>
      <c r="P75" s="968"/>
      <c r="Q75" s="968"/>
      <c r="R75" s="968"/>
      <c r="S75" s="968"/>
      <c r="T75" s="968"/>
      <c r="U75" s="968"/>
      <c r="V75" s="968"/>
      <c r="W75" s="968"/>
      <c r="X75" s="968"/>
      <c r="Y75" s="968"/>
      <c r="Z75" s="968"/>
      <c r="AA75" s="968"/>
      <c r="AB75" s="968">
        <v>2093385.04</v>
      </c>
      <c r="AC75" s="968">
        <v>0</v>
      </c>
      <c r="AD75" s="967">
        <v>0</v>
      </c>
      <c r="AF75" s="747" t="s">
        <v>1458</v>
      </c>
      <c r="AG75" s="980">
        <f>+INDEX('EOP Depreciation Expense Adj'!$O$12:$O$53,MATCH(AF75,'EOP Depreciation Expense Adj'!$A$12:$A$53,0))</f>
        <v>0</v>
      </c>
      <c r="AH75" s="981">
        <f t="shared" si="6"/>
        <v>0</v>
      </c>
      <c r="AI75" s="981">
        <f t="shared" si="5"/>
        <v>0</v>
      </c>
      <c r="AJ75" s="981">
        <f t="shared" si="7"/>
        <v>0</v>
      </c>
    </row>
    <row r="76" spans="1:36">
      <c r="A76" s="966"/>
      <c r="B76" s="966"/>
      <c r="C76" s="629" t="s">
        <v>920</v>
      </c>
      <c r="D76" s="965">
        <v>0</v>
      </c>
      <c r="E76" s="969">
        <v>0.75170000000000003</v>
      </c>
      <c r="F76" s="968">
        <v>71336.149999999994</v>
      </c>
      <c r="G76" s="968">
        <v>0</v>
      </c>
      <c r="H76" s="968">
        <v>71336.149999999994</v>
      </c>
      <c r="I76" s="968">
        <v>0</v>
      </c>
      <c r="J76" s="968">
        <v>71336.149999999994</v>
      </c>
      <c r="K76" s="968">
        <v>0</v>
      </c>
      <c r="L76" s="968">
        <v>71336.149999999994</v>
      </c>
      <c r="M76" s="968">
        <v>0</v>
      </c>
      <c r="N76" s="968">
        <v>71336.149999999994</v>
      </c>
      <c r="O76" s="968">
        <v>0</v>
      </c>
      <c r="P76" s="968">
        <v>71336.149999999994</v>
      </c>
      <c r="Q76" s="968">
        <v>0</v>
      </c>
      <c r="R76" s="968">
        <v>71336.149999999994</v>
      </c>
      <c r="S76" s="968">
        <v>0</v>
      </c>
      <c r="T76" s="968">
        <v>71336.149999999994</v>
      </c>
      <c r="U76" s="968">
        <v>0</v>
      </c>
      <c r="V76" s="968">
        <v>71336.149999999994</v>
      </c>
      <c r="W76" s="968">
        <v>0</v>
      </c>
      <c r="X76" s="968">
        <v>71336.149999999994</v>
      </c>
      <c r="Y76" s="968">
        <v>0</v>
      </c>
      <c r="Z76" s="968">
        <v>71336.149999999994</v>
      </c>
      <c r="AA76" s="968">
        <v>0</v>
      </c>
      <c r="AB76" s="968">
        <v>71336.149999999994</v>
      </c>
      <c r="AC76" s="968">
        <v>0</v>
      </c>
      <c r="AD76" s="967">
        <v>0</v>
      </c>
      <c r="AF76" s="747" t="s">
        <v>1464</v>
      </c>
      <c r="AG76" s="980">
        <f>+INDEX('EOP Depreciation Expense Adj'!$O$12:$O$53,MATCH(AF76,'EOP Depreciation Expense Adj'!$A$12:$A$53,0))</f>
        <v>0</v>
      </c>
      <c r="AH76" s="981">
        <f t="shared" si="6"/>
        <v>0</v>
      </c>
      <c r="AI76" s="981">
        <f t="shared" si="5"/>
        <v>0</v>
      </c>
      <c r="AJ76" s="981">
        <f t="shared" si="7"/>
        <v>0</v>
      </c>
    </row>
    <row r="77" spans="1:36">
      <c r="A77" s="966"/>
      <c r="B77" s="966"/>
      <c r="C77" s="629" t="s">
        <v>921</v>
      </c>
      <c r="D77" s="965">
        <v>1.2200000000000001E-2</v>
      </c>
      <c r="E77" s="969">
        <v>0.75170000000000003</v>
      </c>
      <c r="F77" s="968">
        <v>300070.45</v>
      </c>
      <c r="G77" s="968">
        <v>0</v>
      </c>
      <c r="H77" s="968">
        <v>300070.45</v>
      </c>
      <c r="I77" s="968">
        <v>0</v>
      </c>
      <c r="J77" s="968">
        <v>300070.45</v>
      </c>
      <c r="K77" s="968">
        <v>0</v>
      </c>
      <c r="L77" s="968">
        <v>300070.45</v>
      </c>
      <c r="M77" s="968">
        <v>0</v>
      </c>
      <c r="N77" s="968">
        <v>317278.94</v>
      </c>
      <c r="O77" s="968">
        <v>305.07</v>
      </c>
      <c r="P77" s="968">
        <v>317278.94</v>
      </c>
      <c r="Q77" s="968">
        <v>322.57</v>
      </c>
      <c r="R77" s="968">
        <v>317278.94</v>
      </c>
      <c r="S77" s="968">
        <v>322.57</v>
      </c>
      <c r="T77" s="968">
        <v>317278.94</v>
      </c>
      <c r="U77" s="968">
        <v>322.57</v>
      </c>
      <c r="V77" s="968">
        <v>317278.94</v>
      </c>
      <c r="W77" s="968">
        <v>322.57</v>
      </c>
      <c r="X77" s="968">
        <v>317278.94</v>
      </c>
      <c r="Y77" s="968">
        <v>322.57</v>
      </c>
      <c r="Z77" s="968">
        <v>317278.94</v>
      </c>
      <c r="AA77" s="968">
        <v>322.57</v>
      </c>
      <c r="AB77" s="968">
        <v>316940.43</v>
      </c>
      <c r="AC77" s="968">
        <v>322.57</v>
      </c>
      <c r="AD77" s="967">
        <v>2563.06</v>
      </c>
      <c r="AF77" s="747" t="s">
        <v>1465</v>
      </c>
      <c r="AG77" s="980">
        <f>+INDEX('EOP Depreciation Expense Adj'!$O$12:$O$53,MATCH(AF77,'EOP Depreciation Expense Adj'!$A$12:$A$53,0))</f>
        <v>8.3999999999999995E-3</v>
      </c>
      <c r="AH77" s="981">
        <f t="shared" si="6"/>
        <v>-798.33016393442654</v>
      </c>
      <c r="AI77" s="981">
        <f t="shared" si="5"/>
        <v>1764.7298360655734</v>
      </c>
      <c r="AJ77" s="981">
        <f t="shared" si="7"/>
        <v>2665.1685245901635</v>
      </c>
    </row>
    <row r="78" spans="1:36">
      <c r="A78" s="966"/>
      <c r="B78" s="966"/>
      <c r="C78" s="629" t="s">
        <v>922</v>
      </c>
      <c r="D78" s="965">
        <v>0</v>
      </c>
      <c r="E78" s="969">
        <v>0.75170000000000003</v>
      </c>
      <c r="F78" s="968">
        <v>717657.84</v>
      </c>
      <c r="G78" s="968">
        <v>0</v>
      </c>
      <c r="H78" s="968">
        <v>717657.84</v>
      </c>
      <c r="I78" s="968">
        <v>0</v>
      </c>
      <c r="J78" s="968">
        <v>717657.84</v>
      </c>
      <c r="K78" s="968">
        <v>0</v>
      </c>
      <c r="L78" s="968">
        <v>717657.84</v>
      </c>
      <c r="M78" s="968">
        <v>0</v>
      </c>
      <c r="N78" s="968">
        <v>717657.84</v>
      </c>
      <c r="O78" s="968">
        <v>0</v>
      </c>
      <c r="P78" s="968">
        <v>717657.84</v>
      </c>
      <c r="Q78" s="968">
        <v>0</v>
      </c>
      <c r="R78" s="968">
        <v>717657.84</v>
      </c>
      <c r="S78" s="968">
        <v>0</v>
      </c>
      <c r="T78" s="968">
        <v>717657.84</v>
      </c>
      <c r="U78" s="968">
        <v>0</v>
      </c>
      <c r="V78" s="968">
        <v>717657.84</v>
      </c>
      <c r="W78" s="968">
        <v>0</v>
      </c>
      <c r="X78" s="968">
        <v>717657.84</v>
      </c>
      <c r="Y78" s="968">
        <v>0</v>
      </c>
      <c r="Z78" s="968">
        <v>717657.84</v>
      </c>
      <c r="AA78" s="968">
        <v>0</v>
      </c>
      <c r="AB78" s="968">
        <v>717657.84</v>
      </c>
      <c r="AC78" s="968">
        <v>0</v>
      </c>
      <c r="AD78" s="967">
        <v>0</v>
      </c>
      <c r="AF78" s="747" t="s">
        <v>1476</v>
      </c>
      <c r="AG78" s="980">
        <f>+INDEX('EOP Depreciation Expense Adj'!$O$12:$O$53,MATCH(AF78,'EOP Depreciation Expense Adj'!$A$12:$A$53,0))</f>
        <v>0</v>
      </c>
      <c r="AH78" s="981">
        <f t="shared" si="6"/>
        <v>0</v>
      </c>
      <c r="AI78" s="981">
        <f t="shared" si="5"/>
        <v>0</v>
      </c>
      <c r="AJ78" s="981">
        <f t="shared" si="7"/>
        <v>0</v>
      </c>
    </row>
    <row r="79" spans="1:36">
      <c r="A79" s="966"/>
      <c r="B79" s="966"/>
      <c r="C79" s="629" t="s">
        <v>923</v>
      </c>
      <c r="D79" s="965">
        <v>1.24E-2</v>
      </c>
      <c r="E79" s="969">
        <v>0.75170000000000003</v>
      </c>
      <c r="F79" s="968">
        <v>4468708.91</v>
      </c>
      <c r="G79" s="968">
        <v>4617.66</v>
      </c>
      <c r="H79" s="968">
        <v>4468708.91</v>
      </c>
      <c r="I79" s="968">
        <v>4617.66</v>
      </c>
      <c r="J79" s="968">
        <v>4493718.6500000004</v>
      </c>
      <c r="K79" s="968">
        <v>4617.66</v>
      </c>
      <c r="L79" s="968">
        <v>4493718.6500000004</v>
      </c>
      <c r="M79" s="968">
        <v>4643.51</v>
      </c>
      <c r="N79" s="968">
        <v>4493718.6500000004</v>
      </c>
      <c r="O79" s="968">
        <v>4643.51</v>
      </c>
      <c r="P79" s="968">
        <v>4493199.78</v>
      </c>
      <c r="Q79" s="968">
        <v>4643.51</v>
      </c>
      <c r="R79" s="968">
        <v>4493199.78</v>
      </c>
      <c r="S79" s="968">
        <v>4642.97</v>
      </c>
      <c r="T79" s="968">
        <v>4493199.78</v>
      </c>
      <c r="U79" s="968">
        <v>4642.97</v>
      </c>
      <c r="V79" s="968">
        <v>4493276.37</v>
      </c>
      <c r="W79" s="968">
        <v>4642.97</v>
      </c>
      <c r="X79" s="968">
        <v>4493276.37</v>
      </c>
      <c r="Y79" s="968">
        <v>4643.0600000000004</v>
      </c>
      <c r="Z79" s="968">
        <v>4493276.37</v>
      </c>
      <c r="AA79" s="968">
        <v>4643.0600000000004</v>
      </c>
      <c r="AB79" s="968">
        <v>4493130.0199999996</v>
      </c>
      <c r="AC79" s="968">
        <v>4643.0600000000004</v>
      </c>
      <c r="AD79" s="967">
        <v>55641.599999999999</v>
      </c>
      <c r="AF79" s="747" t="s">
        <v>1478</v>
      </c>
      <c r="AG79" s="980">
        <f>+INDEX('EOP Depreciation Expense Adj'!$O$12:$O$53,MATCH(AF79,'EOP Depreciation Expense Adj'!$A$12:$A$53,0))</f>
        <v>1.44E-2</v>
      </c>
      <c r="AH79" s="981">
        <f t="shared" si="6"/>
        <v>8974.4516129032272</v>
      </c>
      <c r="AI79" s="981">
        <f t="shared" si="5"/>
        <v>64616.051612903226</v>
      </c>
      <c r="AJ79" s="981">
        <f t="shared" si="7"/>
        <v>64703.287741935492</v>
      </c>
    </row>
    <row r="80" spans="1:36">
      <c r="A80" s="966"/>
      <c r="B80" s="966"/>
      <c r="C80" s="629" t="s">
        <v>924</v>
      </c>
      <c r="D80" s="965">
        <v>0.16239999999999999</v>
      </c>
      <c r="E80" s="969">
        <v>0.75170000000000003</v>
      </c>
      <c r="F80" s="968">
        <v>2367435.4500000002</v>
      </c>
      <c r="G80" s="968">
        <v>31836.25</v>
      </c>
      <c r="H80" s="968">
        <v>2367805.64</v>
      </c>
      <c r="I80" s="968">
        <v>32039.3</v>
      </c>
      <c r="J80" s="968">
        <v>2378024.34</v>
      </c>
      <c r="K80" s="968">
        <v>32044.3</v>
      </c>
      <c r="L80" s="968">
        <v>2378024.34</v>
      </c>
      <c r="M80" s="968">
        <v>32182.6</v>
      </c>
      <c r="N80" s="968">
        <v>2378024.34</v>
      </c>
      <c r="O80" s="968">
        <v>32182.6</v>
      </c>
      <c r="P80" s="968">
        <v>2378024.34</v>
      </c>
      <c r="Q80" s="968">
        <v>32182.6</v>
      </c>
      <c r="R80" s="968">
        <v>2378024.34</v>
      </c>
      <c r="S80" s="968">
        <v>32182.6</v>
      </c>
      <c r="T80" s="968">
        <v>2378024.34</v>
      </c>
      <c r="U80" s="968">
        <v>32182.6</v>
      </c>
      <c r="V80" s="968">
        <v>2389654.13</v>
      </c>
      <c r="W80" s="968">
        <v>32182.6</v>
      </c>
      <c r="X80" s="968">
        <v>2389654.13</v>
      </c>
      <c r="Y80" s="968">
        <v>32339.98</v>
      </c>
      <c r="Z80" s="968">
        <v>2389654.13</v>
      </c>
      <c r="AA80" s="968">
        <v>32339.98</v>
      </c>
      <c r="AB80" s="968">
        <v>2626882.2999999998</v>
      </c>
      <c r="AC80" s="968">
        <v>32339.98</v>
      </c>
      <c r="AD80" s="967">
        <v>386035.38999999996</v>
      </c>
      <c r="AF80" s="747" t="s">
        <v>1481</v>
      </c>
      <c r="AG80" s="980">
        <f>+INDEX('EOP Depreciation Expense Adj'!$O$12:$O$53,MATCH(AF80,'EOP Depreciation Expense Adj'!$A$12:$A$53,0))</f>
        <v>0.44020000000000004</v>
      </c>
      <c r="AH80" s="981">
        <f t="shared" si="6"/>
        <v>660348.71516009863</v>
      </c>
      <c r="AI80" s="981">
        <f>+IF(AG80=0,AD80,AD80/D80*AG80)</f>
        <v>1046384.1051600985</v>
      </c>
      <c r="AJ80" s="981">
        <f t="shared" si="7"/>
        <v>1051925.5563546799</v>
      </c>
    </row>
    <row r="81" spans="1:36">
      <c r="A81" s="966"/>
      <c r="B81" s="966"/>
      <c r="C81" s="629" t="s">
        <v>925</v>
      </c>
      <c r="D81" s="965">
        <v>0.17369999999999999</v>
      </c>
      <c r="E81" s="969">
        <v>0.75170000000000003</v>
      </c>
      <c r="F81" s="968">
        <v>119001.89</v>
      </c>
      <c r="G81" s="968">
        <v>1722.55</v>
      </c>
      <c r="H81" s="968">
        <v>119001.89</v>
      </c>
      <c r="I81" s="968">
        <v>1722.55</v>
      </c>
      <c r="J81" s="968">
        <v>119001.89</v>
      </c>
      <c r="K81" s="968">
        <v>1722.55</v>
      </c>
      <c r="L81" s="968">
        <v>119001.89</v>
      </c>
      <c r="M81" s="968">
        <v>1722.55</v>
      </c>
      <c r="N81" s="968">
        <v>119001.89</v>
      </c>
      <c r="O81" s="968">
        <v>1722.55</v>
      </c>
      <c r="P81" s="968">
        <v>119001.89</v>
      </c>
      <c r="Q81" s="968">
        <v>1722.55</v>
      </c>
      <c r="R81" s="968">
        <v>119001.89</v>
      </c>
      <c r="S81" s="968">
        <v>1722.55</v>
      </c>
      <c r="T81" s="968">
        <v>119001.89</v>
      </c>
      <c r="U81" s="968">
        <v>1722.55</v>
      </c>
      <c r="V81" s="968">
        <v>119001.89</v>
      </c>
      <c r="W81" s="968">
        <v>1722.55</v>
      </c>
      <c r="X81" s="968">
        <v>119001.89</v>
      </c>
      <c r="Y81" s="968">
        <v>1722.55</v>
      </c>
      <c r="Z81" s="968">
        <v>119001.89</v>
      </c>
      <c r="AA81" s="968">
        <v>1722.55</v>
      </c>
      <c r="AB81" s="968">
        <v>119001.89</v>
      </c>
      <c r="AC81" s="968">
        <v>1722.55</v>
      </c>
      <c r="AD81" s="967">
        <v>20670.599999999995</v>
      </c>
      <c r="AF81" s="747" t="s">
        <v>1479</v>
      </c>
      <c r="AG81" s="980">
        <f>+INDEX('EOP Depreciation Expense Adj'!$O$12:$O$53,MATCH(AF81,'EOP Depreciation Expense Adj'!$A$12:$A$53,0))</f>
        <v>0.26369999999999999</v>
      </c>
      <c r="AH81" s="981">
        <f t="shared" si="6"/>
        <v>10710.155440414506</v>
      </c>
      <c r="AI81" s="981">
        <f t="shared" ref="AI81:AI94" si="8">+IF(AG81=0,AD81,AD81/D81*AG81)</f>
        <v>31380.755440414501</v>
      </c>
      <c r="AJ81" s="981">
        <f t="shared" si="7"/>
        <v>31380.755440414508</v>
      </c>
    </row>
    <row r="82" spans="1:36">
      <c r="A82" s="966"/>
      <c r="B82" s="966"/>
      <c r="C82" s="629" t="s">
        <v>926</v>
      </c>
      <c r="D82" s="965">
        <v>4.9799999999999997E-2</v>
      </c>
      <c r="E82" s="969">
        <v>0.75170000000000003</v>
      </c>
      <c r="F82" s="968">
        <v>959623.11</v>
      </c>
      <c r="G82" s="968">
        <v>3982.44</v>
      </c>
      <c r="H82" s="968">
        <v>959623.11</v>
      </c>
      <c r="I82" s="968">
        <v>3982.44</v>
      </c>
      <c r="J82" s="968">
        <v>964541.28</v>
      </c>
      <c r="K82" s="968">
        <v>3982.44</v>
      </c>
      <c r="L82" s="968">
        <v>964484.93</v>
      </c>
      <c r="M82" s="968">
        <v>4002.85</v>
      </c>
      <c r="N82" s="968">
        <v>964484.93</v>
      </c>
      <c r="O82" s="968">
        <v>4002.61</v>
      </c>
      <c r="P82" s="968">
        <v>964484.93</v>
      </c>
      <c r="Q82" s="968">
        <v>4002.61</v>
      </c>
      <c r="R82" s="968">
        <v>964484.93</v>
      </c>
      <c r="S82" s="968">
        <v>4002.61</v>
      </c>
      <c r="T82" s="968">
        <v>964484.93</v>
      </c>
      <c r="U82" s="968">
        <v>4002.61</v>
      </c>
      <c r="V82" s="968">
        <v>964484.93</v>
      </c>
      <c r="W82" s="968">
        <v>4002.61</v>
      </c>
      <c r="X82" s="968">
        <v>964484.93</v>
      </c>
      <c r="Y82" s="968">
        <v>4002.61</v>
      </c>
      <c r="Z82" s="968">
        <v>964484.93</v>
      </c>
      <c r="AA82" s="968">
        <v>4002.61</v>
      </c>
      <c r="AB82" s="968">
        <v>964465.92</v>
      </c>
      <c r="AC82" s="968">
        <v>4002.61</v>
      </c>
      <c r="AD82" s="967">
        <v>47971.05</v>
      </c>
      <c r="AF82" s="747" t="s">
        <v>1480</v>
      </c>
      <c r="AG82" s="980">
        <f>+INDEX('EOP Depreciation Expense Adj'!$O$12:$O$53,MATCH(AF82,'EOP Depreciation Expense Adj'!$A$12:$A$53,0))</f>
        <v>0.19</v>
      </c>
      <c r="AH82" s="981">
        <f t="shared" si="6"/>
        <v>135051.02831325302</v>
      </c>
      <c r="AI82" s="981">
        <f t="shared" si="8"/>
        <v>183022.07831325303</v>
      </c>
      <c r="AJ82" s="981">
        <f t="shared" si="7"/>
        <v>183252.02409638558</v>
      </c>
    </row>
    <row r="83" spans="1:36">
      <c r="A83" s="966"/>
      <c r="B83" s="966"/>
      <c r="C83" s="629" t="s">
        <v>927</v>
      </c>
      <c r="D83" s="965">
        <v>0</v>
      </c>
      <c r="E83" s="969">
        <v>0.75170000000000003</v>
      </c>
      <c r="F83" s="968">
        <v>2250897.7000000002</v>
      </c>
      <c r="G83" s="968">
        <v>0</v>
      </c>
      <c r="H83" s="968">
        <v>2250897.7000000002</v>
      </c>
      <c r="I83" s="968">
        <v>0</v>
      </c>
      <c r="J83" s="968">
        <v>2250897.7000000002</v>
      </c>
      <c r="K83" s="968">
        <v>0</v>
      </c>
      <c r="L83" s="968">
        <v>2250897.7000000002</v>
      </c>
      <c r="M83" s="968">
        <v>0</v>
      </c>
      <c r="N83" s="968">
        <v>2250897.7000000002</v>
      </c>
      <c r="O83" s="968">
        <v>0</v>
      </c>
      <c r="P83" s="968">
        <v>2250897.7000000002</v>
      </c>
      <c r="Q83" s="968">
        <v>0</v>
      </c>
      <c r="R83" s="968">
        <v>2250897.7000000002</v>
      </c>
      <c r="S83" s="968">
        <v>0</v>
      </c>
      <c r="T83" s="968">
        <v>2250897.7000000002</v>
      </c>
      <c r="U83" s="968">
        <v>0</v>
      </c>
      <c r="V83" s="968">
        <v>2250897.7000000002</v>
      </c>
      <c r="W83" s="968">
        <v>0</v>
      </c>
      <c r="X83" s="968">
        <v>2250897.7000000002</v>
      </c>
      <c r="Y83" s="968">
        <v>0</v>
      </c>
      <c r="Z83" s="968">
        <v>2250897.7000000002</v>
      </c>
      <c r="AA83" s="968">
        <v>0</v>
      </c>
      <c r="AB83" s="968">
        <v>2250897.7000000002</v>
      </c>
      <c r="AC83" s="968">
        <v>-0.01</v>
      </c>
      <c r="AD83" s="967">
        <v>-0.01</v>
      </c>
      <c r="AF83" s="747" t="s">
        <v>2364</v>
      </c>
      <c r="AG83" s="980">
        <f>+INDEX('EOP Depreciation Expense Adj'!$O$12:$O$53,MATCH(AF83,'EOP Depreciation Expense Adj'!$A$12:$A$53,0))</f>
        <v>0</v>
      </c>
      <c r="AH83" s="981">
        <f t="shared" si="6"/>
        <v>0</v>
      </c>
      <c r="AI83" s="981">
        <f t="shared" si="8"/>
        <v>-0.01</v>
      </c>
      <c r="AJ83" s="981">
        <f t="shared" si="7"/>
        <v>-0.12</v>
      </c>
    </row>
    <row r="84" spans="1:36">
      <c r="A84" s="966"/>
      <c r="B84" s="966"/>
      <c r="C84" s="629" t="s">
        <v>930</v>
      </c>
      <c r="D84" s="965">
        <v>5.3400000000000003E-2</v>
      </c>
      <c r="E84" s="969">
        <v>0.75170000000000003</v>
      </c>
      <c r="F84" s="968">
        <v>32389.39</v>
      </c>
      <c r="G84" s="968">
        <v>144.13</v>
      </c>
      <c r="H84" s="968">
        <v>32389.39</v>
      </c>
      <c r="I84" s="968">
        <v>144.13</v>
      </c>
      <c r="J84" s="968">
        <v>32389.39</v>
      </c>
      <c r="K84" s="968">
        <v>144.13</v>
      </c>
      <c r="L84" s="968">
        <v>32389.39</v>
      </c>
      <c r="M84" s="968">
        <v>144.13</v>
      </c>
      <c r="N84" s="968">
        <v>32389.39</v>
      </c>
      <c r="O84" s="968">
        <v>144.13</v>
      </c>
      <c r="P84" s="968">
        <v>32389.39</v>
      </c>
      <c r="Q84" s="968">
        <v>144.13</v>
      </c>
      <c r="R84" s="968">
        <v>32389.39</v>
      </c>
      <c r="S84" s="968">
        <v>144.13</v>
      </c>
      <c r="T84" s="968">
        <v>32389.39</v>
      </c>
      <c r="U84" s="968">
        <v>144.13</v>
      </c>
      <c r="V84" s="968">
        <v>32389.39</v>
      </c>
      <c r="W84" s="968">
        <v>144.13</v>
      </c>
      <c r="X84" s="968">
        <v>32389.39</v>
      </c>
      <c r="Y84" s="968">
        <v>144.13</v>
      </c>
      <c r="Z84" s="968">
        <v>39480.19</v>
      </c>
      <c r="AA84" s="968">
        <v>144.13</v>
      </c>
      <c r="AB84" s="968">
        <v>39362.67</v>
      </c>
      <c r="AC84" s="968">
        <v>175.69</v>
      </c>
      <c r="AD84" s="967">
        <v>1761.1200000000003</v>
      </c>
      <c r="AF84" s="747" t="s">
        <v>1482</v>
      </c>
      <c r="AG84" s="980">
        <f>+INDEX('EOP Depreciation Expense Adj'!$O$12:$O$53,MATCH(AF84,'EOP Depreciation Expense Adj'!$A$12:$A$53,0))</f>
        <v>8.4000000000000005E-2</v>
      </c>
      <c r="AH84" s="981">
        <f t="shared" si="6"/>
        <v>1009.1811235955056</v>
      </c>
      <c r="AI84" s="981">
        <f t="shared" si="8"/>
        <v>2770.3011235955059</v>
      </c>
      <c r="AJ84" s="981">
        <f t="shared" si="7"/>
        <v>3316.3955056179775</v>
      </c>
    </row>
    <row r="85" spans="1:36">
      <c r="A85" s="966"/>
      <c r="B85" s="966"/>
      <c r="C85" s="629" t="s">
        <v>931</v>
      </c>
      <c r="D85" s="965">
        <v>3.56E-2</v>
      </c>
      <c r="E85" s="969">
        <v>0.75170000000000003</v>
      </c>
      <c r="F85" s="968">
        <v>1856608.8</v>
      </c>
      <c r="G85" s="968">
        <v>5444.68</v>
      </c>
      <c r="H85" s="968">
        <v>1862496.88</v>
      </c>
      <c r="I85" s="968">
        <v>5507.94</v>
      </c>
      <c r="J85" s="968">
        <v>1865227.84</v>
      </c>
      <c r="K85" s="968">
        <v>5525.41</v>
      </c>
      <c r="L85" s="968">
        <v>1883439.66</v>
      </c>
      <c r="M85" s="968">
        <v>5533.51</v>
      </c>
      <c r="N85" s="968">
        <v>1904173.95</v>
      </c>
      <c r="O85" s="968">
        <v>5587.54</v>
      </c>
      <c r="P85" s="968">
        <v>1911655.6</v>
      </c>
      <c r="Q85" s="968">
        <v>5649.05</v>
      </c>
      <c r="R85" s="968">
        <v>1911655.6</v>
      </c>
      <c r="S85" s="968">
        <v>5671.25</v>
      </c>
      <c r="T85" s="968">
        <v>1911655.6</v>
      </c>
      <c r="U85" s="968">
        <v>5671.25</v>
      </c>
      <c r="V85" s="968">
        <v>1917474.8</v>
      </c>
      <c r="W85" s="968">
        <v>5671.25</v>
      </c>
      <c r="X85" s="968">
        <v>2001572.98</v>
      </c>
      <c r="Y85" s="968">
        <v>5688.51</v>
      </c>
      <c r="Z85" s="968">
        <v>2002418.33</v>
      </c>
      <c r="AA85" s="968">
        <v>5938</v>
      </c>
      <c r="AB85" s="968">
        <v>2026422.71</v>
      </c>
      <c r="AC85" s="968">
        <v>5940.5</v>
      </c>
      <c r="AD85" s="967">
        <v>67828.890000000014</v>
      </c>
      <c r="AF85" s="747" t="s">
        <v>1483</v>
      </c>
      <c r="AG85" s="980">
        <f>+INDEX('EOP Depreciation Expense Adj'!$O$12:$O$53,MATCH(AF85,'EOP Depreciation Expense Adj'!$A$12:$A$53,0))</f>
        <v>0.1066</v>
      </c>
      <c r="AH85" s="981">
        <f t="shared" si="6"/>
        <v>135276.71882022475</v>
      </c>
      <c r="AI85" s="981">
        <f t="shared" si="8"/>
        <v>203105.60882022476</v>
      </c>
      <c r="AJ85" s="981">
        <f t="shared" si="7"/>
        <v>213457.51685393258</v>
      </c>
    </row>
    <row r="86" spans="1:36">
      <c r="A86" s="966"/>
      <c r="B86" s="966"/>
      <c r="C86" s="629" t="s">
        <v>932</v>
      </c>
      <c r="D86" s="965">
        <v>4.5999999999999999E-2</v>
      </c>
      <c r="E86" s="969">
        <v>0.75170000000000003</v>
      </c>
      <c r="F86" s="968">
        <v>68127.19</v>
      </c>
      <c r="G86" s="968">
        <v>261.16000000000003</v>
      </c>
      <c r="H86" s="968">
        <v>68127.19</v>
      </c>
      <c r="I86" s="968">
        <v>261.16000000000003</v>
      </c>
      <c r="J86" s="968">
        <v>63498.01</v>
      </c>
      <c r="K86" s="968">
        <v>261.16000000000003</v>
      </c>
      <c r="L86" s="968">
        <v>63498.01</v>
      </c>
      <c r="M86" s="968">
        <v>243.41</v>
      </c>
      <c r="N86" s="968">
        <v>63498.01</v>
      </c>
      <c r="O86" s="968">
        <v>243.41</v>
      </c>
      <c r="P86" s="968">
        <v>63498.01</v>
      </c>
      <c r="Q86" s="968">
        <v>243.41</v>
      </c>
      <c r="R86" s="968">
        <v>63498.01</v>
      </c>
      <c r="S86" s="968">
        <v>243.41</v>
      </c>
      <c r="T86" s="968">
        <v>63498.01</v>
      </c>
      <c r="U86" s="968">
        <v>243.41</v>
      </c>
      <c r="V86" s="968">
        <v>63498.01</v>
      </c>
      <c r="W86" s="968">
        <v>243.41</v>
      </c>
      <c r="X86" s="968">
        <v>63498.01</v>
      </c>
      <c r="Y86" s="968">
        <v>243.41</v>
      </c>
      <c r="Z86" s="968">
        <v>63498.01</v>
      </c>
      <c r="AA86" s="968">
        <v>243.41</v>
      </c>
      <c r="AB86" s="968">
        <v>63498.01</v>
      </c>
      <c r="AC86" s="968">
        <v>243.41</v>
      </c>
      <c r="AD86" s="967">
        <v>2974.17</v>
      </c>
      <c r="AF86" s="747" t="s">
        <v>1484</v>
      </c>
      <c r="AG86" s="980">
        <f>+INDEX('EOP Depreciation Expense Adj'!$O$12:$O$53,MATCH(AF86,'EOP Depreciation Expense Adj'!$A$12:$A$53,0))</f>
        <v>0.14550000000000002</v>
      </c>
      <c r="AH86" s="981">
        <f t="shared" si="6"/>
        <v>6433.2590217391316</v>
      </c>
      <c r="AI86" s="981">
        <f t="shared" si="8"/>
        <v>9407.4290217391317</v>
      </c>
      <c r="AJ86" s="981">
        <f t="shared" si="7"/>
        <v>9238.9969565217416</v>
      </c>
    </row>
    <row r="87" spans="1:36">
      <c r="A87" s="966"/>
      <c r="B87" s="966"/>
      <c r="C87" s="629" t="s">
        <v>935</v>
      </c>
      <c r="D87" s="965">
        <v>9.3700000000000006E-2</v>
      </c>
      <c r="E87" s="969">
        <v>0.75170000000000003</v>
      </c>
      <c r="F87" s="968">
        <v>15373.61</v>
      </c>
      <c r="G87" s="968">
        <v>120.04</v>
      </c>
      <c r="H87" s="968">
        <v>15373.61</v>
      </c>
      <c r="I87" s="968">
        <v>120.04</v>
      </c>
      <c r="J87" s="968">
        <v>15373.61</v>
      </c>
      <c r="K87" s="968">
        <v>120.04</v>
      </c>
      <c r="L87" s="968">
        <v>15373.61</v>
      </c>
      <c r="M87" s="968">
        <v>120.04</v>
      </c>
      <c r="N87" s="968">
        <v>15373.61</v>
      </c>
      <c r="O87" s="968">
        <v>120.04</v>
      </c>
      <c r="P87" s="968">
        <v>14930.24</v>
      </c>
      <c r="Q87" s="968">
        <v>120.04</v>
      </c>
      <c r="R87" s="968">
        <v>14930.24</v>
      </c>
      <c r="S87" s="968">
        <v>116.58</v>
      </c>
      <c r="T87" s="968">
        <v>14930.24</v>
      </c>
      <c r="U87" s="968">
        <v>116.58</v>
      </c>
      <c r="V87" s="968">
        <v>14930.24</v>
      </c>
      <c r="W87" s="968">
        <v>116.58</v>
      </c>
      <c r="X87" s="968">
        <v>14930.24</v>
      </c>
      <c r="Y87" s="968">
        <v>116.58</v>
      </c>
      <c r="Z87" s="968">
        <v>14930.24</v>
      </c>
      <c r="AA87" s="968">
        <v>116.58</v>
      </c>
      <c r="AB87" s="968">
        <v>14930.24</v>
      </c>
      <c r="AC87" s="968">
        <v>116.58</v>
      </c>
      <c r="AD87" s="967">
        <v>1419.7199999999998</v>
      </c>
      <c r="AF87" s="747" t="s">
        <v>1486</v>
      </c>
      <c r="AG87" s="980">
        <f>+INDEX('EOP Depreciation Expense Adj'!$O$12:$O$53,MATCH(AF87,'EOP Depreciation Expense Adj'!$A$12:$A$53,0))</f>
        <v>6.9900000000000004E-2</v>
      </c>
      <c r="AH87" s="981">
        <f t="shared" si="6"/>
        <v>-360.61191035218781</v>
      </c>
      <c r="AI87" s="981">
        <f t="shared" si="8"/>
        <v>1059.108089647812</v>
      </c>
      <c r="AJ87" s="981">
        <f t="shared" si="7"/>
        <v>1043.6211739594451</v>
      </c>
    </row>
    <row r="88" spans="1:36">
      <c r="A88" s="966"/>
      <c r="B88" s="966"/>
      <c r="C88" s="629" t="s">
        <v>936</v>
      </c>
      <c r="D88" s="965">
        <v>1.2999999999999999E-3</v>
      </c>
      <c r="E88" s="969">
        <v>0.75170000000000003</v>
      </c>
      <c r="F88" s="968">
        <v>568232.43999999994</v>
      </c>
      <c r="G88" s="968">
        <v>61.56</v>
      </c>
      <c r="H88" s="968">
        <v>568232.43999999994</v>
      </c>
      <c r="I88" s="968">
        <v>61.56</v>
      </c>
      <c r="J88" s="968">
        <v>568232.43999999994</v>
      </c>
      <c r="K88" s="968">
        <v>61.56</v>
      </c>
      <c r="L88" s="968">
        <v>568232.43999999994</v>
      </c>
      <c r="M88" s="968">
        <v>61.56</v>
      </c>
      <c r="N88" s="968">
        <v>568232.43999999994</v>
      </c>
      <c r="O88" s="968">
        <v>61.56</v>
      </c>
      <c r="P88" s="968">
        <v>568232.43999999994</v>
      </c>
      <c r="Q88" s="968">
        <v>61.56</v>
      </c>
      <c r="R88" s="968">
        <v>568232.43999999994</v>
      </c>
      <c r="S88" s="968">
        <v>61.56</v>
      </c>
      <c r="T88" s="968">
        <v>568232.43999999994</v>
      </c>
      <c r="U88" s="968">
        <v>61.56</v>
      </c>
      <c r="V88" s="968">
        <v>568232.43999999994</v>
      </c>
      <c r="W88" s="968">
        <v>61.56</v>
      </c>
      <c r="X88" s="968">
        <v>568232.43999999994</v>
      </c>
      <c r="Y88" s="968">
        <v>61.56</v>
      </c>
      <c r="Z88" s="968">
        <v>568232.43999999994</v>
      </c>
      <c r="AA88" s="968">
        <v>61.56</v>
      </c>
      <c r="AB88" s="968">
        <v>878294.21</v>
      </c>
      <c r="AC88" s="968">
        <v>61.56</v>
      </c>
      <c r="AD88" s="967">
        <v>738.7199999999998</v>
      </c>
      <c r="AF88" s="747" t="s">
        <v>1487</v>
      </c>
      <c r="AG88" s="980">
        <f>+INDEX('EOP Depreciation Expense Adj'!$O$12:$O$53,MATCH(AF88,'EOP Depreciation Expense Adj'!$A$12:$A$53,0))</f>
        <v>5.5300000000000002E-2</v>
      </c>
      <c r="AH88" s="981">
        <f t="shared" si="6"/>
        <v>30685.292307692303</v>
      </c>
      <c r="AI88" s="981">
        <f t="shared" si="8"/>
        <v>31424.012307692305</v>
      </c>
      <c r="AJ88" s="981">
        <f t="shared" si="7"/>
        <v>31424.012307692312</v>
      </c>
    </row>
    <row r="89" spans="1:36">
      <c r="A89" s="966"/>
      <c r="B89" s="966"/>
      <c r="C89" s="629" t="s">
        <v>937</v>
      </c>
      <c r="D89" s="965">
        <v>9.1800000000000007E-2</v>
      </c>
      <c r="E89" s="969">
        <v>0.75170000000000003</v>
      </c>
      <c r="F89" s="968">
        <v>100957.47</v>
      </c>
      <c r="G89" s="968">
        <v>772.33</v>
      </c>
      <c r="H89" s="968">
        <v>100957.47</v>
      </c>
      <c r="I89" s="968">
        <v>772.33</v>
      </c>
      <c r="J89" s="968">
        <v>100957.47</v>
      </c>
      <c r="K89" s="968">
        <v>772.33</v>
      </c>
      <c r="L89" s="968">
        <v>100957.47</v>
      </c>
      <c r="M89" s="968">
        <v>772.33</v>
      </c>
      <c r="N89" s="968">
        <v>100957.47</v>
      </c>
      <c r="O89" s="968">
        <v>772.33</v>
      </c>
      <c r="P89" s="968">
        <v>100957.47</v>
      </c>
      <c r="Q89" s="968">
        <v>772.33</v>
      </c>
      <c r="R89" s="968">
        <v>100957.47</v>
      </c>
      <c r="S89" s="968">
        <v>772.33</v>
      </c>
      <c r="T89" s="968">
        <v>100957.47</v>
      </c>
      <c r="U89" s="968">
        <v>772.33</v>
      </c>
      <c r="V89" s="968">
        <v>100957.47</v>
      </c>
      <c r="W89" s="968">
        <v>772.33</v>
      </c>
      <c r="X89" s="968">
        <v>100957.47</v>
      </c>
      <c r="Y89" s="968">
        <v>772.33</v>
      </c>
      <c r="Z89" s="968">
        <v>100957.47</v>
      </c>
      <c r="AA89" s="968">
        <v>772.33</v>
      </c>
      <c r="AB89" s="968">
        <v>100957.47</v>
      </c>
      <c r="AC89" s="968">
        <v>772.33</v>
      </c>
      <c r="AD89" s="967">
        <v>9267.9600000000009</v>
      </c>
      <c r="AF89" s="747" t="s">
        <v>1488</v>
      </c>
      <c r="AG89" s="980">
        <f>+INDEX('EOP Depreciation Expense Adj'!$O$12:$O$53,MATCH(AF89,'EOP Depreciation Expense Adj'!$A$12:$A$53,0))</f>
        <v>0.2162</v>
      </c>
      <c r="AH89" s="981">
        <f t="shared" si="6"/>
        <v>12559.196339869281</v>
      </c>
      <c r="AI89" s="981">
        <f t="shared" si="8"/>
        <v>21827.156339869282</v>
      </c>
      <c r="AJ89" s="981">
        <f t="shared" si="7"/>
        <v>21827.156339869282</v>
      </c>
    </row>
    <row r="90" spans="1:36">
      <c r="A90" s="966"/>
      <c r="B90" s="966"/>
      <c r="C90" s="629" t="s">
        <v>938</v>
      </c>
      <c r="D90" s="965">
        <v>0.1051</v>
      </c>
      <c r="E90" s="969">
        <v>0.75170000000000003</v>
      </c>
      <c r="F90" s="968">
        <v>44714.52</v>
      </c>
      <c r="G90" s="968">
        <v>391.63</v>
      </c>
      <c r="H90" s="968">
        <v>44714.52</v>
      </c>
      <c r="I90" s="968">
        <v>391.63</v>
      </c>
      <c r="J90" s="968">
        <v>44714.52</v>
      </c>
      <c r="K90" s="968">
        <v>391.63</v>
      </c>
      <c r="L90" s="968">
        <v>44714.52</v>
      </c>
      <c r="M90" s="968">
        <v>391.63</v>
      </c>
      <c r="N90" s="968">
        <v>44714.52</v>
      </c>
      <c r="O90" s="968">
        <v>391.63</v>
      </c>
      <c r="P90" s="968">
        <v>44714.52</v>
      </c>
      <c r="Q90" s="968">
        <v>391.63</v>
      </c>
      <c r="R90" s="968">
        <v>44714.52</v>
      </c>
      <c r="S90" s="968">
        <v>391.63</v>
      </c>
      <c r="T90" s="968">
        <v>44714.52</v>
      </c>
      <c r="U90" s="968">
        <v>391.63</v>
      </c>
      <c r="V90" s="968">
        <v>44714.52</v>
      </c>
      <c r="W90" s="968">
        <v>391.63</v>
      </c>
      <c r="X90" s="968">
        <v>44714.52</v>
      </c>
      <c r="Y90" s="968">
        <v>391.63</v>
      </c>
      <c r="Z90" s="968">
        <v>44714.52</v>
      </c>
      <c r="AA90" s="968">
        <v>391.63</v>
      </c>
      <c r="AB90" s="968">
        <v>44714.52</v>
      </c>
      <c r="AC90" s="968">
        <v>391.63</v>
      </c>
      <c r="AD90" s="967">
        <v>4699.5600000000004</v>
      </c>
      <c r="AF90" s="747" t="s">
        <v>1489</v>
      </c>
      <c r="AG90" s="980">
        <f>+INDEX('EOP Depreciation Expense Adj'!$O$12:$O$53,MATCH(AF90,'EOP Depreciation Expense Adj'!$A$12:$A$53,0))</f>
        <v>4.3499999999999997E-2</v>
      </c>
      <c r="AH90" s="981">
        <f t="shared" si="6"/>
        <v>-2754.4519124643202</v>
      </c>
      <c r="AI90" s="981">
        <f t="shared" si="8"/>
        <v>1945.1080875356804</v>
      </c>
      <c r="AJ90" s="981">
        <f t="shared" si="7"/>
        <v>1945.1080875356802</v>
      </c>
    </row>
    <row r="91" spans="1:36">
      <c r="A91" s="966"/>
      <c r="B91" s="966" t="s">
        <v>2637</v>
      </c>
      <c r="C91" s="966"/>
      <c r="D91" s="965"/>
      <c r="E91" s="965"/>
      <c r="F91" s="964">
        <f t="shared" ref="F91:AD91" si="9">SUM(F44:F90)</f>
        <v>42321601.190000005</v>
      </c>
      <c r="G91" s="964">
        <f t="shared" si="9"/>
        <v>255978.69999999998</v>
      </c>
      <c r="H91" s="964">
        <f t="shared" si="9"/>
        <v>42327859.460000008</v>
      </c>
      <c r="I91" s="964">
        <f t="shared" si="9"/>
        <v>256221.36</v>
      </c>
      <c r="J91" s="964">
        <f t="shared" si="9"/>
        <v>42284106.760000005</v>
      </c>
      <c r="K91" s="964">
        <f t="shared" si="9"/>
        <v>256243.83</v>
      </c>
      <c r="L91" s="964">
        <f t="shared" si="9"/>
        <v>42378705.360000007</v>
      </c>
      <c r="M91" s="964">
        <f t="shared" si="9"/>
        <v>254499.56000000003</v>
      </c>
      <c r="N91" s="964">
        <f t="shared" si="9"/>
        <v>42416648.140000008</v>
      </c>
      <c r="O91" s="964">
        <f t="shared" si="9"/>
        <v>255491.35</v>
      </c>
      <c r="P91" s="964">
        <f t="shared" si="9"/>
        <v>42423307.790000014</v>
      </c>
      <c r="Q91" s="964">
        <f t="shared" si="9"/>
        <v>255570.36</v>
      </c>
      <c r="R91" s="964">
        <f t="shared" si="9"/>
        <v>42436758.970000006</v>
      </c>
      <c r="S91" s="964">
        <f t="shared" si="9"/>
        <v>255589.71999999994</v>
      </c>
      <c r="T91" s="964">
        <f t="shared" si="9"/>
        <v>42437249.820000015</v>
      </c>
      <c r="U91" s="964">
        <f t="shared" si="9"/>
        <v>255701.83</v>
      </c>
      <c r="V91" s="964">
        <f t="shared" si="9"/>
        <v>42908338.250000007</v>
      </c>
      <c r="W91" s="964">
        <f t="shared" si="9"/>
        <v>255705.91999999995</v>
      </c>
      <c r="X91" s="964">
        <f t="shared" si="9"/>
        <v>42992436.430000007</v>
      </c>
      <c r="Y91" s="964">
        <f t="shared" si="9"/>
        <v>258511.62</v>
      </c>
      <c r="Z91" s="964">
        <f t="shared" si="9"/>
        <v>43126431.840000011</v>
      </c>
      <c r="AA91" s="964">
        <f t="shared" si="9"/>
        <v>258104.45999999996</v>
      </c>
      <c r="AB91" s="964">
        <f t="shared" si="9"/>
        <v>44465874.800000004</v>
      </c>
      <c r="AC91" s="964">
        <f t="shared" si="9"/>
        <v>259451.61999999994</v>
      </c>
      <c r="AD91" s="963">
        <f t="shared" si="9"/>
        <v>3077070.3300000005</v>
      </c>
      <c r="AF91" s="629" t="e">
        <f t="shared" ref="AF91:AF95" si="10">+RIGHT(C91,LEN(C91)-4)</f>
        <v>#VALUE!</v>
      </c>
      <c r="AG91" s="980"/>
      <c r="AH91" s="981">
        <f t="shared" si="6"/>
        <v>0</v>
      </c>
      <c r="AI91" s="981">
        <f t="shared" si="8"/>
        <v>3077070.3300000005</v>
      </c>
      <c r="AJ91" s="981">
        <f t="shared" si="7"/>
        <v>3113419.4399999995</v>
      </c>
    </row>
    <row r="92" spans="1:36">
      <c r="A92" s="966"/>
      <c r="B92" s="966" t="s">
        <v>2636</v>
      </c>
      <c r="C92" s="629" t="s">
        <v>939</v>
      </c>
      <c r="D92" s="965">
        <v>6.8900000000000003E-2</v>
      </c>
      <c r="E92" s="969">
        <v>0.74299999999999999</v>
      </c>
      <c r="F92" s="968">
        <v>12937527.82</v>
      </c>
      <c r="G92" s="968">
        <v>72614.16</v>
      </c>
      <c r="H92" s="968">
        <v>13130366.220000001</v>
      </c>
      <c r="I92" s="968">
        <v>74282.97</v>
      </c>
      <c r="J92" s="968">
        <v>13882071.91</v>
      </c>
      <c r="K92" s="968">
        <v>75390.19</v>
      </c>
      <c r="L92" s="968">
        <v>15023640.939999999</v>
      </c>
      <c r="M92" s="968">
        <v>79706.23</v>
      </c>
      <c r="N92" s="968">
        <v>15412954.869999999</v>
      </c>
      <c r="O92" s="968">
        <v>86260.74</v>
      </c>
      <c r="P92" s="968">
        <v>16281973.93</v>
      </c>
      <c r="Q92" s="968">
        <v>88496.05</v>
      </c>
      <c r="R92" s="968">
        <v>16465525.289999999</v>
      </c>
      <c r="S92" s="968">
        <v>93485.66</v>
      </c>
      <c r="T92" s="968">
        <v>16958178.329999998</v>
      </c>
      <c r="U92" s="968">
        <v>94539.56</v>
      </c>
      <c r="V92" s="968">
        <v>17162252.969999999</v>
      </c>
      <c r="W92" s="968">
        <v>97368.21</v>
      </c>
      <c r="X92" s="968">
        <v>17520252.890000001</v>
      </c>
      <c r="Y92" s="968">
        <v>98539.94</v>
      </c>
      <c r="Z92" s="968">
        <v>17746522.170000002</v>
      </c>
      <c r="AA92" s="968">
        <v>100595.45</v>
      </c>
      <c r="AB92" s="968">
        <v>16022598.869999999</v>
      </c>
      <c r="AC92" s="968">
        <v>101894.61</v>
      </c>
      <c r="AD92" s="967">
        <v>1063173.77</v>
      </c>
      <c r="AF92" s="747" t="s">
        <v>1471</v>
      </c>
      <c r="AG92" s="980">
        <f>+INDEX('EOP Depreciation Expense Adj'!$O$12:$O$53,MATCH(AF92,'EOP Depreciation Expense Adj'!$A$12:$A$53,0))</f>
        <v>2.6099999999999998E-2</v>
      </c>
      <c r="AH92" s="981">
        <f t="shared" si="6"/>
        <v>-660433.0530624094</v>
      </c>
      <c r="AI92" s="981">
        <f t="shared" si="8"/>
        <v>402740.71693759068</v>
      </c>
      <c r="AJ92" s="981">
        <f t="shared" si="7"/>
        <v>463184.20685050788</v>
      </c>
    </row>
    <row r="93" spans="1:36">
      <c r="A93" s="966"/>
      <c r="B93" s="966"/>
      <c r="C93" s="629" t="s">
        <v>940</v>
      </c>
      <c r="D93" s="965">
        <v>2.2700000000000001E-2</v>
      </c>
      <c r="E93" s="969">
        <v>0.74299999999999999</v>
      </c>
      <c r="F93" s="968">
        <v>35670897.25</v>
      </c>
      <c r="G93" s="968">
        <v>67463.149999999994</v>
      </c>
      <c r="H93" s="968">
        <v>35730850.469999999</v>
      </c>
      <c r="I93" s="968">
        <v>67477.45</v>
      </c>
      <c r="J93" s="968">
        <v>35717232.780000001</v>
      </c>
      <c r="K93" s="968">
        <v>67590.86</v>
      </c>
      <c r="L93" s="968">
        <v>34624462.75</v>
      </c>
      <c r="M93" s="968">
        <v>67565.100000000006</v>
      </c>
      <c r="N93" s="968">
        <v>34535514.399999999</v>
      </c>
      <c r="O93" s="968">
        <v>65497.94</v>
      </c>
      <c r="P93" s="968">
        <v>34504168.049999997</v>
      </c>
      <c r="Q93" s="968">
        <v>65329.68</v>
      </c>
      <c r="R93" s="968">
        <v>32200981.98</v>
      </c>
      <c r="S93" s="968">
        <v>65270.39</v>
      </c>
      <c r="T93" s="968">
        <v>32485311.640000001</v>
      </c>
      <c r="U93" s="968">
        <v>60913.53</v>
      </c>
      <c r="V93" s="968">
        <v>32546925.850000001</v>
      </c>
      <c r="W93" s="968">
        <v>61451.38</v>
      </c>
      <c r="X93" s="968">
        <v>32879712.920000002</v>
      </c>
      <c r="Y93" s="968">
        <v>61567.94</v>
      </c>
      <c r="Z93" s="968">
        <v>32810578.129999999</v>
      </c>
      <c r="AA93" s="968">
        <v>62197.46</v>
      </c>
      <c r="AB93" s="968">
        <v>32273846.379999999</v>
      </c>
      <c r="AC93" s="968">
        <v>62066.68</v>
      </c>
      <c r="AD93" s="967">
        <v>774391.55999999994</v>
      </c>
      <c r="AF93" s="747" t="s">
        <v>1472</v>
      </c>
      <c r="AG93" s="980">
        <f>+INDEX('EOP Depreciation Expense Adj'!$O$12:$O$53,MATCH(AF93,'EOP Depreciation Expense Adj'!$A$12:$A$53,0))</f>
        <v>2.6099999999999998E-2</v>
      </c>
      <c r="AH93" s="981">
        <f t="shared" si="6"/>
        <v>115988.16317180602</v>
      </c>
      <c r="AI93" s="981">
        <f t="shared" si="8"/>
        <v>890379.72317180596</v>
      </c>
      <c r="AJ93" s="981">
        <f t="shared" si="7"/>
        <v>856356.13110132143</v>
      </c>
    </row>
    <row r="94" spans="1:36">
      <c r="A94" s="966"/>
      <c r="B94" s="966"/>
      <c r="C94" s="629" t="s">
        <v>941</v>
      </c>
      <c r="D94" s="965">
        <v>2.3199999999999998E-2</v>
      </c>
      <c r="E94" s="969">
        <v>0.74299999999999999</v>
      </c>
      <c r="F94" s="968">
        <v>8282221.7999999998</v>
      </c>
      <c r="G94" s="968">
        <v>16031.59</v>
      </c>
      <c r="H94" s="968">
        <v>8296720.6200000001</v>
      </c>
      <c r="I94" s="968">
        <v>16012.3</v>
      </c>
      <c r="J94" s="968">
        <v>8319702.3799999999</v>
      </c>
      <c r="K94" s="968">
        <v>16040.33</v>
      </c>
      <c r="L94" s="968">
        <v>8317595.54</v>
      </c>
      <c r="M94" s="968">
        <v>16084.76</v>
      </c>
      <c r="N94" s="968">
        <v>8321980.1100000003</v>
      </c>
      <c r="O94" s="968">
        <v>16080.68</v>
      </c>
      <c r="P94" s="968">
        <v>8320756.0999999996</v>
      </c>
      <c r="Q94" s="968">
        <v>16089.16</v>
      </c>
      <c r="R94" s="968">
        <v>8354624.8200000003</v>
      </c>
      <c r="S94" s="968">
        <v>16086.8</v>
      </c>
      <c r="T94" s="968">
        <v>8418159.6500000004</v>
      </c>
      <c r="U94" s="968">
        <v>16152.28</v>
      </c>
      <c r="V94" s="968">
        <v>8466573.0899999999</v>
      </c>
      <c r="W94" s="968">
        <v>16275.11</v>
      </c>
      <c r="X94" s="968">
        <v>8502330.1699999999</v>
      </c>
      <c r="Y94" s="968">
        <v>16368.71</v>
      </c>
      <c r="Z94" s="968">
        <v>8536552.5899999999</v>
      </c>
      <c r="AA94" s="968">
        <v>16437.830000000002</v>
      </c>
      <c r="AB94" s="968">
        <v>8559185.1400000006</v>
      </c>
      <c r="AC94" s="968">
        <v>16504</v>
      </c>
      <c r="AD94" s="967">
        <v>194163.55</v>
      </c>
      <c r="AF94" s="747" t="s">
        <v>1474</v>
      </c>
      <c r="AG94" s="980">
        <f>+INDEX('EOP Depreciation Expense Adj'!$O$12:$O$53,MATCH(AF94,'EOP Depreciation Expense Adj'!$A$12:$A$53,0))</f>
        <v>2.1600000000000001E-2</v>
      </c>
      <c r="AH94" s="981">
        <f t="shared" si="6"/>
        <v>-13390.5896551724</v>
      </c>
      <c r="AI94" s="981">
        <f t="shared" si="8"/>
        <v>180772.96034482759</v>
      </c>
      <c r="AJ94" s="981">
        <f t="shared" si="7"/>
        <v>184389.51724137933</v>
      </c>
    </row>
    <row r="95" spans="1:36">
      <c r="A95" s="966"/>
      <c r="B95" s="966" t="s">
        <v>2635</v>
      </c>
      <c r="C95" s="966"/>
      <c r="D95" s="965"/>
      <c r="E95" s="965"/>
      <c r="F95" s="964">
        <f t="shared" ref="F95:AD95" si="11">SUM(F92:F94)</f>
        <v>56890646.869999997</v>
      </c>
      <c r="G95" s="964">
        <f t="shared" si="11"/>
        <v>156108.9</v>
      </c>
      <c r="H95" s="964">
        <f t="shared" si="11"/>
        <v>57157937.309999995</v>
      </c>
      <c r="I95" s="964">
        <f t="shared" si="11"/>
        <v>157772.71999999997</v>
      </c>
      <c r="J95" s="964">
        <f t="shared" si="11"/>
        <v>57919007.07</v>
      </c>
      <c r="K95" s="964">
        <f t="shared" si="11"/>
        <v>159021.37999999998</v>
      </c>
      <c r="L95" s="964">
        <f t="shared" si="11"/>
        <v>57965699.229999997</v>
      </c>
      <c r="M95" s="964">
        <f t="shared" si="11"/>
        <v>163356.09000000003</v>
      </c>
      <c r="N95" s="964">
        <f t="shared" si="11"/>
        <v>58270449.379999995</v>
      </c>
      <c r="O95" s="964">
        <f t="shared" si="11"/>
        <v>167839.35999999999</v>
      </c>
      <c r="P95" s="964">
        <f t="shared" si="11"/>
        <v>59106898.079999998</v>
      </c>
      <c r="Q95" s="964">
        <f t="shared" si="11"/>
        <v>169914.89</v>
      </c>
      <c r="R95" s="964">
        <f t="shared" si="11"/>
        <v>57021132.089999996</v>
      </c>
      <c r="S95" s="964">
        <f t="shared" si="11"/>
        <v>174842.84999999998</v>
      </c>
      <c r="T95" s="964">
        <f t="shared" si="11"/>
        <v>57861649.619999997</v>
      </c>
      <c r="U95" s="964">
        <f t="shared" si="11"/>
        <v>171605.37</v>
      </c>
      <c r="V95" s="964">
        <f t="shared" si="11"/>
        <v>58175751.909999996</v>
      </c>
      <c r="W95" s="964">
        <f t="shared" si="11"/>
        <v>175094.7</v>
      </c>
      <c r="X95" s="964">
        <f t="shared" si="11"/>
        <v>58902295.980000004</v>
      </c>
      <c r="Y95" s="964">
        <f t="shared" si="11"/>
        <v>176476.59</v>
      </c>
      <c r="Z95" s="964">
        <f t="shared" si="11"/>
        <v>59093652.890000001</v>
      </c>
      <c r="AA95" s="964">
        <f t="shared" si="11"/>
        <v>179230.74</v>
      </c>
      <c r="AB95" s="964">
        <f t="shared" si="11"/>
        <v>56855630.390000001</v>
      </c>
      <c r="AC95" s="964">
        <f t="shared" si="11"/>
        <v>180465.29</v>
      </c>
      <c r="AD95" s="963">
        <f t="shared" si="11"/>
        <v>2031728.8800000001</v>
      </c>
      <c r="AF95" s="629" t="e">
        <f t="shared" si="10"/>
        <v>#VALUE!</v>
      </c>
      <c r="AG95" s="980"/>
    </row>
    <row r="96" spans="1:36">
      <c r="A96" s="962" t="s">
        <v>947</v>
      </c>
      <c r="B96" s="962"/>
      <c r="C96" s="962"/>
      <c r="D96" s="961"/>
      <c r="E96" s="961"/>
      <c r="F96" s="960">
        <f t="shared" ref="F96:AD96" si="12">+F95+F91+F43</f>
        <v>803549108.78999996</v>
      </c>
      <c r="G96" s="960">
        <f t="shared" si="12"/>
        <v>2017844.06</v>
      </c>
      <c r="H96" s="960">
        <f t="shared" si="12"/>
        <v>805358514.61999989</v>
      </c>
      <c r="I96" s="960">
        <f t="shared" si="12"/>
        <v>2027810.8199999998</v>
      </c>
      <c r="J96" s="960">
        <f t="shared" si="12"/>
        <v>807792730.13999987</v>
      </c>
      <c r="K96" s="960">
        <f t="shared" si="12"/>
        <v>2033870.0499999998</v>
      </c>
      <c r="L96" s="960">
        <f t="shared" si="12"/>
        <v>812493258.89999986</v>
      </c>
      <c r="M96" s="960">
        <f t="shared" si="12"/>
        <v>2041464.3599999999</v>
      </c>
      <c r="N96" s="960">
        <f t="shared" si="12"/>
        <v>816106203.62999976</v>
      </c>
      <c r="O96" s="960">
        <f t="shared" si="12"/>
        <v>2055364.6399999997</v>
      </c>
      <c r="P96" s="960">
        <f t="shared" si="12"/>
        <v>820382006.06999981</v>
      </c>
      <c r="Q96" s="960">
        <f t="shared" si="12"/>
        <v>2068617.67</v>
      </c>
      <c r="R96" s="960">
        <f t="shared" si="12"/>
        <v>820968760.53999996</v>
      </c>
      <c r="S96" s="960">
        <f t="shared" si="12"/>
        <v>2083078.2200000002</v>
      </c>
      <c r="T96" s="960">
        <f t="shared" si="12"/>
        <v>824146362.18999982</v>
      </c>
      <c r="U96" s="960">
        <f t="shared" si="12"/>
        <v>2087670.59</v>
      </c>
      <c r="V96" s="960">
        <f t="shared" si="12"/>
        <v>830054877.81999969</v>
      </c>
      <c r="W96" s="960">
        <f t="shared" si="12"/>
        <v>2098938.56</v>
      </c>
      <c r="X96" s="960">
        <f t="shared" si="12"/>
        <v>836336001.69999969</v>
      </c>
      <c r="Y96" s="960">
        <f t="shared" si="12"/>
        <v>2116784.89</v>
      </c>
      <c r="Z96" s="960">
        <f t="shared" si="12"/>
        <v>841486157.2099998</v>
      </c>
      <c r="AA96" s="960">
        <f t="shared" si="12"/>
        <v>2135644.3899999997</v>
      </c>
      <c r="AB96" s="960">
        <f t="shared" si="12"/>
        <v>850921640.89999986</v>
      </c>
      <c r="AC96" s="960">
        <f t="shared" si="12"/>
        <v>2148029.36</v>
      </c>
      <c r="AD96" s="959">
        <f t="shared" si="12"/>
        <v>24915117.610000003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I14"/>
  <sheetViews>
    <sheetView workbookViewId="0"/>
  </sheetViews>
  <sheetFormatPr defaultColWidth="9.140625" defaultRowHeight="15.75"/>
  <cols>
    <col min="1" max="16384" width="9.140625" style="3"/>
  </cols>
  <sheetData>
    <row r="2" spans="1:9">
      <c r="A2" s="1029"/>
      <c r="B2" s="1029"/>
      <c r="C2" s="1029"/>
      <c r="D2" s="1029"/>
      <c r="E2" s="1029"/>
      <c r="F2" s="1029"/>
      <c r="G2" s="1029"/>
      <c r="H2" s="1029"/>
      <c r="I2" s="1029"/>
    </row>
    <row r="3" spans="1:9">
      <c r="A3" s="1029"/>
      <c r="B3" s="1029"/>
      <c r="C3" s="1029"/>
      <c r="D3" s="1029"/>
      <c r="E3" s="1029"/>
      <c r="F3" s="1029"/>
      <c r="G3" s="1029"/>
      <c r="H3" s="1029"/>
      <c r="I3" s="1029"/>
    </row>
    <row r="4" spans="1:9">
      <c r="A4" s="1029"/>
      <c r="B4" s="1029"/>
      <c r="C4" s="1029"/>
      <c r="D4" s="1029"/>
      <c r="E4" s="1029"/>
      <c r="F4" s="1029"/>
      <c r="G4" s="1029"/>
      <c r="H4" s="1029"/>
      <c r="I4" s="1029"/>
    </row>
    <row r="5" spans="1:9">
      <c r="A5" s="1029"/>
      <c r="B5" s="1029"/>
      <c r="C5" s="1029"/>
      <c r="D5" s="1029"/>
      <c r="E5" s="1029"/>
      <c r="F5" s="1029"/>
      <c r="G5" s="1029"/>
      <c r="H5" s="1029"/>
      <c r="I5" s="1029"/>
    </row>
    <row r="6" spans="1:9">
      <c r="A6" s="1029"/>
      <c r="B6" s="1029"/>
      <c r="C6" s="1029"/>
      <c r="D6" s="1029"/>
      <c r="E6" s="1029"/>
      <c r="F6" s="1029"/>
      <c r="G6" s="1029"/>
      <c r="H6" s="1029"/>
      <c r="I6" s="1029"/>
    </row>
    <row r="11" spans="1:9">
      <c r="G11" s="13"/>
    </row>
    <row r="14" spans="1:9">
      <c r="A14" s="1034" t="s">
        <v>791</v>
      </c>
      <c r="B14" s="1034"/>
      <c r="C14" s="1034"/>
      <c r="D14" s="1034"/>
      <c r="E14" s="1034"/>
      <c r="F14" s="1034"/>
      <c r="G14" s="1034"/>
      <c r="H14" s="1034"/>
      <c r="I14" s="1034"/>
    </row>
  </sheetData>
  <mergeCells count="6">
    <mergeCell ref="A14:I14"/>
    <mergeCell ref="A2:I2"/>
    <mergeCell ref="A3:I3"/>
    <mergeCell ref="A4:I4"/>
    <mergeCell ref="A5:I5"/>
    <mergeCell ref="A6:I6"/>
  </mergeCells>
  <pageMargins left="0.7" right="0.7" top="0.75" bottom="0.75" header="0.3" footer="0.3"/>
  <pageSetup orientation="portrait" r:id="rId1"/>
  <headerFooter>
    <oddFooter>&amp;LElectronic Tab Name:&amp;A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41"/>
  <sheetViews>
    <sheetView view="pageBreakPreview" zoomScaleNormal="100" zoomScaleSheetLayoutView="100" workbookViewId="0"/>
  </sheetViews>
  <sheetFormatPr defaultColWidth="9.140625" defaultRowHeight="15.75"/>
  <cols>
    <col min="1" max="1" width="13" style="3" bestFit="1" customWidth="1"/>
    <col min="2" max="2" width="43.140625" style="3" bestFit="1" customWidth="1"/>
    <col min="3" max="3" width="3.42578125" style="3" customWidth="1"/>
    <col min="4" max="4" width="14.5703125" style="3" bestFit="1" customWidth="1"/>
    <col min="5" max="5" width="4" style="3" customWidth="1"/>
    <col min="6" max="6" width="9.5703125" style="223" bestFit="1" customWidth="1"/>
    <col min="7" max="7" width="9.140625" style="3"/>
    <col min="8" max="8" width="8.140625" style="3" bestFit="1" customWidth="1"/>
    <col min="9" max="16384" width="9.140625" style="3"/>
  </cols>
  <sheetData>
    <row r="1" spans="1:10">
      <c r="A1" s="21"/>
      <c r="B1" s="21"/>
      <c r="C1" s="21"/>
      <c r="D1" s="21"/>
      <c r="E1" s="21"/>
    </row>
    <row r="2" spans="1:10">
      <c r="A2" s="1029" t="s">
        <v>60</v>
      </c>
      <c r="B2" s="1029"/>
      <c r="C2" s="1029"/>
      <c r="D2" s="1029"/>
      <c r="E2" s="1029"/>
      <c r="F2" s="1029"/>
      <c r="G2" s="2"/>
      <c r="H2" s="2"/>
    </row>
    <row r="3" spans="1:10">
      <c r="A3" s="1029" t="s">
        <v>1854</v>
      </c>
      <c r="B3" s="1029"/>
      <c r="C3" s="1029"/>
      <c r="D3" s="1029"/>
      <c r="E3" s="1029"/>
      <c r="F3" s="1029"/>
      <c r="G3" s="2"/>
      <c r="H3" s="2"/>
    </row>
    <row r="4" spans="1:10">
      <c r="A4" s="1029" t="s">
        <v>1282</v>
      </c>
      <c r="B4" s="1029"/>
      <c r="C4" s="1029"/>
      <c r="D4" s="1029"/>
      <c r="E4" s="1029"/>
      <c r="F4" s="1029"/>
      <c r="G4" s="2"/>
      <c r="H4" s="2"/>
    </row>
    <row r="5" spans="1:10">
      <c r="A5" s="1029" t="s">
        <v>787</v>
      </c>
      <c r="B5" s="1029"/>
      <c r="C5" s="1029"/>
      <c r="D5" s="1029"/>
      <c r="E5" s="1029"/>
      <c r="F5" s="1029"/>
      <c r="G5" s="2"/>
      <c r="H5" s="2"/>
    </row>
    <row r="6" spans="1:10">
      <c r="A6" s="1029" t="s">
        <v>1853</v>
      </c>
      <c r="B6" s="1029"/>
      <c r="C6" s="1029"/>
      <c r="D6" s="1029"/>
      <c r="E6" s="1029"/>
      <c r="F6" s="1029"/>
      <c r="G6" s="2"/>
      <c r="H6" s="2"/>
    </row>
    <row r="7" spans="1:10">
      <c r="B7" s="19"/>
      <c r="C7" s="19"/>
      <c r="D7" s="19"/>
      <c r="E7" s="19"/>
      <c r="F7" s="22"/>
      <c r="G7" s="2"/>
      <c r="H7" s="2"/>
    </row>
    <row r="8" spans="1:10">
      <c r="B8" s="5" t="s">
        <v>796</v>
      </c>
      <c r="C8" s="5"/>
      <c r="D8" s="5" t="s">
        <v>797</v>
      </c>
      <c r="E8" s="5"/>
      <c r="F8" s="223" t="s">
        <v>798</v>
      </c>
    </row>
    <row r="9" spans="1:10">
      <c r="B9" s="20"/>
      <c r="C9" s="20"/>
      <c r="D9" s="20"/>
      <c r="E9" s="20"/>
      <c r="F9" s="246"/>
    </row>
    <row r="10" spans="1:10">
      <c r="A10" s="17" t="s">
        <v>795</v>
      </c>
      <c r="B10" s="14" t="s">
        <v>1050</v>
      </c>
      <c r="D10" s="14" t="s">
        <v>789</v>
      </c>
      <c r="E10" s="14"/>
      <c r="F10" s="247" t="s">
        <v>788</v>
      </c>
      <c r="G10" s="14"/>
    </row>
    <row r="11" spans="1:10">
      <c r="A11" s="17"/>
      <c r="B11" s="5" t="s">
        <v>1102</v>
      </c>
      <c r="D11" s="14"/>
      <c r="E11" s="14"/>
      <c r="F11" s="247"/>
      <c r="G11" s="14"/>
    </row>
    <row r="12" spans="1:10">
      <c r="A12" s="5">
        <v>1</v>
      </c>
      <c r="B12" s="3" t="s">
        <v>787</v>
      </c>
      <c r="D12" s="3" t="s">
        <v>1282</v>
      </c>
      <c r="F12" s="223">
        <v>1</v>
      </c>
    </row>
    <row r="13" spans="1:10">
      <c r="A13" s="5">
        <f>A12+1</f>
        <v>2</v>
      </c>
      <c r="B13" s="3" t="s">
        <v>754</v>
      </c>
      <c r="D13" s="3" t="s">
        <v>1284</v>
      </c>
      <c r="F13" s="248" t="s">
        <v>2374</v>
      </c>
    </row>
    <row r="14" spans="1:10" s="16" customFormat="1">
      <c r="A14" s="18">
        <f t="shared" ref="A14:A30" si="0">A13+1</f>
        <v>3</v>
      </c>
      <c r="B14" s="16" t="s">
        <v>41</v>
      </c>
      <c r="D14" s="16" t="s">
        <v>1291</v>
      </c>
      <c r="F14" s="223">
        <v>9</v>
      </c>
    </row>
    <row r="15" spans="1:10">
      <c r="A15" s="5">
        <f t="shared" si="0"/>
        <v>4</v>
      </c>
      <c r="B15" s="3" t="s">
        <v>1031</v>
      </c>
      <c r="D15" s="3" t="s">
        <v>1342</v>
      </c>
      <c r="F15" s="770" t="s">
        <v>2379</v>
      </c>
      <c r="G15" s="770"/>
      <c r="H15" s="683"/>
    </row>
    <row r="16" spans="1:10">
      <c r="A16" s="5">
        <f t="shared" si="0"/>
        <v>5</v>
      </c>
      <c r="B16" s="3" t="s">
        <v>1049</v>
      </c>
      <c r="C16" s="15"/>
      <c r="D16" s="3" t="s">
        <v>1330</v>
      </c>
      <c r="E16" s="15"/>
      <c r="F16" s="223" t="s">
        <v>2375</v>
      </c>
      <c r="G16" s="771"/>
      <c r="H16" s="15"/>
      <c r="I16" s="15"/>
      <c r="J16" s="15"/>
    </row>
    <row r="17" spans="1:8">
      <c r="A17" s="5">
        <f t="shared" si="0"/>
        <v>6</v>
      </c>
      <c r="B17" s="15" t="s">
        <v>720</v>
      </c>
      <c r="D17" s="3" t="s">
        <v>1381</v>
      </c>
      <c r="F17" s="223">
        <v>30</v>
      </c>
    </row>
    <row r="18" spans="1:8">
      <c r="A18" s="5">
        <f t="shared" si="0"/>
        <v>7</v>
      </c>
      <c r="B18" s="15" t="s">
        <v>1090</v>
      </c>
      <c r="D18" s="3" t="s">
        <v>1382</v>
      </c>
      <c r="F18" s="223">
        <v>31</v>
      </c>
    </row>
    <row r="19" spans="1:8">
      <c r="A19" s="5"/>
      <c r="B19" s="5" t="s">
        <v>792</v>
      </c>
    </row>
    <row r="20" spans="1:8">
      <c r="A20" s="5">
        <v>8</v>
      </c>
      <c r="B20" s="3" t="s">
        <v>1839</v>
      </c>
      <c r="D20" s="3" t="s">
        <v>1285</v>
      </c>
      <c r="F20" s="223">
        <v>33</v>
      </c>
      <c r="H20" s="683"/>
    </row>
    <row r="21" spans="1:8">
      <c r="A21" s="5">
        <f t="shared" si="0"/>
        <v>9</v>
      </c>
      <c r="B21" s="3" t="s">
        <v>793</v>
      </c>
      <c r="D21" s="3" t="s">
        <v>1279</v>
      </c>
      <c r="F21" s="223" t="s">
        <v>2378</v>
      </c>
    </row>
    <row r="22" spans="1:8">
      <c r="A22" s="5">
        <f t="shared" si="0"/>
        <v>10</v>
      </c>
      <c r="B22" s="3" t="s">
        <v>1845</v>
      </c>
      <c r="D22" s="3" t="s">
        <v>1280</v>
      </c>
      <c r="F22" s="223">
        <v>36</v>
      </c>
    </row>
    <row r="23" spans="1:8">
      <c r="A23" s="5">
        <f t="shared" si="0"/>
        <v>11</v>
      </c>
      <c r="B23" s="3" t="s">
        <v>1840</v>
      </c>
      <c r="D23" s="3" t="s">
        <v>1281</v>
      </c>
      <c r="F23" s="223">
        <v>37</v>
      </c>
    </row>
    <row r="24" spans="1:8">
      <c r="A24" s="5">
        <f t="shared" si="0"/>
        <v>12</v>
      </c>
      <c r="B24" s="3" t="s">
        <v>1848</v>
      </c>
      <c r="D24" s="3" t="s">
        <v>1383</v>
      </c>
      <c r="F24" s="223">
        <v>38</v>
      </c>
    </row>
    <row r="25" spans="1:8">
      <c r="A25" s="5">
        <f t="shared" si="0"/>
        <v>13</v>
      </c>
      <c r="B25" s="3" t="s">
        <v>1846</v>
      </c>
      <c r="D25" s="3" t="s">
        <v>1297</v>
      </c>
      <c r="F25" s="223" t="s">
        <v>2376</v>
      </c>
    </row>
    <row r="26" spans="1:8">
      <c r="A26" s="5">
        <f t="shared" si="0"/>
        <v>14</v>
      </c>
      <c r="B26" s="3" t="s">
        <v>1379</v>
      </c>
      <c r="D26" s="3" t="s">
        <v>1298</v>
      </c>
      <c r="F26" s="223">
        <v>42</v>
      </c>
    </row>
    <row r="27" spans="1:8">
      <c r="A27" s="5">
        <f t="shared" si="0"/>
        <v>15</v>
      </c>
      <c r="B27" s="3" t="s">
        <v>84</v>
      </c>
      <c r="D27" s="3" t="s">
        <v>1299</v>
      </c>
      <c r="F27" s="223">
        <v>43</v>
      </c>
    </row>
    <row r="28" spans="1:8">
      <c r="A28" s="5">
        <f t="shared" si="0"/>
        <v>16</v>
      </c>
      <c r="B28" s="3" t="s">
        <v>721</v>
      </c>
      <c r="D28" s="3" t="s">
        <v>1303</v>
      </c>
      <c r="F28" s="223">
        <v>44</v>
      </c>
    </row>
    <row r="29" spans="1:8">
      <c r="A29" s="5">
        <f t="shared" si="0"/>
        <v>17</v>
      </c>
      <c r="B29" s="3" t="s">
        <v>737</v>
      </c>
      <c r="D29" s="3" t="s">
        <v>1384</v>
      </c>
      <c r="F29" s="223">
        <v>45</v>
      </c>
    </row>
    <row r="30" spans="1:8">
      <c r="A30" s="5">
        <f t="shared" si="0"/>
        <v>18</v>
      </c>
      <c r="B30" s="3" t="s">
        <v>1847</v>
      </c>
      <c r="D30" s="3" t="s">
        <v>1304</v>
      </c>
      <c r="F30" s="223" t="s">
        <v>2377</v>
      </c>
    </row>
    <row r="31" spans="1:8">
      <c r="A31" s="5"/>
    </row>
    <row r="32" spans="1:8">
      <c r="A32" s="5"/>
    </row>
    <row r="33" spans="1:4">
      <c r="A33" s="5"/>
    </row>
    <row r="34" spans="1:4">
      <c r="A34" s="5"/>
      <c r="D34" s="683"/>
    </row>
    <row r="35" spans="1:4">
      <c r="D35" s="683"/>
    </row>
    <row r="41" spans="1:4">
      <c r="B41" s="3" t="s">
        <v>794</v>
      </c>
    </row>
  </sheetData>
  <mergeCells count="5">
    <mergeCell ref="A2:F2"/>
    <mergeCell ref="A3:F3"/>
    <mergeCell ref="A4:F4"/>
    <mergeCell ref="A5:F5"/>
    <mergeCell ref="A6:F6"/>
  </mergeCells>
  <phoneticPr fontId="142" type="noConversion"/>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V188"/>
  <sheetViews>
    <sheetView view="pageBreakPreview" zoomScale="60" zoomScaleNormal="100" workbookViewId="0">
      <pane xSplit="2" ySplit="5" topLeftCell="C6" activePane="bottomRight" state="frozen"/>
      <selection activeCell="A2" sqref="A2:C2"/>
      <selection pane="topRight" activeCell="A2" sqref="A2:C2"/>
      <selection pane="bottomLeft" activeCell="A2" sqref="A2:C2"/>
      <selection pane="bottomRight" activeCell="K16" sqref="K16"/>
    </sheetView>
  </sheetViews>
  <sheetFormatPr defaultColWidth="9.140625" defaultRowHeight="15.75"/>
  <cols>
    <col min="1" max="1" width="9.28515625" style="393" bestFit="1" customWidth="1"/>
    <col min="2" max="2" width="10.42578125" style="16" bestFit="1" customWidth="1"/>
    <col min="3" max="3" width="44.28515625" style="16" customWidth="1"/>
    <col min="4" max="4" width="2.7109375" style="16" customWidth="1"/>
    <col min="5" max="5" width="20.5703125" style="16" bestFit="1" customWidth="1"/>
    <col min="6" max="6" width="25.42578125" style="16" bestFit="1" customWidth="1"/>
    <col min="7" max="7" width="26.28515625" style="16" bestFit="1" customWidth="1"/>
    <col min="8" max="8" width="14.140625" style="16" customWidth="1"/>
    <col min="9" max="9" width="18.7109375" style="378" bestFit="1" customWidth="1"/>
    <col min="10" max="10" width="16.42578125" style="378" bestFit="1" customWidth="1"/>
    <col min="11" max="11" width="22.28515625" style="250" customWidth="1"/>
    <col min="12" max="12" width="17.7109375" style="378" bestFit="1" customWidth="1"/>
    <col min="13" max="14" width="18.42578125" style="378" bestFit="1" customWidth="1"/>
    <col min="15" max="15" width="17.28515625" style="378" bestFit="1" customWidth="1"/>
    <col min="16" max="17" width="18.42578125" style="378" bestFit="1" customWidth="1"/>
    <col min="18" max="18" width="16.85546875" style="546" bestFit="1" customWidth="1"/>
    <col min="19" max="20" width="2.140625" style="16" customWidth="1"/>
    <col min="21" max="21" width="19.140625" style="16" bestFit="1" customWidth="1"/>
    <col min="22" max="22" width="24.140625" style="16" bestFit="1" customWidth="1"/>
    <col min="23" max="16384" width="9.140625" style="16"/>
  </cols>
  <sheetData>
    <row r="1" spans="1:22">
      <c r="C1" s="1029" t="s">
        <v>60</v>
      </c>
      <c r="D1" s="1029"/>
      <c r="E1" s="1029"/>
      <c r="F1" s="1029"/>
      <c r="G1" s="1029"/>
      <c r="K1" s="1029" t="s">
        <v>60</v>
      </c>
      <c r="L1" s="1029"/>
      <c r="M1" s="1029"/>
      <c r="N1" s="1029"/>
      <c r="O1" s="1029"/>
      <c r="P1" s="1029"/>
      <c r="Q1" s="1029"/>
      <c r="S1" s="1029"/>
      <c r="T1" s="1029"/>
    </row>
    <row r="2" spans="1:22">
      <c r="C2" s="1029" t="s">
        <v>1854</v>
      </c>
      <c r="D2" s="1029"/>
      <c r="E2" s="1029"/>
      <c r="F2" s="1029"/>
      <c r="G2" s="1029"/>
      <c r="K2" s="1029" t="s">
        <v>1854</v>
      </c>
      <c r="L2" s="1029"/>
      <c r="M2" s="1029"/>
      <c r="N2" s="1029"/>
      <c r="O2" s="1029"/>
      <c r="P2" s="1029"/>
      <c r="Q2" s="1029"/>
      <c r="S2" s="1029"/>
      <c r="T2" s="1029"/>
    </row>
    <row r="3" spans="1:22">
      <c r="C3" s="1029" t="s">
        <v>1284</v>
      </c>
      <c r="D3" s="1029"/>
      <c r="E3" s="1029"/>
      <c r="F3" s="1029"/>
      <c r="G3" s="1029"/>
      <c r="K3" s="1029" t="s">
        <v>1284</v>
      </c>
      <c r="L3" s="1029"/>
      <c r="M3" s="1029"/>
      <c r="N3" s="1029"/>
      <c r="O3" s="1029"/>
      <c r="P3" s="1029"/>
      <c r="Q3" s="1029"/>
      <c r="S3" s="1029"/>
      <c r="T3" s="1029"/>
    </row>
    <row r="4" spans="1:22">
      <c r="C4" s="1029" t="s">
        <v>1092</v>
      </c>
      <c r="D4" s="1029"/>
      <c r="E4" s="1029"/>
      <c r="F4" s="1029"/>
      <c r="G4" s="1029"/>
      <c r="K4" s="1029" t="s">
        <v>754</v>
      </c>
      <c r="L4" s="1029"/>
      <c r="M4" s="1029"/>
      <c r="N4" s="1029"/>
      <c r="O4" s="1029"/>
      <c r="P4" s="1029"/>
      <c r="Q4" s="1029"/>
      <c r="S4" s="1029"/>
      <c r="T4" s="1029"/>
    </row>
    <row r="5" spans="1:22">
      <c r="C5" s="1029" t="s">
        <v>1853</v>
      </c>
      <c r="D5" s="1029"/>
      <c r="E5" s="1029"/>
      <c r="F5" s="1029"/>
      <c r="G5" s="1029"/>
      <c r="K5" s="1029" t="s">
        <v>1853</v>
      </c>
      <c r="L5" s="1029"/>
      <c r="M5" s="1029"/>
      <c r="N5" s="1029"/>
      <c r="O5" s="1029"/>
      <c r="P5" s="1029"/>
      <c r="Q5" s="1029"/>
      <c r="S5" s="1029"/>
      <c r="T5" s="1029"/>
    </row>
    <row r="7" spans="1:22" s="393" customFormat="1">
      <c r="A7" s="393" t="s">
        <v>1015</v>
      </c>
      <c r="B7" s="393" t="s">
        <v>799</v>
      </c>
      <c r="C7" s="393" t="s">
        <v>797</v>
      </c>
      <c r="E7" s="393" t="s">
        <v>798</v>
      </c>
      <c r="F7" s="393" t="s">
        <v>801</v>
      </c>
      <c r="G7" s="393" t="s">
        <v>802</v>
      </c>
      <c r="H7" s="393" t="s">
        <v>803</v>
      </c>
      <c r="I7" s="649" t="s">
        <v>804</v>
      </c>
      <c r="J7" s="649" t="s">
        <v>805</v>
      </c>
      <c r="K7" s="650" t="s">
        <v>806</v>
      </c>
      <c r="L7" s="649" t="s">
        <v>807</v>
      </c>
      <c r="M7" s="649" t="s">
        <v>808</v>
      </c>
      <c r="N7" s="649" t="s">
        <v>809</v>
      </c>
      <c r="O7" s="649" t="s">
        <v>810</v>
      </c>
      <c r="P7" s="649" t="s">
        <v>811</v>
      </c>
      <c r="Q7" s="649" t="s">
        <v>812</v>
      </c>
      <c r="R7" s="649" t="s">
        <v>1842</v>
      </c>
      <c r="S7" s="651"/>
      <c r="T7" s="651"/>
      <c r="U7" s="649" t="s">
        <v>1017</v>
      </c>
      <c r="V7" s="649" t="s">
        <v>1018</v>
      </c>
    </row>
    <row r="8" spans="1:22" ht="31.5">
      <c r="A8" s="393">
        <v>1</v>
      </c>
      <c r="B8" s="547" t="s">
        <v>754</v>
      </c>
      <c r="C8" s="548"/>
      <c r="D8" s="224"/>
      <c r="E8" s="549"/>
      <c r="F8" s="550" t="s">
        <v>113</v>
      </c>
      <c r="G8" s="550" t="s">
        <v>114</v>
      </c>
      <c r="H8" s="550" t="s">
        <v>115</v>
      </c>
    </row>
    <row r="9" spans="1:22">
      <c r="A9" s="393">
        <v>2</v>
      </c>
      <c r="B9" s="551" t="s">
        <v>1855</v>
      </c>
      <c r="C9" s="351"/>
      <c r="D9" s="224"/>
      <c r="E9" s="759" t="s">
        <v>116</v>
      </c>
      <c r="F9" s="760">
        <f>+'State Allocation Formulas'!C21</f>
        <v>0.75170000000000003</v>
      </c>
      <c r="G9" s="761">
        <f>+'State Allocation Formulas'!C16</f>
        <v>0.74299999999999999</v>
      </c>
      <c r="H9" s="761">
        <f>+'State Allocation Formulas'!T21</f>
        <v>0.75539999999999996</v>
      </c>
    </row>
    <row r="10" spans="1:22">
      <c r="A10" s="393">
        <v>3</v>
      </c>
      <c r="B10" s="551"/>
      <c r="C10" s="351"/>
      <c r="D10" s="224"/>
      <c r="E10" s="759" t="s">
        <v>117</v>
      </c>
      <c r="F10" s="760">
        <f>+'State Allocation Formulas'!D21</f>
        <v>0.24829999999999999</v>
      </c>
      <c r="G10" s="761">
        <f>+'State Allocation Formulas'!D16</f>
        <v>0.25700000000000001</v>
      </c>
      <c r="H10" s="761">
        <f>+'State Allocation Formulas'!T22</f>
        <v>0.24460000000000004</v>
      </c>
      <c r="I10" s="136" t="s">
        <v>1835</v>
      </c>
      <c r="J10" s="136" t="s">
        <v>61</v>
      </c>
      <c r="K10" s="632" t="s">
        <v>718</v>
      </c>
      <c r="L10" s="633" t="s">
        <v>718</v>
      </c>
      <c r="M10" s="352" t="s">
        <v>1389</v>
      </c>
      <c r="N10" s="464" t="s">
        <v>1105</v>
      </c>
      <c r="O10" s="136" t="s">
        <v>63</v>
      </c>
      <c r="P10" s="136" t="s">
        <v>679</v>
      </c>
      <c r="Q10" s="136" t="s">
        <v>719</v>
      </c>
      <c r="R10" s="137" t="s">
        <v>734</v>
      </c>
      <c r="S10" s="82"/>
      <c r="U10" s="138" t="s">
        <v>58</v>
      </c>
      <c r="V10" s="138" t="s">
        <v>679</v>
      </c>
    </row>
    <row r="11" spans="1:22">
      <c r="A11" s="694">
        <v>4</v>
      </c>
      <c r="B11" s="1039" t="s">
        <v>118</v>
      </c>
      <c r="C11" s="1040"/>
      <c r="D11" s="224"/>
      <c r="E11" s="1043" t="s">
        <v>119</v>
      </c>
      <c r="F11" s="1044"/>
      <c r="G11" s="1044"/>
      <c r="I11" s="140" t="s">
        <v>744</v>
      </c>
      <c r="J11" s="140" t="s">
        <v>57</v>
      </c>
      <c r="K11" s="634" t="s">
        <v>80</v>
      </c>
      <c r="L11" s="140" t="s">
        <v>1386</v>
      </c>
      <c r="M11" s="86" t="s">
        <v>108</v>
      </c>
      <c r="N11" s="85" t="s">
        <v>1106</v>
      </c>
      <c r="O11" s="140" t="s">
        <v>64</v>
      </c>
      <c r="P11" s="140" t="s">
        <v>683</v>
      </c>
      <c r="Q11" s="140" t="s">
        <v>65</v>
      </c>
      <c r="R11" s="141" t="s">
        <v>735</v>
      </c>
      <c r="S11" s="86"/>
      <c r="U11" s="138" t="s">
        <v>1</v>
      </c>
      <c r="V11" s="138" t="s">
        <v>680</v>
      </c>
    </row>
    <row r="12" spans="1:22">
      <c r="A12" s="393">
        <v>5</v>
      </c>
      <c r="B12" s="1041"/>
      <c r="C12" s="1042"/>
      <c r="D12" s="738"/>
      <c r="E12" s="1045" t="s">
        <v>120</v>
      </c>
      <c r="F12" s="1046"/>
      <c r="G12" s="1047"/>
      <c r="I12" s="630" t="s">
        <v>62</v>
      </c>
      <c r="J12" s="630" t="s">
        <v>62</v>
      </c>
      <c r="K12" s="635"/>
      <c r="L12" s="630" t="s">
        <v>62</v>
      </c>
      <c r="M12" s="636"/>
      <c r="N12" s="637"/>
      <c r="O12" s="630" t="s">
        <v>62</v>
      </c>
      <c r="P12" s="630" t="s">
        <v>62</v>
      </c>
      <c r="Q12" s="630"/>
      <c r="R12" s="631" t="s">
        <v>736</v>
      </c>
      <c r="S12" s="86"/>
      <c r="V12" s="18" t="s">
        <v>681</v>
      </c>
    </row>
    <row r="13" spans="1:22">
      <c r="A13" s="393">
        <v>6</v>
      </c>
      <c r="B13" s="1035" t="s">
        <v>121</v>
      </c>
      <c r="C13" s="1036"/>
      <c r="D13" s="552"/>
      <c r="E13" s="553" t="s">
        <v>122</v>
      </c>
      <c r="F13" s="552" t="s">
        <v>123</v>
      </c>
      <c r="G13" s="554" t="s">
        <v>124</v>
      </c>
      <c r="I13" s="555" t="s">
        <v>674</v>
      </c>
      <c r="J13" s="555" t="s">
        <v>675</v>
      </c>
      <c r="K13" s="638" t="s">
        <v>717</v>
      </c>
      <c r="L13" s="555" t="s">
        <v>743</v>
      </c>
      <c r="M13" s="555" t="s">
        <v>1387</v>
      </c>
      <c r="N13" s="555" t="s">
        <v>1388</v>
      </c>
      <c r="O13" s="555" t="s">
        <v>676</v>
      </c>
      <c r="P13" s="555" t="s">
        <v>677</v>
      </c>
      <c r="Q13" s="555" t="s">
        <v>745</v>
      </c>
      <c r="R13" s="556" t="s">
        <v>678</v>
      </c>
      <c r="S13" s="557"/>
      <c r="T13" s="557"/>
    </row>
    <row r="14" spans="1:22">
      <c r="A14" s="694">
        <v>7</v>
      </c>
      <c r="B14" s="148" t="s">
        <v>125</v>
      </c>
      <c r="C14" s="145"/>
      <c r="D14" s="351"/>
      <c r="E14" s="551"/>
      <c r="F14" s="351"/>
      <c r="G14" s="67"/>
    </row>
    <row r="15" spans="1:22">
      <c r="A15" s="393">
        <v>8</v>
      </c>
      <c r="B15" s="146" t="s">
        <v>126</v>
      </c>
      <c r="C15" s="147" t="s">
        <v>127</v>
      </c>
      <c r="D15" s="558"/>
      <c r="E15" s="559">
        <v>120476426.38</v>
      </c>
      <c r="F15" s="560">
        <v>0</v>
      </c>
      <c r="G15" s="561">
        <f>SUM(E15:F15)</f>
        <v>120476426.38</v>
      </c>
      <c r="I15" s="378">
        <f>+'Annualize CRM Adjustment'!D11</f>
        <v>-2904184.2</v>
      </c>
      <c r="K15" s="250">
        <f>+'Restate Revenues Adjustment'!H27</f>
        <v>14922775.820000002</v>
      </c>
      <c r="L15" s="378">
        <f>+'EOP Revenue Adjustment'!F11</f>
        <v>923294.61</v>
      </c>
      <c r="Q15" s="378">
        <f>+'Pro Forma Plant Additions'!E27</f>
        <v>0</v>
      </c>
      <c r="U15" s="383">
        <f>SUM(I15:T15)</f>
        <v>12941886.23</v>
      </c>
      <c r="V15" s="383">
        <f>+G15+U15</f>
        <v>133418312.61</v>
      </c>
    </row>
    <row r="16" spans="1:22">
      <c r="A16" s="393">
        <v>9</v>
      </c>
      <c r="B16" s="146" t="s">
        <v>128</v>
      </c>
      <c r="C16" s="147" t="s">
        <v>129</v>
      </c>
      <c r="D16" s="558"/>
      <c r="E16" s="559">
        <v>101005173.58</v>
      </c>
      <c r="F16" s="560">
        <v>0</v>
      </c>
      <c r="G16" s="561">
        <f>SUM(E16:F16)</f>
        <v>101005173.58</v>
      </c>
      <c r="U16" s="383">
        <f>SUM(I16:T16)</f>
        <v>0</v>
      </c>
      <c r="V16" s="383">
        <f>+G16+U16</f>
        <v>101005173.58</v>
      </c>
    </row>
    <row r="17" spans="1:22">
      <c r="A17" s="694">
        <v>10</v>
      </c>
      <c r="B17" s="148" t="s">
        <v>130</v>
      </c>
      <c r="C17" s="145"/>
      <c r="D17" s="562"/>
      <c r="E17" s="762">
        <f t="shared" ref="E17:R17" si="0">SUM(E15:E16)</f>
        <v>221481599.95999998</v>
      </c>
      <c r="F17" s="563">
        <f t="shared" si="0"/>
        <v>0</v>
      </c>
      <c r="G17" s="564">
        <f t="shared" si="0"/>
        <v>221481599.95999998</v>
      </c>
      <c r="I17" s="564">
        <f t="shared" si="0"/>
        <v>-2904184.2</v>
      </c>
      <c r="J17" s="564">
        <f t="shared" si="0"/>
        <v>0</v>
      </c>
      <c r="K17" s="251">
        <f>SUM(K15:K16)</f>
        <v>14922775.820000002</v>
      </c>
      <c r="L17" s="564">
        <f t="shared" si="0"/>
        <v>923294.61</v>
      </c>
      <c r="M17" s="564">
        <f t="shared" ref="M17:N17" si="1">SUM(M15:M16)</f>
        <v>0</v>
      </c>
      <c r="N17" s="564">
        <f t="shared" si="1"/>
        <v>0</v>
      </c>
      <c r="O17" s="564">
        <f t="shared" si="0"/>
        <v>0</v>
      </c>
      <c r="P17" s="564">
        <f t="shared" si="0"/>
        <v>0</v>
      </c>
      <c r="Q17" s="564">
        <f t="shared" si="0"/>
        <v>0</v>
      </c>
      <c r="R17" s="565">
        <f t="shared" si="0"/>
        <v>0</v>
      </c>
      <c r="S17" s="564">
        <f t="shared" ref="S17:U17" si="2">SUM(S15:S16)</f>
        <v>0</v>
      </c>
      <c r="T17" s="564">
        <f t="shared" si="2"/>
        <v>0</v>
      </c>
      <c r="U17" s="564">
        <f t="shared" si="2"/>
        <v>12941886.23</v>
      </c>
      <c r="V17" s="564">
        <f>SUM(V15:V16)</f>
        <v>234423486.19</v>
      </c>
    </row>
    <row r="18" spans="1:22">
      <c r="A18" s="393">
        <v>11</v>
      </c>
      <c r="B18" s="566"/>
      <c r="C18" s="145"/>
      <c r="D18" s="558"/>
      <c r="E18" s="559"/>
      <c r="F18" s="558"/>
      <c r="G18" s="561"/>
    </row>
    <row r="19" spans="1:22">
      <c r="A19" s="694">
        <v>12</v>
      </c>
      <c r="B19" s="148" t="s">
        <v>131</v>
      </c>
      <c r="C19" s="145"/>
      <c r="D19" s="558"/>
      <c r="E19" s="559"/>
      <c r="F19" s="558"/>
      <c r="G19" s="561"/>
    </row>
    <row r="20" spans="1:22">
      <c r="A20" s="393">
        <v>13</v>
      </c>
      <c r="B20" s="146" t="s">
        <v>132</v>
      </c>
      <c r="C20" s="147" t="s">
        <v>133</v>
      </c>
      <c r="D20" s="558"/>
      <c r="E20" s="559">
        <v>527669.76000000001</v>
      </c>
      <c r="F20" s="558">
        <v>0</v>
      </c>
      <c r="G20" s="561">
        <f t="shared" ref="G20:G26" si="3">SUM(E20:F20)</f>
        <v>527669.76000000001</v>
      </c>
      <c r="U20" s="383">
        <f t="shared" ref="U20:U25" si="4">SUM(I20:T20)</f>
        <v>0</v>
      </c>
      <c r="V20" s="646">
        <f t="shared" ref="V20:V25" si="5">+G20+U20</f>
        <v>527669.76000000001</v>
      </c>
    </row>
    <row r="21" spans="1:22">
      <c r="A21" s="694">
        <v>14</v>
      </c>
      <c r="B21" s="567" t="s">
        <v>134</v>
      </c>
      <c r="C21" s="147" t="s">
        <v>135</v>
      </c>
      <c r="D21" s="558"/>
      <c r="E21" s="559">
        <v>24094627.940000001</v>
      </c>
      <c r="F21" s="560">
        <v>0</v>
      </c>
      <c r="G21" s="561">
        <f t="shared" si="3"/>
        <v>24094627.940000001</v>
      </c>
      <c r="Q21" s="378">
        <f>+'Pro Forma Plant Additions'!E14</f>
        <v>0</v>
      </c>
      <c r="U21" s="383">
        <f t="shared" si="4"/>
        <v>0</v>
      </c>
      <c r="V21" s="383">
        <f t="shared" si="5"/>
        <v>24094627.940000001</v>
      </c>
    </row>
    <row r="22" spans="1:22">
      <c r="A22" s="393">
        <v>15</v>
      </c>
      <c r="B22" s="567" t="s">
        <v>136</v>
      </c>
      <c r="C22" s="147" t="s">
        <v>137</v>
      </c>
      <c r="D22" s="558"/>
      <c r="E22" s="568">
        <v>0</v>
      </c>
      <c r="F22" s="558">
        <v>0</v>
      </c>
      <c r="G22" s="561">
        <f t="shared" si="3"/>
        <v>0</v>
      </c>
      <c r="U22" s="383">
        <f t="shared" si="4"/>
        <v>0</v>
      </c>
      <c r="V22" s="383">
        <f t="shared" si="5"/>
        <v>0</v>
      </c>
    </row>
    <row r="23" spans="1:22">
      <c r="A23" s="694">
        <v>16</v>
      </c>
      <c r="B23" s="567" t="s">
        <v>138</v>
      </c>
      <c r="C23" s="147" t="s">
        <v>139</v>
      </c>
      <c r="D23" s="558"/>
      <c r="E23" s="568">
        <v>0</v>
      </c>
      <c r="F23" s="558">
        <v>127945.33</v>
      </c>
      <c r="G23" s="561">
        <f t="shared" si="3"/>
        <v>127945.33</v>
      </c>
      <c r="U23" s="383">
        <f t="shared" si="4"/>
        <v>0</v>
      </c>
      <c r="V23" s="383">
        <f t="shared" si="5"/>
        <v>127945.33</v>
      </c>
    </row>
    <row r="24" spans="1:22">
      <c r="A24" s="393">
        <v>17</v>
      </c>
      <c r="B24" s="567" t="s">
        <v>140</v>
      </c>
      <c r="C24" s="147" t="s">
        <v>141</v>
      </c>
      <c r="D24" s="558"/>
      <c r="E24" s="559">
        <v>91288.83</v>
      </c>
      <c r="F24" s="558">
        <v>168.61</v>
      </c>
      <c r="G24" s="561">
        <f t="shared" si="3"/>
        <v>91457.44</v>
      </c>
      <c r="U24" s="383">
        <f t="shared" si="4"/>
        <v>0</v>
      </c>
      <c r="V24" s="383">
        <f t="shared" si="5"/>
        <v>91457.44</v>
      </c>
    </row>
    <row r="25" spans="1:22">
      <c r="A25" s="694">
        <v>18</v>
      </c>
      <c r="B25" s="146" t="s">
        <v>142</v>
      </c>
      <c r="C25" s="147" t="s">
        <v>143</v>
      </c>
      <c r="D25" s="560"/>
      <c r="E25" s="568">
        <v>0</v>
      </c>
      <c r="F25" s="560">
        <v>0</v>
      </c>
      <c r="G25" s="569">
        <f t="shared" si="3"/>
        <v>0</v>
      </c>
      <c r="U25" s="383">
        <f t="shared" si="4"/>
        <v>0</v>
      </c>
      <c r="V25" s="383">
        <f t="shared" si="5"/>
        <v>0</v>
      </c>
    </row>
    <row r="26" spans="1:22">
      <c r="A26" s="393">
        <v>19</v>
      </c>
      <c r="B26" s="570">
        <v>4962</v>
      </c>
      <c r="C26" s="147" t="s">
        <v>1286</v>
      </c>
      <c r="D26" s="560"/>
      <c r="E26" s="763">
        <v>1001689</v>
      </c>
      <c r="F26" s="560">
        <v>0</v>
      </c>
      <c r="G26" s="569">
        <f t="shared" si="3"/>
        <v>1001689</v>
      </c>
      <c r="U26" s="383"/>
      <c r="V26" s="383"/>
    </row>
    <row r="27" spans="1:22">
      <c r="A27" s="694">
        <v>20</v>
      </c>
      <c r="B27" s="148" t="s">
        <v>144</v>
      </c>
      <c r="C27" s="145"/>
      <c r="D27" s="562"/>
      <c r="E27" s="762">
        <f>SUM(E20:E26)</f>
        <v>25715275.530000001</v>
      </c>
      <c r="F27" s="562">
        <f>SUM(F20:F26)</f>
        <v>128113.94</v>
      </c>
      <c r="G27" s="562">
        <f>SUM(G20:G26)</f>
        <v>25843389.470000003</v>
      </c>
      <c r="I27" s="564">
        <f t="shared" ref="I27:Q27" si="6">SUM(I20:I25)</f>
        <v>0</v>
      </c>
      <c r="J27" s="564">
        <f t="shared" si="6"/>
        <v>0</v>
      </c>
      <c r="K27" s="251">
        <f>SUM(K20:K25)</f>
        <v>0</v>
      </c>
      <c r="L27" s="564">
        <f>SUM(L20:L25)</f>
        <v>0</v>
      </c>
      <c r="M27" s="564">
        <f t="shared" ref="M27:N27" si="7">SUM(M20:M25)</f>
        <v>0</v>
      </c>
      <c r="N27" s="564">
        <f t="shared" si="7"/>
        <v>0</v>
      </c>
      <c r="O27" s="564">
        <f t="shared" si="6"/>
        <v>0</v>
      </c>
      <c r="P27" s="564">
        <f t="shared" si="6"/>
        <v>0</v>
      </c>
      <c r="Q27" s="564">
        <f t="shared" si="6"/>
        <v>0</v>
      </c>
      <c r="R27" s="565">
        <f>SUM(R20:R25)</f>
        <v>0</v>
      </c>
      <c r="S27" s="564">
        <f t="shared" ref="S27:V27" si="8">SUM(S20:S25)</f>
        <v>0</v>
      </c>
      <c r="T27" s="564">
        <f t="shared" si="8"/>
        <v>0</v>
      </c>
      <c r="U27" s="564">
        <f t="shared" si="8"/>
        <v>0</v>
      </c>
      <c r="V27" s="564">
        <f t="shared" si="8"/>
        <v>24841700.470000003</v>
      </c>
    </row>
    <row r="28" spans="1:22" ht="16.5" thickBot="1">
      <c r="A28" s="393">
        <v>21</v>
      </c>
      <c r="B28" s="148" t="s">
        <v>145</v>
      </c>
      <c r="C28" s="145"/>
      <c r="D28" s="571"/>
      <c r="E28" s="764">
        <f t="shared" ref="E28:G28" si="9">E17+E27</f>
        <v>247196875.48999998</v>
      </c>
      <c r="F28" s="571">
        <f t="shared" si="9"/>
        <v>128113.94</v>
      </c>
      <c r="G28" s="572">
        <f t="shared" si="9"/>
        <v>247324989.42999998</v>
      </c>
      <c r="I28" s="572">
        <f t="shared" ref="I28:Q28" si="10">I17+I27</f>
        <v>-2904184.2</v>
      </c>
      <c r="J28" s="572">
        <f t="shared" si="10"/>
        <v>0</v>
      </c>
      <c r="K28" s="639">
        <f>K17+K27</f>
        <v>14922775.820000002</v>
      </c>
      <c r="L28" s="572">
        <f>L17+L27</f>
        <v>923294.61</v>
      </c>
      <c r="M28" s="572">
        <f t="shared" ref="M28:N28" si="11">M17+M27</f>
        <v>0</v>
      </c>
      <c r="N28" s="572">
        <f t="shared" si="11"/>
        <v>0</v>
      </c>
      <c r="O28" s="572">
        <f t="shared" si="10"/>
        <v>0</v>
      </c>
      <c r="P28" s="572">
        <f t="shared" si="10"/>
        <v>0</v>
      </c>
      <c r="Q28" s="572">
        <f t="shared" si="10"/>
        <v>0</v>
      </c>
      <c r="R28" s="573">
        <f>R17+R27</f>
        <v>0</v>
      </c>
      <c r="S28" s="572">
        <f t="shared" ref="S28:V28" si="12">S17+S27</f>
        <v>0</v>
      </c>
      <c r="T28" s="572">
        <f t="shared" si="12"/>
        <v>0</v>
      </c>
      <c r="U28" s="572">
        <f t="shared" si="12"/>
        <v>12941886.23</v>
      </c>
      <c r="V28" s="572">
        <f t="shared" si="12"/>
        <v>259265186.66</v>
      </c>
    </row>
    <row r="29" spans="1:22" ht="16.5" thickTop="1">
      <c r="A29" s="694">
        <v>22</v>
      </c>
      <c r="B29" s="144" t="s">
        <v>56</v>
      </c>
      <c r="C29" s="145" t="s">
        <v>56</v>
      </c>
      <c r="D29" s="558"/>
      <c r="E29" s="559"/>
      <c r="F29" s="558"/>
      <c r="G29" s="561"/>
    </row>
    <row r="30" spans="1:22">
      <c r="A30" s="393">
        <v>23</v>
      </c>
      <c r="B30" s="148" t="s">
        <v>146</v>
      </c>
      <c r="C30" s="145"/>
      <c r="D30" s="558"/>
      <c r="E30" s="559"/>
      <c r="F30" s="558"/>
      <c r="G30" s="561"/>
    </row>
    <row r="31" spans="1:22">
      <c r="A31" s="694">
        <v>24</v>
      </c>
      <c r="B31" s="146" t="s">
        <v>147</v>
      </c>
      <c r="C31" s="147" t="s">
        <v>148</v>
      </c>
      <c r="D31" s="558"/>
      <c r="E31" s="559">
        <v>183154598.38</v>
      </c>
      <c r="F31" s="560">
        <v>0</v>
      </c>
      <c r="G31" s="561">
        <f t="shared" ref="G31:G36" si="13">SUM(E31:F31)</f>
        <v>183154598.38</v>
      </c>
      <c r="U31" s="383">
        <f t="shared" ref="U31:U36" si="14">SUM(I31:T31)</f>
        <v>0</v>
      </c>
      <c r="V31" s="383">
        <f t="shared" ref="V31:V36" si="15">+G31+U31</f>
        <v>183154598.38</v>
      </c>
    </row>
    <row r="32" spans="1:22">
      <c r="A32" s="393">
        <v>25</v>
      </c>
      <c r="B32" s="146" t="s">
        <v>149</v>
      </c>
      <c r="C32" s="147" t="s">
        <v>150</v>
      </c>
      <c r="D32" s="560"/>
      <c r="E32" s="568">
        <v>0</v>
      </c>
      <c r="F32" s="560">
        <v>0</v>
      </c>
      <c r="G32" s="569">
        <f t="shared" si="13"/>
        <v>0</v>
      </c>
      <c r="U32" s="383">
        <f t="shared" si="14"/>
        <v>0</v>
      </c>
      <c r="V32" s="383">
        <f t="shared" si="15"/>
        <v>0</v>
      </c>
    </row>
    <row r="33" spans="1:22">
      <c r="A33" s="694">
        <v>26</v>
      </c>
      <c r="B33" s="146" t="s">
        <v>151</v>
      </c>
      <c r="C33" s="147" t="s">
        <v>152</v>
      </c>
      <c r="D33" s="558"/>
      <c r="E33" s="559">
        <v>-56334340.969999999</v>
      </c>
      <c r="F33" s="560">
        <v>0</v>
      </c>
      <c r="G33" s="561">
        <f t="shared" si="13"/>
        <v>-56334340.969999999</v>
      </c>
      <c r="U33" s="383">
        <f t="shared" si="14"/>
        <v>0</v>
      </c>
      <c r="V33" s="383">
        <f t="shared" si="15"/>
        <v>-56334340.969999999</v>
      </c>
    </row>
    <row r="34" spans="1:22">
      <c r="A34" s="393">
        <v>27</v>
      </c>
      <c r="B34" s="146" t="s">
        <v>153</v>
      </c>
      <c r="C34" s="147" t="s">
        <v>154</v>
      </c>
      <c r="D34" s="558"/>
      <c r="E34" s="559">
        <v>6419366.4000000004</v>
      </c>
      <c r="F34" s="560">
        <v>0</v>
      </c>
      <c r="G34" s="561">
        <f t="shared" si="13"/>
        <v>6419366.4000000004</v>
      </c>
      <c r="U34" s="383">
        <f t="shared" si="14"/>
        <v>0</v>
      </c>
      <c r="V34" s="383">
        <f t="shared" si="15"/>
        <v>6419366.4000000004</v>
      </c>
    </row>
    <row r="35" spans="1:22">
      <c r="A35" s="694">
        <v>28</v>
      </c>
      <c r="B35" s="146" t="s">
        <v>155</v>
      </c>
      <c r="C35" s="147" t="s">
        <v>156</v>
      </c>
      <c r="D35" s="558"/>
      <c r="E35" s="559">
        <v>-8003476.1100000003</v>
      </c>
      <c r="F35" s="560">
        <v>0</v>
      </c>
      <c r="G35" s="561">
        <f t="shared" si="13"/>
        <v>-8003476.1100000003</v>
      </c>
      <c r="U35" s="383">
        <f t="shared" si="14"/>
        <v>0</v>
      </c>
      <c r="V35" s="383">
        <f t="shared" si="15"/>
        <v>-8003476.1100000003</v>
      </c>
    </row>
    <row r="36" spans="1:22">
      <c r="A36" s="393">
        <v>29</v>
      </c>
      <c r="B36" s="146" t="s">
        <v>157</v>
      </c>
      <c r="C36" s="147" t="s">
        <v>158</v>
      </c>
      <c r="D36" s="558"/>
      <c r="E36" s="559">
        <v>-70308.52</v>
      </c>
      <c r="F36" s="560">
        <v>0</v>
      </c>
      <c r="G36" s="561">
        <f t="shared" si="13"/>
        <v>-70308.52</v>
      </c>
      <c r="U36" s="383">
        <f t="shared" si="14"/>
        <v>0</v>
      </c>
      <c r="V36" s="383">
        <f t="shared" si="15"/>
        <v>-70308.52</v>
      </c>
    </row>
    <row r="37" spans="1:22">
      <c r="A37" s="694">
        <v>30</v>
      </c>
      <c r="B37" s="148" t="s">
        <v>159</v>
      </c>
      <c r="C37" s="145"/>
      <c r="D37" s="562"/>
      <c r="E37" s="762">
        <f t="shared" ref="E37:R37" si="16">SUM(E31:E36)</f>
        <v>125165839.18000001</v>
      </c>
      <c r="F37" s="563">
        <f t="shared" si="16"/>
        <v>0</v>
      </c>
      <c r="G37" s="564">
        <f t="shared" si="16"/>
        <v>125165839.18000001</v>
      </c>
      <c r="I37" s="564">
        <f t="shared" si="16"/>
        <v>0</v>
      </c>
      <c r="J37" s="564">
        <f t="shared" si="16"/>
        <v>0</v>
      </c>
      <c r="K37" s="251">
        <f>SUM(K31:K36)</f>
        <v>0</v>
      </c>
      <c r="L37" s="564">
        <f t="shared" si="16"/>
        <v>0</v>
      </c>
      <c r="M37" s="564">
        <f t="shared" ref="M37:N37" si="17">SUM(M31:M36)</f>
        <v>0</v>
      </c>
      <c r="N37" s="564">
        <f t="shared" si="17"/>
        <v>0</v>
      </c>
      <c r="O37" s="564">
        <f t="shared" si="16"/>
        <v>0</v>
      </c>
      <c r="P37" s="564">
        <f t="shared" si="16"/>
        <v>0</v>
      </c>
      <c r="Q37" s="564">
        <f t="shared" si="16"/>
        <v>0</v>
      </c>
      <c r="R37" s="565">
        <f t="shared" si="16"/>
        <v>0</v>
      </c>
      <c r="S37" s="564">
        <f t="shared" ref="S37:V37" si="18">SUM(S31:S36)</f>
        <v>0</v>
      </c>
      <c r="T37" s="564">
        <f t="shared" si="18"/>
        <v>0</v>
      </c>
      <c r="U37" s="564">
        <f t="shared" si="18"/>
        <v>0</v>
      </c>
      <c r="V37" s="564">
        <f t="shared" si="18"/>
        <v>125165839.18000001</v>
      </c>
    </row>
    <row r="38" spans="1:22">
      <c r="A38" s="393">
        <v>31</v>
      </c>
      <c r="B38" s="144"/>
      <c r="C38" s="145"/>
      <c r="D38" s="558"/>
      <c r="E38" s="559"/>
      <c r="F38" s="558"/>
      <c r="G38" s="561"/>
    </row>
    <row r="39" spans="1:22">
      <c r="A39" s="694">
        <v>32</v>
      </c>
      <c r="B39" s="148" t="s">
        <v>160</v>
      </c>
      <c r="C39" s="145"/>
      <c r="D39" s="558"/>
      <c r="E39" s="559"/>
      <c r="F39" s="558"/>
      <c r="G39" s="561"/>
    </row>
    <row r="40" spans="1:22">
      <c r="A40" s="393">
        <v>33</v>
      </c>
      <c r="B40" s="146" t="s">
        <v>161</v>
      </c>
      <c r="C40" s="147" t="s">
        <v>162</v>
      </c>
      <c r="D40" s="560"/>
      <c r="E40" s="568">
        <v>0</v>
      </c>
      <c r="F40" s="560">
        <v>0</v>
      </c>
      <c r="G40" s="569">
        <v>0</v>
      </c>
      <c r="U40" s="383">
        <f t="shared" ref="U40:U50" si="19">SUM(I40:T40)</f>
        <v>0</v>
      </c>
      <c r="V40" s="383">
        <f t="shared" ref="V40:V50" si="20">+G40+U40</f>
        <v>0</v>
      </c>
    </row>
    <row r="41" spans="1:22">
      <c r="A41" s="694">
        <v>34</v>
      </c>
      <c r="B41" s="146" t="s">
        <v>163</v>
      </c>
      <c r="C41" s="147" t="s">
        <v>164</v>
      </c>
      <c r="D41" s="560"/>
      <c r="E41" s="568">
        <v>0</v>
      </c>
      <c r="F41" s="560">
        <v>0</v>
      </c>
      <c r="G41" s="569">
        <v>0</v>
      </c>
      <c r="U41" s="383">
        <f t="shared" si="19"/>
        <v>0</v>
      </c>
      <c r="V41" s="383">
        <f t="shared" si="20"/>
        <v>0</v>
      </c>
    </row>
    <row r="42" spans="1:22">
      <c r="A42" s="393">
        <v>35</v>
      </c>
      <c r="B42" s="146" t="s">
        <v>165</v>
      </c>
      <c r="C42" s="147" t="s">
        <v>166</v>
      </c>
      <c r="D42" s="560"/>
      <c r="E42" s="568">
        <v>0</v>
      </c>
      <c r="F42" s="560">
        <v>0</v>
      </c>
      <c r="G42" s="569">
        <v>0</v>
      </c>
      <c r="U42" s="383">
        <f t="shared" si="19"/>
        <v>0</v>
      </c>
      <c r="V42" s="383">
        <f t="shared" si="20"/>
        <v>0</v>
      </c>
    </row>
    <row r="43" spans="1:22">
      <c r="A43" s="694">
        <v>36</v>
      </c>
      <c r="B43" s="146" t="s">
        <v>167</v>
      </c>
      <c r="C43" s="147" t="s">
        <v>168</v>
      </c>
      <c r="D43" s="560"/>
      <c r="E43" s="568">
        <v>0</v>
      </c>
      <c r="F43" s="560">
        <v>0</v>
      </c>
      <c r="G43" s="569">
        <v>0</v>
      </c>
      <c r="U43" s="383">
        <f t="shared" si="19"/>
        <v>0</v>
      </c>
      <c r="V43" s="383">
        <f t="shared" si="20"/>
        <v>0</v>
      </c>
    </row>
    <row r="44" spans="1:22">
      <c r="A44" s="393">
        <v>37</v>
      </c>
      <c r="B44" s="146" t="s">
        <v>169</v>
      </c>
      <c r="C44" s="147" t="s">
        <v>170</v>
      </c>
      <c r="D44" s="560"/>
      <c r="E44" s="568">
        <v>0</v>
      </c>
      <c r="F44" s="560">
        <v>0</v>
      </c>
      <c r="G44" s="569">
        <v>0</v>
      </c>
      <c r="U44" s="383">
        <f t="shared" si="19"/>
        <v>0</v>
      </c>
      <c r="V44" s="383">
        <f t="shared" si="20"/>
        <v>0</v>
      </c>
    </row>
    <row r="45" spans="1:22">
      <c r="A45" s="694">
        <v>38</v>
      </c>
      <c r="B45" s="146" t="s">
        <v>171</v>
      </c>
      <c r="C45" s="147" t="s">
        <v>172</v>
      </c>
      <c r="D45" s="560"/>
      <c r="E45" s="568">
        <v>0</v>
      </c>
      <c r="F45" s="560">
        <v>0</v>
      </c>
      <c r="G45" s="569">
        <v>0</v>
      </c>
      <c r="U45" s="383">
        <f t="shared" si="19"/>
        <v>0</v>
      </c>
      <c r="V45" s="383">
        <f t="shared" si="20"/>
        <v>0</v>
      </c>
    </row>
    <row r="46" spans="1:22">
      <c r="A46" s="393">
        <v>39</v>
      </c>
      <c r="B46" s="146" t="s">
        <v>173</v>
      </c>
      <c r="C46" s="147" t="s">
        <v>174</v>
      </c>
      <c r="D46" s="560"/>
      <c r="E46" s="574">
        <v>0</v>
      </c>
      <c r="F46" s="560">
        <v>0</v>
      </c>
      <c r="G46" s="569">
        <v>0</v>
      </c>
      <c r="U46" s="383">
        <f t="shared" si="19"/>
        <v>0</v>
      </c>
      <c r="V46" s="383">
        <f t="shared" si="20"/>
        <v>0</v>
      </c>
    </row>
    <row r="47" spans="1:22">
      <c r="A47" s="694">
        <v>40</v>
      </c>
      <c r="B47" s="146" t="s">
        <v>175</v>
      </c>
      <c r="C47" s="147" t="s">
        <v>176</v>
      </c>
      <c r="D47" s="560"/>
      <c r="E47" s="568">
        <v>0</v>
      </c>
      <c r="F47" s="560">
        <v>0</v>
      </c>
      <c r="G47" s="569">
        <v>0</v>
      </c>
      <c r="U47" s="383">
        <f t="shared" si="19"/>
        <v>0</v>
      </c>
      <c r="V47" s="383">
        <f t="shared" si="20"/>
        <v>0</v>
      </c>
    </row>
    <row r="48" spans="1:22">
      <c r="A48" s="393">
        <v>41</v>
      </c>
      <c r="B48" s="146" t="s">
        <v>177</v>
      </c>
      <c r="C48" s="147" t="s">
        <v>178</v>
      </c>
      <c r="D48" s="560"/>
      <c r="E48" s="568">
        <v>0</v>
      </c>
      <c r="F48" s="560">
        <v>0</v>
      </c>
      <c r="G48" s="569">
        <v>0</v>
      </c>
      <c r="U48" s="383">
        <f t="shared" si="19"/>
        <v>0</v>
      </c>
      <c r="V48" s="383">
        <f t="shared" si="20"/>
        <v>0</v>
      </c>
    </row>
    <row r="49" spans="1:22">
      <c r="A49" s="694">
        <v>42</v>
      </c>
      <c r="B49" s="146" t="s">
        <v>179</v>
      </c>
      <c r="C49" s="147" t="s">
        <v>180</v>
      </c>
      <c r="D49" s="560"/>
      <c r="E49" s="568">
        <v>0</v>
      </c>
      <c r="F49" s="560">
        <v>0</v>
      </c>
      <c r="G49" s="569">
        <v>0</v>
      </c>
      <c r="U49" s="383">
        <f t="shared" si="19"/>
        <v>0</v>
      </c>
      <c r="V49" s="383">
        <f t="shared" si="20"/>
        <v>0</v>
      </c>
    </row>
    <row r="50" spans="1:22">
      <c r="A50" s="393">
        <v>43</v>
      </c>
      <c r="B50" s="146" t="s">
        <v>181</v>
      </c>
      <c r="C50" s="147" t="s">
        <v>182</v>
      </c>
      <c r="D50" s="560"/>
      <c r="E50" s="568">
        <v>0</v>
      </c>
      <c r="F50" s="560">
        <v>0</v>
      </c>
      <c r="G50" s="569">
        <v>0</v>
      </c>
      <c r="U50" s="383">
        <f t="shared" si="19"/>
        <v>0</v>
      </c>
      <c r="V50" s="383">
        <f t="shared" si="20"/>
        <v>0</v>
      </c>
    </row>
    <row r="51" spans="1:22">
      <c r="A51" s="694">
        <v>44</v>
      </c>
      <c r="B51" s="148" t="s">
        <v>183</v>
      </c>
      <c r="C51" s="575"/>
      <c r="D51" s="563"/>
      <c r="E51" s="576">
        <f t="shared" ref="E51:G51" si="21">SUM(E40:E50)</f>
        <v>0</v>
      </c>
      <c r="F51" s="563">
        <f t="shared" si="21"/>
        <v>0</v>
      </c>
      <c r="G51" s="251">
        <f t="shared" si="21"/>
        <v>0</v>
      </c>
      <c r="I51" s="564">
        <f t="shared" ref="I51:R51" si="22">SUM(I40:I50)</f>
        <v>0</v>
      </c>
      <c r="J51" s="564">
        <f t="shared" si="22"/>
        <v>0</v>
      </c>
      <c r="K51" s="251">
        <f>SUM(K40:K50)</f>
        <v>0</v>
      </c>
      <c r="L51" s="564">
        <f t="shared" si="22"/>
        <v>0</v>
      </c>
      <c r="M51" s="564">
        <f t="shared" ref="M51:N51" si="23">SUM(M40:M50)</f>
        <v>0</v>
      </c>
      <c r="N51" s="564">
        <f t="shared" si="23"/>
        <v>0</v>
      </c>
      <c r="O51" s="564">
        <f t="shared" si="22"/>
        <v>0</v>
      </c>
      <c r="P51" s="564">
        <f t="shared" si="22"/>
        <v>0</v>
      </c>
      <c r="Q51" s="564">
        <f t="shared" si="22"/>
        <v>0</v>
      </c>
      <c r="R51" s="565">
        <f t="shared" si="22"/>
        <v>0</v>
      </c>
      <c r="S51" s="251"/>
      <c r="T51" s="251"/>
      <c r="U51" s="251">
        <f t="shared" ref="U51:V51" si="24">SUM(U40:U50)</f>
        <v>0</v>
      </c>
      <c r="V51" s="251">
        <f t="shared" si="24"/>
        <v>0</v>
      </c>
    </row>
    <row r="52" spans="1:22">
      <c r="A52" s="393">
        <v>45</v>
      </c>
      <c r="B52" s="144"/>
      <c r="C52" s="145"/>
      <c r="D52" s="558"/>
      <c r="E52" s="559"/>
      <c r="F52" s="558"/>
      <c r="G52" s="561"/>
      <c r="I52" s="561"/>
      <c r="J52" s="561"/>
      <c r="K52" s="569"/>
      <c r="L52" s="561"/>
      <c r="M52" s="561"/>
      <c r="N52" s="561"/>
      <c r="O52" s="561"/>
      <c r="P52" s="561"/>
      <c r="Q52" s="561"/>
      <c r="R52" s="577"/>
      <c r="S52" s="561"/>
      <c r="T52" s="561"/>
      <c r="U52" s="561"/>
      <c r="V52" s="561"/>
    </row>
    <row r="53" spans="1:22">
      <c r="A53" s="694">
        <v>46</v>
      </c>
      <c r="B53" s="146" t="s">
        <v>184</v>
      </c>
      <c r="C53" s="147" t="s">
        <v>33</v>
      </c>
      <c r="D53" s="380"/>
      <c r="E53" s="765">
        <v>20632282.93</v>
      </c>
      <c r="F53" s="766">
        <v>0</v>
      </c>
      <c r="G53" s="578">
        <f>SUM(E53:F53)</f>
        <v>20632282.93</v>
      </c>
      <c r="I53" s="640">
        <f>+I28*(+' Conversion Factor'!C9+' Conversion Factor'!C10)</f>
        <v>-117677.54378400001</v>
      </c>
      <c r="J53" s="640">
        <f>+J28*(+' Conversion Factor'!B9+' Conversion Factor'!B10)</f>
        <v>0</v>
      </c>
      <c r="K53" s="640">
        <f>+K28*(+' Conversion Factor'!C9+' Conversion Factor'!C10)</f>
        <v>604670.87622640014</v>
      </c>
      <c r="L53" s="640">
        <f>+L28*(+' Conversion Factor'!$C$9+' Conversion Factor'!$C$10)</f>
        <v>37411.897597199997</v>
      </c>
      <c r="M53" s="640">
        <f>+M28*(+' Conversion Factor'!$C$9+' Conversion Factor'!$C$10)</f>
        <v>0</v>
      </c>
      <c r="N53" s="640">
        <f>+N28*(+' Conversion Factor'!$C$9+' Conversion Factor'!$C$10)</f>
        <v>0</v>
      </c>
      <c r="O53" s="640">
        <f>+O28*(+' Conversion Factor'!$C$9+' Conversion Factor'!$C$10)</f>
        <v>0</v>
      </c>
      <c r="P53" s="640">
        <f>+P28*(+' Conversion Factor'!$C$9+' Conversion Factor'!$C$10)</f>
        <v>0</v>
      </c>
      <c r="Q53" s="640">
        <f>+Q28*(+' Conversion Factor'!$C$9+' Conversion Factor'!$C$10)</f>
        <v>0</v>
      </c>
      <c r="R53" s="579">
        <v>0</v>
      </c>
      <c r="S53" s="578"/>
      <c r="T53" s="578"/>
      <c r="U53" s="644">
        <f>SUM(I53:T53)</f>
        <v>524405.23003960017</v>
      </c>
      <c r="V53" s="645">
        <f>+G53+U53</f>
        <v>21156688.1600396</v>
      </c>
    </row>
    <row r="54" spans="1:22" ht="16.5" thickBot="1">
      <c r="A54" s="393">
        <v>47</v>
      </c>
      <c r="B54" s="148" t="s">
        <v>185</v>
      </c>
      <c r="C54" s="145"/>
      <c r="D54" s="571"/>
      <c r="E54" s="764">
        <f t="shared" ref="E54:G54" si="25">E28-E37-E53</f>
        <v>101398753.37999997</v>
      </c>
      <c r="F54" s="767">
        <f t="shared" si="25"/>
        <v>128113.94</v>
      </c>
      <c r="G54" s="572">
        <f t="shared" si="25"/>
        <v>101526867.31999996</v>
      </c>
      <c r="I54" s="572">
        <f t="shared" ref="I54:R54" si="26">I28-I37-I53</f>
        <v>-2786506.6562160002</v>
      </c>
      <c r="J54" s="572">
        <f t="shared" si="26"/>
        <v>0</v>
      </c>
      <c r="K54" s="639">
        <f>K28-K37-K53</f>
        <v>14318104.943773601</v>
      </c>
      <c r="L54" s="572">
        <f>L28-L37-L53</f>
        <v>885882.71240279998</v>
      </c>
      <c r="M54" s="572">
        <f t="shared" ref="M54:N54" si="27">M28-M37-M53</f>
        <v>0</v>
      </c>
      <c r="N54" s="572">
        <f t="shared" si="27"/>
        <v>0</v>
      </c>
      <c r="O54" s="572">
        <f t="shared" si="26"/>
        <v>0</v>
      </c>
      <c r="P54" s="572">
        <f t="shared" si="26"/>
        <v>0</v>
      </c>
      <c r="Q54" s="572">
        <f>Q28-Q37-Q53</f>
        <v>0</v>
      </c>
      <c r="R54" s="573">
        <f t="shared" si="26"/>
        <v>0</v>
      </c>
      <c r="S54" s="572">
        <f t="shared" ref="S54:V54" si="28">S28-S37-S53</f>
        <v>0</v>
      </c>
      <c r="T54" s="572">
        <f t="shared" si="28"/>
        <v>0</v>
      </c>
      <c r="U54" s="572">
        <f t="shared" si="28"/>
        <v>12417480.9999604</v>
      </c>
      <c r="V54" s="572">
        <f t="shared" si="28"/>
        <v>112942659.31996039</v>
      </c>
    </row>
    <row r="55" spans="1:22" ht="16.5" thickTop="1">
      <c r="A55" s="694">
        <v>48</v>
      </c>
      <c r="B55" s="144"/>
      <c r="C55" s="145"/>
      <c r="D55" s="558"/>
      <c r="E55" s="559"/>
      <c r="F55" s="558"/>
      <c r="G55" s="561"/>
    </row>
    <row r="56" spans="1:22">
      <c r="A56" s="393">
        <v>49</v>
      </c>
      <c r="B56" s="148" t="s">
        <v>186</v>
      </c>
      <c r="C56" s="145"/>
      <c r="D56" s="558"/>
      <c r="E56" s="559"/>
      <c r="F56" s="558"/>
      <c r="G56" s="561"/>
    </row>
    <row r="57" spans="1:22">
      <c r="A57" s="694">
        <v>50</v>
      </c>
      <c r="B57" s="580">
        <v>813</v>
      </c>
      <c r="C57" s="147" t="s">
        <v>187</v>
      </c>
      <c r="D57" s="558"/>
      <c r="E57" s="568">
        <v>3448.67</v>
      </c>
      <c r="F57" s="560">
        <v>316579.44</v>
      </c>
      <c r="G57" s="561">
        <f>SUM(E57:F57)</f>
        <v>320028.11</v>
      </c>
      <c r="M57" s="370"/>
      <c r="P57" s="370">
        <f>+'Restate &amp; Pro Forma Wage Adjust'!Q20+'Restate &amp; Pro Forma Wage Adjust'!Q21</f>
        <v>3255.585</v>
      </c>
      <c r="U57" s="383">
        <f>SUM(I57:T57)</f>
        <v>3255.585</v>
      </c>
      <c r="V57" s="383">
        <f>+G57+U57</f>
        <v>323283.69500000001</v>
      </c>
    </row>
    <row r="58" spans="1:22">
      <c r="A58" s="393">
        <v>51</v>
      </c>
      <c r="B58" s="580"/>
      <c r="C58" s="147"/>
      <c r="D58" s="558"/>
      <c r="E58" s="568"/>
      <c r="F58" s="560"/>
      <c r="G58" s="561"/>
    </row>
    <row r="59" spans="1:22">
      <c r="A59" s="694">
        <v>52</v>
      </c>
      <c r="B59" s="148" t="s">
        <v>188</v>
      </c>
      <c r="C59" s="145"/>
      <c r="D59" s="558"/>
      <c r="E59" s="559"/>
      <c r="F59" s="558"/>
      <c r="G59" s="561"/>
    </row>
    <row r="60" spans="1:22">
      <c r="A60" s="393">
        <v>53</v>
      </c>
      <c r="B60" s="148" t="s">
        <v>189</v>
      </c>
      <c r="C60" s="145"/>
      <c r="D60" s="558"/>
      <c r="E60" s="559"/>
      <c r="F60" s="558"/>
      <c r="G60" s="561"/>
    </row>
    <row r="61" spans="1:22">
      <c r="A61" s="694">
        <v>54</v>
      </c>
      <c r="B61" s="146" t="s">
        <v>190</v>
      </c>
      <c r="C61" s="147" t="s">
        <v>191</v>
      </c>
      <c r="D61" s="558"/>
      <c r="E61" s="568">
        <v>1157305.51</v>
      </c>
      <c r="F61" s="560">
        <v>907290.82</v>
      </c>
      <c r="G61" s="561">
        <f t="shared" ref="G61:G71" si="29">SUM(E61:F61)</f>
        <v>2064596.33</v>
      </c>
      <c r="M61" s="370">
        <f>+'Restate &amp; Pro Forma Wage Adjust'!P44</f>
        <v>0</v>
      </c>
      <c r="P61" s="370">
        <f>+'Restate &amp; Pro Forma Wage Adjust'!Q22+'Restate &amp; Pro Forma Wage Adjust'!Q44</f>
        <v>33657.2981</v>
      </c>
      <c r="R61" s="546">
        <f>'MAOP UG-160787 Deferral'!D15</f>
        <v>925749.91111111105</v>
      </c>
      <c r="U61" s="383">
        <f t="shared" ref="U61:U71" si="30">SUM(I61:T61)</f>
        <v>959407.20921111107</v>
      </c>
      <c r="V61" s="383">
        <f t="shared" ref="V61:V71" si="31">+G61+U61</f>
        <v>3024003.5392111111</v>
      </c>
    </row>
    <row r="62" spans="1:22">
      <c r="A62" s="393">
        <v>55</v>
      </c>
      <c r="B62" s="146" t="s">
        <v>192</v>
      </c>
      <c r="C62" s="147" t="s">
        <v>193</v>
      </c>
      <c r="D62" s="558"/>
      <c r="E62" s="568">
        <v>65379.199999999997</v>
      </c>
      <c r="F62" s="560">
        <v>238694.68</v>
      </c>
      <c r="G62" s="561">
        <f t="shared" si="29"/>
        <v>304073.88</v>
      </c>
      <c r="M62" s="370">
        <f>+'Restate &amp; Pro Forma Wage Adjust'!P23+'Restate &amp; Pro Forma Wage Adjust'!P45</f>
        <v>581.33039999999994</v>
      </c>
      <c r="P62" s="370">
        <f>+'Restate &amp; Pro Forma Wage Adjust'!Q23+'Restate &amp; Pro Forma Wage Adjust'!Q45</f>
        <v>5600.522712</v>
      </c>
      <c r="U62" s="383">
        <f t="shared" si="30"/>
        <v>6181.8531119999998</v>
      </c>
      <c r="V62" s="383">
        <f t="shared" si="31"/>
        <v>310255.73311199999</v>
      </c>
    </row>
    <row r="63" spans="1:22">
      <c r="A63" s="694">
        <v>56</v>
      </c>
      <c r="B63" s="567" t="s">
        <v>194</v>
      </c>
      <c r="C63" s="147" t="s">
        <v>195</v>
      </c>
      <c r="D63" s="560"/>
      <c r="E63" s="568">
        <v>37041.43</v>
      </c>
      <c r="F63" s="560">
        <v>0</v>
      </c>
      <c r="G63" s="561">
        <f t="shared" si="29"/>
        <v>37041.43</v>
      </c>
      <c r="M63" s="370">
        <f>+'Restate &amp; Pro Forma Wage Adjust'!P46</f>
        <v>143.70779999999999</v>
      </c>
      <c r="P63" s="370">
        <f>+'Restate &amp; Pro Forma Wage Adjust'!Q46</f>
        <v>658.44473400000004</v>
      </c>
      <c r="U63" s="383">
        <f t="shared" si="30"/>
        <v>802.15253400000006</v>
      </c>
      <c r="V63" s="383">
        <f t="shared" si="31"/>
        <v>37843.582534000001</v>
      </c>
    </row>
    <row r="64" spans="1:22">
      <c r="A64" s="393">
        <v>57</v>
      </c>
      <c r="B64" s="567" t="s">
        <v>196</v>
      </c>
      <c r="C64" s="147" t="s">
        <v>197</v>
      </c>
      <c r="D64" s="558"/>
      <c r="E64" s="568">
        <v>3541583.32</v>
      </c>
      <c r="F64" s="560">
        <v>539375.5</v>
      </c>
      <c r="G64" s="561">
        <f t="shared" si="29"/>
        <v>4080958.82</v>
      </c>
      <c r="M64" s="370">
        <f>+'Restate &amp; Pro Forma Wage Adjust'!P47</f>
        <v>15578.269799999998</v>
      </c>
      <c r="P64" s="370">
        <f>+'Restate &amp; Pro Forma Wage Adjust'!Q24+'Restate &amp; Pro Forma Wage Adjust'!Q47</f>
        <v>70792.212994000001</v>
      </c>
      <c r="S64" s="370"/>
      <c r="U64" s="383">
        <f t="shared" si="30"/>
        <v>86370.482793999996</v>
      </c>
      <c r="V64" s="383">
        <f t="shared" si="31"/>
        <v>4167329.3027939997</v>
      </c>
    </row>
    <row r="65" spans="1:22">
      <c r="A65" s="694">
        <v>58</v>
      </c>
      <c r="B65" s="146" t="s">
        <v>198</v>
      </c>
      <c r="C65" s="147" t="s">
        <v>199</v>
      </c>
      <c r="D65" s="558"/>
      <c r="E65" s="568">
        <v>315954.13</v>
      </c>
      <c r="F65" s="560">
        <v>88265.32</v>
      </c>
      <c r="G65" s="561">
        <f t="shared" si="29"/>
        <v>404219.45</v>
      </c>
      <c r="M65" s="370">
        <f>+'Restate &amp; Pro Forma Wage Adjust'!P48</f>
        <v>1505.0943</v>
      </c>
      <c r="P65" s="370">
        <f>+'Restate &amp; Pro Forma Wage Adjust'!Q48+'Restate &amp; Pro Forma Wage Adjust'!Q25</f>
        <v>5038.4770289999997</v>
      </c>
      <c r="U65" s="383">
        <f t="shared" si="30"/>
        <v>6543.5713289999994</v>
      </c>
      <c r="V65" s="383">
        <f t="shared" si="31"/>
        <v>410763.02132900001</v>
      </c>
    </row>
    <row r="66" spans="1:22">
      <c r="A66" s="393">
        <v>59</v>
      </c>
      <c r="B66" s="146" t="s">
        <v>200</v>
      </c>
      <c r="C66" s="147" t="s">
        <v>201</v>
      </c>
      <c r="D66" s="558"/>
      <c r="E66" s="568">
        <v>123534.78</v>
      </c>
      <c r="F66" s="560">
        <v>3380.28</v>
      </c>
      <c r="G66" s="561">
        <f t="shared" si="29"/>
        <v>126915.06</v>
      </c>
      <c r="M66" s="370">
        <f>+'Restate &amp; Pro Forma Wage Adjust'!P49</f>
        <v>704.02289999999994</v>
      </c>
      <c r="P66" s="370">
        <f>+'Restate &amp; Pro Forma Wage Adjust'!Q49</f>
        <v>2639.4168869999994</v>
      </c>
      <c r="U66" s="383">
        <f t="shared" si="30"/>
        <v>3343.4397869999993</v>
      </c>
      <c r="V66" s="383">
        <f t="shared" si="31"/>
        <v>130258.49978699999</v>
      </c>
    </row>
    <row r="67" spans="1:22">
      <c r="A67" s="694">
        <v>60</v>
      </c>
      <c r="B67" s="146" t="s">
        <v>202</v>
      </c>
      <c r="C67" s="147" t="s">
        <v>203</v>
      </c>
      <c r="D67" s="558"/>
      <c r="E67" s="568">
        <v>1097839.44</v>
      </c>
      <c r="F67" s="560">
        <v>0</v>
      </c>
      <c r="G67" s="561">
        <f t="shared" si="29"/>
        <v>1097839.44</v>
      </c>
      <c r="M67" s="370">
        <f>+'Restate &amp; Pro Forma Wage Adjust'!P50</f>
        <v>6893.2955999999995</v>
      </c>
      <c r="P67" s="370">
        <f>+'Restate &amp; Pro Forma Wage Adjust'!Q50</f>
        <v>27665.593667999998</v>
      </c>
      <c r="U67" s="383">
        <f t="shared" si="30"/>
        <v>34558.889267999999</v>
      </c>
      <c r="V67" s="383">
        <f t="shared" si="31"/>
        <v>1132398.3292679999</v>
      </c>
    </row>
    <row r="68" spans="1:22">
      <c r="A68" s="393">
        <v>61</v>
      </c>
      <c r="B68" s="146" t="s">
        <v>204</v>
      </c>
      <c r="C68" s="147" t="s">
        <v>205</v>
      </c>
      <c r="D68" s="558"/>
      <c r="E68" s="568">
        <v>674150</v>
      </c>
      <c r="F68" s="560">
        <v>0</v>
      </c>
      <c r="G68" s="561">
        <f t="shared" si="29"/>
        <v>674150</v>
      </c>
      <c r="M68" s="370">
        <f>+'Restate &amp; Pro Forma Wage Adjust'!P51</f>
        <v>5388.3848999999991</v>
      </c>
      <c r="P68" s="370">
        <f>+'Restate &amp; Pro Forma Wage Adjust'!Q51</f>
        <v>18622.761746999997</v>
      </c>
      <c r="U68" s="383">
        <f t="shared" si="30"/>
        <v>24011.146646999994</v>
      </c>
      <c r="V68" s="383">
        <f t="shared" si="31"/>
        <v>698161.14664699999</v>
      </c>
    </row>
    <row r="69" spans="1:22">
      <c r="A69" s="694">
        <v>62</v>
      </c>
      <c r="B69" s="146" t="s">
        <v>206</v>
      </c>
      <c r="C69" s="147" t="s">
        <v>207</v>
      </c>
      <c r="D69" s="558"/>
      <c r="E69" s="568">
        <v>3966282.22</v>
      </c>
      <c r="F69" s="560">
        <v>830916.13</v>
      </c>
      <c r="G69" s="561">
        <f t="shared" si="29"/>
        <v>4797198.3500000006</v>
      </c>
      <c r="M69" s="370">
        <f>+'Restate &amp; Pro Forma Wage Adjust'!P52</f>
        <v>21196.826700000001</v>
      </c>
      <c r="P69" s="370">
        <f>+'Restate &amp; Pro Forma Wage Adjust'!Q26+'Restate &amp; Pro Forma Wage Adjust'!Q52</f>
        <v>85022.056001000004</v>
      </c>
      <c r="U69" s="383">
        <f t="shared" si="30"/>
        <v>106218.88270100001</v>
      </c>
      <c r="V69" s="383">
        <f t="shared" si="31"/>
        <v>4903417.2327010008</v>
      </c>
    </row>
    <row r="70" spans="1:22">
      <c r="A70" s="393">
        <v>63</v>
      </c>
      <c r="B70" s="146" t="s">
        <v>208</v>
      </c>
      <c r="C70" s="147" t="s">
        <v>209</v>
      </c>
      <c r="D70" s="558"/>
      <c r="E70" s="568">
        <v>101842.75</v>
      </c>
      <c r="F70" s="560">
        <v>3782.4</v>
      </c>
      <c r="G70" s="561">
        <f t="shared" si="29"/>
        <v>105625.15</v>
      </c>
      <c r="U70" s="383">
        <f t="shared" si="30"/>
        <v>0</v>
      </c>
      <c r="V70" s="383">
        <f t="shared" si="31"/>
        <v>105625.15</v>
      </c>
    </row>
    <row r="71" spans="1:22">
      <c r="A71" s="694">
        <v>64</v>
      </c>
      <c r="B71" s="146" t="s">
        <v>210</v>
      </c>
      <c r="C71" s="147" t="s">
        <v>211</v>
      </c>
      <c r="D71" s="560"/>
      <c r="E71" s="568">
        <v>0</v>
      </c>
      <c r="F71" s="560">
        <v>0</v>
      </c>
      <c r="G71" s="561">
        <f t="shared" si="29"/>
        <v>0</v>
      </c>
      <c r="U71" s="383">
        <f t="shared" si="30"/>
        <v>0</v>
      </c>
      <c r="V71" s="383">
        <f t="shared" si="31"/>
        <v>0</v>
      </c>
    </row>
    <row r="72" spans="1:22">
      <c r="A72" s="393">
        <v>65</v>
      </c>
      <c r="B72" s="144"/>
      <c r="C72" s="581" t="s">
        <v>212</v>
      </c>
      <c r="D72" s="562"/>
      <c r="E72" s="762">
        <f t="shared" ref="E72:R72" si="32">SUM(E61:E71)</f>
        <v>11080912.780000001</v>
      </c>
      <c r="F72" s="562">
        <f t="shared" si="32"/>
        <v>2611705.13</v>
      </c>
      <c r="G72" s="564">
        <f t="shared" si="32"/>
        <v>13692617.910000002</v>
      </c>
      <c r="I72" s="564">
        <f t="shared" si="32"/>
        <v>0</v>
      </c>
      <c r="J72" s="564">
        <f t="shared" si="32"/>
        <v>0</v>
      </c>
      <c r="K72" s="251">
        <f>SUM(K61:K71)</f>
        <v>0</v>
      </c>
      <c r="L72" s="564">
        <f t="shared" si="32"/>
        <v>0</v>
      </c>
      <c r="M72" s="564">
        <f t="shared" ref="M72:N72" si="33">SUM(M61:M71)</f>
        <v>51990.932399999991</v>
      </c>
      <c r="N72" s="564">
        <f t="shared" si="33"/>
        <v>0</v>
      </c>
      <c r="O72" s="564">
        <f t="shared" si="32"/>
        <v>0</v>
      </c>
      <c r="P72" s="564">
        <f t="shared" si="32"/>
        <v>249696.783872</v>
      </c>
      <c r="Q72" s="564">
        <f>SUM(Q61:Q71)</f>
        <v>0</v>
      </c>
      <c r="R72" s="565">
        <f t="shared" si="32"/>
        <v>925749.91111111105</v>
      </c>
      <c r="S72" s="564">
        <f t="shared" ref="S72:V72" si="34">SUM(S61:S71)</f>
        <v>0</v>
      </c>
      <c r="T72" s="564">
        <f t="shared" si="34"/>
        <v>0</v>
      </c>
      <c r="U72" s="564">
        <f t="shared" si="34"/>
        <v>1227437.6273831108</v>
      </c>
      <c r="V72" s="564">
        <f t="shared" si="34"/>
        <v>14920055.537383111</v>
      </c>
    </row>
    <row r="73" spans="1:22">
      <c r="A73" s="694">
        <v>66</v>
      </c>
      <c r="B73" s="144"/>
      <c r="C73" s="145"/>
      <c r="D73" s="558"/>
      <c r="E73" s="559"/>
      <c r="F73" s="558"/>
      <c r="G73" s="561"/>
    </row>
    <row r="74" spans="1:22">
      <c r="A74" s="393">
        <v>67</v>
      </c>
      <c r="B74" s="148" t="s">
        <v>213</v>
      </c>
      <c r="C74" s="145"/>
      <c r="D74" s="558"/>
      <c r="E74" s="559"/>
      <c r="F74" s="558"/>
      <c r="G74" s="561"/>
    </row>
    <row r="75" spans="1:22">
      <c r="A75" s="694">
        <v>68</v>
      </c>
      <c r="B75" s="146" t="s">
        <v>214</v>
      </c>
      <c r="C75" s="147" t="s">
        <v>215</v>
      </c>
      <c r="D75" s="560"/>
      <c r="E75" s="568">
        <v>892055.92999999993</v>
      </c>
      <c r="F75" s="560">
        <v>208638.59</v>
      </c>
      <c r="G75" s="569">
        <f t="shared" ref="G75:G83" si="35">SUM(E75:F75)</f>
        <v>1100694.52</v>
      </c>
      <c r="M75" s="370"/>
      <c r="P75" s="370">
        <f>+'Restate &amp; Pro Forma Wage Adjust'!Q27</f>
        <v>17990.035200000002</v>
      </c>
      <c r="U75" s="383">
        <f t="shared" ref="U75:U83" si="36">SUM(I75:T75)</f>
        <v>17990.035200000002</v>
      </c>
      <c r="V75" s="383">
        <f t="shared" ref="V75:V83" si="37">+G75+U75</f>
        <v>1118684.5552000001</v>
      </c>
    </row>
    <row r="76" spans="1:22">
      <c r="A76" s="393">
        <v>69</v>
      </c>
      <c r="B76" s="146" t="s">
        <v>216</v>
      </c>
      <c r="C76" s="147" t="s">
        <v>217</v>
      </c>
      <c r="D76" s="558"/>
      <c r="E76" s="568">
        <v>1106.0299999999988</v>
      </c>
      <c r="F76" s="560">
        <v>0</v>
      </c>
      <c r="G76" s="561">
        <f t="shared" si="35"/>
        <v>1106.0299999999988</v>
      </c>
      <c r="M76" s="370"/>
      <c r="U76" s="383">
        <f t="shared" si="36"/>
        <v>0</v>
      </c>
      <c r="V76" s="383">
        <f t="shared" si="37"/>
        <v>1106.0299999999988</v>
      </c>
    </row>
    <row r="77" spans="1:22">
      <c r="A77" s="694">
        <v>70</v>
      </c>
      <c r="B77" s="146" t="s">
        <v>218</v>
      </c>
      <c r="C77" s="147" t="s">
        <v>219</v>
      </c>
      <c r="D77" s="558"/>
      <c r="E77" s="568">
        <v>1610202.8900000001</v>
      </c>
      <c r="F77" s="560">
        <v>67297.100000000006</v>
      </c>
      <c r="G77" s="561">
        <f t="shared" si="35"/>
        <v>1677499.9900000002</v>
      </c>
      <c r="M77" s="370">
        <f>+'Restate &amp; Pro Forma Wage Adjust'!P53</f>
        <v>3799.8284999999996</v>
      </c>
      <c r="P77" s="370">
        <f>+'Restate &amp; Pro Forma Wage Adjust'!Q28+'Restate &amp; Pro Forma Wage Adjust'!Q53+'Restate &amp; Pro Forma Wage Adjust'!Q29</f>
        <v>16031.960154999997</v>
      </c>
      <c r="U77" s="383">
        <f t="shared" si="36"/>
        <v>19831.788654999997</v>
      </c>
      <c r="V77" s="383">
        <f t="shared" si="37"/>
        <v>1697331.7786550003</v>
      </c>
    </row>
    <row r="78" spans="1:22">
      <c r="A78" s="393">
        <v>71</v>
      </c>
      <c r="B78" s="567" t="s">
        <v>220</v>
      </c>
      <c r="C78" s="147" t="s">
        <v>195</v>
      </c>
      <c r="D78" s="560"/>
      <c r="E78" s="568">
        <v>73744.02</v>
      </c>
      <c r="F78" s="560">
        <v>0</v>
      </c>
      <c r="G78" s="569">
        <f t="shared" si="35"/>
        <v>73744.02</v>
      </c>
      <c r="M78" s="370">
        <f>+'Restate &amp; Pro Forma Wage Adjust'!P54</f>
        <v>409.60559999999998</v>
      </c>
      <c r="P78" s="370">
        <f>+'Restate &amp; Pro Forma Wage Adjust'!Q54</f>
        <v>1716.7645679999998</v>
      </c>
      <c r="U78" s="383">
        <f t="shared" si="36"/>
        <v>2126.3701679999999</v>
      </c>
      <c r="V78" s="383">
        <f t="shared" si="37"/>
        <v>75870.390167999998</v>
      </c>
    </row>
    <row r="79" spans="1:22">
      <c r="A79" s="694">
        <v>72</v>
      </c>
      <c r="B79" s="146" t="s">
        <v>221</v>
      </c>
      <c r="C79" s="147" t="s">
        <v>222</v>
      </c>
      <c r="D79" s="558"/>
      <c r="E79" s="568">
        <v>391998.68</v>
      </c>
      <c r="F79" s="558">
        <v>1029.1999999999971</v>
      </c>
      <c r="G79" s="561">
        <f t="shared" si="35"/>
        <v>393027.88</v>
      </c>
      <c r="M79" s="370">
        <f>+'Restate &amp; Pro Forma Wage Adjust'!P55</f>
        <v>2142.0381000000002</v>
      </c>
      <c r="P79" s="370">
        <f>+'Restate &amp; Pro Forma Wage Adjust'!Q30+'Restate &amp; Pro Forma Wage Adjust'!Q55</f>
        <v>7166.6949429999995</v>
      </c>
      <c r="U79" s="383">
        <f t="shared" si="36"/>
        <v>9308.7330430000002</v>
      </c>
      <c r="V79" s="383">
        <f t="shared" si="37"/>
        <v>402336.61304299999</v>
      </c>
    </row>
    <row r="80" spans="1:22">
      <c r="A80" s="393">
        <v>73</v>
      </c>
      <c r="B80" s="146" t="s">
        <v>223</v>
      </c>
      <c r="C80" s="147" t="s">
        <v>224</v>
      </c>
      <c r="D80" s="558"/>
      <c r="E80" s="568">
        <v>41236.550000000003</v>
      </c>
      <c r="F80" s="558">
        <v>5965.46</v>
      </c>
      <c r="G80" s="561">
        <f t="shared" si="35"/>
        <v>47202.01</v>
      </c>
      <c r="M80" s="370">
        <f>+'Restate &amp; Pro Forma Wage Adjust'!P56</f>
        <v>90.617699999999999</v>
      </c>
      <c r="P80" s="370">
        <f>+'Restate &amp; Pro Forma Wage Adjust'!Q56</f>
        <v>771.93893099999991</v>
      </c>
      <c r="U80" s="383">
        <f t="shared" si="36"/>
        <v>862.55663099999992</v>
      </c>
      <c r="V80" s="383">
        <f t="shared" si="37"/>
        <v>48064.566631000002</v>
      </c>
    </row>
    <row r="81" spans="1:22">
      <c r="A81" s="694">
        <v>74</v>
      </c>
      <c r="B81" s="146" t="s">
        <v>225</v>
      </c>
      <c r="C81" s="147" t="s">
        <v>107</v>
      </c>
      <c r="D81" s="558"/>
      <c r="E81" s="568">
        <v>1334268.1200000001</v>
      </c>
      <c r="F81" s="558">
        <v>194.89</v>
      </c>
      <c r="G81" s="561">
        <f t="shared" si="35"/>
        <v>1334463.01</v>
      </c>
      <c r="M81" s="370">
        <f>+'Restate &amp; Pro Forma Wage Adjust'!P31+'Restate &amp; Pro Forma Wage Adjust'!P57</f>
        <v>6120.2408999999998</v>
      </c>
      <c r="P81" s="370">
        <f>+'Restate &amp; Pro Forma Wage Adjust'!Q31+'Restate &amp; Pro Forma Wage Adjust'!Q57</f>
        <v>25006.675826999999</v>
      </c>
      <c r="U81" s="383">
        <f t="shared" si="36"/>
        <v>31126.916727</v>
      </c>
      <c r="V81" s="383">
        <f t="shared" si="37"/>
        <v>1365589.9267269999</v>
      </c>
    </row>
    <row r="82" spans="1:22">
      <c r="A82" s="393">
        <v>75</v>
      </c>
      <c r="B82" s="146" t="s">
        <v>226</v>
      </c>
      <c r="C82" s="147" t="s">
        <v>227</v>
      </c>
      <c r="D82" s="558"/>
      <c r="E82" s="568">
        <v>648444.97</v>
      </c>
      <c r="F82" s="558">
        <v>343720.76</v>
      </c>
      <c r="G82" s="561">
        <f t="shared" si="35"/>
        <v>992165.73</v>
      </c>
      <c r="M82" s="370">
        <f>+'Restate &amp; Pro Forma Wage Adjust'!P58</f>
        <v>5123.9760000000006</v>
      </c>
      <c r="P82" s="370">
        <f>+'Restate &amp; Pro Forma Wage Adjust'!Q58</f>
        <v>20849.390579999999</v>
      </c>
      <c r="U82" s="383">
        <f t="shared" si="36"/>
        <v>25973.366580000002</v>
      </c>
      <c r="V82" s="383">
        <f t="shared" si="37"/>
        <v>1018139.09658</v>
      </c>
    </row>
    <row r="83" spans="1:22">
      <c r="A83" s="694">
        <v>76</v>
      </c>
      <c r="B83" s="146" t="s">
        <v>228</v>
      </c>
      <c r="C83" s="147" t="s">
        <v>229</v>
      </c>
      <c r="D83" s="558"/>
      <c r="E83" s="568">
        <v>1036148.03</v>
      </c>
      <c r="F83" s="558">
        <v>65610.59</v>
      </c>
      <c r="G83" s="561">
        <f t="shared" si="35"/>
        <v>1101758.6200000001</v>
      </c>
      <c r="M83" s="370">
        <f>+'Restate &amp; Pro Forma Wage Adjust'!P59</f>
        <v>7487.6003999999994</v>
      </c>
      <c r="P83" s="370">
        <f>+'Restate &amp; Pro Forma Wage Adjust'!Q32+'Restate &amp; Pro Forma Wage Adjust'!Q59</f>
        <v>26326.138711999996</v>
      </c>
      <c r="U83" s="383">
        <f t="shared" si="36"/>
        <v>33813.739111999996</v>
      </c>
      <c r="V83" s="730">
        <f t="shared" si="37"/>
        <v>1135572.3591120001</v>
      </c>
    </row>
    <row r="84" spans="1:22">
      <c r="A84" s="393">
        <v>77</v>
      </c>
      <c r="B84" s="144"/>
      <c r="C84" s="581" t="s">
        <v>230</v>
      </c>
      <c r="D84" s="562"/>
      <c r="E84" s="762">
        <f t="shared" ref="E84:G84" si="38">SUM(E75:E83)</f>
        <v>6029205.2200000007</v>
      </c>
      <c r="F84" s="562">
        <f t="shared" si="38"/>
        <v>692456.59</v>
      </c>
      <c r="G84" s="564">
        <f t="shared" si="38"/>
        <v>6721661.8099999996</v>
      </c>
      <c r="I84" s="564">
        <f t="shared" ref="I84:P84" si="39">SUM(I75:I83)</f>
        <v>0</v>
      </c>
      <c r="J84" s="564">
        <f t="shared" si="39"/>
        <v>0</v>
      </c>
      <c r="K84" s="251">
        <f>SUM(K75:K83)</f>
        <v>0</v>
      </c>
      <c r="L84" s="564">
        <f>SUM(L75:L83)</f>
        <v>0</v>
      </c>
      <c r="M84" s="564">
        <f t="shared" ref="M84:N84" si="40">SUM(M75:M83)</f>
        <v>25173.907199999998</v>
      </c>
      <c r="N84" s="564">
        <f t="shared" si="40"/>
        <v>0</v>
      </c>
      <c r="O84" s="564">
        <f t="shared" si="39"/>
        <v>0</v>
      </c>
      <c r="P84" s="564">
        <f t="shared" si="39"/>
        <v>115859.598916</v>
      </c>
      <c r="Q84" s="564">
        <f>SUM(Q75:Q83)</f>
        <v>0</v>
      </c>
      <c r="R84" s="565">
        <f>SUM(R75:R83)</f>
        <v>0</v>
      </c>
      <c r="S84" s="564">
        <f t="shared" ref="S84:V84" si="41">SUM(S75:S83)</f>
        <v>0</v>
      </c>
      <c r="T84" s="564">
        <f t="shared" si="41"/>
        <v>0</v>
      </c>
      <c r="U84" s="564">
        <f t="shared" si="41"/>
        <v>141033.506116</v>
      </c>
      <c r="V84" s="564">
        <f t="shared" si="41"/>
        <v>6862695.3161160005</v>
      </c>
    </row>
    <row r="85" spans="1:22">
      <c r="A85" s="694">
        <v>78</v>
      </c>
      <c r="B85" s="148" t="s">
        <v>231</v>
      </c>
      <c r="C85" s="145"/>
      <c r="D85" s="380"/>
      <c r="E85" s="765">
        <f t="shared" ref="E85:G85" si="42">E72+E84</f>
        <v>17110118</v>
      </c>
      <c r="F85" s="380">
        <f t="shared" si="42"/>
        <v>3304161.7199999997</v>
      </c>
      <c r="G85" s="578">
        <f t="shared" si="42"/>
        <v>20414279.720000003</v>
      </c>
      <c r="I85" s="578">
        <f t="shared" ref="I85:O85" si="43">I72+I84</f>
        <v>0</v>
      </c>
      <c r="J85" s="578">
        <f t="shared" si="43"/>
        <v>0</v>
      </c>
      <c r="K85" s="640">
        <f>K72+K84</f>
        <v>0</v>
      </c>
      <c r="L85" s="578">
        <f>L72+L84</f>
        <v>0</v>
      </c>
      <c r="M85" s="578">
        <f t="shared" ref="M85:N85" si="44">M72+M84</f>
        <v>77164.839599999992</v>
      </c>
      <c r="N85" s="578">
        <f t="shared" si="44"/>
        <v>0</v>
      </c>
      <c r="O85" s="578">
        <f t="shared" si="43"/>
        <v>0</v>
      </c>
      <c r="P85" s="578">
        <f>P72+P84+P57</f>
        <v>368811.96778800001</v>
      </c>
      <c r="Q85" s="578">
        <f>Q72+Q84</f>
        <v>0</v>
      </c>
      <c r="R85" s="579">
        <f>R72+R84</f>
        <v>925749.91111111105</v>
      </c>
      <c r="S85" s="578">
        <f t="shared" ref="S85:V85" si="45">S72+S84</f>
        <v>0</v>
      </c>
      <c r="T85" s="578">
        <f t="shared" si="45"/>
        <v>0</v>
      </c>
      <c r="U85" s="578">
        <f t="shared" si="45"/>
        <v>1368471.1334991108</v>
      </c>
      <c r="V85" s="578">
        <f t="shared" si="45"/>
        <v>21782750.853499111</v>
      </c>
    </row>
    <row r="86" spans="1:22">
      <c r="A86" s="393">
        <v>79</v>
      </c>
      <c r="B86" s="144"/>
      <c r="C86" s="145"/>
      <c r="D86" s="558"/>
      <c r="E86" s="559"/>
      <c r="F86" s="558"/>
      <c r="G86" s="561"/>
    </row>
    <row r="87" spans="1:22">
      <c r="A87" s="694">
        <v>80</v>
      </c>
      <c r="B87" s="148" t="s">
        <v>232</v>
      </c>
      <c r="C87" s="145"/>
      <c r="D87" s="558"/>
      <c r="E87" s="559"/>
      <c r="F87" s="558"/>
      <c r="G87" s="561"/>
    </row>
    <row r="88" spans="1:22">
      <c r="A88" s="393">
        <v>81</v>
      </c>
      <c r="B88" s="146" t="s">
        <v>233</v>
      </c>
      <c r="C88" s="147" t="s">
        <v>234</v>
      </c>
      <c r="D88" s="558"/>
      <c r="E88" s="568">
        <v>996</v>
      </c>
      <c r="F88" s="558">
        <v>108519.03999999999</v>
      </c>
      <c r="G88" s="561">
        <f>SUM(E88:F88)</f>
        <v>109515.04</v>
      </c>
      <c r="P88" s="370">
        <f>+'Restate &amp; Pro Forma Wage Adjust'!Q33</f>
        <v>1879.0464000000002</v>
      </c>
      <c r="U88" s="383">
        <f>SUM(I88:T88)</f>
        <v>1879.0464000000002</v>
      </c>
      <c r="V88" s="383">
        <f>+G88+U88</f>
        <v>111394.0864</v>
      </c>
    </row>
    <row r="89" spans="1:22">
      <c r="A89" s="694">
        <v>82</v>
      </c>
      <c r="B89" s="146" t="s">
        <v>235</v>
      </c>
      <c r="C89" s="147" t="s">
        <v>236</v>
      </c>
      <c r="D89" s="558"/>
      <c r="E89" s="568">
        <v>413011.73</v>
      </c>
      <c r="F89" s="558">
        <v>157749.41</v>
      </c>
      <c r="G89" s="561">
        <f>SUM(E89:F89)</f>
        <v>570761.14</v>
      </c>
      <c r="M89" s="370">
        <f>+'Restate &amp; Pro Forma Wage Adjust'!P60</f>
        <v>2671.8998999999999</v>
      </c>
      <c r="P89" s="370">
        <f>+'Restate &amp; Pro Forma Wage Adjust'!Q34+'Restate &amp; Pro Forma Wage Adjust'!Q60</f>
        <v>12296.912296999999</v>
      </c>
      <c r="U89" s="383">
        <f>SUM(I89:T89)</f>
        <v>14968.812196999999</v>
      </c>
      <c r="V89" s="383">
        <f>+G89+U89</f>
        <v>585729.95219700004</v>
      </c>
    </row>
    <row r="90" spans="1:22">
      <c r="A90" s="393">
        <v>83</v>
      </c>
      <c r="B90" s="146" t="s">
        <v>237</v>
      </c>
      <c r="C90" s="147" t="s">
        <v>238</v>
      </c>
      <c r="D90" s="558"/>
      <c r="E90" s="568">
        <v>424249</v>
      </c>
      <c r="F90" s="558">
        <v>3656426.6</v>
      </c>
      <c r="G90" s="561">
        <f>SUM(E90:F90)</f>
        <v>4080675.6</v>
      </c>
      <c r="M90" s="370">
        <f>+'Restate &amp; Pro Forma Wage Adjust'!P61</f>
        <v>687.55470000000003</v>
      </c>
      <c r="P90" s="370">
        <f>+'Restate &amp; Pro Forma Wage Adjust'!Q35+'Restate &amp; Pro Forma Wage Adjust'!Q61</f>
        <v>49249.413140999997</v>
      </c>
      <c r="U90" s="383">
        <f>SUM(I90:T90)</f>
        <v>49936.967840999998</v>
      </c>
      <c r="V90" s="383">
        <f>+G90+U90</f>
        <v>4130612.5678409999</v>
      </c>
    </row>
    <row r="91" spans="1:22">
      <c r="A91" s="694">
        <v>84</v>
      </c>
      <c r="B91" s="146" t="s">
        <v>239</v>
      </c>
      <c r="C91" s="147" t="s">
        <v>23</v>
      </c>
      <c r="D91" s="558"/>
      <c r="E91" s="568">
        <v>964263.95</v>
      </c>
      <c r="F91" s="558">
        <v>29953.66</v>
      </c>
      <c r="G91" s="561">
        <f>SUM(E91:F91)</f>
        <v>994217.61</v>
      </c>
      <c r="I91" s="250">
        <f>+I28*' Conversion Factor'!C8</f>
        <v>-11674.481745569734</v>
      </c>
      <c r="J91" s="250"/>
      <c r="K91" s="250">
        <f>+K28*' Conversion Factor'!C8</f>
        <v>59987.818232679398</v>
      </c>
      <c r="L91" s="250">
        <f>+L28*' Conversion Factor'!$C$8</f>
        <v>3711.5366409017465</v>
      </c>
      <c r="M91" s="250"/>
      <c r="N91" s="250"/>
      <c r="O91" s="250"/>
      <c r="P91" s="250"/>
      <c r="Q91" s="250">
        <f>+Q28*' Conversion Factor'!$C$8</f>
        <v>0</v>
      </c>
      <c r="U91" s="383">
        <f>SUM(I91:T91)</f>
        <v>52024.873128011408</v>
      </c>
      <c r="V91" s="383">
        <f>+G91+U91</f>
        <v>1046242.4831280113</v>
      </c>
    </row>
    <row r="92" spans="1:22">
      <c r="A92" s="393">
        <v>85</v>
      </c>
      <c r="B92" s="146" t="s">
        <v>240</v>
      </c>
      <c r="C92" s="147" t="s">
        <v>241</v>
      </c>
      <c r="D92" s="558"/>
      <c r="E92" s="568">
        <v>0</v>
      </c>
      <c r="F92" s="558">
        <v>99081.279999999999</v>
      </c>
      <c r="G92" s="561">
        <f>SUM(E92:F92)</f>
        <v>99081.279999999999</v>
      </c>
      <c r="U92" s="383">
        <f>SUM(I92:T92)</f>
        <v>0</v>
      </c>
      <c r="V92" s="383">
        <f>+G92+U92</f>
        <v>99081.279999999999</v>
      </c>
    </row>
    <row r="93" spans="1:22">
      <c r="A93" s="694">
        <v>86</v>
      </c>
      <c r="B93" s="148" t="s">
        <v>242</v>
      </c>
      <c r="C93" s="145"/>
      <c r="D93" s="562"/>
      <c r="E93" s="762">
        <f t="shared" ref="E93:R93" si="46">SUM(E88:E92)</f>
        <v>1802520.68</v>
      </c>
      <c r="F93" s="562">
        <f t="shared" si="46"/>
        <v>4051729.99</v>
      </c>
      <c r="G93" s="564">
        <f t="shared" si="46"/>
        <v>5854250.6700000009</v>
      </c>
      <c r="I93" s="564">
        <f t="shared" si="46"/>
        <v>-11674.481745569734</v>
      </c>
      <c r="J93" s="564">
        <f t="shared" si="46"/>
        <v>0</v>
      </c>
      <c r="K93" s="251">
        <f>SUM(K88:K92)</f>
        <v>59987.818232679398</v>
      </c>
      <c r="L93" s="564">
        <f t="shared" si="46"/>
        <v>3711.5366409017465</v>
      </c>
      <c r="M93" s="564">
        <f t="shared" ref="M93:N93" si="47">SUM(M88:M92)</f>
        <v>3359.4546</v>
      </c>
      <c r="N93" s="564">
        <f t="shared" si="47"/>
        <v>0</v>
      </c>
      <c r="O93" s="564">
        <f t="shared" si="46"/>
        <v>0</v>
      </c>
      <c r="P93" s="731">
        <f>SUM(P88:P92)</f>
        <v>63425.371837999992</v>
      </c>
      <c r="Q93" s="564">
        <f>SUM(Q88:Q92)</f>
        <v>0</v>
      </c>
      <c r="R93" s="565">
        <f t="shared" si="46"/>
        <v>0</v>
      </c>
      <c r="S93" s="564">
        <f t="shared" ref="S93:V93" si="48">SUM(S88:S92)</f>
        <v>0</v>
      </c>
      <c r="T93" s="564">
        <f t="shared" si="48"/>
        <v>0</v>
      </c>
      <c r="U93" s="564">
        <f t="shared" si="48"/>
        <v>118809.6995660114</v>
      </c>
      <c r="V93" s="564">
        <f t="shared" si="48"/>
        <v>5973060.3695660112</v>
      </c>
    </row>
    <row r="94" spans="1:22">
      <c r="A94" s="393">
        <v>87</v>
      </c>
      <c r="B94" s="144"/>
      <c r="C94" s="145"/>
      <c r="D94" s="558"/>
      <c r="E94" s="559"/>
      <c r="F94" s="558"/>
      <c r="G94" s="561"/>
    </row>
    <row r="95" spans="1:22">
      <c r="A95" s="694">
        <v>88</v>
      </c>
      <c r="B95" s="148" t="s">
        <v>243</v>
      </c>
      <c r="C95" s="145"/>
      <c r="D95" s="558"/>
      <c r="E95" s="559"/>
      <c r="F95" s="558"/>
      <c r="G95" s="561"/>
    </row>
    <row r="96" spans="1:22">
      <c r="A96" s="393">
        <v>89</v>
      </c>
      <c r="B96" s="146" t="s">
        <v>244</v>
      </c>
      <c r="C96" s="147" t="s">
        <v>234</v>
      </c>
      <c r="D96" s="558"/>
      <c r="E96" s="568">
        <v>0</v>
      </c>
      <c r="F96" s="558" t="s">
        <v>722</v>
      </c>
      <c r="G96" s="561">
        <f>SUM(E96:F96)</f>
        <v>0</v>
      </c>
      <c r="U96" s="383">
        <f>SUM(I96:T96)</f>
        <v>0</v>
      </c>
      <c r="V96" s="383">
        <f>+G96+U96</f>
        <v>0</v>
      </c>
    </row>
    <row r="97" spans="1:22">
      <c r="A97" s="694">
        <v>90</v>
      </c>
      <c r="B97" s="146" t="s">
        <v>245</v>
      </c>
      <c r="C97" s="147" t="s">
        <v>246</v>
      </c>
      <c r="D97" s="558"/>
      <c r="E97" s="568">
        <v>6755862.1899999995</v>
      </c>
      <c r="F97" s="558">
        <v>157320.38</v>
      </c>
      <c r="G97" s="561">
        <f>SUM(E97:F97)</f>
        <v>6913182.5699999994</v>
      </c>
      <c r="L97" s="641"/>
      <c r="M97" s="641"/>
      <c r="N97" s="641"/>
      <c r="P97" s="370">
        <f>+'Restate &amp; Pro Forma Wage Adjust'!Q36</f>
        <v>9236.9068000000007</v>
      </c>
      <c r="U97" s="383">
        <f>SUM(I97:T97)</f>
        <v>9236.9068000000007</v>
      </c>
      <c r="V97" s="383">
        <f>+G97+U97</f>
        <v>6922419.4767999994</v>
      </c>
    </row>
    <row r="98" spans="1:22">
      <c r="A98" s="393">
        <v>91</v>
      </c>
      <c r="B98" s="146" t="s">
        <v>247</v>
      </c>
      <c r="C98" s="147" t="s">
        <v>248</v>
      </c>
      <c r="D98" s="558"/>
      <c r="E98" s="568">
        <v>28538.39</v>
      </c>
      <c r="F98" s="558">
        <v>99786.85</v>
      </c>
      <c r="G98" s="561">
        <f>SUM(E98:F98)</f>
        <v>128325.24</v>
      </c>
      <c r="U98" s="383">
        <f t="shared" ref="U98:U99" si="49">SUM(I98:T98)</f>
        <v>0</v>
      </c>
      <c r="V98" s="383">
        <f>+G98+U98</f>
        <v>128325.24</v>
      </c>
    </row>
    <row r="99" spans="1:22">
      <c r="A99" s="694">
        <v>92</v>
      </c>
      <c r="B99" s="582" t="s">
        <v>249</v>
      </c>
      <c r="C99" s="147" t="s">
        <v>250</v>
      </c>
      <c r="D99" s="560"/>
      <c r="E99" s="568">
        <v>0</v>
      </c>
      <c r="F99" s="558">
        <v>269961.65000000002</v>
      </c>
      <c r="G99" s="569">
        <f>SUM(E99:F99)</f>
        <v>269961.65000000002</v>
      </c>
      <c r="P99" s="370">
        <f>+'Restate &amp; Pro Forma Wage Adjust'!Q37</f>
        <v>4757.5731999999998</v>
      </c>
      <c r="U99" s="383">
        <f t="shared" si="49"/>
        <v>4757.5731999999998</v>
      </c>
      <c r="V99" s="383">
        <f>+G99+U99</f>
        <v>274719.22320000001</v>
      </c>
    </row>
    <row r="100" spans="1:22">
      <c r="A100" s="393">
        <v>93</v>
      </c>
      <c r="B100" s="566" t="s">
        <v>251</v>
      </c>
      <c r="C100" s="145"/>
      <c r="D100" s="562"/>
      <c r="E100" s="762">
        <f t="shared" ref="E100:R100" si="50">SUM(E96:E99)</f>
        <v>6784400.5799999991</v>
      </c>
      <c r="F100" s="562">
        <f t="shared" si="50"/>
        <v>527068.88</v>
      </c>
      <c r="G100" s="564">
        <f t="shared" si="50"/>
        <v>7311469.46</v>
      </c>
      <c r="I100" s="564">
        <f t="shared" si="50"/>
        <v>0</v>
      </c>
      <c r="J100" s="564">
        <f t="shared" si="50"/>
        <v>0</v>
      </c>
      <c r="K100" s="251">
        <f>SUM(K96:K99)</f>
        <v>0</v>
      </c>
      <c r="L100" s="564">
        <f t="shared" si="50"/>
        <v>0</v>
      </c>
      <c r="M100" s="564">
        <f t="shared" ref="M100:N100" si="51">SUM(M96:M99)</f>
        <v>0</v>
      </c>
      <c r="N100" s="564">
        <f t="shared" si="51"/>
        <v>0</v>
      </c>
      <c r="O100" s="564">
        <f t="shared" si="50"/>
        <v>0</v>
      </c>
      <c r="P100" s="564">
        <f>SUM(P96:P99)</f>
        <v>13994.48</v>
      </c>
      <c r="Q100" s="564">
        <f>SUM(Q96:Q99)</f>
        <v>0</v>
      </c>
      <c r="R100" s="565">
        <f t="shared" si="50"/>
        <v>0</v>
      </c>
      <c r="S100" s="564">
        <f t="shared" ref="S100:V100" si="52">SUM(S96:S99)</f>
        <v>0</v>
      </c>
      <c r="T100" s="564">
        <f t="shared" si="52"/>
        <v>0</v>
      </c>
      <c r="U100" s="564">
        <f t="shared" si="52"/>
        <v>13994.48</v>
      </c>
      <c r="V100" s="564">
        <f t="shared" si="52"/>
        <v>7325463.9399999995</v>
      </c>
    </row>
    <row r="101" spans="1:22">
      <c r="A101" s="694">
        <v>94</v>
      </c>
      <c r="B101" s="144"/>
      <c r="C101" s="145"/>
      <c r="D101" s="558"/>
      <c r="E101" s="559"/>
      <c r="F101" s="558"/>
      <c r="G101" s="561"/>
    </row>
    <row r="102" spans="1:22">
      <c r="A102" s="393">
        <v>95</v>
      </c>
      <c r="B102" s="148" t="s">
        <v>252</v>
      </c>
      <c r="C102" s="145"/>
      <c r="D102" s="558"/>
      <c r="E102" s="559"/>
      <c r="F102" s="558"/>
      <c r="G102" s="561"/>
    </row>
    <row r="103" spans="1:22">
      <c r="A103" s="694">
        <v>96</v>
      </c>
      <c r="B103" s="146" t="s">
        <v>253</v>
      </c>
      <c r="C103" s="147" t="s">
        <v>234</v>
      </c>
      <c r="D103" s="560"/>
      <c r="E103" s="568">
        <v>0</v>
      </c>
      <c r="F103" s="560">
        <v>0</v>
      </c>
      <c r="G103" s="569">
        <f>SUM(E103:F103)</f>
        <v>0</v>
      </c>
      <c r="U103" s="383">
        <f>SUM(I103:T103)</f>
        <v>0</v>
      </c>
      <c r="V103" s="383">
        <f>+G103+U103</f>
        <v>0</v>
      </c>
    </row>
    <row r="104" spans="1:22">
      <c r="A104" s="393">
        <v>97</v>
      </c>
      <c r="B104" s="146" t="s">
        <v>254</v>
      </c>
      <c r="C104" s="147" t="s">
        <v>255</v>
      </c>
      <c r="D104" s="560"/>
      <c r="E104" s="568">
        <v>0</v>
      </c>
      <c r="F104" s="560">
        <v>3181.46</v>
      </c>
      <c r="G104" s="569">
        <f>SUM(E104:F104)</f>
        <v>3181.46</v>
      </c>
      <c r="P104" s="370">
        <f>+'Restate &amp; Pro Forma Wage Adjust'!Q38</f>
        <v>53.44</v>
      </c>
      <c r="U104" s="383">
        <f>SUM(I104:T104)</f>
        <v>53.44</v>
      </c>
      <c r="V104" s="383">
        <f>+G104+U104</f>
        <v>3234.9</v>
      </c>
    </row>
    <row r="105" spans="1:22">
      <c r="A105" s="694">
        <v>98</v>
      </c>
      <c r="B105" s="146" t="s">
        <v>256</v>
      </c>
      <c r="C105" s="147" t="s">
        <v>57</v>
      </c>
      <c r="D105" s="560"/>
      <c r="E105" s="568">
        <v>1795</v>
      </c>
      <c r="F105" s="560">
        <v>432.23</v>
      </c>
      <c r="G105" s="569">
        <f>SUM(E105:F105)</f>
        <v>2227.23</v>
      </c>
      <c r="J105" s="378">
        <f>-'Advertising Adj'!F23</f>
        <v>-1977.2275</v>
      </c>
      <c r="U105" s="383">
        <f>SUM(I105:T105)</f>
        <v>-1977.2275</v>
      </c>
      <c r="V105" s="383">
        <f>+G105+U105</f>
        <v>250.00250000000005</v>
      </c>
    </row>
    <row r="106" spans="1:22">
      <c r="A106" s="393">
        <v>99</v>
      </c>
      <c r="B106" s="146" t="s">
        <v>257</v>
      </c>
      <c r="C106" s="147" t="s">
        <v>258</v>
      </c>
      <c r="D106" s="560"/>
      <c r="E106" s="568">
        <v>0</v>
      </c>
      <c r="F106" s="560">
        <v>0</v>
      </c>
      <c r="G106" s="569">
        <f>SUM(E106:F106)</f>
        <v>0</v>
      </c>
      <c r="U106" s="383">
        <f>SUM(I106:T106)</f>
        <v>0</v>
      </c>
      <c r="V106" s="383">
        <f>+G106+U106</f>
        <v>0</v>
      </c>
    </row>
    <row r="107" spans="1:22">
      <c r="A107" s="694">
        <v>100</v>
      </c>
      <c r="B107" s="148" t="s">
        <v>259</v>
      </c>
      <c r="C107" s="145"/>
      <c r="D107" s="563"/>
      <c r="E107" s="576">
        <f t="shared" ref="E107:R107" si="53">SUM(E103:E106)</f>
        <v>1795</v>
      </c>
      <c r="F107" s="563">
        <f t="shared" si="53"/>
        <v>3613.69</v>
      </c>
      <c r="G107" s="251">
        <f t="shared" si="53"/>
        <v>5408.6900000000005</v>
      </c>
      <c r="I107" s="564">
        <f t="shared" si="53"/>
        <v>0</v>
      </c>
      <c r="J107" s="564">
        <f t="shared" si="53"/>
        <v>-1977.2275</v>
      </c>
      <c r="K107" s="251">
        <f>SUM(K103:K106)</f>
        <v>0</v>
      </c>
      <c r="L107" s="564">
        <f t="shared" si="53"/>
        <v>0</v>
      </c>
      <c r="M107" s="564">
        <f t="shared" ref="M107:N107" si="54">SUM(M103:M106)</f>
        <v>0</v>
      </c>
      <c r="N107" s="564">
        <f t="shared" si="54"/>
        <v>0</v>
      </c>
      <c r="O107" s="564">
        <f t="shared" si="53"/>
        <v>0</v>
      </c>
      <c r="P107" s="564">
        <f t="shared" si="53"/>
        <v>53.44</v>
      </c>
      <c r="Q107" s="564">
        <f>SUM(Q103:Q106)</f>
        <v>0</v>
      </c>
      <c r="R107" s="565">
        <f t="shared" si="53"/>
        <v>0</v>
      </c>
      <c r="S107" s="251"/>
      <c r="T107" s="251"/>
      <c r="U107" s="251">
        <f>SUM(U103:U106)</f>
        <v>-1923.7874999999999</v>
      </c>
      <c r="V107" s="251">
        <f t="shared" ref="V107" si="55">SUM(V103:V106)</f>
        <v>3484.9025000000001</v>
      </c>
    </row>
    <row r="108" spans="1:22">
      <c r="A108" s="393">
        <v>101</v>
      </c>
      <c r="B108" s="144"/>
      <c r="C108" s="145"/>
      <c r="D108" s="558"/>
      <c r="E108" s="559"/>
      <c r="F108" s="558"/>
      <c r="G108" s="561"/>
    </row>
    <row r="109" spans="1:22">
      <c r="A109" s="694">
        <v>102</v>
      </c>
      <c r="B109" s="148" t="s">
        <v>260</v>
      </c>
      <c r="C109" s="145"/>
      <c r="D109" s="558"/>
      <c r="E109" s="559"/>
      <c r="F109" s="558"/>
      <c r="G109" s="561"/>
    </row>
    <row r="110" spans="1:22">
      <c r="A110" s="393">
        <v>103</v>
      </c>
      <c r="B110" s="146" t="s">
        <v>261</v>
      </c>
      <c r="C110" s="147" t="s">
        <v>262</v>
      </c>
      <c r="D110" s="558"/>
      <c r="E110" s="559">
        <v>0</v>
      </c>
      <c r="F110" s="558">
        <v>6618215.96</v>
      </c>
      <c r="G110" s="561">
        <f t="shared" ref="G110:G120" si="56">SUM(E110:F110)</f>
        <v>6618215.96</v>
      </c>
      <c r="M110" s="370">
        <f>+'Restate &amp; Pro Forma Wage Adjust'!P62</f>
        <v>0</v>
      </c>
      <c r="P110" s="370">
        <f>+'Restate &amp; Pro Forma Wage Adjust'!Q39+'Restate &amp; Pro Forma Wage Adjust'!Q62+'Restate &amp; Pro Forma Wage Adjust'!Q111</f>
        <v>55849.161760000003</v>
      </c>
      <c r="U110" s="383">
        <f t="shared" ref="U110:U120" si="57">SUM(I110:T110)</f>
        <v>55849.161760000003</v>
      </c>
      <c r="V110" s="383">
        <f t="shared" ref="V110:V120" si="58">+G110+U110</f>
        <v>6674065.1217599995</v>
      </c>
    </row>
    <row r="111" spans="1:22">
      <c r="A111" s="694">
        <v>104</v>
      </c>
      <c r="B111" s="146" t="s">
        <v>263</v>
      </c>
      <c r="C111" s="147" t="s">
        <v>264</v>
      </c>
      <c r="D111" s="558"/>
      <c r="E111" s="559">
        <v>11772.37</v>
      </c>
      <c r="F111" s="558">
        <v>3386224.98</v>
      </c>
      <c r="G111" s="561">
        <f t="shared" si="56"/>
        <v>3397997.35</v>
      </c>
      <c r="M111" s="370"/>
      <c r="P111" s="370">
        <f>+'Restate &amp; Pro Forma Wage Adjust'!Q40+'Restate &amp; Pro Forma Wage Adjust'!Q63</f>
        <v>18.278500000000001</v>
      </c>
      <c r="U111" s="383">
        <f t="shared" si="57"/>
        <v>18.278500000000001</v>
      </c>
      <c r="V111" s="383">
        <f t="shared" si="58"/>
        <v>3398015.6285000001</v>
      </c>
    </row>
    <row r="112" spans="1:22">
      <c r="A112" s="393">
        <v>105</v>
      </c>
      <c r="B112" s="146" t="s">
        <v>265</v>
      </c>
      <c r="C112" s="147" t="s">
        <v>266</v>
      </c>
      <c r="D112" s="558"/>
      <c r="E112" s="559">
        <v>40984.11000000003</v>
      </c>
      <c r="F112" s="558">
        <v>554640.89</v>
      </c>
      <c r="G112" s="561">
        <f t="shared" si="56"/>
        <v>595625</v>
      </c>
      <c r="U112" s="383">
        <f t="shared" si="57"/>
        <v>0</v>
      </c>
      <c r="V112" s="383">
        <f t="shared" si="58"/>
        <v>595625</v>
      </c>
    </row>
    <row r="113" spans="1:22">
      <c r="A113" s="694">
        <v>106</v>
      </c>
      <c r="B113" s="146" t="s">
        <v>267</v>
      </c>
      <c r="C113" s="147" t="s">
        <v>268</v>
      </c>
      <c r="D113" s="558"/>
      <c r="E113" s="568">
        <v>0</v>
      </c>
      <c r="F113" s="558">
        <v>82965.17</v>
      </c>
      <c r="G113" s="561">
        <f t="shared" si="56"/>
        <v>82965.17</v>
      </c>
      <c r="U113" s="383">
        <f t="shared" si="57"/>
        <v>0</v>
      </c>
      <c r="V113" s="383">
        <f t="shared" si="58"/>
        <v>82965.17</v>
      </c>
    </row>
    <row r="114" spans="1:22">
      <c r="A114" s="393">
        <v>107</v>
      </c>
      <c r="B114" s="146" t="s">
        <v>269</v>
      </c>
      <c r="C114" s="147" t="s">
        <v>270</v>
      </c>
      <c r="D114" s="558"/>
      <c r="E114" s="559">
        <v>548561.33000000007</v>
      </c>
      <c r="F114" s="558">
        <v>778178.95</v>
      </c>
      <c r="G114" s="561">
        <f t="shared" si="56"/>
        <v>1326740.28</v>
      </c>
      <c r="U114" s="383">
        <f t="shared" si="57"/>
        <v>0</v>
      </c>
      <c r="V114" s="383">
        <f t="shared" si="58"/>
        <v>1326740.28</v>
      </c>
    </row>
    <row r="115" spans="1:22">
      <c r="A115" s="694">
        <v>108</v>
      </c>
      <c r="B115" s="146" t="s">
        <v>271</v>
      </c>
      <c r="C115" s="147" t="s">
        <v>272</v>
      </c>
      <c r="D115" s="558"/>
      <c r="E115" s="559">
        <v>2943437.84</v>
      </c>
      <c r="F115" s="558">
        <v>2254570.4900000002</v>
      </c>
      <c r="G115" s="561">
        <f t="shared" si="56"/>
        <v>5198008.33</v>
      </c>
      <c r="M115" s="370">
        <f>+'Restate &amp; Pro Forma Wage Adjust'!P64</f>
        <v>0</v>
      </c>
      <c r="N115" s="378">
        <f>+'Executive Incentives'!B30</f>
        <v>-2430195.31</v>
      </c>
      <c r="P115" s="370">
        <f>+'Restate &amp; Pro Forma Wage Adjust'!Q41+'Restate &amp; Pro Forma Wage Adjust'!Q64</f>
        <v>776.24429999999995</v>
      </c>
      <c r="U115" s="383">
        <f t="shared" si="57"/>
        <v>-2429419.0657000002</v>
      </c>
      <c r="V115" s="383">
        <f t="shared" si="58"/>
        <v>2768589.2642999999</v>
      </c>
    </row>
    <row r="116" spans="1:22">
      <c r="A116" s="393">
        <v>109</v>
      </c>
      <c r="B116" s="146" t="s">
        <v>273</v>
      </c>
      <c r="C116" s="147" t="s">
        <v>274</v>
      </c>
      <c r="D116" s="560"/>
      <c r="E116" s="568">
        <v>113736.19</v>
      </c>
      <c r="F116" s="558">
        <v>0</v>
      </c>
      <c r="G116" s="569">
        <f t="shared" si="56"/>
        <v>113736.19</v>
      </c>
      <c r="U116" s="383">
        <f t="shared" si="57"/>
        <v>0</v>
      </c>
      <c r="V116" s="383">
        <f t="shared" si="58"/>
        <v>113736.19</v>
      </c>
    </row>
    <row r="117" spans="1:22">
      <c r="A117" s="694">
        <v>110</v>
      </c>
      <c r="B117" s="146" t="s">
        <v>275</v>
      </c>
      <c r="C117" s="147" t="s">
        <v>276</v>
      </c>
      <c r="D117" s="560"/>
      <c r="E117" s="559">
        <v>2440</v>
      </c>
      <c r="F117" s="558">
        <v>23295.65</v>
      </c>
      <c r="G117" s="569">
        <f t="shared" si="56"/>
        <v>25735.65</v>
      </c>
      <c r="J117" s="378">
        <f>-'Advertising Adj'!F160</f>
        <v>-25714.466148000007</v>
      </c>
      <c r="U117" s="383">
        <f t="shared" si="57"/>
        <v>-25714.466148000007</v>
      </c>
      <c r="V117" s="383">
        <f t="shared" si="58"/>
        <v>21.183851999994658</v>
      </c>
    </row>
    <row r="118" spans="1:22">
      <c r="A118" s="393">
        <v>111</v>
      </c>
      <c r="B118" s="146" t="s">
        <v>277</v>
      </c>
      <c r="C118" s="147" t="s">
        <v>278</v>
      </c>
      <c r="D118" s="558"/>
      <c r="E118" s="568">
        <v>206733.56999999998</v>
      </c>
      <c r="F118" s="558">
        <v>575154.72</v>
      </c>
      <c r="G118" s="561">
        <f t="shared" si="56"/>
        <v>781888.28999999992</v>
      </c>
      <c r="U118" s="383">
        <f t="shared" si="57"/>
        <v>0</v>
      </c>
      <c r="V118" s="383">
        <f t="shared" si="58"/>
        <v>781888.28999999992</v>
      </c>
    </row>
    <row r="119" spans="1:22">
      <c r="A119" s="694">
        <v>112</v>
      </c>
      <c r="B119" s="146" t="s">
        <v>279</v>
      </c>
      <c r="C119" s="147" t="s">
        <v>209</v>
      </c>
      <c r="D119" s="558"/>
      <c r="E119" s="559">
        <v>0</v>
      </c>
      <c r="F119" s="558">
        <v>1072996.2</v>
      </c>
      <c r="G119" s="561">
        <f t="shared" si="56"/>
        <v>1072996.2</v>
      </c>
      <c r="U119" s="383">
        <f t="shared" si="57"/>
        <v>0</v>
      </c>
      <c r="V119" s="383">
        <f t="shared" si="58"/>
        <v>1072996.2</v>
      </c>
    </row>
    <row r="120" spans="1:22">
      <c r="A120" s="393">
        <v>113</v>
      </c>
      <c r="B120" s="146" t="s">
        <v>280</v>
      </c>
      <c r="C120" s="147" t="s">
        <v>281</v>
      </c>
      <c r="D120" s="380"/>
      <c r="E120" s="765">
        <v>42192.83</v>
      </c>
      <c r="F120" s="380">
        <v>4794.2</v>
      </c>
      <c r="G120" s="578">
        <f t="shared" si="56"/>
        <v>46987.03</v>
      </c>
      <c r="M120" s="370">
        <f>+'Restate &amp; Pro Forma Wage Adjust'!P65</f>
        <v>39.050400000000003</v>
      </c>
      <c r="P120" s="370">
        <f>+'Restate &amp; Pro Forma Wage Adjust'!Q65</f>
        <v>77.868312000000003</v>
      </c>
      <c r="U120" s="383">
        <f t="shared" si="57"/>
        <v>116.918712</v>
      </c>
      <c r="V120" s="383">
        <f t="shared" si="58"/>
        <v>47103.948711999998</v>
      </c>
    </row>
    <row r="121" spans="1:22">
      <c r="A121" s="694">
        <v>114</v>
      </c>
      <c r="B121" s="144"/>
      <c r="C121" s="145"/>
      <c r="D121" s="558"/>
      <c r="E121" s="559">
        <f t="shared" ref="E121:P121" si="59">SUM(E110:E120)</f>
        <v>3909858.2399999998</v>
      </c>
      <c r="F121" s="558">
        <f t="shared" si="59"/>
        <v>15351037.209999999</v>
      </c>
      <c r="G121" s="561">
        <f t="shared" si="59"/>
        <v>19260895.449999999</v>
      </c>
      <c r="I121" s="561">
        <f t="shared" si="59"/>
        <v>0</v>
      </c>
      <c r="J121" s="561">
        <f t="shared" si="59"/>
        <v>-25714.466148000007</v>
      </c>
      <c r="K121" s="569">
        <f>SUM(K110:K120)</f>
        <v>0</v>
      </c>
      <c r="L121" s="561">
        <f t="shared" si="59"/>
        <v>0</v>
      </c>
      <c r="M121" s="642">
        <f>SUM(M110:M120)</f>
        <v>39.050400000000003</v>
      </c>
      <c r="N121" s="561">
        <f t="shared" ref="N121" si="60">SUM(N110:N120)</f>
        <v>-2430195.31</v>
      </c>
      <c r="O121" s="561">
        <f t="shared" si="59"/>
        <v>0</v>
      </c>
      <c r="P121" s="561">
        <f t="shared" si="59"/>
        <v>56721.552872</v>
      </c>
      <c r="Q121" s="561">
        <f>SUM(Q110:Q120)</f>
        <v>0</v>
      </c>
      <c r="R121" s="577"/>
      <c r="S121" s="561">
        <f t="shared" ref="S121:V121" si="61">SUM(S110:S120)</f>
        <v>0</v>
      </c>
      <c r="T121" s="561">
        <f t="shared" si="61"/>
        <v>0</v>
      </c>
      <c r="U121" s="561">
        <f t="shared" si="61"/>
        <v>-2399149.1728760004</v>
      </c>
      <c r="V121" s="561">
        <f t="shared" si="61"/>
        <v>16861746.277123995</v>
      </c>
    </row>
    <row r="122" spans="1:22">
      <c r="A122" s="393">
        <v>115</v>
      </c>
      <c r="B122" s="146" t="s">
        <v>282</v>
      </c>
      <c r="C122" s="147" t="s">
        <v>283</v>
      </c>
      <c r="D122" s="558"/>
      <c r="E122" s="559">
        <v>-91985.2</v>
      </c>
      <c r="F122" s="558">
        <v>-218797.07</v>
      </c>
      <c r="G122" s="561">
        <f>SUM(E122:F122)</f>
        <v>-310782.27</v>
      </c>
      <c r="U122" s="383">
        <f>SUM(I122:T122)</f>
        <v>0</v>
      </c>
      <c r="V122" s="383">
        <f>+G122+U122</f>
        <v>-310782.27</v>
      </c>
    </row>
    <row r="123" spans="1:22">
      <c r="A123" s="694">
        <v>116</v>
      </c>
      <c r="B123" s="148" t="s">
        <v>284</v>
      </c>
      <c r="C123" s="145"/>
      <c r="D123" s="562"/>
      <c r="E123" s="762">
        <f t="shared" ref="E123:P123" si="62">E121+E122</f>
        <v>3817873.0399999996</v>
      </c>
      <c r="F123" s="562">
        <f t="shared" si="62"/>
        <v>15132240.139999999</v>
      </c>
      <c r="G123" s="564">
        <f t="shared" si="62"/>
        <v>18950113.18</v>
      </c>
      <c r="I123" s="564">
        <f t="shared" si="62"/>
        <v>0</v>
      </c>
      <c r="J123" s="564">
        <f t="shared" si="62"/>
        <v>-25714.466148000007</v>
      </c>
      <c r="K123" s="251">
        <f>K121+K122</f>
        <v>0</v>
      </c>
      <c r="L123" s="564">
        <f t="shared" si="62"/>
        <v>0</v>
      </c>
      <c r="M123" s="564">
        <f t="shared" ref="M123:N123" si="63">M121+M122</f>
        <v>39.050400000000003</v>
      </c>
      <c r="N123" s="564">
        <f t="shared" si="63"/>
        <v>-2430195.31</v>
      </c>
      <c r="O123" s="564">
        <f t="shared" si="62"/>
        <v>0</v>
      </c>
      <c r="P123" s="564">
        <f t="shared" si="62"/>
        <v>56721.552872</v>
      </c>
      <c r="Q123" s="564">
        <f>Q121+Q122</f>
        <v>0</v>
      </c>
      <c r="R123" s="565"/>
      <c r="S123" s="564">
        <f t="shared" ref="S123:V123" si="64">S121+S122</f>
        <v>0</v>
      </c>
      <c r="T123" s="564">
        <f t="shared" si="64"/>
        <v>0</v>
      </c>
      <c r="U123" s="564">
        <f t="shared" si="64"/>
        <v>-2399149.1728760004</v>
      </c>
      <c r="V123" s="564">
        <f t="shared" si="64"/>
        <v>16550964.007123996</v>
      </c>
    </row>
    <row r="124" spans="1:22">
      <c r="A124" s="393">
        <v>117</v>
      </c>
      <c r="B124" s="144"/>
      <c r="C124" s="145"/>
      <c r="D124" s="558"/>
      <c r="E124" s="559"/>
      <c r="F124" s="558"/>
      <c r="G124" s="561"/>
    </row>
    <row r="125" spans="1:22" ht="16.5" thickBot="1">
      <c r="A125" s="694">
        <v>118</v>
      </c>
      <c r="B125" s="1037" t="s">
        <v>285</v>
      </c>
      <c r="C125" s="1038"/>
      <c r="D125" s="571">
        <f t="shared" ref="D125:V125" si="65">D85+D93+D100+D107+D123+D57</f>
        <v>0</v>
      </c>
      <c r="E125" s="764">
        <f>E85+E93+E100+E107+E123+E57</f>
        <v>29520155.969999999</v>
      </c>
      <c r="F125" s="571">
        <f t="shared" si="65"/>
        <v>23335393.859999999</v>
      </c>
      <c r="G125" s="572">
        <f t="shared" si="65"/>
        <v>52855549.829999998</v>
      </c>
      <c r="I125" s="572">
        <f>I85+I93+I100+I107+I123+I57</f>
        <v>-11674.481745569734</v>
      </c>
      <c r="J125" s="572">
        <f t="shared" si="65"/>
        <v>-27691.693648000008</v>
      </c>
      <c r="K125" s="572">
        <f t="shared" si="65"/>
        <v>59987.818232679398</v>
      </c>
      <c r="L125" s="572">
        <f t="shared" si="65"/>
        <v>3711.5366409017465</v>
      </c>
      <c r="M125" s="572">
        <f t="shared" si="65"/>
        <v>80563.344599999982</v>
      </c>
      <c r="N125" s="572">
        <f t="shared" si="65"/>
        <v>-2430195.31</v>
      </c>
      <c r="O125" s="572">
        <f t="shared" si="65"/>
        <v>0</v>
      </c>
      <c r="P125" s="572">
        <f t="shared" si="65"/>
        <v>506262.39749800001</v>
      </c>
      <c r="Q125" s="572">
        <f t="shared" si="65"/>
        <v>0</v>
      </c>
      <c r="R125" s="572">
        <f t="shared" si="65"/>
        <v>925749.91111111105</v>
      </c>
      <c r="S125" s="572">
        <f t="shared" si="65"/>
        <v>0</v>
      </c>
      <c r="T125" s="572">
        <f t="shared" si="65"/>
        <v>0</v>
      </c>
      <c r="U125" s="572">
        <f t="shared" si="65"/>
        <v>-896542.06231087842</v>
      </c>
      <c r="V125" s="572">
        <f t="shared" si="65"/>
        <v>51959007.767689116</v>
      </c>
    </row>
    <row r="126" spans="1:22" ht="16.5" thickTop="1">
      <c r="A126" s="393">
        <v>119</v>
      </c>
      <c r="B126" s="144"/>
      <c r="C126" s="145"/>
      <c r="D126" s="558"/>
      <c r="E126" s="559"/>
      <c r="F126" s="558"/>
      <c r="G126" s="561"/>
    </row>
    <row r="127" spans="1:22">
      <c r="A127" s="694">
        <v>120</v>
      </c>
      <c r="B127" s="148" t="s">
        <v>286</v>
      </c>
      <c r="C127" s="145"/>
      <c r="D127" s="558"/>
      <c r="E127" s="559"/>
      <c r="F127" s="558"/>
      <c r="G127" s="561"/>
    </row>
    <row r="128" spans="1:22">
      <c r="A128" s="393">
        <v>121</v>
      </c>
      <c r="B128" s="146" t="s">
        <v>287</v>
      </c>
      <c r="C128" s="147" t="s">
        <v>288</v>
      </c>
      <c r="D128" s="558"/>
      <c r="E128" s="559">
        <v>0</v>
      </c>
      <c r="F128" s="558">
        <v>24915117.609999999</v>
      </c>
      <c r="G128" s="561">
        <f t="shared" ref="G128:G134" si="66">SUM(E128:F128)</f>
        <v>24915117.609999999</v>
      </c>
      <c r="L128" s="827">
        <f>+'EOP Depreciation Expense Adj'!E58</f>
        <v>1910511.9494739994</v>
      </c>
      <c r="Q128" s="827">
        <f>+'Pro Forma Plant Additions'!E18-SUM('Exh. No. BGM-3 (1)'!W33:W34)*1000</f>
        <v>95306.739380771993</v>
      </c>
      <c r="U128" s="831">
        <f t="shared" ref="U128:U134" si="67">SUM(I128:T128)</f>
        <v>2005818.6888547714</v>
      </c>
      <c r="V128" s="831">
        <f t="shared" ref="V128:V134" si="68">+G128+U128</f>
        <v>26920936.298854772</v>
      </c>
    </row>
    <row r="129" spans="1:22">
      <c r="A129" s="694">
        <v>122</v>
      </c>
      <c r="B129" s="144"/>
      <c r="C129" s="147" t="s">
        <v>289</v>
      </c>
      <c r="D129" s="560"/>
      <c r="E129" s="559">
        <v>0</v>
      </c>
      <c r="F129" s="558">
        <v>0</v>
      </c>
      <c r="G129" s="569">
        <f t="shared" si="66"/>
        <v>0</v>
      </c>
      <c r="U129" s="383">
        <f t="shared" si="67"/>
        <v>0</v>
      </c>
      <c r="V129" s="383">
        <f t="shared" si="68"/>
        <v>0</v>
      </c>
    </row>
    <row r="130" spans="1:22">
      <c r="A130" s="393">
        <v>123</v>
      </c>
      <c r="B130" s="144"/>
      <c r="C130" s="147" t="s">
        <v>290</v>
      </c>
      <c r="D130" s="560"/>
      <c r="E130" s="559">
        <v>0</v>
      </c>
      <c r="F130" s="558">
        <v>0</v>
      </c>
      <c r="G130" s="569">
        <f t="shared" si="66"/>
        <v>0</v>
      </c>
      <c r="U130" s="383">
        <f t="shared" si="67"/>
        <v>0</v>
      </c>
      <c r="V130" s="383">
        <f t="shared" si="68"/>
        <v>0</v>
      </c>
    </row>
    <row r="131" spans="1:22">
      <c r="A131" s="694">
        <v>124</v>
      </c>
      <c r="B131" s="144"/>
      <c r="C131" s="147" t="s">
        <v>291</v>
      </c>
      <c r="D131" s="558"/>
      <c r="E131" s="568">
        <v>0</v>
      </c>
      <c r="F131" s="558">
        <v>0</v>
      </c>
      <c r="G131" s="561">
        <f t="shared" si="66"/>
        <v>0</v>
      </c>
      <c r="U131" s="383">
        <f t="shared" si="67"/>
        <v>0</v>
      </c>
      <c r="V131" s="383">
        <f t="shared" si="68"/>
        <v>0</v>
      </c>
    </row>
    <row r="132" spans="1:22">
      <c r="A132" s="393">
        <v>125</v>
      </c>
      <c r="B132" s="144"/>
      <c r="C132" s="147" t="s">
        <v>292</v>
      </c>
      <c r="D132" s="560"/>
      <c r="E132" s="559">
        <v>0</v>
      </c>
      <c r="F132" s="558">
        <v>0</v>
      </c>
      <c r="G132" s="569">
        <f t="shared" si="66"/>
        <v>0</v>
      </c>
      <c r="U132" s="383">
        <f t="shared" si="67"/>
        <v>0</v>
      </c>
      <c r="V132" s="383">
        <f t="shared" si="68"/>
        <v>0</v>
      </c>
    </row>
    <row r="133" spans="1:22">
      <c r="A133" s="694">
        <v>126</v>
      </c>
      <c r="B133" s="144"/>
      <c r="C133" s="147" t="s">
        <v>293</v>
      </c>
      <c r="D133" s="560"/>
      <c r="E133" s="559">
        <v>0</v>
      </c>
      <c r="F133" s="558">
        <v>0</v>
      </c>
      <c r="G133" s="569">
        <f t="shared" si="66"/>
        <v>0</v>
      </c>
      <c r="U133" s="383">
        <f t="shared" si="67"/>
        <v>0</v>
      </c>
      <c r="V133" s="383">
        <f t="shared" si="68"/>
        <v>0</v>
      </c>
    </row>
    <row r="134" spans="1:22">
      <c r="A134" s="393">
        <v>127</v>
      </c>
      <c r="B134" s="146" t="s">
        <v>294</v>
      </c>
      <c r="C134" s="147" t="s">
        <v>295</v>
      </c>
      <c r="D134" s="560"/>
      <c r="E134" s="559">
        <v>0</v>
      </c>
      <c r="F134" s="558">
        <v>0</v>
      </c>
      <c r="G134" s="569">
        <f t="shared" si="66"/>
        <v>0</v>
      </c>
      <c r="U134" s="383">
        <f t="shared" si="67"/>
        <v>0</v>
      </c>
      <c r="V134" s="383">
        <f t="shared" si="68"/>
        <v>0</v>
      </c>
    </row>
    <row r="135" spans="1:22">
      <c r="A135" s="694">
        <v>128</v>
      </c>
      <c r="B135" s="148" t="s">
        <v>296</v>
      </c>
      <c r="C135" s="145"/>
      <c r="D135" s="562"/>
      <c r="E135" s="762">
        <f t="shared" ref="E135:R135" si="69">SUM(E128:E134)</f>
        <v>0</v>
      </c>
      <c r="F135" s="562">
        <f t="shared" si="69"/>
        <v>24915117.609999999</v>
      </c>
      <c r="G135" s="564">
        <f t="shared" si="69"/>
        <v>24915117.609999999</v>
      </c>
      <c r="I135" s="564">
        <f>SUM(I128:I134)</f>
        <v>0</v>
      </c>
      <c r="J135" s="564">
        <f t="shared" si="69"/>
        <v>0</v>
      </c>
      <c r="K135" s="251">
        <f>SUM(K128:K134)</f>
        <v>0</v>
      </c>
      <c r="L135" s="828">
        <f t="shared" si="69"/>
        <v>1910511.9494739994</v>
      </c>
      <c r="M135" s="564">
        <f t="shared" ref="M135:N135" si="70">SUM(M128:M134)</f>
        <v>0</v>
      </c>
      <c r="N135" s="564">
        <f t="shared" si="70"/>
        <v>0</v>
      </c>
      <c r="O135" s="564">
        <f t="shared" si="69"/>
        <v>0</v>
      </c>
      <c r="P135" s="564">
        <f t="shared" si="69"/>
        <v>0</v>
      </c>
      <c r="Q135" s="828">
        <f t="shared" si="69"/>
        <v>95306.739380771993</v>
      </c>
      <c r="R135" s="565">
        <f t="shared" si="69"/>
        <v>0</v>
      </c>
      <c r="S135" s="564">
        <f t="shared" ref="S135:V135" si="71">SUM(S128:S134)</f>
        <v>0</v>
      </c>
      <c r="T135" s="564">
        <f t="shared" si="71"/>
        <v>0</v>
      </c>
      <c r="U135" s="828">
        <f t="shared" si="71"/>
        <v>2005818.6888547714</v>
      </c>
      <c r="V135" s="828">
        <f t="shared" si="71"/>
        <v>26920936.298854772</v>
      </c>
    </row>
    <row r="136" spans="1:22">
      <c r="A136" s="393">
        <v>129</v>
      </c>
      <c r="B136" s="144"/>
      <c r="C136" s="145"/>
      <c r="D136" s="558"/>
      <c r="E136" s="559"/>
      <c r="F136" s="558"/>
      <c r="G136" s="561"/>
    </row>
    <row r="137" spans="1:22">
      <c r="A137" s="694">
        <v>130</v>
      </c>
      <c r="B137" s="567" t="s">
        <v>297</v>
      </c>
      <c r="C137" s="145" t="s">
        <v>37</v>
      </c>
      <c r="D137" s="560"/>
      <c r="E137" s="568">
        <v>0</v>
      </c>
      <c r="F137" s="560">
        <v>0</v>
      </c>
      <c r="G137" s="569">
        <f>SUM(E137:F137)</f>
        <v>0</v>
      </c>
    </row>
    <row r="138" spans="1:22">
      <c r="A138" s="393">
        <v>131</v>
      </c>
      <c r="B138" s="144"/>
      <c r="C138" s="145"/>
      <c r="D138" s="558"/>
      <c r="E138" s="559"/>
      <c r="F138" s="558"/>
      <c r="G138" s="561"/>
      <c r="U138" s="383"/>
      <c r="V138" s="383"/>
    </row>
    <row r="139" spans="1:22">
      <c r="A139" s="694">
        <v>132</v>
      </c>
      <c r="B139" s="148" t="s">
        <v>298</v>
      </c>
      <c r="C139" s="145"/>
      <c r="D139" s="558"/>
      <c r="E139" s="559"/>
      <c r="F139" s="558"/>
      <c r="G139" s="561"/>
    </row>
    <row r="140" spans="1:22">
      <c r="A140" s="393">
        <v>133</v>
      </c>
      <c r="B140" s="146" t="s">
        <v>299</v>
      </c>
      <c r="C140" s="147" t="s">
        <v>300</v>
      </c>
      <c r="D140" s="380"/>
      <c r="E140" s="765">
        <v>3202159.25</v>
      </c>
      <c r="F140" s="380">
        <v>973855.27</v>
      </c>
      <c r="G140" s="578">
        <f>SUM(E140:F140)</f>
        <v>4176014.52</v>
      </c>
      <c r="M140" s="370">
        <f>+'Restate &amp; Pro Forma Wage Adjust'!P17</f>
        <v>6163.0958619000021</v>
      </c>
      <c r="P140" s="378">
        <f>+'Restate &amp; Pro Forma Wage Adjust'!Q17</f>
        <v>38480.021182106997</v>
      </c>
      <c r="Q140" s="378">
        <f>+'Pro Forma Plant Additions'!E12</f>
        <v>82445.795722386451</v>
      </c>
      <c r="U140" s="383">
        <f>SUM(I140:T140)</f>
        <v>127088.91276639345</v>
      </c>
      <c r="V140" s="383">
        <f>+G140+U140</f>
        <v>4303103.4327663938</v>
      </c>
    </row>
    <row r="141" spans="1:22">
      <c r="A141" s="694">
        <v>134</v>
      </c>
      <c r="B141" s="144"/>
      <c r="C141" s="145"/>
      <c r="D141" s="558"/>
      <c r="E141" s="559"/>
      <c r="F141" s="558"/>
      <c r="G141" s="561"/>
    </row>
    <row r="142" spans="1:22">
      <c r="A142" s="393">
        <v>135</v>
      </c>
      <c r="B142" s="148" t="s">
        <v>301</v>
      </c>
      <c r="C142" s="145"/>
      <c r="D142" s="558"/>
      <c r="E142" s="559"/>
      <c r="F142" s="558"/>
      <c r="G142" s="561"/>
    </row>
    <row r="143" spans="1:22">
      <c r="A143" s="694">
        <v>136</v>
      </c>
      <c r="B143" s="146" t="s">
        <v>302</v>
      </c>
      <c r="C143" s="147" t="s">
        <v>303</v>
      </c>
      <c r="D143" s="560"/>
      <c r="E143" s="568">
        <v>-10887316.07</v>
      </c>
      <c r="F143" s="560">
        <v>0</v>
      </c>
      <c r="G143" s="569">
        <f>+E143</f>
        <v>-10887316.07</v>
      </c>
      <c r="I143" s="378">
        <f>(+I54-SUM(I125,I135,I140))*' Conversion Factor'!$C$33</f>
        <v>-582714.75663879036</v>
      </c>
      <c r="J143" s="378">
        <f>(+J54-SUM(J125,J135,J140))*' Conversion Factor'!$C$33</f>
        <v>5815.255666080001</v>
      </c>
      <c r="K143" s="378">
        <f>(+K54-SUM(K125,K135,K140))*' Conversion Factor'!$C$33</f>
        <v>2994204.5963635934</v>
      </c>
      <c r="L143" s="827">
        <f>(+L54-SUM(L125,L135,L140))*' Conversion Factor'!$C$33</f>
        <v>-215951.56247954126</v>
      </c>
      <c r="M143" s="378">
        <f>(+M54-SUM(M125,M135,M140))*' Conversion Factor'!$C$33</f>
        <v>-18212.552496998997</v>
      </c>
      <c r="N143" s="378">
        <f>(+N54-SUM(N125,N135,N140))*' Conversion Factor'!$C$33</f>
        <v>510341.01510000002</v>
      </c>
      <c r="O143" s="827">
        <f>+'Interest Coord. Adj.'!H16</f>
        <v>444447.57275021065</v>
      </c>
      <c r="P143" s="378">
        <f>(+P54-SUM(P125,P135,P140))*' Conversion Factor'!$C$33</f>
        <v>-114395.90792282246</v>
      </c>
      <c r="Q143" s="827">
        <f>(+Q54-SUM(Q125,Q135,Q140))*' Conversion Factor'!$C$33</f>
        <v>-37328.03237166327</v>
      </c>
      <c r="R143" s="378">
        <f>(+R54-SUM(R125,R135,R140))*' Conversion Factor'!$C$33</f>
        <v>-194407.4813333333</v>
      </c>
      <c r="S143" s="583"/>
      <c r="U143" s="831">
        <f>SUM(I143:T143)</f>
        <v>2791798.1466367347</v>
      </c>
      <c r="V143" s="831">
        <f t="shared" ref="V143:V148" si="72">+G143+U143</f>
        <v>-8095517.9233632656</v>
      </c>
    </row>
    <row r="144" spans="1:22">
      <c r="A144" s="393">
        <v>137</v>
      </c>
      <c r="B144" s="146" t="s">
        <v>302</v>
      </c>
      <c r="C144" s="147" t="s">
        <v>304</v>
      </c>
      <c r="D144" s="560"/>
      <c r="E144" s="568">
        <v>0</v>
      </c>
      <c r="F144" s="560">
        <v>0</v>
      </c>
      <c r="G144" s="569">
        <f t="shared" ref="G144:G148" si="73">SUM(E144:F144)</f>
        <v>0</v>
      </c>
      <c r="U144" s="383">
        <f t="shared" ref="U144:U148" si="74">SUM(I144:T144)</f>
        <v>0</v>
      </c>
      <c r="V144" s="383">
        <f t="shared" si="72"/>
        <v>0</v>
      </c>
    </row>
    <row r="145" spans="1:22">
      <c r="A145" s="694">
        <v>138</v>
      </c>
      <c r="B145" s="146" t="s">
        <v>305</v>
      </c>
      <c r="C145" s="147" t="s">
        <v>306</v>
      </c>
      <c r="D145" s="560"/>
      <c r="E145" s="568">
        <v>32227813.57</v>
      </c>
      <c r="F145" s="560">
        <v>0</v>
      </c>
      <c r="G145" s="569">
        <f t="shared" si="73"/>
        <v>32227813.57</v>
      </c>
      <c r="U145" s="383">
        <f t="shared" si="74"/>
        <v>0</v>
      </c>
      <c r="V145" s="383">
        <f t="shared" si="72"/>
        <v>32227813.57</v>
      </c>
    </row>
    <row r="146" spans="1:22">
      <c r="A146" s="393">
        <v>139</v>
      </c>
      <c r="B146" s="146" t="s">
        <v>305</v>
      </c>
      <c r="C146" s="147" t="s">
        <v>307</v>
      </c>
      <c r="D146" s="560"/>
      <c r="E146" s="568">
        <v>0</v>
      </c>
      <c r="F146" s="560">
        <v>0</v>
      </c>
      <c r="G146" s="569">
        <f t="shared" si="73"/>
        <v>0</v>
      </c>
      <c r="U146" s="383">
        <f t="shared" si="74"/>
        <v>0</v>
      </c>
      <c r="V146" s="383">
        <f t="shared" si="72"/>
        <v>0</v>
      </c>
    </row>
    <row r="147" spans="1:22">
      <c r="A147" s="694">
        <v>140</v>
      </c>
      <c r="B147" s="146" t="s">
        <v>308</v>
      </c>
      <c r="C147" s="147" t="s">
        <v>309</v>
      </c>
      <c r="D147" s="560"/>
      <c r="E147" s="568">
        <v>-22532955.920000002</v>
      </c>
      <c r="F147" s="560">
        <v>0</v>
      </c>
      <c r="G147" s="569">
        <f t="shared" si="73"/>
        <v>-22532955.920000002</v>
      </c>
      <c r="U147" s="383">
        <f t="shared" si="74"/>
        <v>0</v>
      </c>
      <c r="V147" s="383">
        <f t="shared" si="72"/>
        <v>-22532955.920000002</v>
      </c>
    </row>
    <row r="148" spans="1:22">
      <c r="A148" s="393">
        <v>141</v>
      </c>
      <c r="B148" s="146" t="s">
        <v>310</v>
      </c>
      <c r="C148" s="147" t="s">
        <v>311</v>
      </c>
      <c r="D148" s="558"/>
      <c r="E148" s="568">
        <v>0</v>
      </c>
      <c r="F148" s="560">
        <v>-31741.09</v>
      </c>
      <c r="G148" s="569">
        <f t="shared" si="73"/>
        <v>-31741.09</v>
      </c>
      <c r="U148" s="383">
        <f t="shared" si="74"/>
        <v>0</v>
      </c>
      <c r="V148" s="383">
        <f t="shared" si="72"/>
        <v>-31741.09</v>
      </c>
    </row>
    <row r="149" spans="1:22">
      <c r="A149" s="694">
        <v>142</v>
      </c>
      <c r="B149" s="148" t="s">
        <v>312</v>
      </c>
      <c r="C149" s="145"/>
      <c r="D149" s="562"/>
      <c r="E149" s="762">
        <f t="shared" ref="E149:G149" si="75">SUM(E143:E148)</f>
        <v>-1192458.4200000018</v>
      </c>
      <c r="F149" s="562">
        <f t="shared" si="75"/>
        <v>-31741.09</v>
      </c>
      <c r="G149" s="564">
        <f t="shared" si="75"/>
        <v>-1224199.5100000019</v>
      </c>
      <c r="I149" s="564">
        <f t="shared" ref="I149:R149" si="76">SUM(I143:I148)</f>
        <v>-582714.75663879036</v>
      </c>
      <c r="J149" s="564">
        <f t="shared" si="76"/>
        <v>5815.255666080001</v>
      </c>
      <c r="K149" s="564">
        <f t="shared" si="76"/>
        <v>2994204.5963635934</v>
      </c>
      <c r="L149" s="828">
        <f t="shared" si="76"/>
        <v>-215951.56247954126</v>
      </c>
      <c r="M149" s="564">
        <f t="shared" si="76"/>
        <v>-18212.552496998997</v>
      </c>
      <c r="N149" s="564">
        <f t="shared" si="76"/>
        <v>510341.01510000002</v>
      </c>
      <c r="O149" s="828">
        <f t="shared" si="76"/>
        <v>444447.57275021065</v>
      </c>
      <c r="P149" s="564">
        <f t="shared" si="76"/>
        <v>-114395.90792282246</v>
      </c>
      <c r="Q149" s="828">
        <f t="shared" si="76"/>
        <v>-37328.03237166327</v>
      </c>
      <c r="R149" s="564">
        <f t="shared" si="76"/>
        <v>-194407.4813333333</v>
      </c>
      <c r="S149" s="564">
        <f t="shared" ref="S149:U149" si="77">SUM(S143:S148)</f>
        <v>0</v>
      </c>
      <c r="T149" s="564">
        <f t="shared" si="77"/>
        <v>0</v>
      </c>
      <c r="U149" s="828">
        <f t="shared" si="77"/>
        <v>2791798.1466367347</v>
      </c>
      <c r="V149" s="828">
        <f>SUM(V143:V148)</f>
        <v>1567598.6366367338</v>
      </c>
    </row>
    <row r="150" spans="1:22">
      <c r="A150" s="393">
        <v>143</v>
      </c>
      <c r="B150" s="148" t="s">
        <v>313</v>
      </c>
      <c r="C150" s="145"/>
      <c r="D150" s="558"/>
      <c r="E150" s="561">
        <f>E125+E135+E137+E140+E149</f>
        <v>31529856.799999997</v>
      </c>
      <c r="F150" s="561">
        <f>F125+F135+F137+F140+F149</f>
        <v>49192625.649999999</v>
      </c>
      <c r="G150" s="561">
        <f>G125+G135+G137+G140+G149</f>
        <v>80722482.449999988</v>
      </c>
      <c r="I150" s="561">
        <f t="shared" ref="I150:R150" si="78">I125+I135+I137+I140+I149</f>
        <v>-594389.2383843601</v>
      </c>
      <c r="J150" s="561">
        <f t="shared" si="78"/>
        <v>-21876.437981920008</v>
      </c>
      <c r="K150" s="561">
        <f t="shared" si="78"/>
        <v>3054192.4145962726</v>
      </c>
      <c r="L150" s="829">
        <f t="shared" si="78"/>
        <v>1698271.9236353601</v>
      </c>
      <c r="M150" s="561">
        <f t="shared" si="78"/>
        <v>68513.88796490099</v>
      </c>
      <c r="N150" s="561">
        <f t="shared" si="78"/>
        <v>-1919854.2949000001</v>
      </c>
      <c r="O150" s="829">
        <f t="shared" si="78"/>
        <v>444447.57275021065</v>
      </c>
      <c r="P150" s="561">
        <f t="shared" si="78"/>
        <v>430346.51075728453</v>
      </c>
      <c r="Q150" s="829">
        <f>Q125+Q135+Q137+Q140+Q149</f>
        <v>140424.50273149519</v>
      </c>
      <c r="R150" s="561">
        <f t="shared" si="78"/>
        <v>731342.42977777775</v>
      </c>
      <c r="S150" s="561"/>
      <c r="T150" s="561"/>
      <c r="U150" s="829">
        <f t="shared" ref="U150:V150" si="79">U85+U93+U100+U107+U123+U135+U137+U140+U149+U57+U53</f>
        <v>4552568.9159866218</v>
      </c>
      <c r="V150" s="829">
        <f t="shared" si="79"/>
        <v>105907334.29598661</v>
      </c>
    </row>
    <row r="151" spans="1:22" ht="16.5" thickBot="1">
      <c r="A151" s="694">
        <v>144</v>
      </c>
      <c r="B151" s="148" t="s">
        <v>314</v>
      </c>
      <c r="C151" s="145"/>
      <c r="D151" s="584">
        <f t="shared" ref="D151" si="80">D54-D150</f>
        <v>0</v>
      </c>
      <c r="E151" s="643">
        <f>+E54-E150</f>
        <v>69868896.579999968</v>
      </c>
      <c r="F151" s="643">
        <f>+F54-F150</f>
        <v>-49064511.710000001</v>
      </c>
      <c r="G151" s="643">
        <f>+G54-G150</f>
        <v>20804384.869999975</v>
      </c>
      <c r="I151" s="643">
        <f t="shared" ref="I151:R151" si="81">+I54-I150</f>
        <v>-2192117.4178316402</v>
      </c>
      <c r="J151" s="643">
        <f t="shared" si="81"/>
        <v>21876.437981920008</v>
      </c>
      <c r="K151" s="643">
        <f t="shared" si="81"/>
        <v>11263912.529177329</v>
      </c>
      <c r="L151" s="830">
        <f t="shared" si="81"/>
        <v>-812389.2112325601</v>
      </c>
      <c r="M151" s="643">
        <f t="shared" si="81"/>
        <v>-68513.88796490099</v>
      </c>
      <c r="N151" s="643">
        <f t="shared" si="81"/>
        <v>1919854.2949000001</v>
      </c>
      <c r="O151" s="830">
        <f t="shared" si="81"/>
        <v>-444447.57275021065</v>
      </c>
      <c r="P151" s="643">
        <f t="shared" si="81"/>
        <v>-430346.51075728453</v>
      </c>
      <c r="Q151" s="830">
        <f t="shared" si="81"/>
        <v>-140424.50273149519</v>
      </c>
      <c r="R151" s="643">
        <f t="shared" si="81"/>
        <v>-731342.42977777775</v>
      </c>
      <c r="S151" s="585">
        <f t="shared" ref="S151:T151" si="82">S54-S150</f>
        <v>0</v>
      </c>
      <c r="T151" s="585">
        <f t="shared" si="82"/>
        <v>0</v>
      </c>
      <c r="U151" s="832">
        <f>U28-U150</f>
        <v>8389317.3140133787</v>
      </c>
      <c r="V151" s="832">
        <f>V54-V150</f>
        <v>7035325.0239737779</v>
      </c>
    </row>
    <row r="152" spans="1:22" ht="16.5" thickTop="1">
      <c r="A152" s="393">
        <v>145</v>
      </c>
      <c r="B152" s="144"/>
      <c r="C152" s="145"/>
      <c r="D152" s="558"/>
      <c r="E152" s="559"/>
      <c r="F152" s="558"/>
      <c r="G152" s="561"/>
      <c r="V152" s="586"/>
    </row>
    <row r="153" spans="1:22">
      <c r="A153" s="694">
        <v>146</v>
      </c>
      <c r="B153" s="148" t="s">
        <v>315</v>
      </c>
      <c r="C153" s="145"/>
      <c r="D153" s="558"/>
      <c r="E153" s="559"/>
      <c r="F153" s="558"/>
      <c r="G153" s="561"/>
    </row>
    <row r="154" spans="1:22">
      <c r="A154" s="393">
        <v>147</v>
      </c>
      <c r="B154" s="146" t="s">
        <v>85</v>
      </c>
      <c r="C154" s="147" t="s">
        <v>316</v>
      </c>
      <c r="D154" s="558"/>
      <c r="E154" s="568">
        <v>0</v>
      </c>
      <c r="F154" s="558">
        <v>10728252.16</v>
      </c>
      <c r="G154" s="561">
        <f t="shared" ref="G154:G159" si="83">SUM(E154:F154)</f>
        <v>10728252.16</v>
      </c>
    </row>
    <row r="155" spans="1:22">
      <c r="A155" s="694">
        <v>148</v>
      </c>
      <c r="B155" s="146" t="s">
        <v>86</v>
      </c>
      <c r="C155" s="147" t="s">
        <v>87</v>
      </c>
      <c r="D155" s="558"/>
      <c r="E155" s="568">
        <v>0</v>
      </c>
      <c r="F155" s="558">
        <v>163903.29</v>
      </c>
      <c r="G155" s="561">
        <f t="shared" si="83"/>
        <v>163903.29</v>
      </c>
    </row>
    <row r="156" spans="1:22">
      <c r="A156" s="393">
        <v>149</v>
      </c>
      <c r="B156" s="146" t="s">
        <v>88</v>
      </c>
      <c r="C156" s="147" t="s">
        <v>89</v>
      </c>
      <c r="D156" s="558"/>
      <c r="E156" s="568">
        <v>0</v>
      </c>
      <c r="F156" s="558">
        <v>30949.200000000001</v>
      </c>
      <c r="G156" s="561">
        <f t="shared" si="83"/>
        <v>30949.200000000001</v>
      </c>
    </row>
    <row r="157" spans="1:22">
      <c r="A157" s="694">
        <v>150</v>
      </c>
      <c r="B157" s="146" t="s">
        <v>317</v>
      </c>
      <c r="C157" s="147" t="s">
        <v>318</v>
      </c>
      <c r="D157" s="558"/>
      <c r="E157" s="559">
        <v>16599.79</v>
      </c>
      <c r="F157" s="560">
        <v>27556.980000000003</v>
      </c>
      <c r="G157" s="561">
        <f t="shared" si="83"/>
        <v>44156.770000000004</v>
      </c>
    </row>
    <row r="158" spans="1:22">
      <c r="A158" s="393">
        <v>151</v>
      </c>
      <c r="B158" s="146" t="s">
        <v>319</v>
      </c>
      <c r="C158" s="147" t="s">
        <v>320</v>
      </c>
      <c r="D158" s="558"/>
      <c r="E158" s="568">
        <v>0</v>
      </c>
      <c r="F158" s="558">
        <v>916125.99</v>
      </c>
      <c r="G158" s="561">
        <f t="shared" si="83"/>
        <v>916125.99</v>
      </c>
    </row>
    <row r="159" spans="1:22">
      <c r="A159" s="694">
        <v>152</v>
      </c>
      <c r="B159" s="146" t="s">
        <v>321</v>
      </c>
      <c r="C159" s="147" t="s">
        <v>322</v>
      </c>
      <c r="D159" s="558"/>
      <c r="E159" s="559">
        <v>-556211.24</v>
      </c>
      <c r="F159" s="560">
        <v>-50804.21</v>
      </c>
      <c r="G159" s="561">
        <f t="shared" si="83"/>
        <v>-607015.44999999995</v>
      </c>
    </row>
    <row r="160" spans="1:22">
      <c r="A160" s="393">
        <v>153</v>
      </c>
      <c r="B160" s="148" t="s">
        <v>323</v>
      </c>
      <c r="C160" s="145"/>
      <c r="D160" s="562"/>
      <c r="E160" s="762">
        <f t="shared" ref="E160:G160" si="84">SUM(E154:E159)</f>
        <v>-539611.44999999995</v>
      </c>
      <c r="F160" s="562">
        <f t="shared" si="84"/>
        <v>11815983.409999998</v>
      </c>
      <c r="G160" s="564">
        <f t="shared" si="84"/>
        <v>11276371.959999999</v>
      </c>
    </row>
    <row r="161" spans="1:7">
      <c r="A161" s="694">
        <v>154</v>
      </c>
      <c r="B161" s="144"/>
      <c r="C161" s="145"/>
      <c r="D161" s="558"/>
      <c r="E161" s="559"/>
      <c r="F161" s="558"/>
      <c r="G161" s="561"/>
    </row>
    <row r="162" spans="1:7">
      <c r="A162" s="393">
        <v>155</v>
      </c>
      <c r="B162" s="148" t="s">
        <v>324</v>
      </c>
      <c r="C162" s="145"/>
      <c r="D162" s="558"/>
      <c r="E162" s="559"/>
      <c r="F162" s="558"/>
      <c r="G162" s="561"/>
    </row>
    <row r="163" spans="1:7">
      <c r="A163" s="694">
        <v>156</v>
      </c>
      <c r="B163" s="146" t="s">
        <v>325</v>
      </c>
      <c r="C163" s="147" t="s">
        <v>326</v>
      </c>
      <c r="D163" s="560"/>
      <c r="E163" s="568">
        <v>0</v>
      </c>
      <c r="F163" s="560">
        <v>0</v>
      </c>
      <c r="G163" s="569">
        <f t="shared" ref="G163:G172" si="85">SUM(E163:F163)</f>
        <v>0</v>
      </c>
    </row>
    <row r="164" spans="1:7">
      <c r="A164" s="393">
        <v>157</v>
      </c>
      <c r="B164" s="146" t="s">
        <v>327</v>
      </c>
      <c r="C164" s="147" t="s">
        <v>328</v>
      </c>
      <c r="D164" s="560"/>
      <c r="E164" s="568">
        <v>0</v>
      </c>
      <c r="F164" s="560">
        <v>0</v>
      </c>
      <c r="G164" s="569">
        <f t="shared" si="85"/>
        <v>0</v>
      </c>
    </row>
    <row r="165" spans="1:7">
      <c r="A165" s="694">
        <v>158</v>
      </c>
      <c r="B165" s="146" t="s">
        <v>329</v>
      </c>
      <c r="C165" s="147" t="s">
        <v>330</v>
      </c>
      <c r="D165" s="558"/>
      <c r="E165" s="568">
        <v>0</v>
      </c>
      <c r="F165" s="560">
        <v>6144.23</v>
      </c>
      <c r="G165" s="561">
        <f t="shared" si="85"/>
        <v>6144.23</v>
      </c>
    </row>
    <row r="166" spans="1:7">
      <c r="A166" s="393">
        <v>159</v>
      </c>
      <c r="B166" s="146" t="s">
        <v>331</v>
      </c>
      <c r="C166" s="147" t="s">
        <v>332</v>
      </c>
      <c r="D166" s="560"/>
      <c r="E166" s="568">
        <v>0</v>
      </c>
      <c r="F166" s="560">
        <v>0</v>
      </c>
      <c r="G166" s="569">
        <f t="shared" si="85"/>
        <v>0</v>
      </c>
    </row>
    <row r="167" spans="1:7">
      <c r="A167" s="694">
        <v>160</v>
      </c>
      <c r="B167" s="146" t="s">
        <v>333</v>
      </c>
      <c r="C167" s="147" t="s">
        <v>334</v>
      </c>
      <c r="D167" s="560"/>
      <c r="E167" s="568">
        <v>0</v>
      </c>
      <c r="F167" s="560">
        <v>0</v>
      </c>
      <c r="G167" s="569">
        <f t="shared" si="85"/>
        <v>0</v>
      </c>
    </row>
    <row r="168" spans="1:7">
      <c r="A168" s="393">
        <v>161</v>
      </c>
      <c r="B168" s="146" t="s">
        <v>335</v>
      </c>
      <c r="C168" s="147" t="s">
        <v>336</v>
      </c>
      <c r="D168" s="558"/>
      <c r="E168" s="568">
        <v>4632392.6399999997</v>
      </c>
      <c r="F168" s="560">
        <v>38052.92</v>
      </c>
      <c r="G168" s="561">
        <f t="shared" si="85"/>
        <v>4670445.5599999996</v>
      </c>
    </row>
    <row r="169" spans="1:7">
      <c r="A169" s="694">
        <v>162</v>
      </c>
      <c r="B169" s="146" t="s">
        <v>337</v>
      </c>
      <c r="C169" s="147" t="s">
        <v>338</v>
      </c>
      <c r="D169" s="560"/>
      <c r="E169" s="568">
        <v>-88.059999999997672</v>
      </c>
      <c r="F169" s="560">
        <v>0</v>
      </c>
      <c r="G169" s="569">
        <f t="shared" si="85"/>
        <v>-88.059999999997672</v>
      </c>
    </row>
    <row r="170" spans="1:7">
      <c r="A170" s="393">
        <v>163</v>
      </c>
      <c r="B170" s="587">
        <v>408.2</v>
      </c>
      <c r="C170" s="147" t="s">
        <v>339</v>
      </c>
      <c r="D170" s="560"/>
      <c r="E170" s="568">
        <v>-1072.1199999999999</v>
      </c>
      <c r="F170" s="560">
        <v>0</v>
      </c>
      <c r="G170" s="569">
        <f t="shared" si="85"/>
        <v>-1072.1199999999999</v>
      </c>
    </row>
    <row r="171" spans="1:7">
      <c r="A171" s="694">
        <v>164</v>
      </c>
      <c r="B171" s="146" t="s">
        <v>340</v>
      </c>
      <c r="C171" s="147" t="s">
        <v>341</v>
      </c>
      <c r="D171" s="558"/>
      <c r="E171" s="568">
        <v>0</v>
      </c>
      <c r="F171" s="560">
        <v>3558.630000000001</v>
      </c>
      <c r="G171" s="561">
        <f t="shared" si="85"/>
        <v>3558.630000000001</v>
      </c>
    </row>
    <row r="172" spans="1:7">
      <c r="A172" s="393">
        <v>165</v>
      </c>
      <c r="B172" s="146" t="s">
        <v>342</v>
      </c>
      <c r="C172" s="147" t="s">
        <v>542</v>
      </c>
      <c r="D172" s="558"/>
      <c r="E172" s="568">
        <v>0</v>
      </c>
      <c r="F172" s="560">
        <v>934.33</v>
      </c>
      <c r="G172" s="561">
        <f t="shared" si="85"/>
        <v>934.33</v>
      </c>
    </row>
    <row r="173" spans="1:7">
      <c r="A173" s="694">
        <v>166</v>
      </c>
      <c r="B173" s="148" t="s">
        <v>343</v>
      </c>
      <c r="C173" s="145"/>
      <c r="D173" s="562"/>
      <c r="E173" s="762">
        <f t="shared" ref="E173:G173" si="86">SUM(E163:E172)</f>
        <v>4631232.46</v>
      </c>
      <c r="F173" s="562">
        <f t="shared" si="86"/>
        <v>48690.11</v>
      </c>
      <c r="G173" s="564">
        <f t="shared" si="86"/>
        <v>4679922.57</v>
      </c>
    </row>
    <row r="174" spans="1:7">
      <c r="A174" s="393">
        <v>167</v>
      </c>
      <c r="B174" s="144"/>
      <c r="C174" s="145"/>
      <c r="D174" s="558"/>
      <c r="E174" s="559"/>
      <c r="F174" s="558"/>
      <c r="G174" s="561"/>
    </row>
    <row r="175" spans="1:7">
      <c r="A175" s="694">
        <v>168</v>
      </c>
      <c r="B175" s="148" t="s">
        <v>344</v>
      </c>
      <c r="C175" s="145"/>
      <c r="D175" s="558"/>
      <c r="E175" s="559"/>
      <c r="F175" s="558"/>
      <c r="G175" s="561"/>
    </row>
    <row r="176" spans="1:7">
      <c r="A176" s="393">
        <v>169</v>
      </c>
      <c r="B176" s="146" t="s">
        <v>345</v>
      </c>
      <c r="C176" s="147" t="s">
        <v>346</v>
      </c>
      <c r="D176" s="558"/>
      <c r="E176" s="559">
        <v>616283.49</v>
      </c>
      <c r="F176" s="558">
        <v>0</v>
      </c>
      <c r="G176" s="561">
        <f t="shared" ref="G176:G185" si="87">SUM(E176:F176)</f>
        <v>616283.49</v>
      </c>
    </row>
    <row r="177" spans="1:7">
      <c r="A177" s="694">
        <v>170</v>
      </c>
      <c r="B177" s="146" t="s">
        <v>345</v>
      </c>
      <c r="C177" s="147" t="s">
        <v>347</v>
      </c>
      <c r="D177" s="560"/>
      <c r="E177" s="568">
        <v>0</v>
      </c>
      <c r="F177" s="558">
        <v>0</v>
      </c>
      <c r="G177" s="569">
        <f t="shared" si="87"/>
        <v>0</v>
      </c>
    </row>
    <row r="178" spans="1:7">
      <c r="A178" s="393">
        <v>171</v>
      </c>
      <c r="B178" s="146" t="s">
        <v>348</v>
      </c>
      <c r="C178" s="147" t="s">
        <v>349</v>
      </c>
      <c r="D178" s="560"/>
      <c r="E178" s="568">
        <v>528076.93999999994</v>
      </c>
      <c r="F178" s="558">
        <v>0</v>
      </c>
      <c r="G178" s="569">
        <f t="shared" si="87"/>
        <v>528076.93999999994</v>
      </c>
    </row>
    <row r="179" spans="1:7">
      <c r="A179" s="694">
        <v>172</v>
      </c>
      <c r="B179" s="146" t="s">
        <v>350</v>
      </c>
      <c r="C179" s="147" t="s">
        <v>351</v>
      </c>
      <c r="D179" s="560"/>
      <c r="E179" s="568">
        <v>-41623.26</v>
      </c>
      <c r="F179" s="558">
        <v>0</v>
      </c>
      <c r="G179" s="569">
        <f t="shared" si="87"/>
        <v>-41623.26</v>
      </c>
    </row>
    <row r="180" spans="1:7">
      <c r="A180" s="393">
        <v>173</v>
      </c>
      <c r="B180" s="146" t="s">
        <v>352</v>
      </c>
      <c r="C180" s="147" t="s">
        <v>353</v>
      </c>
      <c r="D180" s="560"/>
      <c r="E180" s="568">
        <v>0</v>
      </c>
      <c r="F180" s="558">
        <v>0</v>
      </c>
      <c r="G180" s="569">
        <f t="shared" si="87"/>
        <v>0</v>
      </c>
    </row>
    <row r="181" spans="1:7">
      <c r="A181" s="694">
        <v>174</v>
      </c>
      <c r="B181" s="146" t="s">
        <v>354</v>
      </c>
      <c r="C181" s="147" t="s">
        <v>355</v>
      </c>
      <c r="D181" s="558"/>
      <c r="E181" s="559">
        <v>20051.07</v>
      </c>
      <c r="F181" s="558">
        <v>159831.21</v>
      </c>
      <c r="G181" s="561">
        <f t="shared" si="87"/>
        <v>179882.28</v>
      </c>
    </row>
    <row r="182" spans="1:7">
      <c r="A182" s="393">
        <v>175</v>
      </c>
      <c r="B182" s="146" t="s">
        <v>356</v>
      </c>
      <c r="C182" s="147" t="s">
        <v>357</v>
      </c>
      <c r="D182" s="560"/>
      <c r="E182" s="568">
        <v>0</v>
      </c>
      <c r="F182" s="558">
        <v>-588785.82999999996</v>
      </c>
      <c r="G182" s="569">
        <f t="shared" si="87"/>
        <v>-588785.82999999996</v>
      </c>
    </row>
    <row r="183" spans="1:7">
      <c r="A183" s="694">
        <v>176</v>
      </c>
      <c r="B183" s="146" t="s">
        <v>358</v>
      </c>
      <c r="C183" s="147" t="s">
        <v>359</v>
      </c>
      <c r="D183" s="560"/>
      <c r="E183" s="568">
        <v>0</v>
      </c>
      <c r="F183" s="558">
        <v>71.14</v>
      </c>
      <c r="G183" s="569">
        <f t="shared" si="87"/>
        <v>71.14</v>
      </c>
    </row>
    <row r="184" spans="1:7">
      <c r="A184" s="393">
        <v>177</v>
      </c>
      <c r="B184" s="146" t="s">
        <v>360</v>
      </c>
      <c r="C184" s="147" t="s">
        <v>361</v>
      </c>
      <c r="D184" s="558"/>
      <c r="E184" s="559">
        <v>0</v>
      </c>
      <c r="F184" s="558">
        <v>230210.98</v>
      </c>
      <c r="G184" s="561">
        <f t="shared" si="87"/>
        <v>230210.98</v>
      </c>
    </row>
    <row r="185" spans="1:7">
      <c r="A185" s="694">
        <v>178</v>
      </c>
      <c r="B185" s="146" t="s">
        <v>362</v>
      </c>
      <c r="C185" s="147" t="s">
        <v>363</v>
      </c>
      <c r="D185" s="560"/>
      <c r="E185" s="568">
        <v>1555.7800000000279</v>
      </c>
      <c r="F185" s="558">
        <v>0</v>
      </c>
      <c r="G185" s="569">
        <f t="shared" si="87"/>
        <v>1555.7800000000279</v>
      </c>
    </row>
    <row r="186" spans="1:7">
      <c r="A186" s="393">
        <v>179</v>
      </c>
      <c r="B186" s="148" t="s">
        <v>364</v>
      </c>
      <c r="C186" s="145"/>
      <c r="D186" s="562"/>
      <c r="E186" s="762">
        <f t="shared" ref="E186:G186" si="88">SUM(E176:E185)</f>
        <v>1124344.02</v>
      </c>
      <c r="F186" s="562">
        <f t="shared" si="88"/>
        <v>-198672.49999999997</v>
      </c>
      <c r="G186" s="564">
        <f t="shared" si="88"/>
        <v>925671.52</v>
      </c>
    </row>
    <row r="187" spans="1:7" ht="16.5" thickBot="1">
      <c r="A187" s="694">
        <v>180</v>
      </c>
      <c r="B187" s="588" t="s">
        <v>365</v>
      </c>
      <c r="C187" s="589"/>
      <c r="D187" s="584">
        <f>D151-D160-D173-D186</f>
        <v>0</v>
      </c>
      <c r="E187" s="768">
        <f>E151-E160+E173-E186</f>
        <v>73915396.469999969</v>
      </c>
      <c r="F187" s="584">
        <f t="shared" ref="F187:G187" si="89">F151-F160+F173-F186</f>
        <v>-60633132.509999998</v>
      </c>
      <c r="G187" s="585">
        <f t="shared" si="89"/>
        <v>13282263.959999977</v>
      </c>
    </row>
    <row r="188" spans="1:7" ht="16.5" thickTop="1"/>
  </sheetData>
  <mergeCells count="20">
    <mergeCell ref="B13:C13"/>
    <mergeCell ref="B125:C125"/>
    <mergeCell ref="B11:C12"/>
    <mergeCell ref="E11:G11"/>
    <mergeCell ref="E12:G12"/>
    <mergeCell ref="C1:G1"/>
    <mergeCell ref="C2:G2"/>
    <mergeCell ref="C3:G3"/>
    <mergeCell ref="C4:G4"/>
    <mergeCell ref="C5:G5"/>
    <mergeCell ref="K1:Q1"/>
    <mergeCell ref="K2:Q2"/>
    <mergeCell ref="K3:Q3"/>
    <mergeCell ref="K4:Q4"/>
    <mergeCell ref="K5:Q5"/>
    <mergeCell ref="S1:T1"/>
    <mergeCell ref="S2:T2"/>
    <mergeCell ref="S3:T3"/>
    <mergeCell ref="S4:T4"/>
    <mergeCell ref="S5:T5"/>
  </mergeCells>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20"/>
  <sheetViews>
    <sheetView view="pageBreakPreview" zoomScale="60" zoomScaleNormal="100" workbookViewId="0">
      <selection sqref="A1:I1"/>
    </sheetView>
  </sheetViews>
  <sheetFormatPr defaultColWidth="9.140625" defaultRowHeight="15.75"/>
  <cols>
    <col min="1" max="1" width="8.42578125" style="3" bestFit="1" customWidth="1"/>
    <col min="2" max="2" width="37.5703125" style="3" bestFit="1" customWidth="1"/>
    <col min="3" max="3" width="3.85546875" style="3" customWidth="1"/>
    <col min="4" max="4" width="22" style="3" bestFit="1" customWidth="1"/>
    <col min="5" max="6" width="9.140625" style="3"/>
    <col min="7" max="7" width="15.42578125" style="3" customWidth="1"/>
    <col min="8" max="8" width="22" style="3" bestFit="1" customWidth="1"/>
    <col min="9" max="16384" width="9.140625" style="3"/>
  </cols>
  <sheetData>
    <row r="1" spans="1:9">
      <c r="A1" s="1029" t="s">
        <v>60</v>
      </c>
      <c r="B1" s="1029"/>
      <c r="C1" s="1029"/>
      <c r="D1" s="1029"/>
      <c r="E1" s="1029"/>
      <c r="F1" s="1029"/>
      <c r="G1" s="1029"/>
      <c r="H1" s="1029"/>
      <c r="I1" s="1029"/>
    </row>
    <row r="2" spans="1:9">
      <c r="A2" s="1029" t="s">
        <v>1854</v>
      </c>
      <c r="B2" s="1029"/>
      <c r="C2" s="1029"/>
      <c r="D2" s="1029"/>
      <c r="E2" s="1029"/>
      <c r="F2" s="1029"/>
      <c r="G2" s="1029"/>
      <c r="H2" s="1029"/>
      <c r="I2" s="1029"/>
    </row>
    <row r="3" spans="1:9">
      <c r="A3" s="1029" t="s">
        <v>1291</v>
      </c>
      <c r="B3" s="1029"/>
      <c r="C3" s="1029"/>
      <c r="D3" s="1029"/>
      <c r="E3" s="1029"/>
      <c r="F3" s="1029"/>
      <c r="G3" s="1029"/>
      <c r="H3" s="1029"/>
      <c r="I3" s="1029"/>
    </row>
    <row r="4" spans="1:9">
      <c r="A4" s="1029" t="s">
        <v>41</v>
      </c>
      <c r="B4" s="1029"/>
      <c r="C4" s="1029"/>
      <c r="D4" s="1029"/>
      <c r="E4" s="1029"/>
      <c r="F4" s="1029"/>
      <c r="G4" s="1029"/>
      <c r="H4" s="1029"/>
      <c r="I4" s="1029"/>
    </row>
    <row r="5" spans="1:9">
      <c r="A5" s="1029" t="s">
        <v>1853</v>
      </c>
      <c r="B5" s="1029"/>
      <c r="C5" s="1029"/>
      <c r="D5" s="1029"/>
      <c r="E5" s="1029"/>
      <c r="F5" s="1029"/>
      <c r="G5" s="1029"/>
      <c r="H5" s="1029"/>
      <c r="I5" s="1029"/>
    </row>
    <row r="9" spans="1:9">
      <c r="A9" s="9" t="s">
        <v>795</v>
      </c>
      <c r="B9" s="5" t="s">
        <v>799</v>
      </c>
      <c r="C9" s="5"/>
      <c r="D9" s="5" t="s">
        <v>797</v>
      </c>
      <c r="H9" s="5" t="s">
        <v>798</v>
      </c>
    </row>
    <row r="10" spans="1:9">
      <c r="A10" s="5">
        <v>1</v>
      </c>
      <c r="D10" s="5" t="s">
        <v>367</v>
      </c>
      <c r="H10" s="5" t="s">
        <v>1819</v>
      </c>
    </row>
    <row r="11" spans="1:9">
      <c r="A11" s="5">
        <v>2</v>
      </c>
      <c r="D11" s="5" t="s">
        <v>368</v>
      </c>
      <c r="H11" s="5" t="s">
        <v>368</v>
      </c>
    </row>
    <row r="12" spans="1:9">
      <c r="A12" s="5">
        <v>3</v>
      </c>
      <c r="D12" s="18" t="s">
        <v>1856</v>
      </c>
      <c r="E12" s="16"/>
      <c r="F12" s="16"/>
      <c r="G12" s="16"/>
      <c r="H12" s="18" t="s">
        <v>1856</v>
      </c>
    </row>
    <row r="13" spans="1:9">
      <c r="A13" s="5">
        <v>4</v>
      </c>
      <c r="B13" s="3" t="s">
        <v>953</v>
      </c>
      <c r="D13" s="378">
        <f>+'Plant in Serv &amp; Accum Depr'!AF165</f>
        <v>835867891.49633491</v>
      </c>
      <c r="E13" s="16" t="s">
        <v>1002</v>
      </c>
      <c r="F13" s="16"/>
      <c r="G13" s="16"/>
      <c r="H13" s="378">
        <f>+'Plant in Serv &amp; Accum Depr'!AD165</f>
        <v>866945220.73952997</v>
      </c>
    </row>
    <row r="14" spans="1:9">
      <c r="A14" s="5">
        <v>5</v>
      </c>
      <c r="B14" s="3" t="s">
        <v>954</v>
      </c>
      <c r="D14" s="413">
        <f>-'Plant in Serv &amp; Accum Depr'!AF171</f>
        <v>-389781047.94520426</v>
      </c>
      <c r="E14" s="16" t="s">
        <v>1002</v>
      </c>
      <c r="F14" s="16"/>
      <c r="G14" s="16"/>
      <c r="H14" s="413">
        <f>-'Plant in Serv &amp; Accum Depr'!AD171</f>
        <v>-397219164.69433802</v>
      </c>
    </row>
    <row r="15" spans="1:9">
      <c r="A15" s="5">
        <v>6</v>
      </c>
      <c r="B15" s="3" t="s">
        <v>366</v>
      </c>
      <c r="D15" s="149">
        <f>+D13+D14</f>
        <v>446086843.55113065</v>
      </c>
      <c r="E15" s="16"/>
      <c r="F15" s="16"/>
      <c r="G15" s="16"/>
      <c r="H15" s="149">
        <f>+H13+H14</f>
        <v>469726056.04519194</v>
      </c>
    </row>
    <row r="16" spans="1:9">
      <c r="A16" s="5">
        <v>7</v>
      </c>
      <c r="B16" s="3" t="s">
        <v>955</v>
      </c>
      <c r="D16" s="149">
        <f>+'Adv for Const. &amp; Def Tax'!AX23</f>
        <v>-3800412.8362500002</v>
      </c>
      <c r="E16" s="16" t="s">
        <v>1003</v>
      </c>
      <c r="F16" s="16"/>
      <c r="G16" s="16"/>
      <c r="H16" s="149">
        <f>+'Adv for Const. &amp; Def Tax'!AU23</f>
        <v>-3755550.64</v>
      </c>
    </row>
    <row r="17" spans="1:8">
      <c r="A17" s="5">
        <v>8</v>
      </c>
      <c r="B17" s="3" t="s">
        <v>956</v>
      </c>
      <c r="D17" s="149">
        <f>+'Adv for Const. &amp; Def Tax'!AX43</f>
        <v>-75625049.641666636</v>
      </c>
      <c r="E17" s="16" t="s">
        <v>1003</v>
      </c>
      <c r="F17" s="16"/>
      <c r="G17" s="16"/>
      <c r="H17" s="149">
        <f>+'Adv for Const. &amp; Def Tax'!AU43</f>
        <v>-77673011.209999993</v>
      </c>
    </row>
    <row r="18" spans="1:8">
      <c r="A18" s="5">
        <v>9</v>
      </c>
      <c r="B18" s="3" t="s">
        <v>957</v>
      </c>
      <c r="D18" s="626">
        <f>+' Working Capital (AMA)'!Y708</f>
        <v>7565010.5869378978</v>
      </c>
      <c r="E18" s="16" t="s">
        <v>1004</v>
      </c>
      <c r="F18" s="16"/>
      <c r="G18" s="16"/>
      <c r="H18" s="626">
        <f>+D18</f>
        <v>7565010.5869378978</v>
      </c>
    </row>
    <row r="19" spans="1:8">
      <c r="A19" s="5">
        <v>10</v>
      </c>
      <c r="B19" s="3" t="s">
        <v>958</v>
      </c>
      <c r="D19" s="627">
        <f>+D15+D16+D17+D18</f>
        <v>374226391.6601519</v>
      </c>
      <c r="E19" s="16"/>
      <c r="F19" s="16"/>
      <c r="G19" s="16"/>
      <c r="H19" s="627">
        <f>+H15+H16+H17+H18</f>
        <v>395862504.78212988</v>
      </c>
    </row>
    <row r="20" spans="1:8">
      <c r="D20" s="16"/>
      <c r="E20" s="16"/>
      <c r="F20" s="16"/>
      <c r="G20" s="16"/>
      <c r="H20" s="16"/>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I171"/>
  <sheetViews>
    <sheetView view="pageBreakPreview" zoomScale="73" zoomScaleNormal="30" zoomScaleSheetLayoutView="73" workbookViewId="0">
      <selection sqref="A1:L1"/>
    </sheetView>
  </sheetViews>
  <sheetFormatPr defaultColWidth="9.140625" defaultRowHeight="15.75"/>
  <cols>
    <col min="1" max="1" width="9.28515625" style="393" bestFit="1" customWidth="1"/>
    <col min="2" max="2" width="17.7109375" style="16" customWidth="1"/>
    <col min="3" max="3" width="44" style="16" bestFit="1" customWidth="1"/>
    <col min="4" max="4" width="19.28515625" style="16" customWidth="1"/>
    <col min="5" max="5" width="20.28515625" style="16" bestFit="1" customWidth="1"/>
    <col min="6" max="6" width="20.140625" style="16" bestFit="1" customWidth="1"/>
    <col min="7" max="7" width="20.5703125" style="16" bestFit="1" customWidth="1"/>
    <col min="8" max="8" width="18.7109375" style="16" bestFit="1" customWidth="1"/>
    <col min="9" max="9" width="20.5703125" style="16" bestFit="1" customWidth="1"/>
    <col min="10" max="10" width="18.85546875" style="16" bestFit="1" customWidth="1"/>
    <col min="11" max="11" width="20.5703125" style="16" bestFit="1" customWidth="1"/>
    <col min="12" max="13" width="19.5703125" style="16" bestFit="1" customWidth="1"/>
    <col min="14" max="14" width="18.85546875" style="16" bestFit="1" customWidth="1"/>
    <col min="15" max="15" width="19.5703125" style="16" bestFit="1" customWidth="1"/>
    <col min="16" max="16" width="19.85546875" style="16" bestFit="1" customWidth="1"/>
    <col min="17" max="17" width="19.5703125" style="16" bestFit="1" customWidth="1"/>
    <col min="18" max="18" width="18.7109375" style="16" bestFit="1" customWidth="1"/>
    <col min="19" max="19" width="19.5703125" style="16" bestFit="1" customWidth="1"/>
    <col min="20" max="20" width="18.140625" style="16" bestFit="1" customWidth="1"/>
    <col min="21" max="21" width="19.5703125" style="16" bestFit="1" customWidth="1"/>
    <col min="22" max="22" width="19.140625" style="16" bestFit="1" customWidth="1"/>
    <col min="23" max="23" width="19.5703125" style="16" bestFit="1" customWidth="1"/>
    <col min="24" max="24" width="20.42578125" style="16" bestFit="1" customWidth="1"/>
    <col min="25" max="25" width="20.28515625" style="16" bestFit="1" customWidth="1"/>
    <col min="26" max="26" width="19.28515625" style="16" bestFit="1" customWidth="1"/>
    <col min="27" max="27" width="20.28515625" style="16" bestFit="1" customWidth="1"/>
    <col min="28" max="28" width="19.5703125" style="16" bestFit="1" customWidth="1"/>
    <col min="29" max="29" width="20.28515625" style="16" bestFit="1" customWidth="1"/>
    <col min="30" max="30" width="19.140625" style="16" bestFit="1" customWidth="1"/>
    <col min="31" max="31" width="25.5703125" style="16" customWidth="1"/>
    <col min="32" max="32" width="34.5703125" style="16" bestFit="1" customWidth="1"/>
    <col min="33" max="16384" width="9.140625" style="16"/>
  </cols>
  <sheetData>
    <row r="1" spans="1:35">
      <c r="A1" s="1029" t="s">
        <v>60</v>
      </c>
      <c r="B1" s="1029"/>
      <c r="C1" s="1029"/>
      <c r="D1" s="1029"/>
      <c r="E1" s="1029"/>
      <c r="F1" s="1029"/>
      <c r="G1" s="1029"/>
      <c r="H1" s="1029"/>
      <c r="I1" s="1029"/>
      <c r="J1" s="1029"/>
      <c r="K1" s="1029"/>
      <c r="L1" s="1029"/>
      <c r="M1" s="1029" t="s">
        <v>60</v>
      </c>
      <c r="N1" s="1029"/>
      <c r="O1" s="1029"/>
      <c r="P1" s="1029"/>
      <c r="Q1" s="1029"/>
      <c r="R1" s="1029"/>
      <c r="S1" s="1029"/>
      <c r="T1" s="1029"/>
      <c r="U1" s="1029"/>
      <c r="V1" s="1029"/>
      <c r="W1" s="1029"/>
      <c r="X1" s="1029"/>
      <c r="Y1" s="1029" t="s">
        <v>60</v>
      </c>
      <c r="Z1" s="1029"/>
      <c r="AA1" s="1029"/>
      <c r="AB1" s="1029"/>
      <c r="AC1" s="1029"/>
      <c r="AD1" s="1029"/>
      <c r="AE1" s="1029"/>
      <c r="AF1" s="1029"/>
      <c r="AG1" s="2"/>
      <c r="AH1" s="2"/>
      <c r="AI1" s="2"/>
    </row>
    <row r="2" spans="1:35">
      <c r="A2" s="1029" t="s">
        <v>1854</v>
      </c>
      <c r="B2" s="1029"/>
      <c r="C2" s="1029"/>
      <c r="D2" s="1029"/>
      <c r="E2" s="1029"/>
      <c r="F2" s="1029"/>
      <c r="G2" s="1029"/>
      <c r="H2" s="1029"/>
      <c r="I2" s="1029"/>
      <c r="J2" s="1029"/>
      <c r="K2" s="1029"/>
      <c r="L2" s="1029"/>
      <c r="M2" s="1029" t="str">
        <f>+A2</f>
        <v>UG 20_____</v>
      </c>
      <c r="N2" s="1029"/>
      <c r="O2" s="1029"/>
      <c r="P2" s="1029"/>
      <c r="Q2" s="1029"/>
      <c r="R2" s="1029"/>
      <c r="S2" s="1029"/>
      <c r="T2" s="1029"/>
      <c r="U2" s="1029"/>
      <c r="V2" s="1029"/>
      <c r="W2" s="1029"/>
      <c r="X2" s="1029"/>
      <c r="Y2" s="1029" t="str">
        <f>+M2</f>
        <v>UG 20_____</v>
      </c>
      <c r="Z2" s="1029"/>
      <c r="AA2" s="1029"/>
      <c r="AB2" s="1029"/>
      <c r="AC2" s="1029"/>
      <c r="AD2" s="1029"/>
      <c r="AE2" s="1029"/>
      <c r="AF2" s="1029"/>
      <c r="AG2" s="2"/>
      <c r="AH2" s="2"/>
      <c r="AI2" s="2"/>
    </row>
    <row r="3" spans="1:35">
      <c r="A3" s="1029" t="s">
        <v>1342</v>
      </c>
      <c r="B3" s="1029"/>
      <c r="C3" s="1029"/>
      <c r="D3" s="1029"/>
      <c r="E3" s="1029"/>
      <c r="F3" s="1029"/>
      <c r="G3" s="1029"/>
      <c r="H3" s="1029"/>
      <c r="I3" s="1029"/>
      <c r="J3" s="1029"/>
      <c r="K3" s="1029"/>
      <c r="L3" s="1029"/>
      <c r="M3" s="1029" t="str">
        <f>+A3</f>
        <v>MCP WP-1.3</v>
      </c>
      <c r="N3" s="1029"/>
      <c r="O3" s="1029"/>
      <c r="P3" s="1029"/>
      <c r="Q3" s="1029"/>
      <c r="R3" s="1029"/>
      <c r="S3" s="1029"/>
      <c r="T3" s="1029"/>
      <c r="U3" s="1029"/>
      <c r="V3" s="1029"/>
      <c r="W3" s="1029"/>
      <c r="X3" s="1029"/>
      <c r="Y3" s="1029" t="str">
        <f>+M3</f>
        <v>MCP WP-1.3</v>
      </c>
      <c r="Z3" s="1029"/>
      <c r="AA3" s="1029"/>
      <c r="AB3" s="1029"/>
      <c r="AC3" s="1029"/>
      <c r="AD3" s="1029"/>
      <c r="AE3" s="1029"/>
      <c r="AF3" s="1029"/>
      <c r="AG3" s="2"/>
      <c r="AH3" s="2"/>
      <c r="AI3" s="2"/>
    </row>
    <row r="4" spans="1:35">
      <c r="A4" s="1029" t="s">
        <v>1031</v>
      </c>
      <c r="B4" s="1029"/>
      <c r="C4" s="1029"/>
      <c r="D4" s="1029"/>
      <c r="E4" s="1029"/>
      <c r="F4" s="1029"/>
      <c r="G4" s="1029"/>
      <c r="H4" s="1029"/>
      <c r="I4" s="1029"/>
      <c r="J4" s="1029"/>
      <c r="K4" s="1029"/>
      <c r="L4" s="1029"/>
      <c r="M4" s="1029" t="s">
        <v>1031</v>
      </c>
      <c r="N4" s="1029"/>
      <c r="O4" s="1029"/>
      <c r="P4" s="1029"/>
      <c r="Q4" s="1029"/>
      <c r="R4" s="1029"/>
      <c r="S4" s="1029"/>
      <c r="T4" s="1029"/>
      <c r="U4" s="1029"/>
      <c r="V4" s="1029"/>
      <c r="W4" s="1029"/>
      <c r="X4" s="1029"/>
      <c r="Y4" s="1029" t="s">
        <v>1031</v>
      </c>
      <c r="Z4" s="1029"/>
      <c r="AA4" s="1029"/>
      <c r="AB4" s="1029"/>
      <c r="AC4" s="1029"/>
      <c r="AD4" s="1029"/>
      <c r="AE4" s="1029"/>
      <c r="AF4" s="1029"/>
      <c r="AG4" s="2"/>
      <c r="AH4" s="2"/>
      <c r="AI4" s="2"/>
    </row>
    <row r="5" spans="1:35">
      <c r="A5" s="1029" t="s">
        <v>1853</v>
      </c>
      <c r="B5" s="1029"/>
      <c r="C5" s="1029"/>
      <c r="D5" s="1029"/>
      <c r="E5" s="1029"/>
      <c r="F5" s="1029"/>
      <c r="G5" s="1029"/>
      <c r="H5" s="1029"/>
      <c r="I5" s="1029"/>
      <c r="J5" s="1029"/>
      <c r="K5" s="1029"/>
      <c r="L5" s="1029"/>
      <c r="M5" s="1029" t="str">
        <f>+A5</f>
        <v>Twelve Months Ended December 31, 2019</v>
      </c>
      <c r="N5" s="1029"/>
      <c r="O5" s="1029"/>
      <c r="P5" s="1029"/>
      <c r="Q5" s="1029"/>
      <c r="R5" s="1029"/>
      <c r="S5" s="1029"/>
      <c r="T5" s="1029"/>
      <c r="U5" s="1029"/>
      <c r="V5" s="1029"/>
      <c r="W5" s="1029"/>
      <c r="X5" s="1029"/>
      <c r="Y5" s="1029" t="str">
        <f>+M5</f>
        <v>Twelve Months Ended December 31, 2019</v>
      </c>
      <c r="Z5" s="1029"/>
      <c r="AA5" s="1029"/>
      <c r="AB5" s="1029"/>
      <c r="AC5" s="1029"/>
      <c r="AD5" s="1029"/>
      <c r="AE5" s="1029"/>
      <c r="AF5" s="1029"/>
      <c r="AG5" s="2"/>
      <c r="AH5" s="2"/>
      <c r="AI5" s="2"/>
    </row>
    <row r="7" spans="1:35" s="393" customFormat="1">
      <c r="B7" s="393" t="s">
        <v>799</v>
      </c>
      <c r="C7" s="393" t="s">
        <v>797</v>
      </c>
      <c r="D7" s="393" t="s">
        <v>798</v>
      </c>
      <c r="E7" s="393" t="s">
        <v>801</v>
      </c>
      <c r="F7" s="393" t="s">
        <v>802</v>
      </c>
      <c r="G7" s="393" t="s">
        <v>803</v>
      </c>
      <c r="H7" s="393" t="s">
        <v>804</v>
      </c>
      <c r="I7" s="393" t="s">
        <v>805</v>
      </c>
      <c r="J7" s="393" t="s">
        <v>806</v>
      </c>
      <c r="K7" s="393" t="s">
        <v>807</v>
      </c>
      <c r="L7" s="393" t="s">
        <v>808</v>
      </c>
      <c r="M7" s="393" t="s">
        <v>809</v>
      </c>
      <c r="N7" s="393" t="s">
        <v>810</v>
      </c>
      <c r="O7" s="393" t="s">
        <v>811</v>
      </c>
      <c r="P7" s="393" t="s">
        <v>812</v>
      </c>
      <c r="Q7" s="393" t="s">
        <v>1016</v>
      </c>
      <c r="R7" s="393" t="s">
        <v>1017</v>
      </c>
      <c r="S7" s="393" t="s">
        <v>1018</v>
      </c>
      <c r="T7" s="393" t="s">
        <v>1019</v>
      </c>
      <c r="U7" s="393" t="s">
        <v>1020</v>
      </c>
      <c r="V7" s="393" t="s">
        <v>1021</v>
      </c>
      <c r="W7" s="393" t="s">
        <v>1022</v>
      </c>
      <c r="X7" s="393" t="s">
        <v>1023</v>
      </c>
      <c r="Y7" s="393" t="s">
        <v>1024</v>
      </c>
      <c r="Z7" s="393" t="s">
        <v>1025</v>
      </c>
      <c r="AA7" s="393" t="s">
        <v>1026</v>
      </c>
      <c r="AB7" s="393" t="s">
        <v>751</v>
      </c>
      <c r="AC7" s="393" t="s">
        <v>1027</v>
      </c>
      <c r="AD7" s="393" t="s">
        <v>1028</v>
      </c>
      <c r="AE7" s="393" t="s">
        <v>1029</v>
      </c>
      <c r="AF7" s="393" t="s">
        <v>1030</v>
      </c>
    </row>
    <row r="8" spans="1:35">
      <c r="A8" s="393" t="s">
        <v>660</v>
      </c>
      <c r="B8" s="394" t="s">
        <v>819</v>
      </c>
      <c r="C8" s="394" t="s">
        <v>820</v>
      </c>
      <c r="D8" s="394" t="s">
        <v>77</v>
      </c>
      <c r="E8" s="394" t="s">
        <v>1365</v>
      </c>
      <c r="F8" s="394" t="s">
        <v>1366</v>
      </c>
      <c r="G8" s="394" t="s">
        <v>2242</v>
      </c>
      <c r="H8" s="394" t="s">
        <v>2243</v>
      </c>
      <c r="I8" s="394" t="s">
        <v>2244</v>
      </c>
      <c r="J8" s="394" t="s">
        <v>2245</v>
      </c>
      <c r="K8" s="394" t="s">
        <v>2246</v>
      </c>
      <c r="L8" s="394" t="s">
        <v>2247</v>
      </c>
      <c r="M8" s="394" t="s">
        <v>2248</v>
      </c>
      <c r="N8" s="394" t="s">
        <v>2249</v>
      </c>
      <c r="O8" s="394" t="s">
        <v>2250</v>
      </c>
      <c r="P8" s="394" t="s">
        <v>2251</v>
      </c>
      <c r="Q8" s="394" t="s">
        <v>2252</v>
      </c>
      <c r="R8" s="394" t="s">
        <v>2253</v>
      </c>
      <c r="S8" s="394" t="s">
        <v>2254</v>
      </c>
      <c r="T8" s="394" t="s">
        <v>2255</v>
      </c>
      <c r="U8" s="394" t="s">
        <v>2256</v>
      </c>
      <c r="V8" s="394" t="s">
        <v>2257</v>
      </c>
      <c r="W8" s="394" t="s">
        <v>2258</v>
      </c>
      <c r="X8" s="394" t="s">
        <v>2259</v>
      </c>
      <c r="Y8" s="394" t="s">
        <v>2260</v>
      </c>
      <c r="Z8" s="394" t="s">
        <v>2261</v>
      </c>
      <c r="AA8" s="394" t="s">
        <v>2262</v>
      </c>
      <c r="AB8" s="394" t="s">
        <v>2263</v>
      </c>
      <c r="AC8" s="394" t="s">
        <v>2264</v>
      </c>
      <c r="AD8" s="394" t="s">
        <v>2265</v>
      </c>
      <c r="AE8" s="394" t="s">
        <v>821</v>
      </c>
      <c r="AF8" s="394" t="s">
        <v>822</v>
      </c>
    </row>
    <row r="9" spans="1:35">
      <c r="A9" s="393">
        <v>1</v>
      </c>
      <c r="B9" s="395" t="s">
        <v>83</v>
      </c>
      <c r="C9" s="395" t="s">
        <v>732</v>
      </c>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row>
    <row r="10" spans="1:35">
      <c r="A10" s="393">
        <v>2</v>
      </c>
      <c r="C10" s="397" t="s">
        <v>823</v>
      </c>
      <c r="D10" s="398" t="s">
        <v>825</v>
      </c>
      <c r="E10" s="399">
        <v>73666.720000000001</v>
      </c>
      <c r="F10" s="399">
        <v>73666.820000000007</v>
      </c>
      <c r="G10" s="399">
        <v>73666.720000000001</v>
      </c>
      <c r="H10" s="399">
        <v>73666.820000000007</v>
      </c>
      <c r="I10" s="399">
        <v>73666.720000000001</v>
      </c>
      <c r="J10" s="399">
        <v>73666.820000000007</v>
      </c>
      <c r="K10" s="399">
        <v>73666.720000000001</v>
      </c>
      <c r="L10" s="399">
        <v>73666.820000000007</v>
      </c>
      <c r="M10" s="399">
        <v>73666.720000000001</v>
      </c>
      <c r="N10" s="399">
        <v>73666.820000000007</v>
      </c>
      <c r="O10" s="399">
        <v>73666.720000000001</v>
      </c>
      <c r="P10" s="399">
        <v>73666.820000000007</v>
      </c>
      <c r="Q10" s="399">
        <v>73666.720000000001</v>
      </c>
      <c r="R10" s="399">
        <v>73666.820000000007</v>
      </c>
      <c r="S10" s="399">
        <v>73666.720000000001</v>
      </c>
      <c r="T10" s="399">
        <v>73666.820000000007</v>
      </c>
      <c r="U10" s="399">
        <v>73666.720000000001</v>
      </c>
      <c r="V10" s="399">
        <v>73666.820000000007</v>
      </c>
      <c r="W10" s="399">
        <v>73666.720000000001</v>
      </c>
      <c r="X10" s="399">
        <v>73666.820000000007</v>
      </c>
      <c r="Y10" s="399">
        <v>73666.720000000001</v>
      </c>
      <c r="Z10" s="399">
        <v>73666.820000000007</v>
      </c>
      <c r="AA10" s="399">
        <v>73666.720000000001</v>
      </c>
      <c r="AB10" s="399">
        <v>73666.820000000007</v>
      </c>
      <c r="AC10" s="399">
        <v>73666.720000000001</v>
      </c>
      <c r="AD10" s="399">
        <v>73666.720000000001</v>
      </c>
      <c r="AE10" s="399">
        <f>+(E10+AC10+(+G10+I10+K10+M10+O10+Q10+S10+U10+W10+Y10+AA10)*2)/24</f>
        <v>73666.719999999987</v>
      </c>
      <c r="AF10" s="399">
        <f>+(F10+AD10+(+H10+J10+L10+N10+P10+R10+T10+V10+X10+Z10+AB10)*2)/24</f>
        <v>73666.815833333356</v>
      </c>
    </row>
    <row r="11" spans="1:35">
      <c r="A11" s="393">
        <v>3</v>
      </c>
      <c r="C11" s="397" t="s">
        <v>824</v>
      </c>
      <c r="D11" s="398" t="s">
        <v>825</v>
      </c>
      <c r="E11" s="399">
        <v>113374.44</v>
      </c>
      <c r="F11" s="399">
        <v>12857.710000000001</v>
      </c>
      <c r="G11" s="399">
        <v>113374.44</v>
      </c>
      <c r="H11" s="399">
        <v>13093.91</v>
      </c>
      <c r="I11" s="399">
        <v>113374.44</v>
      </c>
      <c r="J11" s="399">
        <v>13330.11</v>
      </c>
      <c r="K11" s="399">
        <v>113374.44</v>
      </c>
      <c r="L11" s="399">
        <v>13566.31</v>
      </c>
      <c r="M11" s="399">
        <v>113374.44</v>
      </c>
      <c r="N11" s="399">
        <v>13802.51</v>
      </c>
      <c r="O11" s="399">
        <v>113374.44</v>
      </c>
      <c r="P11" s="399">
        <v>14038.710000000001</v>
      </c>
      <c r="Q11" s="399">
        <v>113374.44</v>
      </c>
      <c r="R11" s="399">
        <v>14274.91</v>
      </c>
      <c r="S11" s="399">
        <v>113374.44</v>
      </c>
      <c r="T11" s="399">
        <v>14511.11</v>
      </c>
      <c r="U11" s="399">
        <v>113374.44</v>
      </c>
      <c r="V11" s="399">
        <v>14747.31</v>
      </c>
      <c r="W11" s="399">
        <v>113374.44</v>
      </c>
      <c r="X11" s="399">
        <v>14983.51</v>
      </c>
      <c r="Y11" s="399">
        <v>113374.44</v>
      </c>
      <c r="Z11" s="399">
        <v>15219.710000000001</v>
      </c>
      <c r="AA11" s="399">
        <v>113374.44</v>
      </c>
      <c r="AB11" s="399">
        <v>15455.91</v>
      </c>
      <c r="AC11" s="399">
        <v>113374.44</v>
      </c>
      <c r="AD11" s="399">
        <v>15692.11</v>
      </c>
      <c r="AE11" s="399">
        <f>+(E11+AC11+(+G11+I11+K11+M11+O11+Q11+S11+U11+W11+Y11+AA11)*2)/24</f>
        <v>113374.43999999996</v>
      </c>
      <c r="AF11" s="399">
        <f t="shared" ref="AF11:AF46" si="0">+(F11+AD11+(+H11+J11+L11+N11+P11+R11+T11+V11+X11+Z11+AB11)*2)/24</f>
        <v>14274.910000000002</v>
      </c>
    </row>
    <row r="12" spans="1:35">
      <c r="A12" s="393">
        <v>4</v>
      </c>
      <c r="C12" s="397" t="s">
        <v>1343</v>
      </c>
      <c r="D12" s="398" t="s">
        <v>825</v>
      </c>
      <c r="E12" s="399">
        <v>1016861.1</v>
      </c>
      <c r="F12" s="399">
        <v>33896.959999999999</v>
      </c>
      <c r="G12" s="399">
        <v>1016861.1</v>
      </c>
      <c r="H12" s="399">
        <v>36015.42</v>
      </c>
      <c r="I12" s="399">
        <v>1016861.1</v>
      </c>
      <c r="J12" s="399">
        <v>38133.879999999997</v>
      </c>
      <c r="K12" s="399">
        <v>1016861.1</v>
      </c>
      <c r="L12" s="399">
        <v>40252.340000000004</v>
      </c>
      <c r="M12" s="399">
        <v>1016861.1</v>
      </c>
      <c r="N12" s="399">
        <v>42370.8</v>
      </c>
      <c r="O12" s="399">
        <v>1016861.1</v>
      </c>
      <c r="P12" s="399">
        <v>44489.26</v>
      </c>
      <c r="Q12" s="399">
        <v>1016861.1</v>
      </c>
      <c r="R12" s="399">
        <v>46607.72</v>
      </c>
      <c r="S12" s="399">
        <v>1016861.1</v>
      </c>
      <c r="T12" s="399">
        <v>48726.18</v>
      </c>
      <c r="U12" s="399">
        <v>1016861.1</v>
      </c>
      <c r="V12" s="399">
        <v>50844.639999999999</v>
      </c>
      <c r="W12" s="399">
        <v>1016861.1</v>
      </c>
      <c r="X12" s="399">
        <v>52963.1</v>
      </c>
      <c r="Y12" s="399">
        <v>1016861.1</v>
      </c>
      <c r="Z12" s="399">
        <v>55081.56</v>
      </c>
      <c r="AA12" s="399">
        <v>1016861.1</v>
      </c>
      <c r="AB12" s="399">
        <v>57200.020000000004</v>
      </c>
      <c r="AC12" s="399">
        <v>1016861.1</v>
      </c>
      <c r="AD12" s="399">
        <v>59318.48</v>
      </c>
      <c r="AE12" s="399">
        <f t="shared" ref="AE12:AE46" si="1">+(E12+AC12+(+G12+I12+K12+M12+O12+Q12+S12+U12+W12+Y12+AA12)*2)/24</f>
        <v>1016861.0999999997</v>
      </c>
      <c r="AF12" s="399">
        <f t="shared" si="0"/>
        <v>46607.72</v>
      </c>
    </row>
    <row r="13" spans="1:35">
      <c r="A13" s="393">
        <v>5</v>
      </c>
      <c r="C13" s="397" t="s">
        <v>1344</v>
      </c>
      <c r="D13" s="398" t="s">
        <v>825</v>
      </c>
      <c r="E13" s="399">
        <v>1817585.2000000002</v>
      </c>
      <c r="F13" s="399">
        <v>45439.68</v>
      </c>
      <c r="G13" s="399">
        <v>1817585.2000000002</v>
      </c>
      <c r="H13" s="399">
        <v>49226.32</v>
      </c>
      <c r="I13" s="399">
        <v>1817585.2000000002</v>
      </c>
      <c r="J13" s="399">
        <v>53012.959999999999</v>
      </c>
      <c r="K13" s="399">
        <v>1817585.2000000002</v>
      </c>
      <c r="L13" s="399">
        <v>56799.6</v>
      </c>
      <c r="M13" s="399">
        <v>1817585.2000000002</v>
      </c>
      <c r="N13" s="399">
        <v>60586.239999999998</v>
      </c>
      <c r="O13" s="399">
        <v>1817585.2000000002</v>
      </c>
      <c r="P13" s="399">
        <v>64372.880000000005</v>
      </c>
      <c r="Q13" s="399">
        <v>1817585.2000000002</v>
      </c>
      <c r="R13" s="399">
        <v>68159.520000000004</v>
      </c>
      <c r="S13" s="399">
        <v>1817585.2000000002</v>
      </c>
      <c r="T13" s="399">
        <v>71946.16</v>
      </c>
      <c r="U13" s="399">
        <v>1817585.2000000002</v>
      </c>
      <c r="V13" s="399">
        <v>75732.800000000003</v>
      </c>
      <c r="W13" s="399">
        <v>1817585.2000000002</v>
      </c>
      <c r="X13" s="399">
        <v>79519.44</v>
      </c>
      <c r="Y13" s="399">
        <v>1817585.2000000002</v>
      </c>
      <c r="Z13" s="399">
        <v>83306.080000000002</v>
      </c>
      <c r="AA13" s="399">
        <v>1817585.2000000002</v>
      </c>
      <c r="AB13" s="399">
        <v>87092.72</v>
      </c>
      <c r="AC13" s="399">
        <v>1817585.2000000002</v>
      </c>
      <c r="AD13" s="399">
        <v>90879.360000000001</v>
      </c>
      <c r="AE13" s="399">
        <f t="shared" si="1"/>
        <v>1817585.1999999995</v>
      </c>
      <c r="AF13" s="399">
        <f t="shared" si="0"/>
        <v>68159.520000000004</v>
      </c>
    </row>
    <row r="14" spans="1:35">
      <c r="A14" s="393">
        <v>6</v>
      </c>
      <c r="C14" s="397" t="s">
        <v>826</v>
      </c>
      <c r="D14" s="398" t="s">
        <v>825</v>
      </c>
      <c r="E14" s="399">
        <v>13130.54</v>
      </c>
      <c r="F14" s="399">
        <v>0</v>
      </c>
      <c r="G14" s="399">
        <v>13130.54</v>
      </c>
      <c r="H14" s="399">
        <v>0</v>
      </c>
      <c r="I14" s="399">
        <v>13130.54</v>
      </c>
      <c r="J14" s="399">
        <v>0</v>
      </c>
      <c r="K14" s="399">
        <v>13130.54</v>
      </c>
      <c r="L14" s="399">
        <v>0</v>
      </c>
      <c r="M14" s="399">
        <v>13130.54</v>
      </c>
      <c r="N14" s="399">
        <v>0</v>
      </c>
      <c r="O14" s="399">
        <v>13130.54</v>
      </c>
      <c r="P14" s="399">
        <v>0</v>
      </c>
      <c r="Q14" s="399">
        <v>13130.54</v>
      </c>
      <c r="R14" s="399">
        <v>0</v>
      </c>
      <c r="S14" s="399">
        <v>13130.54</v>
      </c>
      <c r="T14" s="399">
        <v>0</v>
      </c>
      <c r="U14" s="399">
        <v>13130.54</v>
      </c>
      <c r="V14" s="399">
        <v>0</v>
      </c>
      <c r="W14" s="399">
        <v>13130.54</v>
      </c>
      <c r="X14" s="399">
        <v>0</v>
      </c>
      <c r="Y14" s="399">
        <v>13130.54</v>
      </c>
      <c r="Z14" s="399">
        <v>0</v>
      </c>
      <c r="AA14" s="399">
        <v>13130.54</v>
      </c>
      <c r="AB14" s="399">
        <v>0</v>
      </c>
      <c r="AC14" s="399">
        <v>13130.54</v>
      </c>
      <c r="AD14" s="399">
        <v>0</v>
      </c>
      <c r="AE14" s="399">
        <f t="shared" si="1"/>
        <v>13130.540000000006</v>
      </c>
      <c r="AF14" s="399">
        <f t="shared" si="0"/>
        <v>0</v>
      </c>
    </row>
    <row r="15" spans="1:35">
      <c r="A15" s="393">
        <v>7</v>
      </c>
      <c r="C15" s="397" t="s">
        <v>827</v>
      </c>
      <c r="D15" s="398" t="s">
        <v>825</v>
      </c>
      <c r="E15" s="399">
        <v>7692.66</v>
      </c>
      <c r="F15" s="399">
        <v>6570.3600000000006</v>
      </c>
      <c r="G15" s="399">
        <v>7692.66</v>
      </c>
      <c r="H15" s="399">
        <v>6580.49</v>
      </c>
      <c r="I15" s="399">
        <v>7692.66</v>
      </c>
      <c r="J15" s="399">
        <v>6590.62</v>
      </c>
      <c r="K15" s="399">
        <v>7692.66</v>
      </c>
      <c r="L15" s="399">
        <v>6600.75</v>
      </c>
      <c r="M15" s="399">
        <v>7692.66</v>
      </c>
      <c r="N15" s="399">
        <v>6610.88</v>
      </c>
      <c r="O15" s="399">
        <v>7692.66</v>
      </c>
      <c r="P15" s="399">
        <v>6621.01</v>
      </c>
      <c r="Q15" s="399">
        <v>7692.66</v>
      </c>
      <c r="R15" s="399">
        <v>6631.14</v>
      </c>
      <c r="S15" s="399">
        <v>7692.66</v>
      </c>
      <c r="T15" s="399">
        <v>6641.27</v>
      </c>
      <c r="U15" s="399">
        <v>7692.66</v>
      </c>
      <c r="V15" s="399">
        <v>6651.4000000000005</v>
      </c>
      <c r="W15" s="399">
        <v>7692.66</v>
      </c>
      <c r="X15" s="399">
        <v>6661.53</v>
      </c>
      <c r="Y15" s="399">
        <v>7692.66</v>
      </c>
      <c r="Z15" s="399">
        <v>6671.66</v>
      </c>
      <c r="AA15" s="399">
        <v>7692.66</v>
      </c>
      <c r="AB15" s="399">
        <v>6681.79</v>
      </c>
      <c r="AC15" s="399">
        <v>7692.66</v>
      </c>
      <c r="AD15" s="399">
        <v>6691.92</v>
      </c>
      <c r="AE15" s="399">
        <f t="shared" si="1"/>
        <v>7692.6600000000026</v>
      </c>
      <c r="AF15" s="399">
        <f t="shared" si="0"/>
        <v>6631.1399999999994</v>
      </c>
    </row>
    <row r="16" spans="1:35">
      <c r="A16" s="393">
        <v>8</v>
      </c>
      <c r="C16" s="397" t="s">
        <v>828</v>
      </c>
      <c r="D16" s="398" t="s">
        <v>825</v>
      </c>
      <c r="E16" s="399">
        <v>6203474.7999999998</v>
      </c>
      <c r="F16" s="399">
        <v>3617351.33</v>
      </c>
      <c r="G16" s="399">
        <v>6203474.7999999998</v>
      </c>
      <c r="H16" s="399">
        <v>3626759.93</v>
      </c>
      <c r="I16" s="399">
        <v>6203474.7999999998</v>
      </c>
      <c r="J16" s="399">
        <v>3636168.5300000003</v>
      </c>
      <c r="K16" s="399">
        <v>6203474.7999999998</v>
      </c>
      <c r="L16" s="399">
        <v>3645577.13</v>
      </c>
      <c r="M16" s="399">
        <v>6203474.7999999998</v>
      </c>
      <c r="N16" s="399">
        <v>3654985.73</v>
      </c>
      <c r="O16" s="399">
        <v>6203474.7999999998</v>
      </c>
      <c r="P16" s="399">
        <v>3664394.33</v>
      </c>
      <c r="Q16" s="399">
        <v>6203474.7999999998</v>
      </c>
      <c r="R16" s="399">
        <v>3673802.93</v>
      </c>
      <c r="S16" s="399">
        <v>6203474.7999999998</v>
      </c>
      <c r="T16" s="399">
        <v>3683211.5300000003</v>
      </c>
      <c r="U16" s="399">
        <v>6203474.7999999998</v>
      </c>
      <c r="V16" s="399">
        <v>3692620.13</v>
      </c>
      <c r="W16" s="399">
        <v>6203474.7999999998</v>
      </c>
      <c r="X16" s="399">
        <v>3702028.73</v>
      </c>
      <c r="Y16" s="399">
        <v>6203474.7999999998</v>
      </c>
      <c r="Z16" s="399">
        <v>3711437.33</v>
      </c>
      <c r="AA16" s="399">
        <v>6203474.7999999998</v>
      </c>
      <c r="AB16" s="399">
        <v>3720845.93</v>
      </c>
      <c r="AC16" s="399">
        <v>6203474.7999999998</v>
      </c>
      <c r="AD16" s="399">
        <v>3730254.5300000003</v>
      </c>
      <c r="AE16" s="399">
        <f t="shared" si="1"/>
        <v>6203474.799999998</v>
      </c>
      <c r="AF16" s="399">
        <f t="shared" si="0"/>
        <v>3673802.9299999997</v>
      </c>
    </row>
    <row r="17" spans="1:32">
      <c r="A17" s="393">
        <v>9</v>
      </c>
      <c r="C17" s="397" t="s">
        <v>829</v>
      </c>
      <c r="D17" s="398" t="s">
        <v>825</v>
      </c>
      <c r="E17" s="399">
        <v>36161.700000000004</v>
      </c>
      <c r="F17" s="399">
        <v>-4119.8</v>
      </c>
      <c r="G17" s="399">
        <v>36161.700000000004</v>
      </c>
      <c r="H17" s="399">
        <v>-4107.45</v>
      </c>
      <c r="I17" s="399">
        <v>36161.700000000004</v>
      </c>
      <c r="J17" s="399">
        <v>-4095.1</v>
      </c>
      <c r="K17" s="399">
        <v>36161.700000000004</v>
      </c>
      <c r="L17" s="399">
        <v>-4082.75</v>
      </c>
      <c r="M17" s="399">
        <v>36161.700000000004</v>
      </c>
      <c r="N17" s="399">
        <v>-4070.4</v>
      </c>
      <c r="O17" s="399">
        <v>36161.700000000004</v>
      </c>
      <c r="P17" s="399">
        <v>-4058.05</v>
      </c>
      <c r="Q17" s="399">
        <v>36161.700000000004</v>
      </c>
      <c r="R17" s="399">
        <v>-4045.7000000000003</v>
      </c>
      <c r="S17" s="399">
        <v>36161.700000000004</v>
      </c>
      <c r="T17" s="399">
        <v>-4033.35</v>
      </c>
      <c r="U17" s="399">
        <v>36161.700000000004</v>
      </c>
      <c r="V17" s="399">
        <v>-4021</v>
      </c>
      <c r="W17" s="399">
        <v>36161.700000000004</v>
      </c>
      <c r="X17" s="399">
        <v>-4008.65</v>
      </c>
      <c r="Y17" s="399">
        <v>36161.700000000004</v>
      </c>
      <c r="Z17" s="399">
        <v>-3996.3</v>
      </c>
      <c r="AA17" s="399">
        <v>36161.700000000004</v>
      </c>
      <c r="AB17" s="399">
        <v>-3983.9500000000003</v>
      </c>
      <c r="AC17" s="399">
        <v>36161.700000000004</v>
      </c>
      <c r="AD17" s="399">
        <v>-3971.6</v>
      </c>
      <c r="AE17" s="399">
        <f t="shared" si="1"/>
        <v>36161.700000000004</v>
      </c>
      <c r="AF17" s="399">
        <f t="shared" si="0"/>
        <v>-4045.6999999999994</v>
      </c>
    </row>
    <row r="18" spans="1:32">
      <c r="A18" s="393">
        <v>10</v>
      </c>
      <c r="C18" s="397" t="s">
        <v>830</v>
      </c>
      <c r="D18" s="398" t="s">
        <v>825</v>
      </c>
      <c r="E18" s="399">
        <v>235020</v>
      </c>
      <c r="F18" s="399">
        <v>6734.6100000000006</v>
      </c>
      <c r="G18" s="399">
        <v>235020</v>
      </c>
      <c r="H18" s="399">
        <v>7102.81</v>
      </c>
      <c r="I18" s="399">
        <v>235020</v>
      </c>
      <c r="J18" s="399">
        <v>7471.01</v>
      </c>
      <c r="K18" s="399">
        <v>235020</v>
      </c>
      <c r="L18" s="399">
        <v>7839.21</v>
      </c>
      <c r="M18" s="399">
        <v>235020</v>
      </c>
      <c r="N18" s="399">
        <v>8207.41</v>
      </c>
      <c r="O18" s="399">
        <v>235020</v>
      </c>
      <c r="P18" s="399">
        <v>8575.61</v>
      </c>
      <c r="Q18" s="399">
        <v>235020</v>
      </c>
      <c r="R18" s="399">
        <v>8943.81</v>
      </c>
      <c r="S18" s="399">
        <v>235020</v>
      </c>
      <c r="T18" s="399">
        <v>9312.01</v>
      </c>
      <c r="U18" s="399">
        <v>235020</v>
      </c>
      <c r="V18" s="399">
        <v>9680.2100000000009</v>
      </c>
      <c r="W18" s="399">
        <v>235020</v>
      </c>
      <c r="X18" s="399">
        <v>10048.41</v>
      </c>
      <c r="Y18" s="399">
        <v>235020</v>
      </c>
      <c r="Z18" s="399">
        <v>10416.61</v>
      </c>
      <c r="AA18" s="399">
        <v>235020</v>
      </c>
      <c r="AB18" s="399">
        <v>10784.81</v>
      </c>
      <c r="AC18" s="399">
        <v>235020</v>
      </c>
      <c r="AD18" s="399">
        <v>11153.01</v>
      </c>
      <c r="AE18" s="399">
        <f t="shared" si="1"/>
        <v>235020</v>
      </c>
      <c r="AF18" s="399">
        <f t="shared" si="0"/>
        <v>8943.81</v>
      </c>
    </row>
    <row r="19" spans="1:32">
      <c r="A19" s="393">
        <v>11</v>
      </c>
      <c r="C19" s="397" t="s">
        <v>831</v>
      </c>
      <c r="D19" s="398" t="s">
        <v>825</v>
      </c>
      <c r="E19" s="399">
        <v>142929.49</v>
      </c>
      <c r="F19" s="399">
        <v>0</v>
      </c>
      <c r="G19" s="399">
        <v>142929.49</v>
      </c>
      <c r="H19" s="399">
        <v>0</v>
      </c>
      <c r="I19" s="399">
        <v>142929.49</v>
      </c>
      <c r="J19" s="399">
        <v>0</v>
      </c>
      <c r="K19" s="399">
        <v>142929.49</v>
      </c>
      <c r="L19" s="399">
        <v>0</v>
      </c>
      <c r="M19" s="399">
        <v>142929.49</v>
      </c>
      <c r="N19" s="399">
        <v>0</v>
      </c>
      <c r="O19" s="399">
        <v>142929.49</v>
      </c>
      <c r="P19" s="399">
        <v>0</v>
      </c>
      <c r="Q19" s="399">
        <v>142929.49</v>
      </c>
      <c r="R19" s="399">
        <v>0</v>
      </c>
      <c r="S19" s="399">
        <v>142929.49</v>
      </c>
      <c r="T19" s="399">
        <v>0</v>
      </c>
      <c r="U19" s="399">
        <v>142929.49</v>
      </c>
      <c r="V19" s="399">
        <v>0</v>
      </c>
      <c r="W19" s="399">
        <v>142929.49</v>
      </c>
      <c r="X19" s="399">
        <v>0</v>
      </c>
      <c r="Y19" s="399">
        <v>141860.15</v>
      </c>
      <c r="Z19" s="399">
        <v>0</v>
      </c>
      <c r="AA19" s="399">
        <v>141860.15</v>
      </c>
      <c r="AB19" s="399">
        <v>0</v>
      </c>
      <c r="AC19" s="399">
        <v>141860.15</v>
      </c>
      <c r="AD19" s="399">
        <v>0</v>
      </c>
      <c r="AE19" s="399">
        <f t="shared" si="1"/>
        <v>142706.71083333332</v>
      </c>
      <c r="AF19" s="399">
        <f t="shared" si="0"/>
        <v>0</v>
      </c>
    </row>
    <row r="20" spans="1:32">
      <c r="A20" s="393">
        <v>12</v>
      </c>
      <c r="C20" s="397" t="s">
        <v>832</v>
      </c>
      <c r="D20" s="398" t="s">
        <v>825</v>
      </c>
      <c r="E20" s="399">
        <v>0</v>
      </c>
      <c r="F20" s="399">
        <v>-655.47</v>
      </c>
      <c r="G20" s="399">
        <v>0</v>
      </c>
      <c r="H20" s="399">
        <v>-655.47</v>
      </c>
      <c r="I20" s="399">
        <v>0</v>
      </c>
      <c r="J20" s="399">
        <v>-655.47</v>
      </c>
      <c r="K20" s="399">
        <v>0</v>
      </c>
      <c r="L20" s="399">
        <v>-655.47</v>
      </c>
      <c r="M20" s="399">
        <v>0</v>
      </c>
      <c r="N20" s="399">
        <v>-655.47</v>
      </c>
      <c r="O20" s="399">
        <v>0</v>
      </c>
      <c r="P20" s="399">
        <v>-655.47</v>
      </c>
      <c r="Q20" s="399">
        <v>0</v>
      </c>
      <c r="R20" s="399">
        <v>-655.47</v>
      </c>
      <c r="S20" s="399">
        <v>0</v>
      </c>
      <c r="T20" s="399">
        <v>-655.47</v>
      </c>
      <c r="U20" s="399">
        <v>0</v>
      </c>
      <c r="V20" s="399">
        <v>-655.47</v>
      </c>
      <c r="W20" s="399">
        <v>0</v>
      </c>
      <c r="X20" s="399">
        <v>-655.47</v>
      </c>
      <c r="Y20" s="399">
        <v>0</v>
      </c>
      <c r="Z20" s="399">
        <v>-655.47</v>
      </c>
      <c r="AA20" s="399">
        <v>0</v>
      </c>
      <c r="AB20" s="399">
        <v>-655.47</v>
      </c>
      <c r="AC20" s="399">
        <v>0</v>
      </c>
      <c r="AD20" s="399">
        <v>0</v>
      </c>
      <c r="AE20" s="399">
        <f t="shared" si="1"/>
        <v>0</v>
      </c>
      <c r="AF20" s="399">
        <f t="shared" si="0"/>
        <v>-628.15875000000017</v>
      </c>
    </row>
    <row r="21" spans="1:32">
      <c r="A21" s="393">
        <v>13</v>
      </c>
      <c r="C21" s="397" t="s">
        <v>833</v>
      </c>
      <c r="D21" s="398" t="s">
        <v>825</v>
      </c>
      <c r="E21" s="399">
        <v>363784.97000000003</v>
      </c>
      <c r="F21" s="399">
        <v>259721.56</v>
      </c>
      <c r="G21" s="399">
        <v>363784.97000000003</v>
      </c>
      <c r="H21" s="399">
        <v>260091.41</v>
      </c>
      <c r="I21" s="399">
        <v>363784.97000000003</v>
      </c>
      <c r="J21" s="399">
        <v>260461.26</v>
      </c>
      <c r="K21" s="399">
        <v>363784.97000000003</v>
      </c>
      <c r="L21" s="399">
        <v>260831.11000000002</v>
      </c>
      <c r="M21" s="399">
        <v>363784.97000000003</v>
      </c>
      <c r="N21" s="399">
        <v>261200.96</v>
      </c>
      <c r="O21" s="399">
        <v>363784.97000000003</v>
      </c>
      <c r="P21" s="399">
        <v>261570.81</v>
      </c>
      <c r="Q21" s="399">
        <v>363784.97000000003</v>
      </c>
      <c r="R21" s="399">
        <v>261940.66</v>
      </c>
      <c r="S21" s="399">
        <v>363784.97000000003</v>
      </c>
      <c r="T21" s="399">
        <v>262310.51</v>
      </c>
      <c r="U21" s="399">
        <v>363784.97000000003</v>
      </c>
      <c r="V21" s="399">
        <v>262680.36</v>
      </c>
      <c r="W21" s="399">
        <v>363784.97000000003</v>
      </c>
      <c r="X21" s="399">
        <v>263050.21000000002</v>
      </c>
      <c r="Y21" s="399">
        <v>363784.97000000003</v>
      </c>
      <c r="Z21" s="399">
        <v>263420.06</v>
      </c>
      <c r="AA21" s="399">
        <v>363784.97000000003</v>
      </c>
      <c r="AB21" s="399">
        <v>263789.91000000003</v>
      </c>
      <c r="AC21" s="399">
        <v>363784.97000000003</v>
      </c>
      <c r="AD21" s="399">
        <v>263504.28999999998</v>
      </c>
      <c r="AE21" s="399">
        <f t="shared" si="1"/>
        <v>363784.97000000015</v>
      </c>
      <c r="AF21" s="399">
        <f t="shared" si="0"/>
        <v>261913.34875</v>
      </c>
    </row>
    <row r="22" spans="1:32">
      <c r="A22" s="393">
        <v>14</v>
      </c>
      <c r="C22" s="397" t="s">
        <v>834</v>
      </c>
      <c r="D22" s="398" t="s">
        <v>825</v>
      </c>
      <c r="E22" s="399">
        <v>17457159.5</v>
      </c>
      <c r="F22" s="399">
        <v>5304514.93</v>
      </c>
      <c r="G22" s="399">
        <v>17470148.219999999</v>
      </c>
      <c r="H22" s="399">
        <v>5321077.45</v>
      </c>
      <c r="I22" s="399">
        <v>18880117.309999999</v>
      </c>
      <c r="J22" s="399">
        <v>5339272.26</v>
      </c>
      <c r="K22" s="399">
        <v>18983556.84</v>
      </c>
      <c r="L22" s="399">
        <v>5358939.05</v>
      </c>
      <c r="M22" s="399">
        <v>19288268.719999999</v>
      </c>
      <c r="N22" s="399">
        <v>5378713.5899999999</v>
      </c>
      <c r="O22" s="399">
        <v>19320226.48</v>
      </c>
      <c r="P22" s="399">
        <v>5357731.29</v>
      </c>
      <c r="Q22" s="399">
        <v>21238002.859999999</v>
      </c>
      <c r="R22" s="399">
        <v>5377856.5300000003</v>
      </c>
      <c r="S22" s="399">
        <v>21210910.850000001</v>
      </c>
      <c r="T22" s="399">
        <v>5392398.8799999999</v>
      </c>
      <c r="U22" s="399">
        <v>21217398.07</v>
      </c>
      <c r="V22" s="399">
        <v>5400461.4400000004</v>
      </c>
      <c r="W22" s="399">
        <v>21204115.09</v>
      </c>
      <c r="X22" s="399">
        <v>5385735.6399999997</v>
      </c>
      <c r="Y22" s="399">
        <v>21639150.960000001</v>
      </c>
      <c r="Z22" s="399">
        <v>5407823.2599999998</v>
      </c>
      <c r="AA22" s="399">
        <v>21692115.09</v>
      </c>
      <c r="AB22" s="399">
        <v>5421833.0999999996</v>
      </c>
      <c r="AC22" s="399">
        <v>21829158.440000001</v>
      </c>
      <c r="AD22" s="399">
        <v>5443378.3200000003</v>
      </c>
      <c r="AE22" s="399">
        <f t="shared" si="1"/>
        <v>20148930.788333334</v>
      </c>
      <c r="AF22" s="399">
        <f t="shared" si="0"/>
        <v>5376315.7595833335</v>
      </c>
    </row>
    <row r="23" spans="1:32">
      <c r="A23" s="393">
        <v>15</v>
      </c>
      <c r="C23" s="397" t="s">
        <v>835</v>
      </c>
      <c r="D23" s="398" t="s">
        <v>825</v>
      </c>
      <c r="E23" s="399">
        <v>45568637.829999998</v>
      </c>
      <c r="F23" s="399">
        <v>13807411.17</v>
      </c>
      <c r="G23" s="399">
        <v>45695294.729999997</v>
      </c>
      <c r="H23" s="399">
        <v>13962943.1</v>
      </c>
      <c r="I23" s="399">
        <v>45789592.32</v>
      </c>
      <c r="J23" s="399">
        <v>14120144.15</v>
      </c>
      <c r="K23" s="399">
        <v>46506902.200000003</v>
      </c>
      <c r="L23" s="399">
        <v>14275652.9</v>
      </c>
      <c r="M23" s="399">
        <v>46630250.539999999</v>
      </c>
      <c r="N23" s="399">
        <v>14435260.029999999</v>
      </c>
      <c r="O23" s="399">
        <v>46885998.5</v>
      </c>
      <c r="P23" s="399">
        <v>14590852.130000001</v>
      </c>
      <c r="Q23" s="399">
        <v>47151495.109999999</v>
      </c>
      <c r="R23" s="399">
        <v>14751319.699999999</v>
      </c>
      <c r="S23" s="399">
        <v>47313875.799999997</v>
      </c>
      <c r="T23" s="399">
        <v>14913179.93</v>
      </c>
      <c r="U23" s="399">
        <v>47658949.960000001</v>
      </c>
      <c r="V23" s="399">
        <v>15076018.52</v>
      </c>
      <c r="W23" s="399">
        <v>47763502.090000004</v>
      </c>
      <c r="X23" s="399">
        <v>15240044.74</v>
      </c>
      <c r="Y23" s="399">
        <v>49069094.310000002</v>
      </c>
      <c r="Z23" s="399">
        <v>15404430.789999999</v>
      </c>
      <c r="AA23" s="399">
        <v>49142622.759999998</v>
      </c>
      <c r="AB23" s="399">
        <v>15573310.26</v>
      </c>
      <c r="AC23" s="399">
        <v>49535595.829999998</v>
      </c>
      <c r="AD23" s="399">
        <v>15741269.390000001</v>
      </c>
      <c r="AE23" s="399">
        <f t="shared" si="1"/>
        <v>47263307.929166667</v>
      </c>
      <c r="AF23" s="399">
        <f t="shared" si="0"/>
        <v>14759791.377499998</v>
      </c>
    </row>
    <row r="24" spans="1:32">
      <c r="A24" s="393">
        <v>16</v>
      </c>
      <c r="C24" s="397" t="s">
        <v>836</v>
      </c>
      <c r="D24" s="398" t="s">
        <v>825</v>
      </c>
      <c r="E24" s="399">
        <v>38654414.200000003</v>
      </c>
      <c r="F24" s="399">
        <v>24188794.98</v>
      </c>
      <c r="G24" s="399">
        <v>39227252.979999997</v>
      </c>
      <c r="H24" s="399">
        <v>24254648.25</v>
      </c>
      <c r="I24" s="399">
        <v>39267720.729999997</v>
      </c>
      <c r="J24" s="399">
        <v>24319597</v>
      </c>
      <c r="K24" s="399">
        <v>39323931.909999996</v>
      </c>
      <c r="L24" s="399">
        <v>24387958.300000001</v>
      </c>
      <c r="M24" s="399">
        <v>39325525.289999999</v>
      </c>
      <c r="N24" s="399">
        <v>24459950.809999999</v>
      </c>
      <c r="O24" s="399">
        <v>39692175.439999998</v>
      </c>
      <c r="P24" s="399">
        <v>24528559.890000001</v>
      </c>
      <c r="Q24" s="399">
        <v>39798838.420000002</v>
      </c>
      <c r="R24" s="399">
        <v>24601328.879999999</v>
      </c>
      <c r="S24" s="399">
        <v>39920861.149999999</v>
      </c>
      <c r="T24" s="399">
        <v>24674033.120000001</v>
      </c>
      <c r="U24" s="399">
        <v>39982370.979999997</v>
      </c>
      <c r="V24" s="399">
        <v>24710556.190000001</v>
      </c>
      <c r="W24" s="399">
        <v>40002481.490000002</v>
      </c>
      <c r="X24" s="399">
        <v>24783857.199999999</v>
      </c>
      <c r="Y24" s="399">
        <v>40425636.719999999</v>
      </c>
      <c r="Z24" s="399">
        <v>24851610.649999999</v>
      </c>
      <c r="AA24" s="399">
        <v>40421612.530000001</v>
      </c>
      <c r="AB24" s="399">
        <v>24925597.350000001</v>
      </c>
      <c r="AC24" s="399">
        <v>40643375.299999997</v>
      </c>
      <c r="AD24" s="399">
        <v>24982388.82</v>
      </c>
      <c r="AE24" s="399">
        <f t="shared" si="1"/>
        <v>39753108.532499999</v>
      </c>
      <c r="AF24" s="399">
        <f t="shared" si="0"/>
        <v>24590274.12833333</v>
      </c>
    </row>
    <row r="25" spans="1:32">
      <c r="A25" s="393">
        <v>17</v>
      </c>
      <c r="C25" s="397" t="s">
        <v>837</v>
      </c>
      <c r="D25" s="398" t="s">
        <v>825</v>
      </c>
      <c r="E25" s="399">
        <v>10605833.859999999</v>
      </c>
      <c r="F25" s="399">
        <v>3322284.12</v>
      </c>
      <c r="G25" s="399">
        <v>10611033.15</v>
      </c>
      <c r="H25" s="399">
        <v>3339253.46</v>
      </c>
      <c r="I25" s="399">
        <v>10612003.83</v>
      </c>
      <c r="J25" s="399">
        <v>3356231.12</v>
      </c>
      <c r="K25" s="399">
        <v>10701743.49</v>
      </c>
      <c r="L25" s="399">
        <v>3373210.32</v>
      </c>
      <c r="M25" s="399">
        <v>10727056.119999999</v>
      </c>
      <c r="N25" s="399">
        <v>3390333.11</v>
      </c>
      <c r="O25" s="399">
        <v>10834779.59</v>
      </c>
      <c r="P25" s="399">
        <v>3373235.37</v>
      </c>
      <c r="Q25" s="399">
        <v>10864742.210000001</v>
      </c>
      <c r="R25" s="399">
        <v>3390571.01</v>
      </c>
      <c r="S25" s="399">
        <v>10865881.460000001</v>
      </c>
      <c r="T25" s="399">
        <v>3407954.6</v>
      </c>
      <c r="U25" s="399">
        <v>10868404.310000001</v>
      </c>
      <c r="V25" s="399">
        <v>3425340.01</v>
      </c>
      <c r="W25" s="399">
        <v>10902308.039999999</v>
      </c>
      <c r="X25" s="399">
        <v>3395330.2</v>
      </c>
      <c r="Y25" s="399">
        <v>11004653.49</v>
      </c>
      <c r="Z25" s="399">
        <v>3412773.9</v>
      </c>
      <c r="AA25" s="399">
        <v>11034970.210000001</v>
      </c>
      <c r="AB25" s="399">
        <v>3430381.35</v>
      </c>
      <c r="AC25" s="399">
        <v>11123787.66</v>
      </c>
      <c r="AD25" s="399">
        <v>3441715.64</v>
      </c>
      <c r="AE25" s="399">
        <f t="shared" si="1"/>
        <v>10824365.554999998</v>
      </c>
      <c r="AF25" s="399">
        <f t="shared" si="0"/>
        <v>3389717.8608333338</v>
      </c>
    </row>
    <row r="26" spans="1:32">
      <c r="A26" s="393">
        <v>18</v>
      </c>
      <c r="C26" s="397" t="s">
        <v>838</v>
      </c>
      <c r="D26" s="398" t="s">
        <v>825</v>
      </c>
      <c r="E26" s="399">
        <v>43368051.479999997</v>
      </c>
      <c r="F26" s="399">
        <v>15985848.4</v>
      </c>
      <c r="G26" s="399">
        <v>43642773.369999997</v>
      </c>
      <c r="H26" s="399">
        <v>16121384.460000001</v>
      </c>
      <c r="I26" s="399">
        <v>43821322.840000004</v>
      </c>
      <c r="J26" s="399">
        <v>16258278.9</v>
      </c>
      <c r="K26" s="399">
        <v>43959282.869999997</v>
      </c>
      <c r="L26" s="399">
        <v>16395604.93</v>
      </c>
      <c r="M26" s="399">
        <v>44409052.390000001</v>
      </c>
      <c r="N26" s="399">
        <v>16537214.27</v>
      </c>
      <c r="O26" s="399">
        <v>44816983.840000004</v>
      </c>
      <c r="P26" s="399">
        <v>16678859.439999999</v>
      </c>
      <c r="Q26" s="399">
        <v>45173782.859999999</v>
      </c>
      <c r="R26" s="399">
        <v>16823767.690000001</v>
      </c>
      <c r="S26" s="399">
        <v>45605928.149999999</v>
      </c>
      <c r="T26" s="399">
        <v>16969030.879999999</v>
      </c>
      <c r="U26" s="399">
        <v>45821018.869999997</v>
      </c>
      <c r="V26" s="399">
        <v>17116490.050000001</v>
      </c>
      <c r="W26" s="399">
        <v>46175684.920000002</v>
      </c>
      <c r="X26" s="399">
        <v>17264644.670000002</v>
      </c>
      <c r="Y26" s="399">
        <v>46880968.020000003</v>
      </c>
      <c r="Z26" s="399">
        <v>17413105.93</v>
      </c>
      <c r="AA26" s="399">
        <v>47422160.060000002</v>
      </c>
      <c r="AB26" s="399">
        <v>17548901.039999999</v>
      </c>
      <c r="AC26" s="399">
        <v>47881219.5</v>
      </c>
      <c r="AD26" s="399">
        <v>17690092.91</v>
      </c>
      <c r="AE26" s="399">
        <f t="shared" si="1"/>
        <v>45279466.139999993</v>
      </c>
      <c r="AF26" s="399">
        <f t="shared" si="0"/>
        <v>16830437.742916666</v>
      </c>
    </row>
    <row r="27" spans="1:32">
      <c r="A27" s="393">
        <v>19</v>
      </c>
      <c r="C27" s="397" t="s">
        <v>839</v>
      </c>
      <c r="D27" s="398" t="s">
        <v>825</v>
      </c>
      <c r="E27" s="399">
        <v>12916898.949999999</v>
      </c>
      <c r="F27" s="399">
        <v>19573186.780000001</v>
      </c>
      <c r="G27" s="399">
        <v>12906614.18</v>
      </c>
      <c r="H27" s="399">
        <v>19567476.260000002</v>
      </c>
      <c r="I27" s="399">
        <v>12905666.01</v>
      </c>
      <c r="J27" s="399">
        <v>19572503.57</v>
      </c>
      <c r="K27" s="399">
        <v>12898264.699999999</v>
      </c>
      <c r="L27" s="399">
        <v>19591045.690000001</v>
      </c>
      <c r="M27" s="399">
        <v>12898567.27</v>
      </c>
      <c r="N27" s="399">
        <v>19624082.780000001</v>
      </c>
      <c r="O27" s="399">
        <v>12898438.939999999</v>
      </c>
      <c r="P27" s="399">
        <v>19641071.539999999</v>
      </c>
      <c r="Q27" s="399">
        <v>12898454.189999999</v>
      </c>
      <c r="R27" s="399">
        <v>19652965.050000001</v>
      </c>
      <c r="S27" s="399">
        <v>12901082.91</v>
      </c>
      <c r="T27" s="399">
        <v>19683003.539999999</v>
      </c>
      <c r="U27" s="399">
        <v>12901082.91</v>
      </c>
      <c r="V27" s="399">
        <v>19718804.039999999</v>
      </c>
      <c r="W27" s="399">
        <v>12901091.609999999</v>
      </c>
      <c r="X27" s="399">
        <v>19754604.539999999</v>
      </c>
      <c r="Y27" s="399">
        <v>12900367.16</v>
      </c>
      <c r="Z27" s="399">
        <v>19789680.620000001</v>
      </c>
      <c r="AA27" s="399">
        <v>12894722.27</v>
      </c>
      <c r="AB27" s="399">
        <v>19761323.850000001</v>
      </c>
      <c r="AC27" s="399">
        <v>12890838.57</v>
      </c>
      <c r="AD27" s="399">
        <v>19737147.850000001</v>
      </c>
      <c r="AE27" s="399">
        <f t="shared" si="1"/>
        <v>12900685.07583333</v>
      </c>
      <c r="AF27" s="399">
        <f t="shared" si="0"/>
        <v>19667644.06625</v>
      </c>
    </row>
    <row r="28" spans="1:32">
      <c r="A28" s="393">
        <v>20</v>
      </c>
      <c r="C28" s="397" t="s">
        <v>840</v>
      </c>
      <c r="D28" s="398" t="s">
        <v>825</v>
      </c>
      <c r="E28" s="399">
        <v>9659588.1699999999</v>
      </c>
      <c r="F28" s="399">
        <v>3808055.25</v>
      </c>
      <c r="G28" s="399">
        <v>9662626.8800000008</v>
      </c>
      <c r="H28" s="399">
        <v>3819587.83</v>
      </c>
      <c r="I28" s="399">
        <v>9672077.2300000004</v>
      </c>
      <c r="J28" s="399">
        <v>3834461.65</v>
      </c>
      <c r="K28" s="399">
        <v>9677436.7300000004</v>
      </c>
      <c r="L28" s="399">
        <v>3848361.38</v>
      </c>
      <c r="M28" s="399">
        <v>9682944.8800000008</v>
      </c>
      <c r="N28" s="399">
        <v>3863315.95</v>
      </c>
      <c r="O28" s="399">
        <v>9692258.4199999999</v>
      </c>
      <c r="P28" s="399">
        <v>3878294.5300000003</v>
      </c>
      <c r="Q28" s="399">
        <v>9697904.4199999999</v>
      </c>
      <c r="R28" s="399">
        <v>3893317.5300000003</v>
      </c>
      <c r="S28" s="399">
        <v>9701743.0999999996</v>
      </c>
      <c r="T28" s="399">
        <v>3908254.89</v>
      </c>
      <c r="U28" s="399">
        <v>9693953.3300000001</v>
      </c>
      <c r="V28" s="399">
        <v>3914023.5</v>
      </c>
      <c r="W28" s="399">
        <v>9697782.7699999996</v>
      </c>
      <c r="X28" s="399">
        <v>3929049.13</v>
      </c>
      <c r="Y28" s="399">
        <v>9708494.0099999998</v>
      </c>
      <c r="Z28" s="399">
        <v>3944080.7</v>
      </c>
      <c r="AA28" s="399">
        <v>9712786.4100000001</v>
      </c>
      <c r="AB28" s="399">
        <v>3957187.36</v>
      </c>
      <c r="AC28" s="399">
        <v>9717462.2300000004</v>
      </c>
      <c r="AD28" s="399">
        <v>3971953.69</v>
      </c>
      <c r="AE28" s="399">
        <f t="shared" si="1"/>
        <v>9690711.1150000002</v>
      </c>
      <c r="AF28" s="399">
        <f t="shared" si="0"/>
        <v>3889994.91</v>
      </c>
    </row>
    <row r="29" spans="1:32">
      <c r="A29" s="393">
        <v>21</v>
      </c>
      <c r="C29" s="397" t="s">
        <v>841</v>
      </c>
      <c r="D29" s="398" t="s">
        <v>825</v>
      </c>
      <c r="E29" s="399">
        <v>2199897.91</v>
      </c>
      <c r="F29" s="399">
        <v>795547.13</v>
      </c>
      <c r="G29" s="399">
        <v>2190958.23</v>
      </c>
      <c r="H29" s="399">
        <v>787233.38</v>
      </c>
      <c r="I29" s="399">
        <v>2195167.7599999998</v>
      </c>
      <c r="J29" s="399">
        <v>791213.62</v>
      </c>
      <c r="K29" s="399">
        <v>2256522.1800000002</v>
      </c>
      <c r="L29" s="399">
        <v>795201.51</v>
      </c>
      <c r="M29" s="399">
        <v>2259957.19</v>
      </c>
      <c r="N29" s="399">
        <v>797189.95000000007</v>
      </c>
      <c r="O29" s="399">
        <v>2264300.61</v>
      </c>
      <c r="P29" s="399">
        <v>799073.95000000007</v>
      </c>
      <c r="Q29" s="399">
        <v>2263852.5499999998</v>
      </c>
      <c r="R29" s="399">
        <v>803187.43</v>
      </c>
      <c r="S29" s="399">
        <v>2264017.5</v>
      </c>
      <c r="T29" s="399">
        <v>803566.4</v>
      </c>
      <c r="U29" s="399">
        <v>2277306.17</v>
      </c>
      <c r="V29" s="399">
        <v>810036.08000000007</v>
      </c>
      <c r="W29" s="399">
        <v>2388449.0699999998</v>
      </c>
      <c r="X29" s="399">
        <v>801396.1</v>
      </c>
      <c r="Y29" s="399">
        <v>2410067.63</v>
      </c>
      <c r="Z29" s="399">
        <v>802701.49</v>
      </c>
      <c r="AA29" s="399">
        <v>2409988.66</v>
      </c>
      <c r="AB29" s="399">
        <v>805474.12</v>
      </c>
      <c r="AC29" s="399">
        <v>2441943.67</v>
      </c>
      <c r="AD29" s="399">
        <v>808988.32000000007</v>
      </c>
      <c r="AE29" s="399">
        <f t="shared" si="1"/>
        <v>2291792.3616666663</v>
      </c>
      <c r="AF29" s="399">
        <f t="shared" si="0"/>
        <v>799878.47958333325</v>
      </c>
    </row>
    <row r="30" spans="1:32">
      <c r="A30" s="393">
        <v>22</v>
      </c>
      <c r="C30" s="397" t="s">
        <v>842</v>
      </c>
      <c r="D30" s="398" t="s">
        <v>825</v>
      </c>
      <c r="E30" s="399">
        <v>0</v>
      </c>
      <c r="F30" s="399">
        <v>-256.08</v>
      </c>
      <c r="G30" s="399">
        <v>0</v>
      </c>
      <c r="H30" s="399">
        <v>-256.08</v>
      </c>
      <c r="I30" s="399">
        <v>0</v>
      </c>
      <c r="J30" s="399">
        <v>-256.08</v>
      </c>
      <c r="K30" s="399">
        <v>0</v>
      </c>
      <c r="L30" s="399">
        <v>-256.08</v>
      </c>
      <c r="M30" s="399">
        <v>0</v>
      </c>
      <c r="N30" s="399">
        <v>-256.08</v>
      </c>
      <c r="O30" s="399">
        <v>0</v>
      </c>
      <c r="P30" s="399">
        <v>-256.08</v>
      </c>
      <c r="Q30" s="399">
        <v>0</v>
      </c>
      <c r="R30" s="399">
        <v>-256.08</v>
      </c>
      <c r="S30" s="399">
        <v>0</v>
      </c>
      <c r="T30" s="399">
        <v>-256.08</v>
      </c>
      <c r="U30" s="399">
        <v>0</v>
      </c>
      <c r="V30" s="399">
        <v>-256.08</v>
      </c>
      <c r="W30" s="399">
        <v>0</v>
      </c>
      <c r="X30" s="399">
        <v>-256.08</v>
      </c>
      <c r="Y30" s="399">
        <v>0</v>
      </c>
      <c r="Z30" s="399">
        <v>-256.08</v>
      </c>
      <c r="AA30" s="399">
        <v>0</v>
      </c>
      <c r="AB30" s="399">
        <v>-256.08</v>
      </c>
      <c r="AC30" s="399">
        <v>0</v>
      </c>
      <c r="AD30" s="399">
        <v>0</v>
      </c>
      <c r="AE30" s="399">
        <f t="shared" si="1"/>
        <v>0</v>
      </c>
      <c r="AF30" s="399">
        <f t="shared" si="0"/>
        <v>-245.40999999999997</v>
      </c>
    </row>
    <row r="31" spans="1:32">
      <c r="A31" s="393">
        <v>23</v>
      </c>
      <c r="C31" s="397" t="s">
        <v>843</v>
      </c>
      <c r="D31" s="398" t="s">
        <v>825</v>
      </c>
      <c r="E31" s="399">
        <v>493301.43</v>
      </c>
      <c r="F31" s="399">
        <v>309237.99</v>
      </c>
      <c r="G31" s="399">
        <v>493301.43</v>
      </c>
      <c r="H31" s="399">
        <v>309237.99</v>
      </c>
      <c r="I31" s="399">
        <v>493301.43</v>
      </c>
      <c r="J31" s="399">
        <v>309237.99</v>
      </c>
      <c r="K31" s="399">
        <v>493301.43</v>
      </c>
      <c r="L31" s="399">
        <v>309237.99</v>
      </c>
      <c r="M31" s="399">
        <v>493301.43</v>
      </c>
      <c r="N31" s="399">
        <v>309237.99</v>
      </c>
      <c r="O31" s="399">
        <v>493301.43</v>
      </c>
      <c r="P31" s="399">
        <v>309237.99</v>
      </c>
      <c r="Q31" s="399">
        <v>493301.43</v>
      </c>
      <c r="R31" s="399">
        <v>309237.99</v>
      </c>
      <c r="S31" s="399">
        <v>493301.43</v>
      </c>
      <c r="T31" s="399">
        <v>309237.99</v>
      </c>
      <c r="U31" s="399">
        <v>493301.43</v>
      </c>
      <c r="V31" s="399">
        <v>309237.99</v>
      </c>
      <c r="W31" s="399">
        <v>493301.43</v>
      </c>
      <c r="X31" s="399">
        <v>309237.99</v>
      </c>
      <c r="Y31" s="399">
        <v>493301.43</v>
      </c>
      <c r="Z31" s="399">
        <v>309237.99</v>
      </c>
      <c r="AA31" s="399">
        <v>493301.43</v>
      </c>
      <c r="AB31" s="399">
        <v>309237.99</v>
      </c>
      <c r="AC31" s="399">
        <v>493301.43</v>
      </c>
      <c r="AD31" s="399">
        <v>309237.99</v>
      </c>
      <c r="AE31" s="399">
        <f t="shared" si="1"/>
        <v>493301.42999999993</v>
      </c>
      <c r="AF31" s="399">
        <f t="shared" si="0"/>
        <v>309237.99000000005</v>
      </c>
    </row>
    <row r="32" spans="1:32">
      <c r="A32" s="393">
        <v>24</v>
      </c>
      <c r="C32" s="397" t="s">
        <v>844</v>
      </c>
      <c r="D32" s="398" t="s">
        <v>825</v>
      </c>
      <c r="E32" s="399">
        <v>0</v>
      </c>
      <c r="F32" s="399">
        <v>11145.130000000001</v>
      </c>
      <c r="G32" s="399">
        <v>0</v>
      </c>
      <c r="H32" s="399">
        <v>11145.130000000001</v>
      </c>
      <c r="I32" s="399">
        <v>0</v>
      </c>
      <c r="J32" s="399">
        <v>11145.130000000001</v>
      </c>
      <c r="K32" s="399">
        <v>0</v>
      </c>
      <c r="L32" s="399">
        <v>11145.130000000001</v>
      </c>
      <c r="M32" s="399">
        <v>0</v>
      </c>
      <c r="N32" s="399">
        <v>11145.130000000001</v>
      </c>
      <c r="O32" s="399">
        <v>0</v>
      </c>
      <c r="P32" s="399">
        <v>11145.130000000001</v>
      </c>
      <c r="Q32" s="399">
        <v>0</v>
      </c>
      <c r="R32" s="399">
        <v>11145.130000000001</v>
      </c>
      <c r="S32" s="399">
        <v>0</v>
      </c>
      <c r="T32" s="399">
        <v>11145.130000000001</v>
      </c>
      <c r="U32" s="399">
        <v>0</v>
      </c>
      <c r="V32" s="399">
        <v>11145.130000000001</v>
      </c>
      <c r="W32" s="399">
        <v>0</v>
      </c>
      <c r="X32" s="399">
        <v>11145.130000000001</v>
      </c>
      <c r="Y32" s="399">
        <v>0</v>
      </c>
      <c r="Z32" s="399">
        <v>11145.130000000001</v>
      </c>
      <c r="AA32" s="399">
        <v>0</v>
      </c>
      <c r="AB32" s="399">
        <v>11145.130000000001</v>
      </c>
      <c r="AC32" s="399">
        <v>0</v>
      </c>
      <c r="AD32" s="399">
        <v>0</v>
      </c>
      <c r="AE32" s="399">
        <f t="shared" si="1"/>
        <v>0</v>
      </c>
      <c r="AF32" s="399">
        <f t="shared" si="0"/>
        <v>10680.749583333336</v>
      </c>
    </row>
    <row r="33" spans="1:32">
      <c r="A33" s="393">
        <v>25</v>
      </c>
      <c r="C33" s="397" t="s">
        <v>845</v>
      </c>
      <c r="D33" s="398" t="s">
        <v>825</v>
      </c>
      <c r="E33" s="399">
        <v>4516175.41</v>
      </c>
      <c r="F33" s="399">
        <v>1172226.1400000001</v>
      </c>
      <c r="G33" s="399">
        <v>4516175.41</v>
      </c>
      <c r="H33" s="399">
        <v>1176892.8500000001</v>
      </c>
      <c r="I33" s="399">
        <v>4516175.41</v>
      </c>
      <c r="J33" s="399">
        <v>1181559.56</v>
      </c>
      <c r="K33" s="399">
        <v>4516175.41</v>
      </c>
      <c r="L33" s="399">
        <v>1186226.27</v>
      </c>
      <c r="M33" s="399">
        <v>4516175.41</v>
      </c>
      <c r="N33" s="399">
        <v>1190892.98</v>
      </c>
      <c r="O33" s="399">
        <v>4516175.41</v>
      </c>
      <c r="P33" s="399">
        <v>1195559.69</v>
      </c>
      <c r="Q33" s="399">
        <v>4516175.41</v>
      </c>
      <c r="R33" s="399">
        <v>1200226.3999999999</v>
      </c>
      <c r="S33" s="399">
        <v>4516789.8099999996</v>
      </c>
      <c r="T33" s="399">
        <v>1204893.1100000001</v>
      </c>
      <c r="U33" s="399">
        <v>4516789.8099999996</v>
      </c>
      <c r="V33" s="399">
        <v>1209560.46</v>
      </c>
      <c r="W33" s="399">
        <v>4516789.8099999996</v>
      </c>
      <c r="X33" s="399">
        <v>1214227.81</v>
      </c>
      <c r="Y33" s="399">
        <v>4516789.8099999996</v>
      </c>
      <c r="Z33" s="399">
        <v>1218895.1599999999</v>
      </c>
      <c r="AA33" s="399">
        <v>4516789.8099999996</v>
      </c>
      <c r="AB33" s="399">
        <v>1223562.51</v>
      </c>
      <c r="AC33" s="399">
        <v>4516779.63</v>
      </c>
      <c r="AD33" s="399">
        <v>1239374.99</v>
      </c>
      <c r="AE33" s="399">
        <f t="shared" si="1"/>
        <v>4516456.5858333334</v>
      </c>
      <c r="AF33" s="399">
        <f t="shared" si="0"/>
        <v>1200691.4470833333</v>
      </c>
    </row>
    <row r="34" spans="1:32">
      <c r="A34" s="393">
        <v>26</v>
      </c>
      <c r="C34" s="397" t="s">
        <v>846</v>
      </c>
      <c r="D34" s="398" t="s">
        <v>825</v>
      </c>
      <c r="E34" s="399">
        <v>72240.02</v>
      </c>
      <c r="F34" s="399">
        <v>35909.42</v>
      </c>
      <c r="G34" s="399">
        <v>72240.02</v>
      </c>
      <c r="H34" s="399">
        <v>36955.090000000004</v>
      </c>
      <c r="I34" s="399">
        <v>72240.02</v>
      </c>
      <c r="J34" s="399">
        <v>38000.76</v>
      </c>
      <c r="K34" s="399">
        <v>72240.02</v>
      </c>
      <c r="L34" s="399">
        <v>39046.43</v>
      </c>
      <c r="M34" s="399">
        <v>72240.02</v>
      </c>
      <c r="N34" s="399">
        <v>40092.1</v>
      </c>
      <c r="O34" s="399">
        <v>72240.02</v>
      </c>
      <c r="P34" s="399">
        <v>41137.770000000004</v>
      </c>
      <c r="Q34" s="399">
        <v>72240.02</v>
      </c>
      <c r="R34" s="399">
        <v>42183.44</v>
      </c>
      <c r="S34" s="399">
        <v>72240.02</v>
      </c>
      <c r="T34" s="399">
        <v>43229.11</v>
      </c>
      <c r="U34" s="399">
        <v>72240.02</v>
      </c>
      <c r="V34" s="399">
        <v>44274.78</v>
      </c>
      <c r="W34" s="399">
        <v>72240.02</v>
      </c>
      <c r="X34" s="399">
        <v>45320.450000000004</v>
      </c>
      <c r="Y34" s="399">
        <v>72240.02</v>
      </c>
      <c r="Z34" s="399">
        <v>46366.12</v>
      </c>
      <c r="AA34" s="399">
        <v>72240.02</v>
      </c>
      <c r="AB34" s="399">
        <v>47411.79</v>
      </c>
      <c r="AC34" s="399">
        <v>72240.02</v>
      </c>
      <c r="AD34" s="399">
        <v>48457.46</v>
      </c>
      <c r="AE34" s="399">
        <f t="shared" si="1"/>
        <v>72240.02</v>
      </c>
      <c r="AF34" s="399">
        <f t="shared" si="0"/>
        <v>42183.439999999995</v>
      </c>
    </row>
    <row r="35" spans="1:32">
      <c r="A35" s="393">
        <v>27</v>
      </c>
      <c r="C35" s="397" t="s">
        <v>847</v>
      </c>
      <c r="D35" s="398" t="s">
        <v>825</v>
      </c>
      <c r="E35" s="399">
        <v>106237.48</v>
      </c>
      <c r="F35" s="399">
        <v>30427.39</v>
      </c>
      <c r="G35" s="399">
        <v>106237.48</v>
      </c>
      <c r="H35" s="399">
        <v>30868.28</v>
      </c>
      <c r="I35" s="399">
        <v>106237.48</v>
      </c>
      <c r="J35" s="399">
        <v>31309.170000000002</v>
      </c>
      <c r="K35" s="399">
        <v>106237.48</v>
      </c>
      <c r="L35" s="399">
        <v>31750.06</v>
      </c>
      <c r="M35" s="399">
        <v>106237.48</v>
      </c>
      <c r="N35" s="399">
        <v>32190.95</v>
      </c>
      <c r="O35" s="399">
        <v>106237.48</v>
      </c>
      <c r="P35" s="399">
        <v>32631.84</v>
      </c>
      <c r="Q35" s="399">
        <v>106237.48</v>
      </c>
      <c r="R35" s="399">
        <v>33072.730000000003</v>
      </c>
      <c r="S35" s="399">
        <v>106237.48</v>
      </c>
      <c r="T35" s="399">
        <v>33513.620000000003</v>
      </c>
      <c r="U35" s="399">
        <v>106237.48</v>
      </c>
      <c r="V35" s="399">
        <v>33954.51</v>
      </c>
      <c r="W35" s="399">
        <v>106237.48</v>
      </c>
      <c r="X35" s="399">
        <v>34395.4</v>
      </c>
      <c r="Y35" s="399">
        <v>106237.48</v>
      </c>
      <c r="Z35" s="399">
        <v>34836.29</v>
      </c>
      <c r="AA35" s="399">
        <v>106237.48</v>
      </c>
      <c r="AB35" s="399">
        <v>35277.18</v>
      </c>
      <c r="AC35" s="399">
        <v>106237.48</v>
      </c>
      <c r="AD35" s="399">
        <v>35718.07</v>
      </c>
      <c r="AE35" s="399">
        <f t="shared" si="1"/>
        <v>106237.48</v>
      </c>
      <c r="AF35" s="399">
        <f t="shared" si="0"/>
        <v>33072.729999999996</v>
      </c>
    </row>
    <row r="36" spans="1:32">
      <c r="A36" s="393">
        <v>28</v>
      </c>
      <c r="C36" s="397" t="s">
        <v>848</v>
      </c>
      <c r="D36" s="398" t="s">
        <v>825</v>
      </c>
      <c r="E36" s="399">
        <v>105251.23</v>
      </c>
      <c r="F36" s="399">
        <v>77966.2</v>
      </c>
      <c r="G36" s="399">
        <v>105251.23</v>
      </c>
      <c r="H36" s="399">
        <v>78242.490000000005</v>
      </c>
      <c r="I36" s="399">
        <v>105251.23</v>
      </c>
      <c r="J36" s="399">
        <v>78518.78</v>
      </c>
      <c r="K36" s="399">
        <v>105251.23</v>
      </c>
      <c r="L36" s="399">
        <v>78795.070000000007</v>
      </c>
      <c r="M36" s="399">
        <v>84471.150000000009</v>
      </c>
      <c r="N36" s="399">
        <v>58941.279999999999</v>
      </c>
      <c r="O36" s="399">
        <v>84471.150000000009</v>
      </c>
      <c r="P36" s="399">
        <v>59163.020000000004</v>
      </c>
      <c r="Q36" s="399">
        <v>67111.78</v>
      </c>
      <c r="R36" s="399">
        <v>43825.39</v>
      </c>
      <c r="S36" s="399">
        <v>67111.78</v>
      </c>
      <c r="T36" s="399">
        <v>44001.56</v>
      </c>
      <c r="U36" s="399">
        <v>67111.78</v>
      </c>
      <c r="V36" s="399">
        <v>44177.73</v>
      </c>
      <c r="W36" s="399">
        <v>67111.78</v>
      </c>
      <c r="X36" s="399">
        <v>44353.9</v>
      </c>
      <c r="Y36" s="399">
        <v>67111.78</v>
      </c>
      <c r="Z36" s="399">
        <v>44530.07</v>
      </c>
      <c r="AA36" s="399">
        <v>67111.78</v>
      </c>
      <c r="AB36" s="399">
        <v>44706.239999999998</v>
      </c>
      <c r="AC36" s="399">
        <v>67111.78</v>
      </c>
      <c r="AD36" s="399">
        <v>44882.41</v>
      </c>
      <c r="AE36" s="399">
        <f t="shared" si="1"/>
        <v>81129.014583333352</v>
      </c>
      <c r="AF36" s="399">
        <f t="shared" si="0"/>
        <v>56723.31958333333</v>
      </c>
    </row>
    <row r="37" spans="1:32">
      <c r="A37" s="393">
        <v>29</v>
      </c>
      <c r="C37" s="397" t="s">
        <v>849</v>
      </c>
      <c r="D37" s="398" t="s">
        <v>825</v>
      </c>
      <c r="E37" s="399">
        <v>3646897.84</v>
      </c>
      <c r="F37" s="399">
        <v>1302246.3999999999</v>
      </c>
      <c r="G37" s="399">
        <v>3674015.62</v>
      </c>
      <c r="H37" s="399">
        <v>1320936.75</v>
      </c>
      <c r="I37" s="399">
        <v>3768803.6</v>
      </c>
      <c r="J37" s="399">
        <v>1339766.08</v>
      </c>
      <c r="K37" s="399">
        <v>3768979.7</v>
      </c>
      <c r="L37" s="399">
        <v>1359081.2</v>
      </c>
      <c r="M37" s="399">
        <v>3741418.04</v>
      </c>
      <c r="N37" s="399">
        <v>1359820.8900000001</v>
      </c>
      <c r="O37" s="399">
        <v>3743703.71</v>
      </c>
      <c r="P37" s="399">
        <v>1378995.65</v>
      </c>
      <c r="Q37" s="399">
        <v>3743703.71</v>
      </c>
      <c r="R37" s="399">
        <v>1398182.13</v>
      </c>
      <c r="S37" s="399">
        <v>3743437.4699999997</v>
      </c>
      <c r="T37" s="399">
        <v>1417368.6099999999</v>
      </c>
      <c r="U37" s="399">
        <v>3745026.33</v>
      </c>
      <c r="V37" s="399">
        <v>1436553.72</v>
      </c>
      <c r="W37" s="399">
        <v>3745026.33</v>
      </c>
      <c r="X37" s="399">
        <v>1455746.98</v>
      </c>
      <c r="Y37" s="399">
        <v>3745026.33</v>
      </c>
      <c r="Z37" s="399">
        <v>1474940.24</v>
      </c>
      <c r="AA37" s="399">
        <v>3946238.67</v>
      </c>
      <c r="AB37" s="399">
        <v>1494133.5</v>
      </c>
      <c r="AC37" s="399">
        <v>4251446.0999999996</v>
      </c>
      <c r="AD37" s="399">
        <v>1514357.97</v>
      </c>
      <c r="AE37" s="399">
        <f t="shared" si="1"/>
        <v>3776212.6233333331</v>
      </c>
      <c r="AF37" s="399">
        <f t="shared" si="0"/>
        <v>1403652.3279166669</v>
      </c>
    </row>
    <row r="38" spans="1:32">
      <c r="A38" s="393">
        <v>30</v>
      </c>
      <c r="C38" s="397" t="s">
        <v>850</v>
      </c>
      <c r="D38" s="398" t="s">
        <v>825</v>
      </c>
      <c r="E38" s="399">
        <v>0</v>
      </c>
      <c r="F38" s="399">
        <v>0</v>
      </c>
      <c r="G38" s="399">
        <v>0</v>
      </c>
      <c r="H38" s="399">
        <v>0</v>
      </c>
      <c r="I38" s="399">
        <v>0</v>
      </c>
      <c r="J38" s="399">
        <v>0</v>
      </c>
      <c r="K38" s="399">
        <v>0</v>
      </c>
      <c r="L38" s="399">
        <v>0</v>
      </c>
      <c r="M38" s="399">
        <v>0</v>
      </c>
      <c r="N38" s="399">
        <v>0</v>
      </c>
      <c r="O38" s="399">
        <v>0</v>
      </c>
      <c r="P38" s="399">
        <v>0</v>
      </c>
      <c r="Q38" s="399">
        <v>0</v>
      </c>
      <c r="R38" s="399">
        <v>0</v>
      </c>
      <c r="S38" s="399">
        <v>0</v>
      </c>
      <c r="T38" s="399">
        <v>0</v>
      </c>
      <c r="U38" s="399">
        <v>0</v>
      </c>
      <c r="V38" s="399">
        <v>0</v>
      </c>
      <c r="W38" s="399">
        <v>0</v>
      </c>
      <c r="X38" s="399">
        <v>0</v>
      </c>
      <c r="Y38" s="399">
        <v>0</v>
      </c>
      <c r="Z38" s="399">
        <v>0</v>
      </c>
      <c r="AA38" s="399">
        <v>0</v>
      </c>
      <c r="AB38" s="399">
        <v>0</v>
      </c>
      <c r="AC38" s="399">
        <v>0</v>
      </c>
      <c r="AD38" s="399">
        <v>0</v>
      </c>
      <c r="AE38" s="399">
        <f t="shared" si="1"/>
        <v>0</v>
      </c>
      <c r="AF38" s="399">
        <f t="shared" si="0"/>
        <v>0</v>
      </c>
    </row>
    <row r="39" spans="1:32">
      <c r="A39" s="393">
        <v>31</v>
      </c>
      <c r="C39" s="397" t="s">
        <v>851</v>
      </c>
      <c r="D39" s="398" t="s">
        <v>825</v>
      </c>
      <c r="E39" s="399">
        <v>1518441.77</v>
      </c>
      <c r="F39" s="399">
        <v>393444.7</v>
      </c>
      <c r="G39" s="399">
        <v>1537082.6099999999</v>
      </c>
      <c r="H39" s="399">
        <v>397949.41000000003</v>
      </c>
      <c r="I39" s="399">
        <v>1537082.6099999999</v>
      </c>
      <c r="J39" s="399">
        <v>402509.42</v>
      </c>
      <c r="K39" s="399">
        <v>1527620</v>
      </c>
      <c r="L39" s="399">
        <v>385982.58</v>
      </c>
      <c r="M39" s="399">
        <v>1525092.3399999999</v>
      </c>
      <c r="N39" s="399">
        <v>390514.52</v>
      </c>
      <c r="O39" s="399">
        <v>1525092.3399999999</v>
      </c>
      <c r="P39" s="399">
        <v>395038.96</v>
      </c>
      <c r="Q39" s="399">
        <v>1527145.46</v>
      </c>
      <c r="R39" s="399">
        <v>399563.4</v>
      </c>
      <c r="S39" s="399">
        <v>1527145.46</v>
      </c>
      <c r="T39" s="399">
        <v>404093.93</v>
      </c>
      <c r="U39" s="399">
        <v>1527145.46</v>
      </c>
      <c r="V39" s="399">
        <v>408624.46</v>
      </c>
      <c r="W39" s="399">
        <v>1531614.44</v>
      </c>
      <c r="X39" s="399">
        <v>413154.99</v>
      </c>
      <c r="Y39" s="399">
        <v>1543685.6400000001</v>
      </c>
      <c r="Z39" s="399">
        <v>417698.78</v>
      </c>
      <c r="AA39" s="399">
        <v>1543685.6400000001</v>
      </c>
      <c r="AB39" s="399">
        <v>422278.38</v>
      </c>
      <c r="AC39" s="399">
        <v>1555929.2</v>
      </c>
      <c r="AD39" s="399">
        <v>426857.98</v>
      </c>
      <c r="AE39" s="399">
        <f t="shared" si="1"/>
        <v>1532464.7904166665</v>
      </c>
      <c r="AF39" s="399">
        <f t="shared" si="0"/>
        <v>403963.34749999997</v>
      </c>
    </row>
    <row r="40" spans="1:32">
      <c r="A40" s="393">
        <v>32</v>
      </c>
      <c r="C40" s="397" t="s">
        <v>852</v>
      </c>
      <c r="D40" s="398" t="s">
        <v>825</v>
      </c>
      <c r="E40" s="399">
        <v>886803.63</v>
      </c>
      <c r="F40" s="399">
        <v>-435127.25</v>
      </c>
      <c r="G40" s="399">
        <v>955255.33000000007</v>
      </c>
      <c r="H40" s="399">
        <v>-431299.22000000003</v>
      </c>
      <c r="I40" s="399">
        <v>799438.14</v>
      </c>
      <c r="J40" s="399">
        <v>-372616.89</v>
      </c>
      <c r="K40" s="399">
        <v>808258.24</v>
      </c>
      <c r="L40" s="399">
        <v>-369165.98</v>
      </c>
      <c r="M40" s="399">
        <v>808258.24</v>
      </c>
      <c r="N40" s="399">
        <v>-365677</v>
      </c>
      <c r="O40" s="399">
        <v>808258.24</v>
      </c>
      <c r="P40" s="399">
        <v>-362188.02</v>
      </c>
      <c r="Q40" s="399">
        <v>808258.24</v>
      </c>
      <c r="R40" s="399">
        <v>-358699.04</v>
      </c>
      <c r="S40" s="399">
        <v>808258.24</v>
      </c>
      <c r="T40" s="399">
        <v>-355210.06</v>
      </c>
      <c r="U40" s="399">
        <v>794128.08000000007</v>
      </c>
      <c r="V40" s="399">
        <v>-365851.24</v>
      </c>
      <c r="W40" s="399">
        <v>868888.67</v>
      </c>
      <c r="X40" s="399">
        <v>-449000.57</v>
      </c>
      <c r="Y40" s="399">
        <v>868888.67</v>
      </c>
      <c r="Z40" s="399">
        <v>-445249.86</v>
      </c>
      <c r="AA40" s="399">
        <v>868888.67</v>
      </c>
      <c r="AB40" s="399">
        <v>-441499.15</v>
      </c>
      <c r="AC40" s="399">
        <v>966321.15</v>
      </c>
      <c r="AD40" s="399">
        <v>-445256.66000000003</v>
      </c>
      <c r="AE40" s="399">
        <f t="shared" si="1"/>
        <v>843611.76250000019</v>
      </c>
      <c r="AF40" s="399">
        <f t="shared" si="0"/>
        <v>-396387.41541666671</v>
      </c>
    </row>
    <row r="41" spans="1:32">
      <c r="A41" s="393">
        <v>33</v>
      </c>
      <c r="C41" s="397" t="s">
        <v>853</v>
      </c>
      <c r="D41" s="398" t="s">
        <v>825</v>
      </c>
      <c r="E41" s="399">
        <v>337722.04</v>
      </c>
      <c r="F41" s="399">
        <v>60143.21</v>
      </c>
      <c r="G41" s="399">
        <v>338168.17</v>
      </c>
      <c r="H41" s="399">
        <v>61021.29</v>
      </c>
      <c r="I41" s="399">
        <v>338168.17</v>
      </c>
      <c r="J41" s="399">
        <v>61900.53</v>
      </c>
      <c r="K41" s="399">
        <v>338168.17</v>
      </c>
      <c r="L41" s="399">
        <v>62779.770000000004</v>
      </c>
      <c r="M41" s="399">
        <v>338168.17</v>
      </c>
      <c r="N41" s="399">
        <v>63659.01</v>
      </c>
      <c r="O41" s="399">
        <v>338168.17</v>
      </c>
      <c r="P41" s="399">
        <v>64538.25</v>
      </c>
      <c r="Q41" s="399">
        <v>338168.17</v>
      </c>
      <c r="R41" s="399">
        <v>65417.49</v>
      </c>
      <c r="S41" s="399">
        <v>341752.17</v>
      </c>
      <c r="T41" s="399">
        <v>66296.73</v>
      </c>
      <c r="U41" s="399">
        <v>341752.17</v>
      </c>
      <c r="V41" s="399">
        <v>67185.279999999999</v>
      </c>
      <c r="W41" s="399">
        <v>341752.17</v>
      </c>
      <c r="X41" s="399">
        <v>68073.83</v>
      </c>
      <c r="Y41" s="399">
        <v>341752.17</v>
      </c>
      <c r="Z41" s="399">
        <v>68962.38</v>
      </c>
      <c r="AA41" s="399">
        <v>341752.17</v>
      </c>
      <c r="AB41" s="399">
        <v>69850.930000000008</v>
      </c>
      <c r="AC41" s="399">
        <v>341685.37</v>
      </c>
      <c r="AD41" s="399">
        <v>70739.48</v>
      </c>
      <c r="AE41" s="399">
        <f t="shared" si="1"/>
        <v>339789.46458333329</v>
      </c>
      <c r="AF41" s="399">
        <f t="shared" si="0"/>
        <v>65427.236249999994</v>
      </c>
    </row>
    <row r="42" spans="1:32">
      <c r="A42" s="393">
        <v>34</v>
      </c>
      <c r="C42" s="397" t="s">
        <v>854</v>
      </c>
      <c r="D42" s="398" t="s">
        <v>825</v>
      </c>
      <c r="E42" s="399">
        <v>190417.76</v>
      </c>
      <c r="F42" s="399">
        <v>114167.62</v>
      </c>
      <c r="G42" s="399">
        <v>190417.76</v>
      </c>
      <c r="H42" s="399">
        <v>114891.21</v>
      </c>
      <c r="I42" s="399">
        <v>190417.76</v>
      </c>
      <c r="J42" s="399">
        <v>115614.8</v>
      </c>
      <c r="K42" s="399">
        <v>190417.76</v>
      </c>
      <c r="L42" s="399">
        <v>116338.39</v>
      </c>
      <c r="M42" s="399">
        <v>190417.76</v>
      </c>
      <c r="N42" s="399">
        <v>117061.98</v>
      </c>
      <c r="O42" s="399">
        <v>190417.76</v>
      </c>
      <c r="P42" s="399">
        <v>117785.57</v>
      </c>
      <c r="Q42" s="399">
        <v>190417.76</v>
      </c>
      <c r="R42" s="399">
        <v>118509.16</v>
      </c>
      <c r="S42" s="399">
        <v>190417.76</v>
      </c>
      <c r="T42" s="399">
        <v>119232.75</v>
      </c>
      <c r="U42" s="399">
        <v>190417.76</v>
      </c>
      <c r="V42" s="399">
        <v>119956.34</v>
      </c>
      <c r="W42" s="399">
        <v>190417.76</v>
      </c>
      <c r="X42" s="399">
        <v>120679.93000000001</v>
      </c>
      <c r="Y42" s="399">
        <v>190417.76</v>
      </c>
      <c r="Z42" s="399">
        <v>121403.52</v>
      </c>
      <c r="AA42" s="399">
        <v>190417.76</v>
      </c>
      <c r="AB42" s="399">
        <v>122127.11</v>
      </c>
      <c r="AC42" s="399">
        <v>190417.76</v>
      </c>
      <c r="AD42" s="399">
        <v>122850.7</v>
      </c>
      <c r="AE42" s="399">
        <f t="shared" si="1"/>
        <v>190417.76</v>
      </c>
      <c r="AF42" s="399">
        <f t="shared" si="0"/>
        <v>118509.15999999999</v>
      </c>
    </row>
    <row r="43" spans="1:32">
      <c r="A43" s="393">
        <v>35</v>
      </c>
      <c r="C43" s="397" t="s">
        <v>855</v>
      </c>
      <c r="D43" s="398" t="s">
        <v>825</v>
      </c>
      <c r="E43" s="399">
        <v>295285.8</v>
      </c>
      <c r="F43" s="399">
        <v>96472.7</v>
      </c>
      <c r="G43" s="399">
        <v>295285.8</v>
      </c>
      <c r="H43" s="399">
        <v>98778.39</v>
      </c>
      <c r="I43" s="399">
        <v>295285.8</v>
      </c>
      <c r="J43" s="399">
        <v>101084.08</v>
      </c>
      <c r="K43" s="399">
        <v>295285.8</v>
      </c>
      <c r="L43" s="399">
        <v>103389.77</v>
      </c>
      <c r="M43" s="399">
        <v>295285.8</v>
      </c>
      <c r="N43" s="399">
        <v>105695.46</v>
      </c>
      <c r="O43" s="399">
        <v>295285.8</v>
      </c>
      <c r="P43" s="399">
        <v>108001.15000000001</v>
      </c>
      <c r="Q43" s="399">
        <v>295285.8</v>
      </c>
      <c r="R43" s="399">
        <v>110306.84</v>
      </c>
      <c r="S43" s="399">
        <v>295285.8</v>
      </c>
      <c r="T43" s="399">
        <v>112612.53</v>
      </c>
      <c r="U43" s="399">
        <v>295285.8</v>
      </c>
      <c r="V43" s="399">
        <v>114918.22</v>
      </c>
      <c r="W43" s="399">
        <v>295285.8</v>
      </c>
      <c r="X43" s="399">
        <v>117223.91</v>
      </c>
      <c r="Y43" s="399">
        <v>295285.8</v>
      </c>
      <c r="Z43" s="399">
        <v>119529.60000000001</v>
      </c>
      <c r="AA43" s="399">
        <v>295285.8</v>
      </c>
      <c r="AB43" s="399">
        <v>121835.29000000001</v>
      </c>
      <c r="AC43" s="399">
        <v>295285.8</v>
      </c>
      <c r="AD43" s="399">
        <v>124140.98</v>
      </c>
      <c r="AE43" s="399">
        <f t="shared" si="1"/>
        <v>295285.79999999993</v>
      </c>
      <c r="AF43" s="399">
        <f t="shared" si="0"/>
        <v>110306.84000000003</v>
      </c>
    </row>
    <row r="44" spans="1:32">
      <c r="A44" s="393">
        <v>36</v>
      </c>
      <c r="C44" s="397" t="s">
        <v>856</v>
      </c>
      <c r="D44" s="398" t="s">
        <v>825</v>
      </c>
      <c r="E44" s="399">
        <v>1040813.32</v>
      </c>
      <c r="F44" s="399">
        <v>610785.39</v>
      </c>
      <c r="G44" s="399">
        <v>1040813.32</v>
      </c>
      <c r="H44" s="399">
        <v>610898.14</v>
      </c>
      <c r="I44" s="399">
        <v>1040813.32</v>
      </c>
      <c r="J44" s="399">
        <v>611010.89</v>
      </c>
      <c r="K44" s="399">
        <v>1040813.32</v>
      </c>
      <c r="L44" s="399">
        <v>611123.64</v>
      </c>
      <c r="M44" s="399">
        <v>1040813.32</v>
      </c>
      <c r="N44" s="399">
        <v>611236.39</v>
      </c>
      <c r="O44" s="399">
        <v>1040813.32</v>
      </c>
      <c r="P44" s="399">
        <v>611349.14</v>
      </c>
      <c r="Q44" s="399">
        <v>1040813.32</v>
      </c>
      <c r="R44" s="399">
        <v>611461.89</v>
      </c>
      <c r="S44" s="399">
        <v>1040813.32</v>
      </c>
      <c r="T44" s="399">
        <v>611574.64</v>
      </c>
      <c r="U44" s="399">
        <v>1040813.32</v>
      </c>
      <c r="V44" s="399">
        <v>611687.39</v>
      </c>
      <c r="W44" s="399">
        <v>1040813.32</v>
      </c>
      <c r="X44" s="399">
        <v>611800.14</v>
      </c>
      <c r="Y44" s="399">
        <v>1040813.32</v>
      </c>
      <c r="Z44" s="399">
        <v>611912.89</v>
      </c>
      <c r="AA44" s="399">
        <v>1040813.32</v>
      </c>
      <c r="AB44" s="399">
        <v>612025.64</v>
      </c>
      <c r="AC44" s="399">
        <v>1040813.32</v>
      </c>
      <c r="AD44" s="399">
        <v>612138.39</v>
      </c>
      <c r="AE44" s="399">
        <f t="shared" si="1"/>
        <v>1040813.3200000002</v>
      </c>
      <c r="AF44" s="399">
        <f t="shared" si="0"/>
        <v>611461.8899999999</v>
      </c>
    </row>
    <row r="45" spans="1:32">
      <c r="A45" s="393">
        <v>37</v>
      </c>
      <c r="C45" s="397" t="s">
        <v>857</v>
      </c>
      <c r="D45" s="398" t="s">
        <v>825</v>
      </c>
      <c r="E45" s="399">
        <v>79223.14</v>
      </c>
      <c r="F45" s="399">
        <v>58716.07</v>
      </c>
      <c r="G45" s="399">
        <v>79223.14</v>
      </c>
      <c r="H45" s="399">
        <v>59322.130000000005</v>
      </c>
      <c r="I45" s="399">
        <v>79223.14</v>
      </c>
      <c r="J45" s="399">
        <v>59928.19</v>
      </c>
      <c r="K45" s="399">
        <v>79223.14</v>
      </c>
      <c r="L45" s="399">
        <v>60534.25</v>
      </c>
      <c r="M45" s="399">
        <v>79223.14</v>
      </c>
      <c r="N45" s="399">
        <v>61140.31</v>
      </c>
      <c r="O45" s="399">
        <v>79223.14</v>
      </c>
      <c r="P45" s="399">
        <v>61746.37</v>
      </c>
      <c r="Q45" s="399">
        <v>79223.14</v>
      </c>
      <c r="R45" s="399">
        <v>62352.43</v>
      </c>
      <c r="S45" s="399">
        <v>79223.14</v>
      </c>
      <c r="T45" s="399">
        <v>62958.49</v>
      </c>
      <c r="U45" s="399">
        <v>79223.14</v>
      </c>
      <c r="V45" s="399">
        <v>63564.55</v>
      </c>
      <c r="W45" s="399">
        <v>79223.14</v>
      </c>
      <c r="X45" s="399">
        <v>64170.61</v>
      </c>
      <c r="Y45" s="399">
        <v>79223.14</v>
      </c>
      <c r="Z45" s="399">
        <v>64776.67</v>
      </c>
      <c r="AA45" s="399">
        <v>79223.14</v>
      </c>
      <c r="AB45" s="399">
        <v>65382.73</v>
      </c>
      <c r="AC45" s="399">
        <v>79223.14</v>
      </c>
      <c r="AD45" s="399">
        <v>65988.790000000008</v>
      </c>
      <c r="AE45" s="399">
        <f t="shared" si="1"/>
        <v>79223.14</v>
      </c>
      <c r="AF45" s="399">
        <f t="shared" si="0"/>
        <v>62352.43</v>
      </c>
    </row>
    <row r="46" spans="1:32">
      <c r="C46" s="397" t="s">
        <v>858</v>
      </c>
      <c r="D46" s="398" t="s">
        <v>825</v>
      </c>
      <c r="E46" s="399">
        <v>7208.81</v>
      </c>
      <c r="F46" s="399">
        <v>-644.32000000000005</v>
      </c>
      <c r="G46" s="399">
        <v>7208.81</v>
      </c>
      <c r="H46" s="399">
        <v>-581.18000000000006</v>
      </c>
      <c r="I46" s="399">
        <v>7208.81</v>
      </c>
      <c r="J46" s="399">
        <v>-518.04</v>
      </c>
      <c r="K46" s="399">
        <v>7208.81</v>
      </c>
      <c r="L46" s="399">
        <v>-454.90000000000003</v>
      </c>
      <c r="M46" s="399">
        <v>7208.81</v>
      </c>
      <c r="N46" s="399">
        <v>-391.76</v>
      </c>
      <c r="O46" s="399">
        <v>7208.81</v>
      </c>
      <c r="P46" s="399">
        <v>-328.62</v>
      </c>
      <c r="Q46" s="399">
        <v>7208.81</v>
      </c>
      <c r="R46" s="399">
        <v>-265.48</v>
      </c>
      <c r="S46" s="399">
        <v>7208.81</v>
      </c>
      <c r="T46" s="399">
        <v>-202.34</v>
      </c>
      <c r="U46" s="399">
        <v>7208.81</v>
      </c>
      <c r="V46" s="399">
        <v>-139.20000000000002</v>
      </c>
      <c r="W46" s="399">
        <v>7208.81</v>
      </c>
      <c r="X46" s="399">
        <v>-76.06</v>
      </c>
      <c r="Y46" s="399">
        <v>7208.81</v>
      </c>
      <c r="Z46" s="399">
        <v>-12.92</v>
      </c>
      <c r="AA46" s="399">
        <v>7208.81</v>
      </c>
      <c r="AB46" s="399">
        <v>50.22</v>
      </c>
      <c r="AC46" s="399">
        <v>7208.81</v>
      </c>
      <c r="AD46" s="399">
        <v>113.36</v>
      </c>
      <c r="AE46" s="399">
        <f t="shared" si="1"/>
        <v>7208.8099999999986</v>
      </c>
      <c r="AF46" s="399">
        <f t="shared" si="0"/>
        <v>-265.48</v>
      </c>
    </row>
    <row r="47" spans="1:32">
      <c r="A47" s="393">
        <v>38</v>
      </c>
      <c r="B47" s="400" t="s">
        <v>83</v>
      </c>
      <c r="C47" s="401"/>
      <c r="D47" s="400" t="s">
        <v>859</v>
      </c>
      <c r="E47" s="402">
        <f>SUBTOTAL(9,E10:E46)</f>
        <v>203750183.19999996</v>
      </c>
      <c r="F47" s="402">
        <f t="shared" ref="F47:AC47" si="2">SUBTOTAL(9,F10:F46)</f>
        <v>94673967.230000004</v>
      </c>
      <c r="G47" s="402">
        <f t="shared" si="2"/>
        <v>204841059.48999998</v>
      </c>
      <c r="H47" s="402">
        <f t="shared" si="2"/>
        <v>95116381.049999967</v>
      </c>
      <c r="I47" s="402">
        <f t="shared" si="2"/>
        <v>206516996.5699999</v>
      </c>
      <c r="J47" s="402">
        <f t="shared" si="2"/>
        <v>95643981.260000005</v>
      </c>
      <c r="K47" s="402">
        <f t="shared" si="2"/>
        <v>207680503.04999992</v>
      </c>
      <c r="L47" s="402">
        <f t="shared" si="2"/>
        <v>96111922.719999969</v>
      </c>
      <c r="M47" s="402">
        <f t="shared" si="2"/>
        <v>208543615.13</v>
      </c>
      <c r="N47" s="402">
        <f t="shared" si="2"/>
        <v>96588070.11999999</v>
      </c>
      <c r="O47" s="402">
        <f t="shared" si="2"/>
        <v>209729440.22</v>
      </c>
      <c r="P47" s="402">
        <f t="shared" si="2"/>
        <v>97004251.859999985</v>
      </c>
      <c r="Q47" s="402">
        <f t="shared" si="2"/>
        <v>212396044.76999998</v>
      </c>
      <c r="R47" s="402">
        <f t="shared" si="2"/>
        <v>97489903.980000004</v>
      </c>
      <c r="S47" s="402">
        <f t="shared" si="2"/>
        <v>213097205.22999999</v>
      </c>
      <c r="T47" s="402">
        <f t="shared" si="2"/>
        <v>98001548.730000004</v>
      </c>
      <c r="U47" s="402">
        <f t="shared" si="2"/>
        <v>213720847.61000001</v>
      </c>
      <c r="V47" s="402">
        <f t="shared" si="2"/>
        <v>98462271.069999978</v>
      </c>
      <c r="W47" s="402">
        <f t="shared" si="2"/>
        <v>214415007.66</v>
      </c>
      <c r="X47" s="402">
        <f t="shared" si="2"/>
        <v>98813118.210000008</v>
      </c>
      <c r="Y47" s="402">
        <f t="shared" si="2"/>
        <v>217429026.73999995</v>
      </c>
      <c r="Z47" s="402">
        <f t="shared" si="2"/>
        <v>99339491.37999998</v>
      </c>
      <c r="AA47" s="402">
        <f t="shared" si="2"/>
        <v>218322784.76999995</v>
      </c>
      <c r="AB47" s="402">
        <f t="shared" si="2"/>
        <v>99792156.330000013</v>
      </c>
      <c r="AC47" s="402">
        <f t="shared" si="2"/>
        <v>220069994.46999994</v>
      </c>
      <c r="AD47" s="402">
        <f>SUBTOTAL(9,AD10:AD46)</f>
        <v>100233725.66999999</v>
      </c>
      <c r="AE47" s="402">
        <f>SUBTOTAL(9,AE10:AE46)</f>
        <v>211550218.33958331</v>
      </c>
      <c r="AF47" s="402">
        <f>SUBTOTAL(9,AF10:AF46)</f>
        <v>97484745.263333306</v>
      </c>
    </row>
    <row r="48" spans="1:32">
      <c r="A48" s="393">
        <v>39</v>
      </c>
      <c r="B48" s="395" t="s">
        <v>106</v>
      </c>
      <c r="C48" s="395" t="s">
        <v>370</v>
      </c>
      <c r="D48" s="403"/>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row>
    <row r="49" spans="1:32">
      <c r="A49" s="393">
        <v>40</v>
      </c>
      <c r="C49" s="16" t="s">
        <v>860</v>
      </c>
      <c r="D49" s="16" t="s">
        <v>862</v>
      </c>
      <c r="E49" s="399">
        <v>138157.95000000001</v>
      </c>
      <c r="F49" s="399">
        <v>138157.97</v>
      </c>
      <c r="G49" s="399">
        <v>138157.95000000001</v>
      </c>
      <c r="H49" s="399">
        <v>138157.97</v>
      </c>
      <c r="I49" s="399">
        <v>138157.95000000001</v>
      </c>
      <c r="J49" s="399">
        <v>138157.97</v>
      </c>
      <c r="K49" s="399">
        <v>138157.95000000001</v>
      </c>
      <c r="L49" s="399">
        <v>138157.97</v>
      </c>
      <c r="M49" s="399">
        <v>138157.95000000001</v>
      </c>
      <c r="N49" s="399">
        <v>138157.97</v>
      </c>
      <c r="O49" s="399">
        <v>138157.95000000001</v>
      </c>
      <c r="P49" s="399">
        <v>138157.97</v>
      </c>
      <c r="Q49" s="399">
        <v>138157.95000000001</v>
      </c>
      <c r="R49" s="399">
        <v>138157.97</v>
      </c>
      <c r="S49" s="399">
        <v>138157.95000000001</v>
      </c>
      <c r="T49" s="399">
        <v>138157.97</v>
      </c>
      <c r="U49" s="399">
        <v>138157.95000000001</v>
      </c>
      <c r="V49" s="399">
        <v>138157.97</v>
      </c>
      <c r="W49" s="399">
        <v>138157.95000000001</v>
      </c>
      <c r="X49" s="399">
        <v>138157.97</v>
      </c>
      <c r="Y49" s="399">
        <v>138157.95000000001</v>
      </c>
      <c r="Z49" s="399">
        <v>138157.97</v>
      </c>
      <c r="AA49" s="399">
        <v>138157.95000000001</v>
      </c>
      <c r="AB49" s="399">
        <v>138157.97</v>
      </c>
      <c r="AC49" s="399">
        <v>138157.95000000001</v>
      </c>
      <c r="AD49" s="399">
        <v>138157.95000000001</v>
      </c>
      <c r="AE49" s="399">
        <f t="shared" ref="AE49:AF91" si="3">+(E49+AC49+(+G49+I49+K49+M49+O49+Q49+S49+U49+W49+Y49+AA49)*2)/24</f>
        <v>138157.94999999998</v>
      </c>
      <c r="AF49" s="399">
        <f t="shared" si="3"/>
        <v>138157.96916666665</v>
      </c>
    </row>
    <row r="50" spans="1:32">
      <c r="A50" s="393">
        <v>41</v>
      </c>
      <c r="C50" s="16" t="s">
        <v>861</v>
      </c>
      <c r="D50" s="398" t="s">
        <v>862</v>
      </c>
      <c r="E50" s="399">
        <v>0</v>
      </c>
      <c r="F50" s="399">
        <v>0</v>
      </c>
      <c r="G50" s="399">
        <v>0</v>
      </c>
      <c r="H50" s="399">
        <v>0</v>
      </c>
      <c r="I50" s="399">
        <v>0</v>
      </c>
      <c r="J50" s="399">
        <v>0</v>
      </c>
      <c r="K50" s="399">
        <v>0</v>
      </c>
      <c r="L50" s="399">
        <v>0</v>
      </c>
      <c r="M50" s="399">
        <v>0</v>
      </c>
      <c r="N50" s="399">
        <v>0</v>
      </c>
      <c r="O50" s="399">
        <v>0</v>
      </c>
      <c r="P50" s="399">
        <v>0</v>
      </c>
      <c r="Q50" s="399">
        <v>0</v>
      </c>
      <c r="R50" s="399">
        <v>0</v>
      </c>
      <c r="S50" s="399">
        <v>0</v>
      </c>
      <c r="T50" s="399">
        <v>0</v>
      </c>
      <c r="U50" s="399">
        <v>0</v>
      </c>
      <c r="V50" s="399">
        <v>0</v>
      </c>
      <c r="W50" s="399">
        <v>0</v>
      </c>
      <c r="X50" s="399">
        <v>0</v>
      </c>
      <c r="Y50" s="399">
        <v>0</v>
      </c>
      <c r="Z50" s="399">
        <v>0</v>
      </c>
      <c r="AA50" s="399">
        <v>0</v>
      </c>
      <c r="AB50" s="399">
        <v>0</v>
      </c>
      <c r="AC50" s="399">
        <v>0</v>
      </c>
      <c r="AD50" s="399">
        <v>0</v>
      </c>
      <c r="AE50" s="399">
        <f t="shared" si="3"/>
        <v>0</v>
      </c>
      <c r="AF50" s="399">
        <f t="shared" si="3"/>
        <v>0</v>
      </c>
    </row>
    <row r="51" spans="1:32">
      <c r="A51" s="393">
        <v>42</v>
      </c>
      <c r="C51" s="16" t="s">
        <v>1345</v>
      </c>
      <c r="D51" s="398" t="s">
        <v>862</v>
      </c>
      <c r="E51" s="399">
        <v>12647.45</v>
      </c>
      <c r="F51" s="399">
        <v>997.31000000000006</v>
      </c>
      <c r="G51" s="399">
        <v>12647.45</v>
      </c>
      <c r="H51" s="399">
        <v>1050.01</v>
      </c>
      <c r="I51" s="399">
        <v>12647.45</v>
      </c>
      <c r="J51" s="399">
        <v>1102.71</v>
      </c>
      <c r="K51" s="399">
        <v>12647.45</v>
      </c>
      <c r="L51" s="399">
        <v>1155.4100000000001</v>
      </c>
      <c r="M51" s="399">
        <v>12647.45</v>
      </c>
      <c r="N51" s="399">
        <v>1208.1100000000001</v>
      </c>
      <c r="O51" s="399">
        <v>12647.45</v>
      </c>
      <c r="P51" s="399">
        <v>1260.81</v>
      </c>
      <c r="Q51" s="399">
        <v>12647.45</v>
      </c>
      <c r="R51" s="399">
        <v>1313.51</v>
      </c>
      <c r="S51" s="399">
        <v>12647.45</v>
      </c>
      <c r="T51" s="399">
        <v>1366.21</v>
      </c>
      <c r="U51" s="399">
        <v>12647.45</v>
      </c>
      <c r="V51" s="399">
        <v>1418.91</v>
      </c>
      <c r="W51" s="399">
        <v>12647.45</v>
      </c>
      <c r="X51" s="399">
        <v>1471.6100000000001</v>
      </c>
      <c r="Y51" s="399">
        <v>12647.45</v>
      </c>
      <c r="Z51" s="399">
        <v>1524.31</v>
      </c>
      <c r="AA51" s="399">
        <v>12647.45</v>
      </c>
      <c r="AB51" s="399">
        <v>1577.01</v>
      </c>
      <c r="AC51" s="399">
        <v>12647.45</v>
      </c>
      <c r="AD51" s="399">
        <v>1629.71</v>
      </c>
      <c r="AE51" s="399">
        <f t="shared" si="3"/>
        <v>12647.449999999999</v>
      </c>
      <c r="AF51" s="399">
        <f t="shared" si="3"/>
        <v>1313.51</v>
      </c>
    </row>
    <row r="52" spans="1:32">
      <c r="A52" s="393">
        <v>43</v>
      </c>
      <c r="C52" s="16" t="s">
        <v>863</v>
      </c>
      <c r="D52" s="398" t="s">
        <v>862</v>
      </c>
      <c r="E52" s="399">
        <v>45037.37</v>
      </c>
      <c r="F52" s="399">
        <v>4597.67</v>
      </c>
      <c r="G52" s="399">
        <v>45037.37</v>
      </c>
      <c r="H52" s="399">
        <v>4691.5</v>
      </c>
      <c r="I52" s="399">
        <v>45037.37</v>
      </c>
      <c r="J52" s="399">
        <v>4785.33</v>
      </c>
      <c r="K52" s="399">
        <v>45037.37</v>
      </c>
      <c r="L52" s="399">
        <v>4879.16</v>
      </c>
      <c r="M52" s="399">
        <v>45037.37</v>
      </c>
      <c r="N52" s="399">
        <v>4972.99</v>
      </c>
      <c r="O52" s="399">
        <v>45037.37</v>
      </c>
      <c r="P52" s="399">
        <v>5066.82</v>
      </c>
      <c r="Q52" s="399">
        <v>45037.37</v>
      </c>
      <c r="R52" s="399">
        <v>5160.6500000000005</v>
      </c>
      <c r="S52" s="399">
        <v>45037.37</v>
      </c>
      <c r="T52" s="399">
        <v>5254.4800000000005</v>
      </c>
      <c r="U52" s="399">
        <v>45037.37</v>
      </c>
      <c r="V52" s="399">
        <v>5348.31</v>
      </c>
      <c r="W52" s="399">
        <v>45037.37</v>
      </c>
      <c r="X52" s="399">
        <v>5442.14</v>
      </c>
      <c r="Y52" s="399">
        <v>45037.37</v>
      </c>
      <c r="Z52" s="399">
        <v>5535.97</v>
      </c>
      <c r="AA52" s="399">
        <v>45037.37</v>
      </c>
      <c r="AB52" s="399">
        <v>5629.8</v>
      </c>
      <c r="AC52" s="399">
        <v>45037.37</v>
      </c>
      <c r="AD52" s="399">
        <v>5723.63</v>
      </c>
      <c r="AE52" s="399">
        <f t="shared" si="3"/>
        <v>45037.37</v>
      </c>
      <c r="AF52" s="399">
        <f t="shared" si="3"/>
        <v>5160.6500000000005</v>
      </c>
    </row>
    <row r="53" spans="1:32">
      <c r="A53" s="393">
        <v>44</v>
      </c>
      <c r="C53" s="16" t="s">
        <v>864</v>
      </c>
      <c r="D53" s="16" t="s">
        <v>862</v>
      </c>
      <c r="E53" s="399">
        <v>1218966.19</v>
      </c>
      <c r="F53" s="399">
        <v>95962.38</v>
      </c>
      <c r="G53" s="399">
        <v>1218966.19</v>
      </c>
      <c r="H53" s="399">
        <v>98501.89</v>
      </c>
      <c r="I53" s="399">
        <v>1218966.19</v>
      </c>
      <c r="J53" s="399">
        <v>101041.40000000001</v>
      </c>
      <c r="K53" s="399">
        <v>1218966.19</v>
      </c>
      <c r="L53" s="399">
        <v>103580.91</v>
      </c>
      <c r="M53" s="399">
        <v>1218966.19</v>
      </c>
      <c r="N53" s="399">
        <v>106120.42</v>
      </c>
      <c r="O53" s="399">
        <v>1218966.19</v>
      </c>
      <c r="P53" s="399">
        <v>108659.93000000001</v>
      </c>
      <c r="Q53" s="399">
        <v>1218966.19</v>
      </c>
      <c r="R53" s="399">
        <v>111199.44</v>
      </c>
      <c r="S53" s="399">
        <v>1218966.19</v>
      </c>
      <c r="T53" s="399">
        <v>113738.95</v>
      </c>
      <c r="U53" s="399">
        <v>1218966.19</v>
      </c>
      <c r="V53" s="399">
        <v>116278.46</v>
      </c>
      <c r="W53" s="399">
        <v>1218966.19</v>
      </c>
      <c r="X53" s="399">
        <v>118817.97</v>
      </c>
      <c r="Y53" s="399">
        <v>1218966.19</v>
      </c>
      <c r="Z53" s="399">
        <v>121357.48</v>
      </c>
      <c r="AA53" s="399">
        <v>1218966.19</v>
      </c>
      <c r="AB53" s="399">
        <v>123896.99</v>
      </c>
      <c r="AC53" s="399">
        <v>1218966.19</v>
      </c>
      <c r="AD53" s="399">
        <v>126436.5</v>
      </c>
      <c r="AE53" s="399">
        <f t="shared" si="3"/>
        <v>1218966.1899999997</v>
      </c>
      <c r="AF53" s="399">
        <f t="shared" si="3"/>
        <v>111199.43999999999</v>
      </c>
    </row>
    <row r="54" spans="1:32">
      <c r="A54" s="393">
        <v>45</v>
      </c>
      <c r="C54" s="16" t="s">
        <v>1346</v>
      </c>
      <c r="D54" s="16" t="s">
        <v>862</v>
      </c>
      <c r="E54" s="399">
        <v>2333239.5300000003</v>
      </c>
      <c r="F54" s="399">
        <v>57023.64</v>
      </c>
      <c r="G54" s="399">
        <v>2333239.5300000003</v>
      </c>
      <c r="H54" s="399">
        <v>61884.56</v>
      </c>
      <c r="I54" s="399">
        <v>2333239.5300000003</v>
      </c>
      <c r="J54" s="399">
        <v>66745.48</v>
      </c>
      <c r="K54" s="399">
        <v>2333239.5300000003</v>
      </c>
      <c r="L54" s="399">
        <v>71606.400000000009</v>
      </c>
      <c r="M54" s="399">
        <v>2333239.5300000003</v>
      </c>
      <c r="N54" s="399">
        <v>76467.320000000007</v>
      </c>
      <c r="O54" s="399">
        <v>2333239.5300000003</v>
      </c>
      <c r="P54" s="399">
        <v>81328.240000000005</v>
      </c>
      <c r="Q54" s="399">
        <v>2333239.5300000003</v>
      </c>
      <c r="R54" s="399">
        <v>86189.16</v>
      </c>
      <c r="S54" s="399">
        <v>2333239.5300000003</v>
      </c>
      <c r="T54" s="399">
        <v>91050.08</v>
      </c>
      <c r="U54" s="399">
        <v>2333239.5300000003</v>
      </c>
      <c r="V54" s="399">
        <v>95911</v>
      </c>
      <c r="W54" s="399">
        <v>2333239.5300000003</v>
      </c>
      <c r="X54" s="399">
        <v>100771.92</v>
      </c>
      <c r="Y54" s="399">
        <v>2333239.5300000003</v>
      </c>
      <c r="Z54" s="399">
        <v>105632.84</v>
      </c>
      <c r="AA54" s="399">
        <v>2333239.5300000003</v>
      </c>
      <c r="AB54" s="399">
        <v>110493.76000000001</v>
      </c>
      <c r="AC54" s="399">
        <v>2333239.5300000003</v>
      </c>
      <c r="AD54" s="399">
        <v>115354.68000000001</v>
      </c>
      <c r="AE54" s="399">
        <f t="shared" si="3"/>
        <v>2333239.5300000007</v>
      </c>
      <c r="AF54" s="399">
        <f t="shared" si="3"/>
        <v>86189.16</v>
      </c>
    </row>
    <row r="55" spans="1:32">
      <c r="A55" s="393">
        <v>46</v>
      </c>
      <c r="C55" s="16" t="s">
        <v>1347</v>
      </c>
      <c r="D55" s="16" t="s">
        <v>862</v>
      </c>
      <c r="E55" s="399">
        <v>8000.9000000000005</v>
      </c>
      <c r="F55" s="399">
        <v>66.680000000000007</v>
      </c>
      <c r="G55" s="399">
        <v>8000.9000000000005</v>
      </c>
      <c r="H55" s="399">
        <v>83.350000000000009</v>
      </c>
      <c r="I55" s="399">
        <v>8000.9000000000005</v>
      </c>
      <c r="J55" s="399">
        <v>100.02</v>
      </c>
      <c r="K55" s="399">
        <v>8000.9000000000005</v>
      </c>
      <c r="L55" s="399">
        <v>116.69</v>
      </c>
      <c r="M55" s="399">
        <v>8000.9000000000005</v>
      </c>
      <c r="N55" s="399">
        <v>133.36000000000001</v>
      </c>
      <c r="O55" s="399">
        <v>8000.9000000000005</v>
      </c>
      <c r="P55" s="399">
        <v>150.03</v>
      </c>
      <c r="Q55" s="399">
        <v>8000.9000000000005</v>
      </c>
      <c r="R55" s="399">
        <v>166.70000000000002</v>
      </c>
      <c r="S55" s="399">
        <v>8000.9000000000005</v>
      </c>
      <c r="T55" s="399">
        <v>183.37</v>
      </c>
      <c r="U55" s="399">
        <v>8000.9000000000005</v>
      </c>
      <c r="V55" s="399">
        <v>200.04</v>
      </c>
      <c r="W55" s="399">
        <v>8000.9000000000005</v>
      </c>
      <c r="X55" s="399">
        <v>216.71</v>
      </c>
      <c r="Y55" s="399">
        <v>8000.9000000000005</v>
      </c>
      <c r="Z55" s="399">
        <v>233.38</v>
      </c>
      <c r="AA55" s="399">
        <v>8000.9000000000005</v>
      </c>
      <c r="AB55" s="399">
        <v>250.05</v>
      </c>
      <c r="AC55" s="399">
        <v>8000.9000000000005</v>
      </c>
      <c r="AD55" s="399">
        <v>266.72000000000003</v>
      </c>
      <c r="AE55" s="399">
        <f t="shared" si="3"/>
        <v>8000.8999999999987</v>
      </c>
      <c r="AF55" s="399">
        <f t="shared" si="3"/>
        <v>166.70000000000002</v>
      </c>
    </row>
    <row r="56" spans="1:32">
      <c r="A56" s="393">
        <v>47</v>
      </c>
      <c r="C56" s="16" t="s">
        <v>865</v>
      </c>
      <c r="D56" s="16" t="s">
        <v>862</v>
      </c>
      <c r="E56" s="399">
        <v>211404.97</v>
      </c>
      <c r="F56" s="399">
        <v>0</v>
      </c>
      <c r="G56" s="399">
        <v>211404.97</v>
      </c>
      <c r="H56" s="399">
        <v>0</v>
      </c>
      <c r="I56" s="399">
        <v>211404.97</v>
      </c>
      <c r="J56" s="399">
        <v>0</v>
      </c>
      <c r="K56" s="399">
        <v>211404.97</v>
      </c>
      <c r="L56" s="399">
        <v>0</v>
      </c>
      <c r="M56" s="399">
        <v>211404.97</v>
      </c>
      <c r="N56" s="399">
        <v>0</v>
      </c>
      <c r="O56" s="399">
        <v>211404.97</v>
      </c>
      <c r="P56" s="399">
        <v>0</v>
      </c>
      <c r="Q56" s="399">
        <v>211404.97</v>
      </c>
      <c r="R56" s="399">
        <v>0</v>
      </c>
      <c r="S56" s="399">
        <v>211404.97</v>
      </c>
      <c r="T56" s="399">
        <v>0</v>
      </c>
      <c r="U56" s="399">
        <v>211404.97</v>
      </c>
      <c r="V56" s="399">
        <v>0</v>
      </c>
      <c r="W56" s="399">
        <v>211404.97</v>
      </c>
      <c r="X56" s="399">
        <v>0</v>
      </c>
      <c r="Y56" s="399">
        <v>211404.97</v>
      </c>
      <c r="Z56" s="399">
        <v>0</v>
      </c>
      <c r="AA56" s="399">
        <v>211404.97</v>
      </c>
      <c r="AB56" s="399">
        <v>0</v>
      </c>
      <c r="AC56" s="399">
        <v>211404.97</v>
      </c>
      <c r="AD56" s="399">
        <v>0</v>
      </c>
      <c r="AE56" s="399">
        <f t="shared" si="3"/>
        <v>211404.97000000006</v>
      </c>
      <c r="AF56" s="399">
        <f t="shared" si="3"/>
        <v>0</v>
      </c>
    </row>
    <row r="57" spans="1:32">
      <c r="A57" s="393">
        <v>48</v>
      </c>
      <c r="C57" s="16" t="s">
        <v>866</v>
      </c>
      <c r="D57" s="16" t="s">
        <v>862</v>
      </c>
      <c r="E57" s="399">
        <v>1018396.75</v>
      </c>
      <c r="F57" s="399">
        <v>793013.88</v>
      </c>
      <c r="G57" s="399">
        <v>1018396.75</v>
      </c>
      <c r="H57" s="399">
        <v>794354.77</v>
      </c>
      <c r="I57" s="399">
        <v>1018396.75</v>
      </c>
      <c r="J57" s="399">
        <v>795695.66</v>
      </c>
      <c r="K57" s="399">
        <v>1018396.75</v>
      </c>
      <c r="L57" s="399">
        <v>797036.55</v>
      </c>
      <c r="M57" s="399">
        <v>1018396.75</v>
      </c>
      <c r="N57" s="399">
        <v>798377.44000000006</v>
      </c>
      <c r="O57" s="399">
        <v>1018396.75</v>
      </c>
      <c r="P57" s="399">
        <v>799718.33000000007</v>
      </c>
      <c r="Q57" s="399">
        <v>1018396.75</v>
      </c>
      <c r="R57" s="399">
        <v>801059.22</v>
      </c>
      <c r="S57" s="399">
        <v>1018396.75</v>
      </c>
      <c r="T57" s="399">
        <v>802400.11</v>
      </c>
      <c r="U57" s="399">
        <v>1018396.75</v>
      </c>
      <c r="V57" s="399">
        <v>803741</v>
      </c>
      <c r="W57" s="399">
        <v>1018396.75</v>
      </c>
      <c r="X57" s="399">
        <v>805081.89</v>
      </c>
      <c r="Y57" s="399">
        <v>1018396.75</v>
      </c>
      <c r="Z57" s="399">
        <v>806422.78</v>
      </c>
      <c r="AA57" s="399">
        <v>1018396.75</v>
      </c>
      <c r="AB57" s="399">
        <v>807763.67</v>
      </c>
      <c r="AC57" s="399">
        <v>1018396.75</v>
      </c>
      <c r="AD57" s="399">
        <v>809104.56</v>
      </c>
      <c r="AE57" s="399">
        <f t="shared" si="3"/>
        <v>1018396.75</v>
      </c>
      <c r="AF57" s="399">
        <f t="shared" si="3"/>
        <v>801059.2200000002</v>
      </c>
    </row>
    <row r="58" spans="1:32">
      <c r="A58" s="393">
        <v>49</v>
      </c>
      <c r="C58" s="16" t="s">
        <v>867</v>
      </c>
      <c r="D58" s="16" t="s">
        <v>862</v>
      </c>
      <c r="E58" s="399">
        <v>15968181.91</v>
      </c>
      <c r="F58" s="399">
        <v>11139694.51</v>
      </c>
      <c r="G58" s="399">
        <v>15968181.91</v>
      </c>
      <c r="H58" s="399">
        <v>11163912.92</v>
      </c>
      <c r="I58" s="399">
        <v>15968181.91</v>
      </c>
      <c r="J58" s="399">
        <v>11188131.109999999</v>
      </c>
      <c r="K58" s="399">
        <v>15968181.91</v>
      </c>
      <c r="L58" s="399">
        <v>11212349.52</v>
      </c>
      <c r="M58" s="399">
        <v>15968181.91</v>
      </c>
      <c r="N58" s="399">
        <v>11236566.08</v>
      </c>
      <c r="O58" s="399">
        <v>15968181.91</v>
      </c>
      <c r="P58" s="399">
        <v>11260784.49</v>
      </c>
      <c r="Q58" s="399">
        <v>15968181.91</v>
      </c>
      <c r="R58" s="399">
        <v>11285002.9</v>
      </c>
      <c r="S58" s="399">
        <v>15968181.91</v>
      </c>
      <c r="T58" s="399">
        <v>11309221.310000001</v>
      </c>
      <c r="U58" s="399">
        <v>15968181.91</v>
      </c>
      <c r="V58" s="399">
        <v>11333439.720000001</v>
      </c>
      <c r="W58" s="399">
        <v>15900055.619999999</v>
      </c>
      <c r="X58" s="399">
        <v>11289531.84</v>
      </c>
      <c r="Y58" s="399">
        <v>15900055.619999999</v>
      </c>
      <c r="Z58" s="399">
        <v>11277498.949999999</v>
      </c>
      <c r="AA58" s="399">
        <v>15900055.619999999</v>
      </c>
      <c r="AB58" s="399">
        <v>11301575.5</v>
      </c>
      <c r="AC58" s="399">
        <v>15900055.619999999</v>
      </c>
      <c r="AD58" s="399">
        <v>11325653.23</v>
      </c>
      <c r="AE58" s="399">
        <f t="shared" si="3"/>
        <v>15948311.742083332</v>
      </c>
      <c r="AF58" s="399">
        <f t="shared" si="3"/>
        <v>11257557.350833334</v>
      </c>
    </row>
    <row r="59" spans="1:32">
      <c r="A59" s="393">
        <v>50</v>
      </c>
      <c r="C59" s="16" t="s">
        <v>868</v>
      </c>
      <c r="D59" s="16" t="s">
        <v>862</v>
      </c>
      <c r="E59" s="399">
        <v>144661.1</v>
      </c>
      <c r="F59" s="399">
        <v>154547.26</v>
      </c>
      <c r="G59" s="399">
        <v>144661.1</v>
      </c>
      <c r="H59" s="399">
        <v>154596.69</v>
      </c>
      <c r="I59" s="399">
        <v>144661.1</v>
      </c>
      <c r="J59" s="399">
        <v>154646.12</v>
      </c>
      <c r="K59" s="399">
        <v>144661.1</v>
      </c>
      <c r="L59" s="399">
        <v>154695.55000000002</v>
      </c>
      <c r="M59" s="399">
        <v>144661.1</v>
      </c>
      <c r="N59" s="399">
        <v>154744.98000000001</v>
      </c>
      <c r="O59" s="399">
        <v>144661.1</v>
      </c>
      <c r="P59" s="399">
        <v>154794.41</v>
      </c>
      <c r="Q59" s="399">
        <v>144661.1</v>
      </c>
      <c r="R59" s="399">
        <v>154843.84</v>
      </c>
      <c r="S59" s="399">
        <v>144661.1</v>
      </c>
      <c r="T59" s="399">
        <v>154893.26999999999</v>
      </c>
      <c r="U59" s="399">
        <v>144661.1</v>
      </c>
      <c r="V59" s="399">
        <v>154942.70000000001</v>
      </c>
      <c r="W59" s="399">
        <v>144661.1</v>
      </c>
      <c r="X59" s="399">
        <v>154992.13</v>
      </c>
      <c r="Y59" s="399">
        <v>144661.1</v>
      </c>
      <c r="Z59" s="399">
        <v>155041.56</v>
      </c>
      <c r="AA59" s="399">
        <v>144661.1</v>
      </c>
      <c r="AB59" s="399">
        <v>155090.99</v>
      </c>
      <c r="AC59" s="399">
        <v>144661.1</v>
      </c>
      <c r="AD59" s="399">
        <v>155140.42000000001</v>
      </c>
      <c r="AE59" s="399">
        <f t="shared" si="3"/>
        <v>144661.10000000003</v>
      </c>
      <c r="AF59" s="399">
        <f t="shared" si="3"/>
        <v>154843.84</v>
      </c>
    </row>
    <row r="60" spans="1:32">
      <c r="A60" s="393">
        <v>51</v>
      </c>
      <c r="C60" s="16" t="s">
        <v>869</v>
      </c>
      <c r="D60" s="16" t="s">
        <v>862</v>
      </c>
      <c r="E60" s="399">
        <v>1922322.92</v>
      </c>
      <c r="F60" s="399">
        <v>712240.43</v>
      </c>
      <c r="G60" s="399">
        <v>1922322.92</v>
      </c>
      <c r="H60" s="399">
        <v>715252.07000000007</v>
      </c>
      <c r="I60" s="399">
        <v>1922322.92</v>
      </c>
      <c r="J60" s="399">
        <v>718263.71</v>
      </c>
      <c r="K60" s="399">
        <v>1922322.92</v>
      </c>
      <c r="L60" s="399">
        <v>721275.35</v>
      </c>
      <c r="M60" s="399">
        <v>1922322.92</v>
      </c>
      <c r="N60" s="399">
        <v>724286.99</v>
      </c>
      <c r="O60" s="399">
        <v>1922322.92</v>
      </c>
      <c r="P60" s="399">
        <v>727298.63</v>
      </c>
      <c r="Q60" s="399">
        <v>1922322.92</v>
      </c>
      <c r="R60" s="399">
        <v>730310.27</v>
      </c>
      <c r="S60" s="399">
        <v>1922322.92</v>
      </c>
      <c r="T60" s="399">
        <v>733321.91</v>
      </c>
      <c r="U60" s="399">
        <v>1922322.92</v>
      </c>
      <c r="V60" s="399">
        <v>736333.55</v>
      </c>
      <c r="W60" s="399">
        <v>1922322.92</v>
      </c>
      <c r="X60" s="399">
        <v>739345.19000000006</v>
      </c>
      <c r="Y60" s="399">
        <v>1922322.92</v>
      </c>
      <c r="Z60" s="399">
        <v>742356.83</v>
      </c>
      <c r="AA60" s="399">
        <v>1922322.92</v>
      </c>
      <c r="AB60" s="399">
        <v>745368.47</v>
      </c>
      <c r="AC60" s="399">
        <v>1922322.92</v>
      </c>
      <c r="AD60" s="399">
        <v>748380.11</v>
      </c>
      <c r="AE60" s="399">
        <f t="shared" si="3"/>
        <v>1922322.9200000006</v>
      </c>
      <c r="AF60" s="399">
        <f t="shared" si="3"/>
        <v>730310.27</v>
      </c>
    </row>
    <row r="61" spans="1:32">
      <c r="A61" s="393">
        <v>52</v>
      </c>
      <c r="C61" s="16" t="s">
        <v>870</v>
      </c>
      <c r="D61" s="16" t="s">
        <v>862</v>
      </c>
      <c r="E61" s="399">
        <v>268634.66000000003</v>
      </c>
      <c r="F61" s="399">
        <v>183.54</v>
      </c>
      <c r="G61" s="399">
        <v>268634.66000000003</v>
      </c>
      <c r="H61" s="399">
        <v>183.54</v>
      </c>
      <c r="I61" s="399">
        <v>268634.66000000003</v>
      </c>
      <c r="J61" s="399">
        <v>183.54</v>
      </c>
      <c r="K61" s="399">
        <v>268634.66000000003</v>
      </c>
      <c r="L61" s="399">
        <v>183.54</v>
      </c>
      <c r="M61" s="399">
        <v>325865.8</v>
      </c>
      <c r="N61" s="399">
        <v>613.48</v>
      </c>
      <c r="O61" s="399">
        <v>325865.8</v>
      </c>
      <c r="P61" s="399">
        <v>613.48</v>
      </c>
      <c r="Q61" s="399">
        <v>325865.8</v>
      </c>
      <c r="R61" s="399">
        <v>613.48</v>
      </c>
      <c r="S61" s="399">
        <v>316965.8</v>
      </c>
      <c r="T61" s="399">
        <v>613.48</v>
      </c>
      <c r="U61" s="399">
        <v>316965.8</v>
      </c>
      <c r="V61" s="399">
        <v>613.48</v>
      </c>
      <c r="W61" s="399">
        <v>316965.8</v>
      </c>
      <c r="X61" s="399">
        <v>613.48</v>
      </c>
      <c r="Y61" s="399">
        <v>316965.8</v>
      </c>
      <c r="Z61" s="399">
        <v>613.48</v>
      </c>
      <c r="AA61" s="399">
        <v>316965.8</v>
      </c>
      <c r="AB61" s="399">
        <v>613.48</v>
      </c>
      <c r="AC61" s="399">
        <v>316965.8</v>
      </c>
      <c r="AD61" s="399">
        <v>613.48</v>
      </c>
      <c r="AE61" s="399">
        <f t="shared" si="3"/>
        <v>305094.21749999997</v>
      </c>
      <c r="AF61" s="399">
        <f t="shared" si="3"/>
        <v>488.08083333333326</v>
      </c>
    </row>
    <row r="62" spans="1:32">
      <c r="A62" s="393">
        <v>53</v>
      </c>
      <c r="C62" s="16" t="s">
        <v>871</v>
      </c>
      <c r="D62" s="16" t="s">
        <v>862</v>
      </c>
      <c r="E62" s="399">
        <v>702922.71</v>
      </c>
      <c r="F62" s="399">
        <v>671550.31</v>
      </c>
      <c r="G62" s="399">
        <v>702922.71</v>
      </c>
      <c r="H62" s="399">
        <v>672264.95000000007</v>
      </c>
      <c r="I62" s="399">
        <v>702922.71</v>
      </c>
      <c r="J62" s="399">
        <v>672979.59</v>
      </c>
      <c r="K62" s="399">
        <v>702922.71</v>
      </c>
      <c r="L62" s="399">
        <v>673694.23</v>
      </c>
      <c r="M62" s="399">
        <v>702922.71</v>
      </c>
      <c r="N62" s="399">
        <v>674408.87</v>
      </c>
      <c r="O62" s="399">
        <v>702922.71</v>
      </c>
      <c r="P62" s="399">
        <v>675123.51</v>
      </c>
      <c r="Q62" s="399">
        <v>702922.71</v>
      </c>
      <c r="R62" s="399">
        <v>675838.15</v>
      </c>
      <c r="S62" s="399">
        <v>702922.71</v>
      </c>
      <c r="T62" s="399">
        <v>676552.79</v>
      </c>
      <c r="U62" s="399">
        <v>702922.71</v>
      </c>
      <c r="V62" s="399">
        <v>677267.43</v>
      </c>
      <c r="W62" s="399">
        <v>702922.71</v>
      </c>
      <c r="X62" s="399">
        <v>677982.07000000007</v>
      </c>
      <c r="Y62" s="399">
        <v>702922.71</v>
      </c>
      <c r="Z62" s="399">
        <v>678696.71</v>
      </c>
      <c r="AA62" s="399">
        <v>702922.71</v>
      </c>
      <c r="AB62" s="399">
        <v>679411.35</v>
      </c>
      <c r="AC62" s="399">
        <v>702922.71</v>
      </c>
      <c r="AD62" s="399">
        <v>680125.99</v>
      </c>
      <c r="AE62" s="399">
        <f t="shared" si="3"/>
        <v>702922.71</v>
      </c>
      <c r="AF62" s="399">
        <f t="shared" si="3"/>
        <v>675838.15</v>
      </c>
    </row>
    <row r="63" spans="1:32">
      <c r="A63" s="393">
        <v>54</v>
      </c>
      <c r="C63" s="16" t="s">
        <v>872</v>
      </c>
      <c r="D63" s="16" t="s">
        <v>862</v>
      </c>
      <c r="E63" s="399">
        <v>152081117.31999999</v>
      </c>
      <c r="F63" s="399">
        <v>35767901.090000004</v>
      </c>
      <c r="G63" s="399">
        <v>152285876.18000001</v>
      </c>
      <c r="H63" s="399">
        <v>35807696.740000002</v>
      </c>
      <c r="I63" s="399">
        <v>152383338.86000001</v>
      </c>
      <c r="J63" s="399">
        <v>35966327.859999999</v>
      </c>
      <c r="K63" s="399">
        <v>152545252</v>
      </c>
      <c r="L63" s="399">
        <v>36124700.659999996</v>
      </c>
      <c r="M63" s="399">
        <v>152635695.47</v>
      </c>
      <c r="N63" s="399">
        <v>36283297.619999997</v>
      </c>
      <c r="O63" s="399">
        <v>152533201.38</v>
      </c>
      <c r="P63" s="399">
        <v>36316353.399999999</v>
      </c>
      <c r="Q63" s="399">
        <v>152584663.47999999</v>
      </c>
      <c r="R63" s="399">
        <v>36475242.149999999</v>
      </c>
      <c r="S63" s="399">
        <v>152894625.53</v>
      </c>
      <c r="T63" s="399">
        <v>36634184.509999998</v>
      </c>
      <c r="U63" s="399">
        <v>152672504.81999999</v>
      </c>
      <c r="V63" s="399">
        <v>36790426.789999999</v>
      </c>
      <c r="W63" s="399">
        <v>152717699.28999999</v>
      </c>
      <c r="X63" s="399">
        <v>36949460.649999999</v>
      </c>
      <c r="Y63" s="399">
        <v>153253677.31</v>
      </c>
      <c r="Z63" s="399">
        <v>37095357.270000003</v>
      </c>
      <c r="AA63" s="399">
        <v>155549589.37</v>
      </c>
      <c r="AB63" s="399">
        <v>37248965.939999998</v>
      </c>
      <c r="AC63" s="399">
        <v>159069534.16</v>
      </c>
      <c r="AD63" s="399">
        <v>37410983.57</v>
      </c>
      <c r="AE63" s="399">
        <f t="shared" si="3"/>
        <v>153135954.11916667</v>
      </c>
      <c r="AF63" s="399">
        <f t="shared" si="3"/>
        <v>36523454.659999996</v>
      </c>
    </row>
    <row r="64" spans="1:32">
      <c r="A64" s="393">
        <v>55</v>
      </c>
      <c r="C64" s="16" t="s">
        <v>873</v>
      </c>
      <c r="D64" s="16" t="s">
        <v>862</v>
      </c>
      <c r="E64" s="399">
        <v>136092339.77000001</v>
      </c>
      <c r="F64" s="399">
        <v>38451996.719999999</v>
      </c>
      <c r="G64" s="399">
        <v>137006519.52000001</v>
      </c>
      <c r="H64" s="399">
        <v>38910162.18</v>
      </c>
      <c r="I64" s="399">
        <v>137612464.56999999</v>
      </c>
      <c r="J64" s="399">
        <v>39379777.189999998</v>
      </c>
      <c r="K64" s="399">
        <v>138162323.05000001</v>
      </c>
      <c r="L64" s="399">
        <v>39842535.009999998</v>
      </c>
      <c r="M64" s="399">
        <v>138840522.22999999</v>
      </c>
      <c r="N64" s="399">
        <v>40308454.850000001</v>
      </c>
      <c r="O64" s="399">
        <v>140704316.47</v>
      </c>
      <c r="P64" s="399">
        <v>40785503.18</v>
      </c>
      <c r="Q64" s="399">
        <v>141664246.24000001</v>
      </c>
      <c r="R64" s="399">
        <v>41266233.960000001</v>
      </c>
      <c r="S64" s="399">
        <v>142461885.88999999</v>
      </c>
      <c r="T64" s="399">
        <v>41751850.579999998</v>
      </c>
      <c r="U64" s="399">
        <v>143506434.94</v>
      </c>
      <c r="V64" s="399">
        <v>42242156.899999999</v>
      </c>
      <c r="W64" s="399">
        <v>145731909.34999999</v>
      </c>
      <c r="X64" s="399">
        <v>42736058.210000001</v>
      </c>
      <c r="Y64" s="399">
        <v>148303899.88</v>
      </c>
      <c r="Z64" s="399">
        <v>43227156.189999998</v>
      </c>
      <c r="AA64" s="399">
        <v>149221778.66999999</v>
      </c>
      <c r="AB64" s="399">
        <v>43734678.659999996</v>
      </c>
      <c r="AC64" s="399">
        <v>151836907.28999999</v>
      </c>
      <c r="AD64" s="399">
        <v>44242872.240000002</v>
      </c>
      <c r="AE64" s="399">
        <f t="shared" si="3"/>
        <v>142265077.02833334</v>
      </c>
      <c r="AF64" s="399">
        <f t="shared" si="3"/>
        <v>41294333.449166663</v>
      </c>
    </row>
    <row r="65" spans="1:32">
      <c r="A65" s="393">
        <v>56</v>
      </c>
      <c r="C65" s="16" t="s">
        <v>874</v>
      </c>
      <c r="D65" s="16" t="s">
        <v>862</v>
      </c>
      <c r="E65" s="399">
        <v>116563175.39</v>
      </c>
      <c r="F65" s="399">
        <v>82978755.939999998</v>
      </c>
      <c r="G65" s="399">
        <v>116699053.47</v>
      </c>
      <c r="H65" s="399">
        <v>83188926.189999998</v>
      </c>
      <c r="I65" s="399">
        <v>116700326.02</v>
      </c>
      <c r="J65" s="399">
        <v>83386878.290000007</v>
      </c>
      <c r="K65" s="399">
        <v>116789435.97</v>
      </c>
      <c r="L65" s="399">
        <v>83595230.420000002</v>
      </c>
      <c r="M65" s="399">
        <v>116804618.29000001</v>
      </c>
      <c r="N65" s="399">
        <v>83785901.310000002</v>
      </c>
      <c r="O65" s="399">
        <v>116789795.88</v>
      </c>
      <c r="P65" s="399">
        <v>83905115.900000006</v>
      </c>
      <c r="Q65" s="399">
        <v>116864730.40000001</v>
      </c>
      <c r="R65" s="399">
        <v>84117908.700000003</v>
      </c>
      <c r="S65" s="399">
        <v>116979841.54000001</v>
      </c>
      <c r="T65" s="399">
        <v>84271864.430000007</v>
      </c>
      <c r="U65" s="399">
        <v>117271774.18000001</v>
      </c>
      <c r="V65" s="399">
        <v>84477890.290000007</v>
      </c>
      <c r="W65" s="399">
        <v>117750554.17</v>
      </c>
      <c r="X65" s="399">
        <v>84681237.549999997</v>
      </c>
      <c r="Y65" s="399">
        <v>117973295.04000001</v>
      </c>
      <c r="Z65" s="399">
        <v>84887392.069999993</v>
      </c>
      <c r="AA65" s="399">
        <v>118237750.54000001</v>
      </c>
      <c r="AB65" s="399">
        <v>85057431.269999996</v>
      </c>
      <c r="AC65" s="399">
        <v>118986847.06999999</v>
      </c>
      <c r="AD65" s="399">
        <v>85235842.780000001</v>
      </c>
      <c r="AE65" s="399">
        <f t="shared" si="3"/>
        <v>117219682.22750001</v>
      </c>
      <c r="AF65" s="399">
        <f t="shared" si="3"/>
        <v>84121922.981666654</v>
      </c>
    </row>
    <row r="66" spans="1:32">
      <c r="A66" s="393">
        <v>57</v>
      </c>
      <c r="C66" s="16" t="s">
        <v>875</v>
      </c>
      <c r="D66" s="16" t="s">
        <v>862</v>
      </c>
      <c r="E66" s="399">
        <v>2097766.77</v>
      </c>
      <c r="F66" s="399">
        <v>1463846.94</v>
      </c>
      <c r="G66" s="399">
        <v>2097766.77</v>
      </c>
      <c r="H66" s="399">
        <v>1466958.63</v>
      </c>
      <c r="I66" s="399">
        <v>2097766.77</v>
      </c>
      <c r="J66" s="399">
        <v>1470070.32</v>
      </c>
      <c r="K66" s="399">
        <v>2097766.77</v>
      </c>
      <c r="L66" s="399">
        <v>1473182.01</v>
      </c>
      <c r="M66" s="399">
        <v>2097766.77</v>
      </c>
      <c r="N66" s="399">
        <v>1476293.7</v>
      </c>
      <c r="O66" s="399">
        <v>2097766.77</v>
      </c>
      <c r="P66" s="399">
        <v>1479405.3900000001</v>
      </c>
      <c r="Q66" s="399">
        <v>2097766.77</v>
      </c>
      <c r="R66" s="399">
        <v>1482517.08</v>
      </c>
      <c r="S66" s="399">
        <v>2097766.77</v>
      </c>
      <c r="T66" s="399">
        <v>1485628.77</v>
      </c>
      <c r="U66" s="399">
        <v>2097766.77</v>
      </c>
      <c r="V66" s="399">
        <v>1488740.46</v>
      </c>
      <c r="W66" s="399">
        <v>2097766.77</v>
      </c>
      <c r="X66" s="399">
        <v>1491852.15</v>
      </c>
      <c r="Y66" s="399">
        <v>2097766.77</v>
      </c>
      <c r="Z66" s="399">
        <v>1494963.84</v>
      </c>
      <c r="AA66" s="399">
        <v>2097766.77</v>
      </c>
      <c r="AB66" s="399">
        <v>1498075.53</v>
      </c>
      <c r="AC66" s="399">
        <v>2097766.77</v>
      </c>
      <c r="AD66" s="399">
        <v>1501187.22</v>
      </c>
      <c r="AE66" s="399">
        <f t="shared" si="3"/>
        <v>2097766.77</v>
      </c>
      <c r="AF66" s="399">
        <f t="shared" si="3"/>
        <v>1482517.08</v>
      </c>
    </row>
    <row r="67" spans="1:32">
      <c r="A67" s="393">
        <v>58</v>
      </c>
      <c r="C67" s="16" t="s">
        <v>876</v>
      </c>
      <c r="D67" s="16" t="s">
        <v>862</v>
      </c>
      <c r="E67" s="399">
        <v>22436101.879999999</v>
      </c>
      <c r="F67" s="399">
        <v>5987789.96</v>
      </c>
      <c r="G67" s="399">
        <v>22415457.609999999</v>
      </c>
      <c r="H67" s="399">
        <v>6018279.5999999996</v>
      </c>
      <c r="I67" s="399">
        <v>22449834.93</v>
      </c>
      <c r="J67" s="399">
        <v>6051815.3899999997</v>
      </c>
      <c r="K67" s="399">
        <v>22558546.760000002</v>
      </c>
      <c r="L67" s="399">
        <v>6087735.1299999999</v>
      </c>
      <c r="M67" s="399">
        <v>22498581.940000001</v>
      </c>
      <c r="N67" s="399">
        <v>6119546.3799999999</v>
      </c>
      <c r="O67" s="399">
        <v>22507090.149999999</v>
      </c>
      <c r="P67" s="399">
        <v>6117780.5099999998</v>
      </c>
      <c r="Q67" s="399">
        <v>23436311.629999999</v>
      </c>
      <c r="R67" s="399">
        <v>6153320.9199999999</v>
      </c>
      <c r="S67" s="399">
        <v>23520464.469999999</v>
      </c>
      <c r="T67" s="399">
        <v>6186702.2599999998</v>
      </c>
      <c r="U67" s="399">
        <v>23606781.100000001</v>
      </c>
      <c r="V67" s="399">
        <v>6174680</v>
      </c>
      <c r="W67" s="399">
        <v>24157840.940000001</v>
      </c>
      <c r="X67" s="399">
        <v>6212450.8499999996</v>
      </c>
      <c r="Y67" s="399">
        <v>24242516.460000001</v>
      </c>
      <c r="Z67" s="399">
        <v>6220048.04</v>
      </c>
      <c r="AA67" s="399">
        <v>24548567.699999999</v>
      </c>
      <c r="AB67" s="399">
        <v>6228926.6500000004</v>
      </c>
      <c r="AC67" s="399">
        <v>25599862.800000001</v>
      </c>
      <c r="AD67" s="399">
        <v>6268204.3600000003</v>
      </c>
      <c r="AE67" s="399">
        <f t="shared" si="3"/>
        <v>23329998.002499998</v>
      </c>
      <c r="AF67" s="399">
        <f t="shared" si="3"/>
        <v>6141606.9074999997</v>
      </c>
    </row>
    <row r="68" spans="1:32">
      <c r="A68" s="393">
        <v>59</v>
      </c>
      <c r="C68" s="16" t="s">
        <v>877</v>
      </c>
      <c r="D68" s="16" t="s">
        <v>862</v>
      </c>
      <c r="E68" s="399">
        <v>130923599.2</v>
      </c>
      <c r="F68" s="399">
        <v>49663854.890000001</v>
      </c>
      <c r="G68" s="399">
        <v>132332881.73</v>
      </c>
      <c r="H68" s="399">
        <v>50076063.969999999</v>
      </c>
      <c r="I68" s="399">
        <v>133094871.36</v>
      </c>
      <c r="J68" s="399">
        <v>50486820.909999996</v>
      </c>
      <c r="K68" s="399">
        <v>133983648.92</v>
      </c>
      <c r="L68" s="399">
        <v>50906646.460000001</v>
      </c>
      <c r="M68" s="399">
        <v>134936279.41</v>
      </c>
      <c r="N68" s="399">
        <v>51330840.289999999</v>
      </c>
      <c r="O68" s="399">
        <v>136394856.5</v>
      </c>
      <c r="P68" s="399">
        <v>51759981.020000003</v>
      </c>
      <c r="Q68" s="399">
        <v>137743445.83000001</v>
      </c>
      <c r="R68" s="399">
        <v>52187847.490000002</v>
      </c>
      <c r="S68" s="399">
        <v>139037096.52000001</v>
      </c>
      <c r="T68" s="399">
        <v>52622138.159999996</v>
      </c>
      <c r="U68" s="399">
        <v>140108686.43000001</v>
      </c>
      <c r="V68" s="399">
        <v>53067273.030000001</v>
      </c>
      <c r="W68" s="399">
        <v>141392550.86000001</v>
      </c>
      <c r="X68" s="399">
        <v>53519768</v>
      </c>
      <c r="Y68" s="399">
        <v>143370497.22999999</v>
      </c>
      <c r="Z68" s="399">
        <v>53968448.850000001</v>
      </c>
      <c r="AA68" s="399">
        <v>144375197.65000001</v>
      </c>
      <c r="AB68" s="399">
        <v>54408081.259999998</v>
      </c>
      <c r="AC68" s="399">
        <v>146616703.03999999</v>
      </c>
      <c r="AD68" s="399">
        <v>54842146.780000001</v>
      </c>
      <c r="AE68" s="399">
        <f t="shared" si="3"/>
        <v>137961680.29666665</v>
      </c>
      <c r="AF68" s="399">
        <f t="shared" si="3"/>
        <v>52215575.856249996</v>
      </c>
    </row>
    <row r="69" spans="1:32">
      <c r="A69" s="393">
        <v>60</v>
      </c>
      <c r="C69" s="16" t="s">
        <v>878</v>
      </c>
      <c r="D69" s="16" t="s">
        <v>862</v>
      </c>
      <c r="E69" s="399">
        <v>62228709.439999998</v>
      </c>
      <c r="F69" s="399">
        <v>93345534.5</v>
      </c>
      <c r="G69" s="399">
        <v>62177550.359999999</v>
      </c>
      <c r="H69" s="399">
        <v>93423761.219999999</v>
      </c>
      <c r="I69" s="399">
        <v>62163585.369999997</v>
      </c>
      <c r="J69" s="399">
        <v>93474597</v>
      </c>
      <c r="K69" s="399">
        <v>62156756.439999998</v>
      </c>
      <c r="L69" s="399">
        <v>93636493.230000004</v>
      </c>
      <c r="M69" s="399">
        <v>62144887.159999996</v>
      </c>
      <c r="N69" s="399">
        <v>93775015.409999996</v>
      </c>
      <c r="O69" s="399">
        <v>62144888.009999998</v>
      </c>
      <c r="P69" s="399">
        <v>93886522.650000006</v>
      </c>
      <c r="Q69" s="399">
        <v>62143627.539999999</v>
      </c>
      <c r="R69" s="399">
        <v>94025528.219999999</v>
      </c>
      <c r="S69" s="399">
        <v>62143627.600000001</v>
      </c>
      <c r="T69" s="399">
        <v>94124275.239999995</v>
      </c>
      <c r="U69" s="399">
        <v>62141310.5</v>
      </c>
      <c r="V69" s="399">
        <v>94275793.319999993</v>
      </c>
      <c r="W69" s="399">
        <v>62143085.75</v>
      </c>
      <c r="X69" s="399">
        <v>94438119.299999997</v>
      </c>
      <c r="Y69" s="399">
        <v>62167487.270000003</v>
      </c>
      <c r="Z69" s="399">
        <v>94565449.409999996</v>
      </c>
      <c r="AA69" s="399">
        <v>62152142.090000004</v>
      </c>
      <c r="AB69" s="399">
        <v>94506664.209999993</v>
      </c>
      <c r="AC69" s="399">
        <v>62126401.859999999</v>
      </c>
      <c r="AD69" s="399">
        <v>94458601.310000002</v>
      </c>
      <c r="AE69" s="399">
        <f t="shared" si="3"/>
        <v>62154708.645000003</v>
      </c>
      <c r="AF69" s="399">
        <f t="shared" si="3"/>
        <v>94002857.259583339</v>
      </c>
    </row>
    <row r="70" spans="1:32">
      <c r="A70" s="393">
        <v>61</v>
      </c>
      <c r="C70" s="16" t="s">
        <v>879</v>
      </c>
      <c r="D70" s="16" t="s">
        <v>862</v>
      </c>
      <c r="E70" s="399">
        <v>0</v>
      </c>
      <c r="F70" s="399">
        <v>0.01</v>
      </c>
      <c r="G70" s="399">
        <v>0</v>
      </c>
      <c r="H70" s="399">
        <v>0.01</v>
      </c>
      <c r="I70" s="399">
        <v>0</v>
      </c>
      <c r="J70" s="399">
        <v>0.01</v>
      </c>
      <c r="K70" s="399">
        <v>0</v>
      </c>
      <c r="L70" s="399">
        <v>0.01</v>
      </c>
      <c r="M70" s="399">
        <v>0</v>
      </c>
      <c r="N70" s="399">
        <v>0.01</v>
      </c>
      <c r="O70" s="399">
        <v>0</v>
      </c>
      <c r="P70" s="399">
        <v>0.01</v>
      </c>
      <c r="Q70" s="399">
        <v>0</v>
      </c>
      <c r="R70" s="399">
        <v>0.01</v>
      </c>
      <c r="S70" s="399">
        <v>0</v>
      </c>
      <c r="T70" s="399">
        <v>0.01</v>
      </c>
      <c r="U70" s="399">
        <v>0</v>
      </c>
      <c r="V70" s="399">
        <v>0.01</v>
      </c>
      <c r="W70" s="399">
        <v>0</v>
      </c>
      <c r="X70" s="399">
        <v>0.01</v>
      </c>
      <c r="Y70" s="399">
        <v>0</v>
      </c>
      <c r="Z70" s="399">
        <v>0.01</v>
      </c>
      <c r="AA70" s="399">
        <v>0</v>
      </c>
      <c r="AB70" s="399">
        <v>0.01</v>
      </c>
      <c r="AC70" s="399">
        <v>0</v>
      </c>
      <c r="AD70" s="399">
        <v>0.01</v>
      </c>
      <c r="AE70" s="399">
        <f t="shared" si="3"/>
        <v>0</v>
      </c>
      <c r="AF70" s="399">
        <f t="shared" si="3"/>
        <v>9.9999999999999985E-3</v>
      </c>
    </row>
    <row r="71" spans="1:32">
      <c r="A71" s="393">
        <v>62</v>
      </c>
      <c r="C71" s="16" t="s">
        <v>880</v>
      </c>
      <c r="D71" s="16" t="s">
        <v>862</v>
      </c>
      <c r="E71" s="399">
        <v>23995708.359999999</v>
      </c>
      <c r="F71" s="399">
        <v>11207165</v>
      </c>
      <c r="G71" s="399">
        <v>24009499.109999999</v>
      </c>
      <c r="H71" s="399">
        <v>11244018.880000001</v>
      </c>
      <c r="I71" s="399">
        <v>24028445.699999999</v>
      </c>
      <c r="J71" s="399">
        <v>11277197.380000001</v>
      </c>
      <c r="K71" s="399">
        <v>24046225.010000002</v>
      </c>
      <c r="L71" s="399">
        <v>11313809.380000001</v>
      </c>
      <c r="M71" s="399">
        <v>24040527.699999999</v>
      </c>
      <c r="N71" s="399">
        <v>11333367.210000001</v>
      </c>
      <c r="O71" s="399">
        <v>24074886.859999999</v>
      </c>
      <c r="P71" s="399">
        <v>11370320.949999999</v>
      </c>
      <c r="Q71" s="399">
        <v>24091655.710000001</v>
      </c>
      <c r="R71" s="399">
        <v>11407511.59</v>
      </c>
      <c r="S71" s="399">
        <v>24106981.829999998</v>
      </c>
      <c r="T71" s="399">
        <v>11444547.720000001</v>
      </c>
      <c r="U71" s="399">
        <v>24110435.620000001</v>
      </c>
      <c r="V71" s="399">
        <v>11470461.039999999</v>
      </c>
      <c r="W71" s="399">
        <v>24120106.18</v>
      </c>
      <c r="X71" s="399">
        <v>11507832.220000001</v>
      </c>
      <c r="Y71" s="399">
        <v>24143286.52</v>
      </c>
      <c r="Z71" s="399">
        <v>11544598.16</v>
      </c>
      <c r="AA71" s="399">
        <v>24151932.48</v>
      </c>
      <c r="AB71" s="399">
        <v>11577400.66</v>
      </c>
      <c r="AC71" s="399">
        <v>24129820.09</v>
      </c>
      <c r="AD71" s="399">
        <v>11609933</v>
      </c>
      <c r="AE71" s="399">
        <f t="shared" si="3"/>
        <v>24082228.912083339</v>
      </c>
      <c r="AF71" s="399">
        <f t="shared" si="3"/>
        <v>11408301.182499999</v>
      </c>
    </row>
    <row r="72" spans="1:32">
      <c r="A72" s="393">
        <v>63</v>
      </c>
      <c r="C72" s="16" t="s">
        <v>881</v>
      </c>
      <c r="D72" s="16" t="s">
        <v>862</v>
      </c>
      <c r="E72" s="399">
        <v>9441928.3100000005</v>
      </c>
      <c r="F72" s="399">
        <v>3952589.04</v>
      </c>
      <c r="G72" s="399">
        <v>9454018.0099999998</v>
      </c>
      <c r="H72" s="399">
        <v>3965194.13</v>
      </c>
      <c r="I72" s="399">
        <v>9458587.6999999993</v>
      </c>
      <c r="J72" s="399">
        <v>3968323.86</v>
      </c>
      <c r="K72" s="399">
        <v>9459900.9499999993</v>
      </c>
      <c r="L72" s="399">
        <v>3970771.91</v>
      </c>
      <c r="M72" s="399">
        <v>9473642.7100000009</v>
      </c>
      <c r="N72" s="399">
        <v>3987990.24</v>
      </c>
      <c r="O72" s="399">
        <v>9457659.2300000004</v>
      </c>
      <c r="P72" s="399">
        <v>3996840.83</v>
      </c>
      <c r="Q72" s="399">
        <v>9464898.5399999991</v>
      </c>
      <c r="R72" s="399">
        <v>4013262.13</v>
      </c>
      <c r="S72" s="399">
        <v>9507831.6600000001</v>
      </c>
      <c r="T72" s="399">
        <v>4027747.17</v>
      </c>
      <c r="U72" s="399">
        <v>9548823.1099999994</v>
      </c>
      <c r="V72" s="399">
        <v>4041969.8</v>
      </c>
      <c r="W72" s="399">
        <v>9598790.9299999997</v>
      </c>
      <c r="X72" s="399">
        <v>4046489.75</v>
      </c>
      <c r="Y72" s="399">
        <v>9623421.2200000007</v>
      </c>
      <c r="Z72" s="399">
        <v>4062865.35</v>
      </c>
      <c r="AA72" s="399">
        <v>9642433.2200000007</v>
      </c>
      <c r="AB72" s="399">
        <v>4075168.64</v>
      </c>
      <c r="AC72" s="399">
        <v>9718288.5999999996</v>
      </c>
      <c r="AD72" s="399">
        <v>4089802.52</v>
      </c>
      <c r="AE72" s="399">
        <f t="shared" si="3"/>
        <v>9522509.6445833333</v>
      </c>
      <c r="AF72" s="399">
        <f t="shared" si="3"/>
        <v>4014818.2991666663</v>
      </c>
    </row>
    <row r="73" spans="1:32">
      <c r="A73" s="393">
        <v>64</v>
      </c>
      <c r="C73" s="16" t="s">
        <v>882</v>
      </c>
      <c r="D73" s="16" t="s">
        <v>862</v>
      </c>
      <c r="E73" s="399">
        <v>0</v>
      </c>
      <c r="F73" s="399">
        <v>-305.76</v>
      </c>
      <c r="G73" s="399">
        <v>0</v>
      </c>
      <c r="H73" s="399">
        <v>-305.76</v>
      </c>
      <c r="I73" s="399">
        <v>0</v>
      </c>
      <c r="J73" s="399">
        <v>-305.76</v>
      </c>
      <c r="K73" s="399">
        <v>0</v>
      </c>
      <c r="L73" s="399">
        <v>-305.76</v>
      </c>
      <c r="M73" s="399">
        <v>0</v>
      </c>
      <c r="N73" s="399">
        <v>-305.76</v>
      </c>
      <c r="O73" s="399">
        <v>0</v>
      </c>
      <c r="P73" s="399">
        <v>-305.76</v>
      </c>
      <c r="Q73" s="399">
        <v>0</v>
      </c>
      <c r="R73" s="399">
        <v>-305.76</v>
      </c>
      <c r="S73" s="399">
        <v>0</v>
      </c>
      <c r="T73" s="399">
        <v>-305.76</v>
      </c>
      <c r="U73" s="399">
        <v>0</v>
      </c>
      <c r="V73" s="399">
        <v>-305.76</v>
      </c>
      <c r="W73" s="399">
        <v>0</v>
      </c>
      <c r="X73" s="399">
        <v>-305.76</v>
      </c>
      <c r="Y73" s="399">
        <v>0</v>
      </c>
      <c r="Z73" s="399">
        <v>-305.76</v>
      </c>
      <c r="AA73" s="399">
        <v>0</v>
      </c>
      <c r="AB73" s="399">
        <v>-305.76</v>
      </c>
      <c r="AC73" s="399">
        <v>0</v>
      </c>
      <c r="AD73" s="399">
        <v>0</v>
      </c>
      <c r="AE73" s="399">
        <f t="shared" si="3"/>
        <v>0</v>
      </c>
      <c r="AF73" s="399">
        <f t="shared" si="3"/>
        <v>-293.02000000000004</v>
      </c>
    </row>
    <row r="74" spans="1:32">
      <c r="A74" s="393">
        <v>65</v>
      </c>
      <c r="C74" s="16" t="s">
        <v>883</v>
      </c>
      <c r="D74" s="16" t="s">
        <v>862</v>
      </c>
      <c r="E74" s="399">
        <v>2020069.02</v>
      </c>
      <c r="F74" s="399">
        <v>0</v>
      </c>
      <c r="G74" s="399">
        <v>2020069.02</v>
      </c>
      <c r="H74" s="399">
        <v>0</v>
      </c>
      <c r="I74" s="399">
        <v>2020069.02</v>
      </c>
      <c r="J74" s="399">
        <v>0</v>
      </c>
      <c r="K74" s="399">
        <v>2020069.02</v>
      </c>
      <c r="L74" s="399">
        <v>0</v>
      </c>
      <c r="M74" s="399">
        <v>2020069.02</v>
      </c>
      <c r="N74" s="399">
        <v>0</v>
      </c>
      <c r="O74" s="399">
        <v>2020069.02</v>
      </c>
      <c r="P74" s="399">
        <v>0</v>
      </c>
      <c r="Q74" s="399">
        <v>2020069.02</v>
      </c>
      <c r="R74" s="399">
        <v>0</v>
      </c>
      <c r="S74" s="399">
        <v>2020069.02</v>
      </c>
      <c r="T74" s="399">
        <v>0</v>
      </c>
      <c r="U74" s="399">
        <v>2020069.02</v>
      </c>
      <c r="V74" s="399">
        <v>0</v>
      </c>
      <c r="W74" s="399">
        <v>2558710.29</v>
      </c>
      <c r="X74" s="399">
        <v>0</v>
      </c>
      <c r="Y74" s="399">
        <v>2558710.29</v>
      </c>
      <c r="Z74" s="399">
        <v>0</v>
      </c>
      <c r="AA74" s="399">
        <v>2558710.29</v>
      </c>
      <c r="AB74" s="399">
        <v>0</v>
      </c>
      <c r="AC74" s="399">
        <v>2549877.4</v>
      </c>
      <c r="AD74" s="399">
        <v>0</v>
      </c>
      <c r="AE74" s="399">
        <f t="shared" si="3"/>
        <v>2176804.6866666665</v>
      </c>
      <c r="AF74" s="399">
        <f t="shared" si="3"/>
        <v>0</v>
      </c>
    </row>
    <row r="75" spans="1:32">
      <c r="A75" s="393">
        <v>66</v>
      </c>
      <c r="C75" s="16" t="s">
        <v>884</v>
      </c>
      <c r="D75" s="16" t="s">
        <v>862</v>
      </c>
      <c r="E75" s="399">
        <v>7933.28</v>
      </c>
      <c r="F75" s="399">
        <v>4703.88</v>
      </c>
      <c r="G75" s="399">
        <v>7933.28</v>
      </c>
      <c r="H75" s="399">
        <v>4703.88</v>
      </c>
      <c r="I75" s="399">
        <v>7933.28</v>
      </c>
      <c r="J75" s="399">
        <v>4703.88</v>
      </c>
      <c r="K75" s="399">
        <v>7933.28</v>
      </c>
      <c r="L75" s="399">
        <v>4703.88</v>
      </c>
      <c r="M75" s="399">
        <v>7933.28</v>
      </c>
      <c r="N75" s="399">
        <v>4703.88</v>
      </c>
      <c r="O75" s="399">
        <v>7933.28</v>
      </c>
      <c r="P75" s="399">
        <v>4703.88</v>
      </c>
      <c r="Q75" s="399">
        <v>7933.28</v>
      </c>
      <c r="R75" s="399">
        <v>4703.88</v>
      </c>
      <c r="S75" s="399">
        <v>7933.28</v>
      </c>
      <c r="T75" s="399">
        <v>4703.88</v>
      </c>
      <c r="U75" s="399">
        <v>7933.28</v>
      </c>
      <c r="V75" s="399">
        <v>4703.88</v>
      </c>
      <c r="W75" s="399">
        <v>7933.28</v>
      </c>
      <c r="X75" s="399">
        <v>4703.88</v>
      </c>
      <c r="Y75" s="399">
        <v>7933.28</v>
      </c>
      <c r="Z75" s="399">
        <v>4703.88</v>
      </c>
      <c r="AA75" s="399">
        <v>7933.28</v>
      </c>
      <c r="AB75" s="399">
        <v>4703.88</v>
      </c>
      <c r="AC75" s="399">
        <v>7933.28</v>
      </c>
      <c r="AD75" s="399">
        <v>4703.88</v>
      </c>
      <c r="AE75" s="399">
        <f t="shared" si="3"/>
        <v>7933.28</v>
      </c>
      <c r="AF75" s="399">
        <f t="shared" si="3"/>
        <v>4703.8799999999992</v>
      </c>
    </row>
    <row r="76" spans="1:32">
      <c r="A76" s="393">
        <v>67</v>
      </c>
      <c r="C76" s="16" t="s">
        <v>885</v>
      </c>
      <c r="D76" s="16" t="s">
        <v>862</v>
      </c>
      <c r="E76" s="399">
        <v>9555549.6300000008</v>
      </c>
      <c r="F76" s="399">
        <v>4799302.57</v>
      </c>
      <c r="G76" s="399">
        <v>9562360.2200000007</v>
      </c>
      <c r="H76" s="399">
        <v>4809176.6399999997</v>
      </c>
      <c r="I76" s="399">
        <v>9559168.8499999996</v>
      </c>
      <c r="J76" s="399">
        <v>4808721.75</v>
      </c>
      <c r="K76" s="399">
        <v>9539433.9399999995</v>
      </c>
      <c r="L76" s="399">
        <v>4818500.26</v>
      </c>
      <c r="M76" s="399">
        <v>12328441.6</v>
      </c>
      <c r="N76" s="399">
        <v>4828357.68</v>
      </c>
      <c r="O76" s="399">
        <v>12354137.25</v>
      </c>
      <c r="P76" s="399">
        <v>4841097.07</v>
      </c>
      <c r="Q76" s="399">
        <v>12354280.359999999</v>
      </c>
      <c r="R76" s="399">
        <v>4853863.01</v>
      </c>
      <c r="S76" s="399">
        <v>12358344.220000001</v>
      </c>
      <c r="T76" s="399">
        <v>4865853.03</v>
      </c>
      <c r="U76" s="399">
        <v>12359983.75</v>
      </c>
      <c r="V76" s="399">
        <v>4878623.32</v>
      </c>
      <c r="W76" s="399">
        <v>12360374.58</v>
      </c>
      <c r="X76" s="399">
        <v>4891395.3</v>
      </c>
      <c r="Y76" s="399">
        <v>12360374.58</v>
      </c>
      <c r="Z76" s="399">
        <v>4904167.6900000004</v>
      </c>
      <c r="AA76" s="399">
        <v>12383866.98</v>
      </c>
      <c r="AB76" s="399">
        <v>4916434.0600000005</v>
      </c>
      <c r="AC76" s="399">
        <v>12467225.67</v>
      </c>
      <c r="AD76" s="399">
        <v>4929230.72</v>
      </c>
      <c r="AE76" s="399">
        <f t="shared" si="3"/>
        <v>11544346.164999999</v>
      </c>
      <c r="AF76" s="399">
        <f t="shared" si="3"/>
        <v>4856704.7045833329</v>
      </c>
    </row>
    <row r="77" spans="1:32">
      <c r="A77" s="393">
        <v>68</v>
      </c>
      <c r="C77" s="16" t="s">
        <v>886</v>
      </c>
      <c r="D77" s="16" t="s">
        <v>862</v>
      </c>
      <c r="E77" s="399">
        <v>102325.73</v>
      </c>
      <c r="F77" s="399">
        <v>39019.07</v>
      </c>
      <c r="G77" s="399">
        <v>102325.73</v>
      </c>
      <c r="H77" s="399">
        <v>40500.230000000003</v>
      </c>
      <c r="I77" s="399">
        <v>102325.73</v>
      </c>
      <c r="J77" s="399">
        <v>41981.39</v>
      </c>
      <c r="K77" s="399">
        <v>102325.73</v>
      </c>
      <c r="L77" s="399">
        <v>43462.55</v>
      </c>
      <c r="M77" s="399">
        <v>102325.73</v>
      </c>
      <c r="N77" s="399">
        <v>44943.71</v>
      </c>
      <c r="O77" s="399">
        <v>102325.73</v>
      </c>
      <c r="P77" s="399">
        <v>46424.87</v>
      </c>
      <c r="Q77" s="399">
        <v>102325.73</v>
      </c>
      <c r="R77" s="399">
        <v>47906.03</v>
      </c>
      <c r="S77" s="399">
        <v>102325.73</v>
      </c>
      <c r="T77" s="399">
        <v>49387.19</v>
      </c>
      <c r="U77" s="399">
        <v>113762.56</v>
      </c>
      <c r="V77" s="399">
        <v>50868.35</v>
      </c>
      <c r="W77" s="399">
        <v>114979.17</v>
      </c>
      <c r="X77" s="399">
        <v>52515.06</v>
      </c>
      <c r="Y77" s="399">
        <v>114979.17</v>
      </c>
      <c r="Z77" s="399">
        <v>54179.380000000005</v>
      </c>
      <c r="AA77" s="399">
        <v>114979.17</v>
      </c>
      <c r="AB77" s="399">
        <v>55843.700000000004</v>
      </c>
      <c r="AC77" s="399">
        <v>114769.47</v>
      </c>
      <c r="AD77" s="399">
        <v>57508.020000000004</v>
      </c>
      <c r="AE77" s="399">
        <f t="shared" si="3"/>
        <v>106960.64833333333</v>
      </c>
      <c r="AF77" s="399">
        <f t="shared" si="3"/>
        <v>48023.000416666669</v>
      </c>
    </row>
    <row r="78" spans="1:32">
      <c r="A78" s="393">
        <v>69</v>
      </c>
      <c r="C78" s="16" t="s">
        <v>887</v>
      </c>
      <c r="D78" s="16" t="s">
        <v>862</v>
      </c>
      <c r="E78" s="399">
        <v>447968.56</v>
      </c>
      <c r="F78" s="399">
        <v>123514.99</v>
      </c>
      <c r="G78" s="399">
        <v>447968.56</v>
      </c>
      <c r="H78" s="399">
        <v>125374.06</v>
      </c>
      <c r="I78" s="399">
        <v>447968.56</v>
      </c>
      <c r="J78" s="399">
        <v>127233.13</v>
      </c>
      <c r="K78" s="399">
        <v>441814.81</v>
      </c>
      <c r="L78" s="399">
        <v>129092.2</v>
      </c>
      <c r="M78" s="399">
        <v>441814.81</v>
      </c>
      <c r="N78" s="399">
        <v>130925.73</v>
      </c>
      <c r="O78" s="399">
        <v>441814.81</v>
      </c>
      <c r="P78" s="399">
        <v>132759.26</v>
      </c>
      <c r="Q78" s="399">
        <v>441814.81</v>
      </c>
      <c r="R78" s="399">
        <v>134592.79</v>
      </c>
      <c r="S78" s="399">
        <v>441814.81</v>
      </c>
      <c r="T78" s="399">
        <v>136426.32</v>
      </c>
      <c r="U78" s="399">
        <v>446171.05</v>
      </c>
      <c r="V78" s="399">
        <v>138259.85</v>
      </c>
      <c r="W78" s="399">
        <v>446171.05</v>
      </c>
      <c r="X78" s="399">
        <v>140111.46</v>
      </c>
      <c r="Y78" s="399">
        <v>446171.05</v>
      </c>
      <c r="Z78" s="399">
        <v>141963.07</v>
      </c>
      <c r="AA78" s="399">
        <v>446171.05</v>
      </c>
      <c r="AB78" s="399">
        <v>143814.68</v>
      </c>
      <c r="AC78" s="399">
        <v>446098.85000000003</v>
      </c>
      <c r="AD78" s="399">
        <v>145666.29</v>
      </c>
      <c r="AE78" s="399">
        <f t="shared" si="3"/>
        <v>444727.4229166666</v>
      </c>
      <c r="AF78" s="399">
        <f t="shared" si="3"/>
        <v>134595.26583333334</v>
      </c>
    </row>
    <row r="79" spans="1:32">
      <c r="A79" s="393">
        <v>70</v>
      </c>
      <c r="C79" s="16" t="s">
        <v>888</v>
      </c>
      <c r="D79" s="16" t="s">
        <v>862</v>
      </c>
      <c r="E79" s="399">
        <v>208790.52000000002</v>
      </c>
      <c r="F79" s="399">
        <v>97529.52</v>
      </c>
      <c r="G79" s="399">
        <v>208790.52000000002</v>
      </c>
      <c r="H79" s="399">
        <v>98077.59</v>
      </c>
      <c r="I79" s="399">
        <v>208790.52000000002</v>
      </c>
      <c r="J79" s="399">
        <v>98625.66</v>
      </c>
      <c r="K79" s="399">
        <v>208790.52000000002</v>
      </c>
      <c r="L79" s="399">
        <v>99173.73</v>
      </c>
      <c r="M79" s="399">
        <v>208790.52000000002</v>
      </c>
      <c r="N79" s="399">
        <v>99721.8</v>
      </c>
      <c r="O79" s="399">
        <v>208790.52000000002</v>
      </c>
      <c r="P79" s="399">
        <v>100269.87</v>
      </c>
      <c r="Q79" s="399">
        <v>208790.52000000002</v>
      </c>
      <c r="R79" s="399">
        <v>100817.94</v>
      </c>
      <c r="S79" s="399">
        <v>208790.52000000002</v>
      </c>
      <c r="T79" s="399">
        <v>101366.01000000001</v>
      </c>
      <c r="U79" s="399">
        <v>208790.52000000002</v>
      </c>
      <c r="V79" s="399">
        <v>101914.08</v>
      </c>
      <c r="W79" s="399">
        <v>203549.89</v>
      </c>
      <c r="X79" s="399">
        <v>97721.52</v>
      </c>
      <c r="Y79" s="399">
        <v>203549.89</v>
      </c>
      <c r="Z79" s="399">
        <v>98255.84</v>
      </c>
      <c r="AA79" s="399">
        <v>203549.89</v>
      </c>
      <c r="AB79" s="399">
        <v>98790.16</v>
      </c>
      <c r="AC79" s="399">
        <v>203549.89</v>
      </c>
      <c r="AD79" s="399">
        <v>99324.479999999996</v>
      </c>
      <c r="AE79" s="399">
        <f t="shared" si="3"/>
        <v>207262.00291666671</v>
      </c>
      <c r="AF79" s="399">
        <f t="shared" si="3"/>
        <v>99430.099999999991</v>
      </c>
    </row>
    <row r="80" spans="1:32">
      <c r="A80" s="393">
        <v>71</v>
      </c>
      <c r="C80" s="16" t="s">
        <v>889</v>
      </c>
      <c r="D80" s="16" t="s">
        <v>862</v>
      </c>
      <c r="E80" s="399">
        <v>11132770.07</v>
      </c>
      <c r="F80" s="399">
        <v>3665685.4</v>
      </c>
      <c r="G80" s="399">
        <v>11216656.800000001</v>
      </c>
      <c r="H80" s="399">
        <v>3722740.84</v>
      </c>
      <c r="I80" s="399">
        <v>11034806.4</v>
      </c>
      <c r="J80" s="399">
        <v>3645780.09</v>
      </c>
      <c r="K80" s="399">
        <v>11040618.57</v>
      </c>
      <c r="L80" s="399">
        <v>3684844.69</v>
      </c>
      <c r="M80" s="399">
        <v>11082041.82</v>
      </c>
      <c r="N80" s="399">
        <v>3702527.61</v>
      </c>
      <c r="O80" s="399">
        <v>11145849.17</v>
      </c>
      <c r="P80" s="399">
        <v>3748029.0300000003</v>
      </c>
      <c r="Q80" s="399">
        <v>11090363.529999999</v>
      </c>
      <c r="R80" s="399">
        <v>3681116.13</v>
      </c>
      <c r="S80" s="399">
        <v>10944183</v>
      </c>
      <c r="T80" s="399">
        <v>3622538.86</v>
      </c>
      <c r="U80" s="399">
        <v>11163686.34</v>
      </c>
      <c r="V80" s="399">
        <v>3687335.95</v>
      </c>
      <c r="W80" s="399">
        <v>11275500.68</v>
      </c>
      <c r="X80" s="399">
        <v>3590028.3</v>
      </c>
      <c r="Y80" s="399">
        <v>11221880.85</v>
      </c>
      <c r="Z80" s="399">
        <v>3581881.02</v>
      </c>
      <c r="AA80" s="399">
        <v>11021655.4</v>
      </c>
      <c r="AB80" s="399">
        <v>3496945.23</v>
      </c>
      <c r="AC80" s="399">
        <v>11625924.470000001</v>
      </c>
      <c r="AD80" s="399">
        <v>3502362.43</v>
      </c>
      <c r="AE80" s="399">
        <f t="shared" si="3"/>
        <v>11134715.819166666</v>
      </c>
      <c r="AF80" s="399">
        <f t="shared" si="3"/>
        <v>3645649.305416666</v>
      </c>
    </row>
    <row r="81" spans="1:32">
      <c r="A81" s="393">
        <v>72</v>
      </c>
      <c r="C81" s="16" t="s">
        <v>890</v>
      </c>
      <c r="D81" s="16" t="s">
        <v>862</v>
      </c>
      <c r="E81" s="399">
        <v>23837.02</v>
      </c>
      <c r="F81" s="399">
        <v>11691.89</v>
      </c>
      <c r="G81" s="399">
        <v>23837.02</v>
      </c>
      <c r="H81" s="399">
        <v>11797.960000000001</v>
      </c>
      <c r="I81" s="399">
        <v>23837.02</v>
      </c>
      <c r="J81" s="399">
        <v>11904.03</v>
      </c>
      <c r="K81" s="399">
        <v>23837.02</v>
      </c>
      <c r="L81" s="399">
        <v>12010.1</v>
      </c>
      <c r="M81" s="399">
        <v>23837.02</v>
      </c>
      <c r="N81" s="399">
        <v>12116.17</v>
      </c>
      <c r="O81" s="399">
        <v>23837.02</v>
      </c>
      <c r="P81" s="399">
        <v>12222.24</v>
      </c>
      <c r="Q81" s="399">
        <v>23837.02</v>
      </c>
      <c r="R81" s="399">
        <v>12328.31</v>
      </c>
      <c r="S81" s="399">
        <v>23837.02</v>
      </c>
      <c r="T81" s="399">
        <v>12434.380000000001</v>
      </c>
      <c r="U81" s="399">
        <v>23837.02</v>
      </c>
      <c r="V81" s="399">
        <v>12540.45</v>
      </c>
      <c r="W81" s="399">
        <v>23837.02</v>
      </c>
      <c r="X81" s="399">
        <v>12646.52</v>
      </c>
      <c r="Y81" s="399">
        <v>23837.02</v>
      </c>
      <c r="Z81" s="399">
        <v>12752.59</v>
      </c>
      <c r="AA81" s="399">
        <v>23837.02</v>
      </c>
      <c r="AB81" s="399">
        <v>12858.66</v>
      </c>
      <c r="AC81" s="399">
        <v>23837.02</v>
      </c>
      <c r="AD81" s="399">
        <v>12964.73</v>
      </c>
      <c r="AE81" s="399">
        <f t="shared" si="3"/>
        <v>23837.02</v>
      </c>
      <c r="AF81" s="399">
        <f t="shared" si="3"/>
        <v>12328.31</v>
      </c>
    </row>
    <row r="82" spans="1:32">
      <c r="A82" s="393">
        <v>73</v>
      </c>
      <c r="C82" s="16" t="s">
        <v>891</v>
      </c>
      <c r="D82" s="16" t="s">
        <v>862</v>
      </c>
      <c r="E82" s="399">
        <v>4876288.05</v>
      </c>
      <c r="F82" s="399">
        <v>1349016.6600000001</v>
      </c>
      <c r="G82" s="399">
        <v>4882862.6399999997</v>
      </c>
      <c r="H82" s="399">
        <v>1363482.98</v>
      </c>
      <c r="I82" s="399">
        <v>4911312.6100000003</v>
      </c>
      <c r="J82" s="399">
        <v>1377968.81</v>
      </c>
      <c r="K82" s="399">
        <v>4865469.66</v>
      </c>
      <c r="L82" s="399">
        <v>1326297.99</v>
      </c>
      <c r="M82" s="399">
        <v>4905803.05</v>
      </c>
      <c r="N82" s="399">
        <v>1340732.22</v>
      </c>
      <c r="O82" s="399">
        <v>4918419.63</v>
      </c>
      <c r="P82" s="399">
        <v>1355286.1</v>
      </c>
      <c r="Q82" s="399">
        <v>4964085.72</v>
      </c>
      <c r="R82" s="399">
        <v>1369877.4100000001</v>
      </c>
      <c r="S82" s="399">
        <v>4969215.47</v>
      </c>
      <c r="T82" s="399">
        <v>1384604.2</v>
      </c>
      <c r="U82" s="399">
        <v>4973980.4800000004</v>
      </c>
      <c r="V82" s="399">
        <v>1399346.21</v>
      </c>
      <c r="W82" s="399">
        <v>4979486.47</v>
      </c>
      <c r="X82" s="399">
        <v>1414102.35</v>
      </c>
      <c r="Y82" s="399">
        <v>4984424.6399999997</v>
      </c>
      <c r="Z82" s="399">
        <v>1428874.83</v>
      </c>
      <c r="AA82" s="399">
        <v>4984424.6399999997</v>
      </c>
      <c r="AB82" s="399">
        <v>1443661.96</v>
      </c>
      <c r="AC82" s="399">
        <v>5008038.0999999996</v>
      </c>
      <c r="AD82" s="399">
        <v>1458449.09</v>
      </c>
      <c r="AE82" s="399">
        <f t="shared" si="3"/>
        <v>4940137.3404166671</v>
      </c>
      <c r="AF82" s="399">
        <f t="shared" si="3"/>
        <v>1383997.3279166666</v>
      </c>
    </row>
    <row r="83" spans="1:32">
      <c r="A83" s="393">
        <v>74</v>
      </c>
      <c r="C83" s="16" t="s">
        <v>892</v>
      </c>
      <c r="D83" s="16" t="s">
        <v>862</v>
      </c>
      <c r="E83" s="399">
        <v>131231.01999999999</v>
      </c>
      <c r="F83" s="399">
        <v>120288.42</v>
      </c>
      <c r="G83" s="399">
        <v>131231.01999999999</v>
      </c>
      <c r="H83" s="399">
        <v>120489.64</v>
      </c>
      <c r="I83" s="399">
        <v>131231.01999999999</v>
      </c>
      <c r="J83" s="399">
        <v>120690.86</v>
      </c>
      <c r="K83" s="399">
        <v>131231.01999999999</v>
      </c>
      <c r="L83" s="399">
        <v>120892.08</v>
      </c>
      <c r="M83" s="399">
        <v>131231.01999999999</v>
      </c>
      <c r="N83" s="399">
        <v>121093.3</v>
      </c>
      <c r="O83" s="399">
        <v>131231.01999999999</v>
      </c>
      <c r="P83" s="399">
        <v>121294.52</v>
      </c>
      <c r="Q83" s="399">
        <v>131231.01999999999</v>
      </c>
      <c r="R83" s="399">
        <v>121495.74</v>
      </c>
      <c r="S83" s="399">
        <v>131231.01999999999</v>
      </c>
      <c r="T83" s="399">
        <v>121696.96000000001</v>
      </c>
      <c r="U83" s="399">
        <v>131231.01999999999</v>
      </c>
      <c r="V83" s="399">
        <v>121898.18000000001</v>
      </c>
      <c r="W83" s="399">
        <v>131231.01999999999</v>
      </c>
      <c r="X83" s="399">
        <v>122099.40000000001</v>
      </c>
      <c r="Y83" s="399">
        <v>131231.01999999999</v>
      </c>
      <c r="Z83" s="399">
        <v>122300.62</v>
      </c>
      <c r="AA83" s="399">
        <v>131231.01999999999</v>
      </c>
      <c r="AB83" s="399">
        <v>122501.84</v>
      </c>
      <c r="AC83" s="399">
        <v>131231.01999999999</v>
      </c>
      <c r="AD83" s="399">
        <v>122703.06</v>
      </c>
      <c r="AE83" s="399">
        <f t="shared" si="3"/>
        <v>131231.01999999999</v>
      </c>
      <c r="AF83" s="399">
        <f t="shared" si="3"/>
        <v>121495.73999999999</v>
      </c>
    </row>
    <row r="84" spans="1:32">
      <c r="A84" s="393">
        <v>75</v>
      </c>
      <c r="C84" s="16" t="s">
        <v>893</v>
      </c>
      <c r="D84" s="16" t="s">
        <v>862</v>
      </c>
      <c r="E84" s="399">
        <v>29277.34</v>
      </c>
      <c r="F84" s="399">
        <v>21813.78</v>
      </c>
      <c r="G84" s="399">
        <v>29277.34</v>
      </c>
      <c r="H84" s="399">
        <v>21926.010000000002</v>
      </c>
      <c r="I84" s="399">
        <v>29277.34</v>
      </c>
      <c r="J84" s="399">
        <v>22038.240000000002</v>
      </c>
      <c r="K84" s="399">
        <v>5249.37</v>
      </c>
      <c r="L84" s="399">
        <v>-1877.5</v>
      </c>
      <c r="M84" s="399">
        <v>5249.37</v>
      </c>
      <c r="N84" s="399">
        <v>-1857.38</v>
      </c>
      <c r="O84" s="399">
        <v>5249.37</v>
      </c>
      <c r="P84" s="399">
        <v>-1837.26</v>
      </c>
      <c r="Q84" s="399">
        <v>5249.37</v>
      </c>
      <c r="R84" s="399">
        <v>-1817.14</v>
      </c>
      <c r="S84" s="399">
        <v>5249.37</v>
      </c>
      <c r="T84" s="399">
        <v>-1797.02</v>
      </c>
      <c r="U84" s="399">
        <v>5249.37</v>
      </c>
      <c r="V84" s="399">
        <v>-1776.9</v>
      </c>
      <c r="W84" s="399">
        <v>5249.37</v>
      </c>
      <c r="X84" s="399">
        <v>-1756.78</v>
      </c>
      <c r="Y84" s="399">
        <v>5249.37</v>
      </c>
      <c r="Z84" s="399">
        <v>-1736.66</v>
      </c>
      <c r="AA84" s="399">
        <v>5249.37</v>
      </c>
      <c r="AB84" s="399">
        <v>-1716.54</v>
      </c>
      <c r="AC84" s="399">
        <v>5249.37</v>
      </c>
      <c r="AD84" s="399">
        <v>-1696.42</v>
      </c>
      <c r="AE84" s="399">
        <f t="shared" si="3"/>
        <v>10255.197083333331</v>
      </c>
      <c r="AF84" s="399">
        <f t="shared" si="3"/>
        <v>3154.1458333333335</v>
      </c>
    </row>
    <row r="85" spans="1:32">
      <c r="A85" s="393">
        <v>76</v>
      </c>
      <c r="C85" s="16" t="s">
        <v>894</v>
      </c>
      <c r="D85" s="16" t="s">
        <v>862</v>
      </c>
      <c r="E85" s="399">
        <v>3239948.69</v>
      </c>
      <c r="F85" s="399">
        <v>-419854.45</v>
      </c>
      <c r="G85" s="399">
        <v>3430954.87</v>
      </c>
      <c r="H85" s="399">
        <v>-405868.68</v>
      </c>
      <c r="I85" s="399">
        <v>2098101.27</v>
      </c>
      <c r="J85" s="399">
        <v>-707089.84</v>
      </c>
      <c r="K85" s="399">
        <v>2016277.52</v>
      </c>
      <c r="L85" s="399">
        <v>-780256.79</v>
      </c>
      <c r="M85" s="399">
        <v>2016277.52</v>
      </c>
      <c r="N85" s="399">
        <v>-702070.84</v>
      </c>
      <c r="O85" s="399">
        <v>2016277.52</v>
      </c>
      <c r="P85" s="399">
        <v>-693367.24</v>
      </c>
      <c r="Q85" s="399">
        <v>2016277.52</v>
      </c>
      <c r="R85" s="399">
        <v>-684663.64</v>
      </c>
      <c r="S85" s="399">
        <v>2009397.16</v>
      </c>
      <c r="T85" s="399">
        <v>-681665.4</v>
      </c>
      <c r="U85" s="399">
        <v>2016778.44</v>
      </c>
      <c r="V85" s="399">
        <v>-707508.42</v>
      </c>
      <c r="W85" s="399">
        <v>2018911.32</v>
      </c>
      <c r="X85" s="399">
        <v>-739225.71</v>
      </c>
      <c r="Y85" s="399">
        <v>2021410.82</v>
      </c>
      <c r="Z85" s="399">
        <v>-743214.12</v>
      </c>
      <c r="AA85" s="399">
        <v>2139026.92</v>
      </c>
      <c r="AB85" s="399">
        <v>-734488.36</v>
      </c>
      <c r="AC85" s="399">
        <v>2099536.96</v>
      </c>
      <c r="AD85" s="399">
        <v>-1005357.87</v>
      </c>
      <c r="AE85" s="399">
        <f t="shared" si="3"/>
        <v>2205786.1420833333</v>
      </c>
      <c r="AF85" s="399">
        <f t="shared" si="3"/>
        <v>-691002.1</v>
      </c>
    </row>
    <row r="86" spans="1:32">
      <c r="A86" s="393">
        <v>77</v>
      </c>
      <c r="C86" s="16" t="s">
        <v>895</v>
      </c>
      <c r="D86" s="16" t="s">
        <v>862</v>
      </c>
      <c r="E86" s="399">
        <v>621602.63</v>
      </c>
      <c r="F86" s="399">
        <v>179102.77</v>
      </c>
      <c r="G86" s="399">
        <v>621602.63</v>
      </c>
      <c r="H86" s="399">
        <v>180718.94</v>
      </c>
      <c r="I86" s="399">
        <v>607706.98</v>
      </c>
      <c r="J86" s="399">
        <v>171539.46</v>
      </c>
      <c r="K86" s="399">
        <v>553326.53</v>
      </c>
      <c r="L86" s="399">
        <v>147864.05000000002</v>
      </c>
      <c r="M86" s="399">
        <v>553326.53</v>
      </c>
      <c r="N86" s="399">
        <v>149302.70000000001</v>
      </c>
      <c r="O86" s="399">
        <v>553326.53</v>
      </c>
      <c r="P86" s="399">
        <v>150741.35</v>
      </c>
      <c r="Q86" s="399">
        <v>553326.53</v>
      </c>
      <c r="R86" s="399">
        <v>152180</v>
      </c>
      <c r="S86" s="399">
        <v>553326.53</v>
      </c>
      <c r="T86" s="399">
        <v>153618.65</v>
      </c>
      <c r="U86" s="399">
        <v>553326.53</v>
      </c>
      <c r="V86" s="399">
        <v>155057.30000000002</v>
      </c>
      <c r="W86" s="399">
        <v>553326.53</v>
      </c>
      <c r="X86" s="399">
        <v>156495.95000000001</v>
      </c>
      <c r="Y86" s="399">
        <v>553326.53</v>
      </c>
      <c r="Z86" s="399">
        <v>157934.6</v>
      </c>
      <c r="AA86" s="399">
        <v>553326.53</v>
      </c>
      <c r="AB86" s="399">
        <v>159373.25</v>
      </c>
      <c r="AC86" s="399">
        <v>553326.53</v>
      </c>
      <c r="AD86" s="399">
        <v>160811.9</v>
      </c>
      <c r="AE86" s="399">
        <f t="shared" si="3"/>
        <v>566392.74666666682</v>
      </c>
      <c r="AF86" s="399">
        <f t="shared" si="3"/>
        <v>158731.96541666667</v>
      </c>
    </row>
    <row r="87" spans="1:32">
      <c r="A87" s="393">
        <v>78</v>
      </c>
      <c r="C87" s="16" t="s">
        <v>896</v>
      </c>
      <c r="D87" s="16" t="s">
        <v>862</v>
      </c>
      <c r="E87" s="399">
        <v>194717.30000000002</v>
      </c>
      <c r="F87" s="399">
        <v>122189.7</v>
      </c>
      <c r="G87" s="399">
        <v>194717.30000000002</v>
      </c>
      <c r="H87" s="399">
        <v>122929.63</v>
      </c>
      <c r="I87" s="399">
        <v>194717.30000000002</v>
      </c>
      <c r="J87" s="399">
        <v>123669.56</v>
      </c>
      <c r="K87" s="399">
        <v>194717.30000000002</v>
      </c>
      <c r="L87" s="399">
        <v>124409.49</v>
      </c>
      <c r="M87" s="399">
        <v>194717.30000000002</v>
      </c>
      <c r="N87" s="399">
        <v>125149.42</v>
      </c>
      <c r="O87" s="399">
        <v>194717.30000000002</v>
      </c>
      <c r="P87" s="399">
        <v>125889.35</v>
      </c>
      <c r="Q87" s="399">
        <v>194717.30000000002</v>
      </c>
      <c r="R87" s="399">
        <v>126629.28</v>
      </c>
      <c r="S87" s="399">
        <v>194717.30000000002</v>
      </c>
      <c r="T87" s="399">
        <v>127369.21</v>
      </c>
      <c r="U87" s="399">
        <v>194717.30000000002</v>
      </c>
      <c r="V87" s="399">
        <v>128109.14</v>
      </c>
      <c r="W87" s="399">
        <v>194717.30000000002</v>
      </c>
      <c r="X87" s="399">
        <v>128849.07</v>
      </c>
      <c r="Y87" s="399">
        <v>194717.30000000002</v>
      </c>
      <c r="Z87" s="399">
        <v>129589</v>
      </c>
      <c r="AA87" s="399">
        <v>194717.30000000002</v>
      </c>
      <c r="AB87" s="399">
        <v>130328.93000000001</v>
      </c>
      <c r="AC87" s="399">
        <v>194717.30000000002</v>
      </c>
      <c r="AD87" s="399">
        <v>131068.86</v>
      </c>
      <c r="AE87" s="399">
        <f t="shared" si="3"/>
        <v>194717.30000000002</v>
      </c>
      <c r="AF87" s="399">
        <f t="shared" si="3"/>
        <v>126629.27999999998</v>
      </c>
    </row>
    <row r="88" spans="1:32">
      <c r="A88" s="393">
        <v>79</v>
      </c>
      <c r="C88" s="16" t="s">
        <v>897</v>
      </c>
      <c r="D88" s="16" t="s">
        <v>862</v>
      </c>
      <c r="E88" s="399">
        <v>924622.43</v>
      </c>
      <c r="F88" s="399">
        <v>284496.61</v>
      </c>
      <c r="G88" s="399">
        <v>924622.43</v>
      </c>
      <c r="H88" s="399">
        <v>291716.37</v>
      </c>
      <c r="I88" s="399">
        <v>924622.43</v>
      </c>
      <c r="J88" s="399">
        <v>298936.13</v>
      </c>
      <c r="K88" s="399">
        <v>924622.43</v>
      </c>
      <c r="L88" s="399">
        <v>306155.89</v>
      </c>
      <c r="M88" s="399">
        <v>924622.43</v>
      </c>
      <c r="N88" s="399">
        <v>313375.65000000002</v>
      </c>
      <c r="O88" s="399">
        <v>924622.43</v>
      </c>
      <c r="P88" s="399">
        <v>320595.41000000003</v>
      </c>
      <c r="Q88" s="399">
        <v>924622.43</v>
      </c>
      <c r="R88" s="399">
        <v>327815.17</v>
      </c>
      <c r="S88" s="399">
        <v>924622.43</v>
      </c>
      <c r="T88" s="399">
        <v>335034.93</v>
      </c>
      <c r="U88" s="399">
        <v>924622.43</v>
      </c>
      <c r="V88" s="399">
        <v>342254.69</v>
      </c>
      <c r="W88" s="399">
        <v>924622.43</v>
      </c>
      <c r="X88" s="399">
        <v>349474.45</v>
      </c>
      <c r="Y88" s="399">
        <v>924622.43</v>
      </c>
      <c r="Z88" s="399">
        <v>356694.21</v>
      </c>
      <c r="AA88" s="399">
        <v>924622.43</v>
      </c>
      <c r="AB88" s="399">
        <v>363913.97000000003</v>
      </c>
      <c r="AC88" s="399">
        <v>924622.43</v>
      </c>
      <c r="AD88" s="399">
        <v>371133.73</v>
      </c>
      <c r="AE88" s="399">
        <f t="shared" si="3"/>
        <v>924622.42999999982</v>
      </c>
      <c r="AF88" s="399">
        <f t="shared" si="3"/>
        <v>327815.17000000004</v>
      </c>
    </row>
    <row r="89" spans="1:32">
      <c r="A89" s="393">
        <v>80</v>
      </c>
      <c r="C89" s="16" t="s">
        <v>898</v>
      </c>
      <c r="D89" s="16" t="s">
        <v>862</v>
      </c>
      <c r="E89" s="399">
        <v>3202003.54</v>
      </c>
      <c r="F89" s="399">
        <v>2486837.38</v>
      </c>
      <c r="G89" s="399">
        <v>3202003.54</v>
      </c>
      <c r="H89" s="399">
        <v>2487184.2599999998</v>
      </c>
      <c r="I89" s="399">
        <v>3202003.54</v>
      </c>
      <c r="J89" s="399">
        <v>2487531.14</v>
      </c>
      <c r="K89" s="399">
        <v>3204746.09</v>
      </c>
      <c r="L89" s="399">
        <v>2487878.02</v>
      </c>
      <c r="M89" s="399">
        <v>3204746.09</v>
      </c>
      <c r="N89" s="399">
        <v>2488225.2000000002</v>
      </c>
      <c r="O89" s="399">
        <v>3204746.09</v>
      </c>
      <c r="P89" s="399">
        <v>2488572.38</v>
      </c>
      <c r="Q89" s="399">
        <v>3204746.09</v>
      </c>
      <c r="R89" s="399">
        <v>2488919.56</v>
      </c>
      <c r="S89" s="399">
        <v>3204746.09</v>
      </c>
      <c r="T89" s="399">
        <v>2489266.7400000002</v>
      </c>
      <c r="U89" s="399">
        <v>3204746.09</v>
      </c>
      <c r="V89" s="399">
        <v>2489613.92</v>
      </c>
      <c r="W89" s="399">
        <v>3204655.82</v>
      </c>
      <c r="X89" s="399">
        <v>2489961.1</v>
      </c>
      <c r="Y89" s="399">
        <v>3204655.82</v>
      </c>
      <c r="Z89" s="399">
        <v>2490308.27</v>
      </c>
      <c r="AA89" s="399">
        <v>3204655.82</v>
      </c>
      <c r="AB89" s="399">
        <v>2490655.44</v>
      </c>
      <c r="AC89" s="399">
        <v>3235888.5</v>
      </c>
      <c r="AD89" s="399">
        <v>2491002.61</v>
      </c>
      <c r="AE89" s="399">
        <f t="shared" si="3"/>
        <v>3205449.7583333333</v>
      </c>
      <c r="AF89" s="399">
        <f t="shared" si="3"/>
        <v>2488919.6687500002</v>
      </c>
    </row>
    <row r="90" spans="1:32">
      <c r="A90" s="393">
        <v>81</v>
      </c>
      <c r="C90" s="16" t="s">
        <v>899</v>
      </c>
      <c r="D90" s="16" t="s">
        <v>862</v>
      </c>
      <c r="E90" s="399">
        <v>322181.13</v>
      </c>
      <c r="F90" s="399">
        <v>219230.18</v>
      </c>
      <c r="G90" s="399">
        <v>322181.13</v>
      </c>
      <c r="H90" s="399">
        <v>221694.87</v>
      </c>
      <c r="I90" s="399">
        <v>322181.13</v>
      </c>
      <c r="J90" s="399">
        <v>224159.56</v>
      </c>
      <c r="K90" s="399">
        <v>321462.03000000003</v>
      </c>
      <c r="L90" s="399">
        <v>226624.25</v>
      </c>
      <c r="M90" s="399">
        <v>321462.03000000003</v>
      </c>
      <c r="N90" s="399">
        <v>229083.43</v>
      </c>
      <c r="O90" s="399">
        <v>321462.03000000003</v>
      </c>
      <c r="P90" s="399">
        <v>231542.61000000002</v>
      </c>
      <c r="Q90" s="399">
        <v>321462.03000000003</v>
      </c>
      <c r="R90" s="399">
        <v>234001.79</v>
      </c>
      <c r="S90" s="399">
        <v>321462.03000000003</v>
      </c>
      <c r="T90" s="399">
        <v>236460.97</v>
      </c>
      <c r="U90" s="399">
        <v>321462.03000000003</v>
      </c>
      <c r="V90" s="399">
        <v>238920.15</v>
      </c>
      <c r="W90" s="399">
        <v>321462.03000000003</v>
      </c>
      <c r="X90" s="399">
        <v>241379.33000000002</v>
      </c>
      <c r="Y90" s="399">
        <v>321462.03000000003</v>
      </c>
      <c r="Z90" s="399">
        <v>243838.51</v>
      </c>
      <c r="AA90" s="399">
        <v>321462.03000000003</v>
      </c>
      <c r="AB90" s="399">
        <v>246297.69</v>
      </c>
      <c r="AC90" s="399">
        <v>321462.03000000003</v>
      </c>
      <c r="AD90" s="399">
        <v>248756.87</v>
      </c>
      <c r="AE90" s="399">
        <f t="shared" si="3"/>
        <v>321611.84250000009</v>
      </c>
      <c r="AF90" s="399">
        <f t="shared" si="3"/>
        <v>233999.72374999998</v>
      </c>
    </row>
    <row r="91" spans="1:32">
      <c r="A91" s="393">
        <v>82</v>
      </c>
      <c r="C91" s="16" t="s">
        <v>900</v>
      </c>
      <c r="D91" s="16" t="s">
        <v>862</v>
      </c>
      <c r="E91" s="399">
        <v>14274.33</v>
      </c>
      <c r="F91" s="399">
        <v>-359.73</v>
      </c>
      <c r="G91" s="399">
        <v>14274.33</v>
      </c>
      <c r="H91" s="399">
        <v>-234.71</v>
      </c>
      <c r="I91" s="399">
        <v>14274.33</v>
      </c>
      <c r="J91" s="399">
        <v>-109.69</v>
      </c>
      <c r="K91" s="399">
        <v>14274.33</v>
      </c>
      <c r="L91" s="399">
        <v>15.33</v>
      </c>
      <c r="M91" s="399">
        <v>14274.33</v>
      </c>
      <c r="N91" s="399">
        <v>140.35</v>
      </c>
      <c r="O91" s="399">
        <v>14274.33</v>
      </c>
      <c r="P91" s="399">
        <v>265.37</v>
      </c>
      <c r="Q91" s="399">
        <v>14274.33</v>
      </c>
      <c r="R91" s="399">
        <v>390.39</v>
      </c>
      <c r="S91" s="399">
        <v>14274.33</v>
      </c>
      <c r="T91" s="399">
        <v>515.41</v>
      </c>
      <c r="U91" s="399">
        <v>14274.33</v>
      </c>
      <c r="V91" s="399">
        <v>640.43000000000006</v>
      </c>
      <c r="W91" s="399">
        <v>14274.33</v>
      </c>
      <c r="X91" s="399">
        <v>765.45</v>
      </c>
      <c r="Y91" s="399">
        <v>14274.33</v>
      </c>
      <c r="Z91" s="399">
        <v>890.47</v>
      </c>
      <c r="AA91" s="399">
        <v>14274.33</v>
      </c>
      <c r="AB91" s="399">
        <v>1015.49</v>
      </c>
      <c r="AC91" s="399">
        <v>14274.33</v>
      </c>
      <c r="AD91" s="399">
        <v>1140.51</v>
      </c>
      <c r="AE91" s="399">
        <f t="shared" si="3"/>
        <v>14274.329999999996</v>
      </c>
      <c r="AF91" s="399">
        <f t="shared" si="3"/>
        <v>390.39000000000004</v>
      </c>
    </row>
    <row r="92" spans="1:32">
      <c r="A92" s="393">
        <v>83</v>
      </c>
      <c r="B92" s="400" t="s">
        <v>106</v>
      </c>
      <c r="C92" s="401"/>
      <c r="D92" s="400" t="s">
        <v>901</v>
      </c>
      <c r="E92" s="402">
        <f t="shared" ref="E92:AF92" si="4">SUBTOTAL(9,E49:E91)</f>
        <v>716908411.13999987</v>
      </c>
      <c r="F92" s="402">
        <f t="shared" si="4"/>
        <v>349691372.54999995</v>
      </c>
      <c r="G92" s="402">
        <f t="shared" si="4"/>
        <v>719814865.54999983</v>
      </c>
      <c r="H92" s="402">
        <f t="shared" si="4"/>
        <v>351122100.51999992</v>
      </c>
      <c r="I92" s="402">
        <f t="shared" si="4"/>
        <v>719822123.01999986</v>
      </c>
      <c r="J92" s="402">
        <f t="shared" si="4"/>
        <v>352161619.25</v>
      </c>
      <c r="K92" s="402">
        <f t="shared" si="4"/>
        <v>721408629.44999981</v>
      </c>
      <c r="L92" s="402">
        <f t="shared" si="4"/>
        <v>353579319.95999998</v>
      </c>
      <c r="M92" s="402">
        <f t="shared" si="4"/>
        <v>726009290.69999981</v>
      </c>
      <c r="N92" s="402">
        <f t="shared" si="4"/>
        <v>355202929.90000004</v>
      </c>
      <c r="O92" s="402">
        <f t="shared" si="4"/>
        <v>729343349.84999967</v>
      </c>
      <c r="P92" s="402">
        <f t="shared" si="4"/>
        <v>356554963.54000002</v>
      </c>
      <c r="Q92" s="402">
        <f t="shared" si="4"/>
        <v>732720558.29999971</v>
      </c>
      <c r="R92" s="402">
        <f t="shared" si="4"/>
        <v>358089078.43000007</v>
      </c>
      <c r="S92" s="402">
        <f t="shared" si="4"/>
        <v>735226566.68999982</v>
      </c>
      <c r="T92" s="402">
        <f t="shared" si="4"/>
        <v>359533201.34000003</v>
      </c>
      <c r="U92" s="402">
        <f t="shared" si="4"/>
        <v>737790044.5799998</v>
      </c>
      <c r="V92" s="402">
        <f t="shared" si="4"/>
        <v>361133539.03000003</v>
      </c>
      <c r="W92" s="402">
        <f t="shared" si="4"/>
        <v>743022076.07999969</v>
      </c>
      <c r="X92" s="402">
        <f t="shared" si="4"/>
        <v>362566654.5</v>
      </c>
      <c r="Y92" s="402">
        <f t="shared" si="4"/>
        <v>748441437.37999976</v>
      </c>
      <c r="Z92" s="402">
        <f t="shared" si="4"/>
        <v>364082428.88999987</v>
      </c>
      <c r="AA92" s="402">
        <f t="shared" si="4"/>
        <v>753183631.21999967</v>
      </c>
      <c r="AB92" s="402">
        <f t="shared" si="4"/>
        <v>365355850.14999998</v>
      </c>
      <c r="AC92" s="402">
        <f t="shared" si="4"/>
        <v>764082473.55999994</v>
      </c>
      <c r="AD92" s="402">
        <f>SUBTOTAL(9,AD49:AD91)</f>
        <v>366495933.66000003</v>
      </c>
      <c r="AE92" s="402">
        <f t="shared" si="4"/>
        <v>733939834.59749973</v>
      </c>
      <c r="AF92" s="402">
        <f t="shared" si="4"/>
        <v>358122944.88458329</v>
      </c>
    </row>
    <row r="93" spans="1:32">
      <c r="A93" s="393">
        <v>84</v>
      </c>
      <c r="B93" s="395" t="s">
        <v>902</v>
      </c>
      <c r="C93" s="395" t="s">
        <v>903</v>
      </c>
      <c r="D93" s="403"/>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row>
    <row r="94" spans="1:32">
      <c r="A94" s="393">
        <v>85</v>
      </c>
      <c r="C94" s="16" t="s">
        <v>904</v>
      </c>
      <c r="D94" s="16" t="s">
        <v>906</v>
      </c>
      <c r="E94" s="399">
        <v>152066.08000000002</v>
      </c>
      <c r="F94" s="399">
        <v>0</v>
      </c>
      <c r="G94" s="399">
        <v>152066.08000000002</v>
      </c>
      <c r="H94" s="399">
        <v>0</v>
      </c>
      <c r="I94" s="399">
        <v>152066.08000000002</v>
      </c>
      <c r="J94" s="399">
        <v>0</v>
      </c>
      <c r="K94" s="399">
        <v>152066.08000000002</v>
      </c>
      <c r="L94" s="399">
        <v>0</v>
      </c>
      <c r="M94" s="399">
        <v>152066.08000000002</v>
      </c>
      <c r="N94" s="399">
        <v>0</v>
      </c>
      <c r="O94" s="399">
        <v>152066.08000000002</v>
      </c>
      <c r="P94" s="399">
        <v>0</v>
      </c>
      <c r="Q94" s="399">
        <v>152066.08000000002</v>
      </c>
      <c r="R94" s="399">
        <v>0</v>
      </c>
      <c r="S94" s="399">
        <v>152066.08000000002</v>
      </c>
      <c r="T94" s="399">
        <v>0</v>
      </c>
      <c r="U94" s="399">
        <v>152066.08000000002</v>
      </c>
      <c r="V94" s="399">
        <v>0</v>
      </c>
      <c r="W94" s="399">
        <v>152066.08000000002</v>
      </c>
      <c r="X94" s="399">
        <v>0</v>
      </c>
      <c r="Y94" s="399">
        <v>152066.08000000002</v>
      </c>
      <c r="Z94" s="399">
        <v>0</v>
      </c>
      <c r="AA94" s="399">
        <v>152066.08000000002</v>
      </c>
      <c r="AB94" s="399">
        <v>0</v>
      </c>
      <c r="AC94" s="399">
        <v>152066.08000000002</v>
      </c>
      <c r="AD94" s="399">
        <v>0</v>
      </c>
      <c r="AE94" s="399">
        <f t="shared" ref="AE94:AF138" si="5">+(E94+AC94+(+G94+I94+K94+M94+O94+Q94+S94+U94+W94+Y94+AA94)*2)/24</f>
        <v>152066.08000000005</v>
      </c>
      <c r="AF94" s="399">
        <f t="shared" si="5"/>
        <v>0</v>
      </c>
    </row>
    <row r="95" spans="1:32">
      <c r="A95" s="393">
        <v>86</v>
      </c>
      <c r="C95" s="16" t="s">
        <v>905</v>
      </c>
      <c r="D95" s="398" t="s">
        <v>906</v>
      </c>
      <c r="E95" s="399">
        <v>1826757.9</v>
      </c>
      <c r="F95" s="399">
        <v>1019884.5700000001</v>
      </c>
      <c r="G95" s="399">
        <v>1826757.9000000001</v>
      </c>
      <c r="H95" s="399">
        <v>1035107.55</v>
      </c>
      <c r="I95" s="399">
        <v>1826757.9000000001</v>
      </c>
      <c r="J95" s="399">
        <v>1050330.53</v>
      </c>
      <c r="K95" s="399">
        <v>1826757.9000000001</v>
      </c>
      <c r="L95" s="399">
        <v>1065553.51</v>
      </c>
      <c r="M95" s="399">
        <v>1826757.9000000001</v>
      </c>
      <c r="N95" s="399">
        <v>1080776.49</v>
      </c>
      <c r="O95" s="399">
        <v>1826757.9000000001</v>
      </c>
      <c r="P95" s="399">
        <v>1095999.47</v>
      </c>
      <c r="Q95" s="399">
        <v>1826757.9000000001</v>
      </c>
      <c r="R95" s="399">
        <v>1111222.4500000002</v>
      </c>
      <c r="S95" s="399">
        <v>1826757.9000000001</v>
      </c>
      <c r="T95" s="399">
        <v>1126445.4300000002</v>
      </c>
      <c r="U95" s="399">
        <v>1826757.9000000001</v>
      </c>
      <c r="V95" s="399">
        <v>1141668.4100000001</v>
      </c>
      <c r="W95" s="399">
        <v>1826757.9000000001</v>
      </c>
      <c r="X95" s="399">
        <v>1156891.3900000001</v>
      </c>
      <c r="Y95" s="399">
        <v>1826757.9000000001</v>
      </c>
      <c r="Z95" s="399">
        <v>1172114.3700000001</v>
      </c>
      <c r="AA95" s="399">
        <v>1826757.9000000001</v>
      </c>
      <c r="AB95" s="399">
        <v>1187337.3500000001</v>
      </c>
      <c r="AC95" s="399">
        <v>0</v>
      </c>
      <c r="AD95" s="399">
        <v>0</v>
      </c>
      <c r="AE95" s="399">
        <f t="shared" si="5"/>
        <v>1750642.9874999998</v>
      </c>
      <c r="AF95" s="399">
        <f t="shared" si="5"/>
        <v>1061115.7695833335</v>
      </c>
    </row>
    <row r="96" spans="1:32">
      <c r="A96" s="393">
        <v>87</v>
      </c>
      <c r="C96" s="16" t="s">
        <v>907</v>
      </c>
      <c r="D96" s="398" t="s">
        <v>906</v>
      </c>
      <c r="E96" s="399">
        <v>2186206.83</v>
      </c>
      <c r="F96" s="399">
        <v>771480.16</v>
      </c>
      <c r="G96" s="399">
        <v>2186206.83</v>
      </c>
      <c r="H96" s="399">
        <v>791313.54</v>
      </c>
      <c r="I96" s="399">
        <v>2186206.83</v>
      </c>
      <c r="J96" s="399">
        <v>811146.92</v>
      </c>
      <c r="K96" s="399">
        <v>2073631.63</v>
      </c>
      <c r="L96" s="399">
        <v>718405.10000000009</v>
      </c>
      <c r="M96" s="399">
        <v>2073631.63</v>
      </c>
      <c r="N96" s="399">
        <v>735685.36</v>
      </c>
      <c r="O96" s="399">
        <v>2073631.63</v>
      </c>
      <c r="P96" s="399">
        <v>752965.62</v>
      </c>
      <c r="Q96" s="399">
        <v>2073631.63</v>
      </c>
      <c r="R96" s="399">
        <v>770245.88</v>
      </c>
      <c r="S96" s="399">
        <v>2073631.63</v>
      </c>
      <c r="T96" s="399">
        <v>787526.14</v>
      </c>
      <c r="U96" s="399">
        <v>2073631.63</v>
      </c>
      <c r="V96" s="399">
        <v>804806.4</v>
      </c>
      <c r="W96" s="399">
        <v>2073631.63</v>
      </c>
      <c r="X96" s="399">
        <v>822086.66</v>
      </c>
      <c r="Y96" s="399">
        <v>2073631.63</v>
      </c>
      <c r="Z96" s="399">
        <v>839366.92</v>
      </c>
      <c r="AA96" s="399">
        <v>2073631.63</v>
      </c>
      <c r="AB96" s="399">
        <v>856647.17999999993</v>
      </c>
      <c r="AC96" s="399">
        <v>2073631.63</v>
      </c>
      <c r="AD96" s="399">
        <v>873927.44000000006</v>
      </c>
      <c r="AE96" s="399">
        <f t="shared" si="5"/>
        <v>2097084.7966666662</v>
      </c>
      <c r="AF96" s="399">
        <f t="shared" si="5"/>
        <v>792741.62666666682</v>
      </c>
    </row>
    <row r="97" spans="1:32">
      <c r="A97" s="393">
        <v>88</v>
      </c>
      <c r="C97" s="16" t="s">
        <v>1348</v>
      </c>
      <c r="D97" s="398" t="s">
        <v>906</v>
      </c>
      <c r="E97" s="399">
        <v>22735.5</v>
      </c>
      <c r="F97" s="399">
        <v>4357.58</v>
      </c>
      <c r="G97" s="399">
        <v>22735.5</v>
      </c>
      <c r="H97" s="399">
        <v>4547.04</v>
      </c>
      <c r="I97" s="399">
        <v>22735.5</v>
      </c>
      <c r="J97" s="399">
        <v>4736.5</v>
      </c>
      <c r="K97" s="399">
        <v>22735.5</v>
      </c>
      <c r="L97" s="399">
        <v>4925.96</v>
      </c>
      <c r="M97" s="399">
        <v>22810.46</v>
      </c>
      <c r="N97" s="399">
        <v>5115.42</v>
      </c>
      <c r="O97" s="399">
        <v>22810.46</v>
      </c>
      <c r="P97" s="399">
        <v>5305.51</v>
      </c>
      <c r="Q97" s="399">
        <v>22810.46</v>
      </c>
      <c r="R97" s="399">
        <v>5495.5999999999995</v>
      </c>
      <c r="S97" s="399">
        <v>22810.46</v>
      </c>
      <c r="T97" s="399">
        <v>5685.6900000000005</v>
      </c>
      <c r="U97" s="399">
        <v>22810.46</v>
      </c>
      <c r="V97" s="399">
        <v>5875.7800000000007</v>
      </c>
      <c r="W97" s="399">
        <v>22810.46</v>
      </c>
      <c r="X97" s="399">
        <v>6065.87</v>
      </c>
      <c r="Y97" s="399">
        <v>22810.46</v>
      </c>
      <c r="Z97" s="399">
        <v>6255.96</v>
      </c>
      <c r="AA97" s="399">
        <v>22810.46</v>
      </c>
      <c r="AB97" s="399">
        <v>6446.05</v>
      </c>
      <c r="AC97" s="399">
        <v>14664.05</v>
      </c>
      <c r="AD97" s="399">
        <v>4266.1400000000003</v>
      </c>
      <c r="AE97" s="399">
        <f t="shared" si="5"/>
        <v>22449.162916666664</v>
      </c>
      <c r="AF97" s="399">
        <f t="shared" si="5"/>
        <v>5397.27</v>
      </c>
    </row>
    <row r="98" spans="1:32">
      <c r="A98" s="393">
        <v>89</v>
      </c>
      <c r="C98" s="16" t="s">
        <v>1349</v>
      </c>
      <c r="D98" s="398" t="s">
        <v>906</v>
      </c>
      <c r="E98" s="399">
        <v>430112.44000000006</v>
      </c>
      <c r="F98" s="399">
        <v>43011.24</v>
      </c>
      <c r="G98" s="399">
        <v>430112.44</v>
      </c>
      <c r="H98" s="399">
        <v>46595.51</v>
      </c>
      <c r="I98" s="399">
        <v>430112.44</v>
      </c>
      <c r="J98" s="399">
        <v>50179.780000000006</v>
      </c>
      <c r="K98" s="399">
        <v>430112.44</v>
      </c>
      <c r="L98" s="399">
        <v>53764.05</v>
      </c>
      <c r="M98" s="399">
        <v>430112.44</v>
      </c>
      <c r="N98" s="399">
        <v>57348.320000000007</v>
      </c>
      <c r="O98" s="399">
        <v>430112.44</v>
      </c>
      <c r="P98" s="399">
        <v>60932.59</v>
      </c>
      <c r="Q98" s="399">
        <v>430112.44</v>
      </c>
      <c r="R98" s="399">
        <v>64516.86</v>
      </c>
      <c r="S98" s="399">
        <v>430112.44</v>
      </c>
      <c r="T98" s="399">
        <v>68101.13</v>
      </c>
      <c r="U98" s="399">
        <v>430112.44</v>
      </c>
      <c r="V98" s="399">
        <v>71685.399999999994</v>
      </c>
      <c r="W98" s="399">
        <v>430112.44</v>
      </c>
      <c r="X98" s="399">
        <v>75269.67</v>
      </c>
      <c r="Y98" s="399">
        <v>430112.44</v>
      </c>
      <c r="Z98" s="399">
        <v>78853.94</v>
      </c>
      <c r="AA98" s="399">
        <v>430112.44</v>
      </c>
      <c r="AB98" s="399">
        <v>82438.210000000006</v>
      </c>
      <c r="AC98" s="399">
        <v>430112.44</v>
      </c>
      <c r="AD98" s="399">
        <v>86022.48000000001</v>
      </c>
      <c r="AE98" s="399">
        <f t="shared" si="5"/>
        <v>430112.44000000012</v>
      </c>
      <c r="AF98" s="399">
        <f t="shared" si="5"/>
        <v>64516.859999999993</v>
      </c>
    </row>
    <row r="99" spans="1:32">
      <c r="A99" s="393">
        <v>90</v>
      </c>
      <c r="C99" s="16" t="s">
        <v>2266</v>
      </c>
      <c r="D99" s="398" t="s">
        <v>906</v>
      </c>
      <c r="E99" s="399">
        <v>0</v>
      </c>
      <c r="F99" s="399">
        <v>0</v>
      </c>
      <c r="G99" s="399">
        <v>0</v>
      </c>
      <c r="H99" s="399">
        <v>0</v>
      </c>
      <c r="I99" s="399">
        <v>0</v>
      </c>
      <c r="J99" s="399">
        <v>0</v>
      </c>
      <c r="K99" s="399">
        <v>0</v>
      </c>
      <c r="L99" s="399">
        <v>0</v>
      </c>
      <c r="M99" s="399">
        <v>100963.92</v>
      </c>
      <c r="N99" s="399">
        <v>0</v>
      </c>
      <c r="O99" s="399">
        <v>100963.92</v>
      </c>
      <c r="P99" s="399">
        <v>841.37</v>
      </c>
      <c r="Q99" s="399">
        <v>101150.49</v>
      </c>
      <c r="R99" s="399">
        <v>1682.74</v>
      </c>
      <c r="S99" s="399">
        <v>119047.05</v>
      </c>
      <c r="T99" s="399">
        <v>2525.66</v>
      </c>
      <c r="U99" s="399">
        <v>119700.04000000001</v>
      </c>
      <c r="V99" s="399">
        <v>3517.7200000000003</v>
      </c>
      <c r="W99" s="399">
        <v>119700.04000000001</v>
      </c>
      <c r="X99" s="399">
        <v>4515.22</v>
      </c>
      <c r="Y99" s="399">
        <v>119700.04000000001</v>
      </c>
      <c r="Z99" s="399">
        <v>5512.7199999999993</v>
      </c>
      <c r="AA99" s="399">
        <v>119700.04000000001</v>
      </c>
      <c r="AB99" s="399">
        <v>6510.22</v>
      </c>
      <c r="AC99" s="399">
        <v>50760.55</v>
      </c>
      <c r="AD99" s="399">
        <v>1122.49</v>
      </c>
      <c r="AE99" s="399">
        <f t="shared" si="5"/>
        <v>77192.15125000001</v>
      </c>
      <c r="AF99" s="399">
        <f t="shared" si="5"/>
        <v>2138.9079166666666</v>
      </c>
    </row>
    <row r="100" spans="1:32">
      <c r="A100" s="393">
        <v>91</v>
      </c>
      <c r="C100" s="16" t="s">
        <v>908</v>
      </c>
      <c r="D100" s="398" t="s">
        <v>906</v>
      </c>
      <c r="E100" s="399">
        <v>0</v>
      </c>
      <c r="F100" s="399">
        <v>0</v>
      </c>
      <c r="G100" s="399">
        <v>0</v>
      </c>
      <c r="H100" s="399">
        <v>0</v>
      </c>
      <c r="I100" s="399">
        <v>0</v>
      </c>
      <c r="J100" s="399">
        <v>0</v>
      </c>
      <c r="K100" s="399">
        <v>0</v>
      </c>
      <c r="L100" s="399">
        <v>0</v>
      </c>
      <c r="M100" s="399">
        <v>0</v>
      </c>
      <c r="N100" s="399">
        <v>0</v>
      </c>
      <c r="O100" s="399">
        <v>0</v>
      </c>
      <c r="P100" s="399">
        <v>0</v>
      </c>
      <c r="Q100" s="399">
        <v>0</v>
      </c>
      <c r="R100" s="399">
        <v>0</v>
      </c>
      <c r="S100" s="399">
        <v>0</v>
      </c>
      <c r="T100" s="399">
        <v>0</v>
      </c>
      <c r="U100" s="399">
        <v>0</v>
      </c>
      <c r="V100" s="399">
        <v>0</v>
      </c>
      <c r="W100" s="399">
        <v>0</v>
      </c>
      <c r="X100" s="399">
        <v>0</v>
      </c>
      <c r="Y100" s="399">
        <v>0</v>
      </c>
      <c r="Z100" s="399">
        <v>0</v>
      </c>
      <c r="AA100" s="399">
        <v>0</v>
      </c>
      <c r="AB100" s="399">
        <v>0</v>
      </c>
      <c r="AC100" s="399">
        <v>0</v>
      </c>
      <c r="AD100" s="399">
        <v>0</v>
      </c>
      <c r="AE100" s="399">
        <f t="shared" si="5"/>
        <v>0</v>
      </c>
      <c r="AF100" s="399">
        <f t="shared" si="5"/>
        <v>0</v>
      </c>
    </row>
    <row r="101" spans="1:32">
      <c r="A101" s="393">
        <v>92</v>
      </c>
      <c r="C101" s="16" t="s">
        <v>2267</v>
      </c>
      <c r="D101" s="398" t="s">
        <v>906</v>
      </c>
      <c r="E101" s="399">
        <v>0</v>
      </c>
      <c r="F101" s="399">
        <v>0</v>
      </c>
      <c r="G101" s="399">
        <v>0</v>
      </c>
      <c r="H101" s="399">
        <v>0</v>
      </c>
      <c r="I101" s="399">
        <v>0</v>
      </c>
      <c r="J101" s="399">
        <v>0</v>
      </c>
      <c r="K101" s="399">
        <v>0</v>
      </c>
      <c r="L101" s="399">
        <v>0</v>
      </c>
      <c r="M101" s="399">
        <v>0</v>
      </c>
      <c r="N101" s="399">
        <v>0</v>
      </c>
      <c r="O101" s="399">
        <v>0</v>
      </c>
      <c r="P101" s="399">
        <v>0</v>
      </c>
      <c r="Q101" s="399">
        <v>0</v>
      </c>
      <c r="R101" s="399">
        <v>0</v>
      </c>
      <c r="S101" s="399">
        <v>0</v>
      </c>
      <c r="T101" s="399">
        <v>0</v>
      </c>
      <c r="U101" s="399">
        <v>0</v>
      </c>
      <c r="V101" s="399">
        <v>0</v>
      </c>
      <c r="W101" s="399">
        <v>603382.80000000005</v>
      </c>
      <c r="X101" s="399">
        <v>0</v>
      </c>
      <c r="Y101" s="399">
        <v>603382.80000000005</v>
      </c>
      <c r="Z101" s="399">
        <v>4188.4799999999996</v>
      </c>
      <c r="AA101" s="399">
        <v>603382.80000000005</v>
      </c>
      <c r="AB101" s="399">
        <v>8376.9599999999991</v>
      </c>
      <c r="AC101" s="399">
        <v>1191253.08</v>
      </c>
      <c r="AD101" s="399">
        <v>12565.44</v>
      </c>
      <c r="AE101" s="399">
        <f t="shared" si="5"/>
        <v>200481.24500000002</v>
      </c>
      <c r="AF101" s="399">
        <f t="shared" si="5"/>
        <v>1570.68</v>
      </c>
    </row>
    <row r="102" spans="1:32">
      <c r="A102" s="393">
        <v>93</v>
      </c>
      <c r="C102" s="16" t="s">
        <v>909</v>
      </c>
      <c r="D102" s="398" t="s">
        <v>906</v>
      </c>
      <c r="E102" s="399">
        <v>4188146.9299999997</v>
      </c>
      <c r="F102" s="399">
        <v>2025640.31</v>
      </c>
      <c r="G102" s="399">
        <v>4188146.9299999997</v>
      </c>
      <c r="H102" s="399">
        <v>2052479.35</v>
      </c>
      <c r="I102" s="399">
        <v>4188146.9299999997</v>
      </c>
      <c r="J102" s="399">
        <v>2079318.39</v>
      </c>
      <c r="K102" s="399">
        <v>4188146.9299999997</v>
      </c>
      <c r="L102" s="399">
        <v>2106157.4300000002</v>
      </c>
      <c r="M102" s="399">
        <v>4188146.9299999997</v>
      </c>
      <c r="N102" s="399">
        <v>2132996.4699999997</v>
      </c>
      <c r="O102" s="399">
        <v>4188146.9299999997</v>
      </c>
      <c r="P102" s="399">
        <v>2159835.5099999998</v>
      </c>
      <c r="Q102" s="399">
        <v>4188146.9299999997</v>
      </c>
      <c r="R102" s="399">
        <v>2186674.5499999998</v>
      </c>
      <c r="S102" s="399">
        <v>4188146.9299999997</v>
      </c>
      <c r="T102" s="399">
        <v>2213513.59</v>
      </c>
      <c r="U102" s="399">
        <v>4188146.9299999997</v>
      </c>
      <c r="V102" s="399">
        <v>2240352.63</v>
      </c>
      <c r="W102" s="399">
        <v>4188146.9299999997</v>
      </c>
      <c r="X102" s="399">
        <v>2267191.67</v>
      </c>
      <c r="Y102" s="399">
        <v>4188146.9299999997</v>
      </c>
      <c r="Z102" s="399">
        <v>2294030.71</v>
      </c>
      <c r="AA102" s="399">
        <v>4188146.9299999997</v>
      </c>
      <c r="AB102" s="399">
        <v>2320869.75</v>
      </c>
      <c r="AC102" s="399">
        <v>4188146.9299999997</v>
      </c>
      <c r="AD102" s="399">
        <v>2347708.79</v>
      </c>
      <c r="AE102" s="399">
        <f t="shared" si="5"/>
        <v>4188146.9299999997</v>
      </c>
      <c r="AF102" s="399">
        <f t="shared" si="5"/>
        <v>2186674.5499999998</v>
      </c>
    </row>
    <row r="103" spans="1:32">
      <c r="A103" s="393">
        <v>94</v>
      </c>
      <c r="C103" s="16" t="s">
        <v>910</v>
      </c>
      <c r="D103" s="398" t="s">
        <v>906</v>
      </c>
      <c r="E103" s="399">
        <v>695173.17</v>
      </c>
      <c r="F103" s="399">
        <v>386268.12</v>
      </c>
      <c r="G103" s="399">
        <v>695173.16999999993</v>
      </c>
      <c r="H103" s="399">
        <v>390404.4</v>
      </c>
      <c r="I103" s="399">
        <v>695173.16999999993</v>
      </c>
      <c r="J103" s="399">
        <v>394540.68</v>
      </c>
      <c r="K103" s="399">
        <v>695173.16999999993</v>
      </c>
      <c r="L103" s="399">
        <v>398676.96</v>
      </c>
      <c r="M103" s="399">
        <v>695173.16999999993</v>
      </c>
      <c r="N103" s="399">
        <v>402813.24</v>
      </c>
      <c r="O103" s="399">
        <v>695173.16999999993</v>
      </c>
      <c r="P103" s="399">
        <v>406949.52</v>
      </c>
      <c r="Q103" s="399">
        <v>695173.16999999993</v>
      </c>
      <c r="R103" s="399">
        <v>411085.8</v>
      </c>
      <c r="S103" s="399">
        <v>695173.16999999993</v>
      </c>
      <c r="T103" s="399">
        <v>415222.08</v>
      </c>
      <c r="U103" s="399">
        <v>695173.16999999993</v>
      </c>
      <c r="V103" s="399">
        <v>419358.36</v>
      </c>
      <c r="W103" s="399">
        <v>695173.16999999993</v>
      </c>
      <c r="X103" s="399">
        <v>423494.64</v>
      </c>
      <c r="Y103" s="399">
        <v>695173.16999999993</v>
      </c>
      <c r="Z103" s="399">
        <v>427630.92000000004</v>
      </c>
      <c r="AA103" s="399">
        <v>695173.16999999993</v>
      </c>
      <c r="AB103" s="399">
        <v>431767.2</v>
      </c>
      <c r="AC103" s="399">
        <v>695173.16999999993</v>
      </c>
      <c r="AD103" s="399">
        <v>435903.48</v>
      </c>
      <c r="AE103" s="399">
        <f t="shared" si="5"/>
        <v>695173.16999999993</v>
      </c>
      <c r="AF103" s="399">
        <f t="shared" si="5"/>
        <v>411085.8</v>
      </c>
    </row>
    <row r="104" spans="1:32">
      <c r="A104" s="393">
        <v>95</v>
      </c>
      <c r="C104" s="16" t="s">
        <v>911</v>
      </c>
      <c r="D104" s="398" t="s">
        <v>906</v>
      </c>
      <c r="E104" s="399">
        <v>2037970.8599999999</v>
      </c>
      <c r="F104" s="399">
        <v>1056937.6200000001</v>
      </c>
      <c r="G104" s="399">
        <v>2037970.8599999999</v>
      </c>
      <c r="H104" s="399">
        <v>1069063.55</v>
      </c>
      <c r="I104" s="399">
        <v>2037970.8599999999</v>
      </c>
      <c r="J104" s="399">
        <v>1081189.48</v>
      </c>
      <c r="K104" s="399">
        <v>2037970.8599999999</v>
      </c>
      <c r="L104" s="399">
        <v>1093315.4099999999</v>
      </c>
      <c r="M104" s="399">
        <v>2037970.8599999999</v>
      </c>
      <c r="N104" s="399">
        <v>1105441.3400000001</v>
      </c>
      <c r="O104" s="399">
        <v>2037970.8599999999</v>
      </c>
      <c r="P104" s="399">
        <v>1117567.27</v>
      </c>
      <c r="Q104" s="399">
        <v>2037970.8599999999</v>
      </c>
      <c r="R104" s="399">
        <v>1129693.2</v>
      </c>
      <c r="S104" s="399">
        <v>2037970.8599999999</v>
      </c>
      <c r="T104" s="399">
        <v>1141819.1299999999</v>
      </c>
      <c r="U104" s="399">
        <v>2037970.8599999999</v>
      </c>
      <c r="V104" s="399">
        <v>1153945.06</v>
      </c>
      <c r="W104" s="399">
        <v>2037970.8599999999</v>
      </c>
      <c r="X104" s="399">
        <v>1166070.99</v>
      </c>
      <c r="Y104" s="399">
        <v>2037970.8599999999</v>
      </c>
      <c r="Z104" s="399">
        <v>1178196.92</v>
      </c>
      <c r="AA104" s="399">
        <v>2037970.8599999999</v>
      </c>
      <c r="AB104" s="399">
        <v>1190322.8500000001</v>
      </c>
      <c r="AC104" s="399">
        <v>2037970.8599999999</v>
      </c>
      <c r="AD104" s="399">
        <v>1202448.78</v>
      </c>
      <c r="AE104" s="399">
        <f t="shared" si="5"/>
        <v>2037970.8599999996</v>
      </c>
      <c r="AF104" s="399">
        <f t="shared" si="5"/>
        <v>1129693.2000000002</v>
      </c>
    </row>
    <row r="105" spans="1:32">
      <c r="A105" s="393">
        <v>96</v>
      </c>
      <c r="C105" s="16" t="s">
        <v>912</v>
      </c>
      <c r="D105" s="398" t="s">
        <v>906</v>
      </c>
      <c r="E105" s="399">
        <v>17063587.219999999</v>
      </c>
      <c r="F105" s="399">
        <v>7862834.25</v>
      </c>
      <c r="G105" s="399">
        <v>17063587.219999999</v>
      </c>
      <c r="H105" s="399">
        <v>7957679.3599999994</v>
      </c>
      <c r="I105" s="399">
        <v>17063587.219999999</v>
      </c>
      <c r="J105" s="399">
        <v>8052524.4700000007</v>
      </c>
      <c r="K105" s="399">
        <v>17063587.219999999</v>
      </c>
      <c r="L105" s="399">
        <v>8147369.5800000001</v>
      </c>
      <c r="M105" s="399">
        <v>17063587.219999999</v>
      </c>
      <c r="N105" s="399">
        <v>8242214.6899999995</v>
      </c>
      <c r="O105" s="399">
        <v>17063587.219999999</v>
      </c>
      <c r="P105" s="399">
        <v>8337059.7999999998</v>
      </c>
      <c r="Q105" s="399">
        <v>17063587.219999999</v>
      </c>
      <c r="R105" s="399">
        <v>8431904.9100000001</v>
      </c>
      <c r="S105" s="399">
        <v>17063587.219999999</v>
      </c>
      <c r="T105" s="399">
        <v>8526750.0199999996</v>
      </c>
      <c r="U105" s="399">
        <v>17063587.219999999</v>
      </c>
      <c r="V105" s="399">
        <v>8621595.129999999</v>
      </c>
      <c r="W105" s="399">
        <v>17063587.219999999</v>
      </c>
      <c r="X105" s="399">
        <v>8716440.2400000002</v>
      </c>
      <c r="Y105" s="399">
        <v>17063587.219999999</v>
      </c>
      <c r="Z105" s="399">
        <v>8811285.3499999996</v>
      </c>
      <c r="AA105" s="399">
        <v>17063587.219999999</v>
      </c>
      <c r="AB105" s="399">
        <v>8906130.4600000009</v>
      </c>
      <c r="AC105" s="399">
        <v>17063587.219999999</v>
      </c>
      <c r="AD105" s="399">
        <v>9000975.5700000003</v>
      </c>
      <c r="AE105" s="399">
        <f t="shared" si="5"/>
        <v>17063587.219999999</v>
      </c>
      <c r="AF105" s="399">
        <f t="shared" si="5"/>
        <v>8431904.9099999983</v>
      </c>
    </row>
    <row r="106" spans="1:32">
      <c r="A106" s="393">
        <v>97</v>
      </c>
      <c r="C106" s="16" t="s">
        <v>913</v>
      </c>
      <c r="D106" s="398" t="s">
        <v>906</v>
      </c>
      <c r="E106" s="399">
        <v>541240.59000000008</v>
      </c>
      <c r="F106" s="399">
        <v>225205.66999999998</v>
      </c>
      <c r="G106" s="399">
        <v>541240.59</v>
      </c>
      <c r="H106" s="399">
        <v>228214.07</v>
      </c>
      <c r="I106" s="399">
        <v>541240.59</v>
      </c>
      <c r="J106" s="399">
        <v>231222.47</v>
      </c>
      <c r="K106" s="399">
        <v>541240.59</v>
      </c>
      <c r="L106" s="399">
        <v>234230.87</v>
      </c>
      <c r="M106" s="399">
        <v>541240.59</v>
      </c>
      <c r="N106" s="399">
        <v>237239.27000000002</v>
      </c>
      <c r="O106" s="399">
        <v>541240.59</v>
      </c>
      <c r="P106" s="399">
        <v>240247.67</v>
      </c>
      <c r="Q106" s="399">
        <v>541240.59</v>
      </c>
      <c r="R106" s="399">
        <v>243256.07</v>
      </c>
      <c r="S106" s="399">
        <v>541240.59</v>
      </c>
      <c r="T106" s="399">
        <v>246264.47</v>
      </c>
      <c r="U106" s="399">
        <v>541240.59</v>
      </c>
      <c r="V106" s="399">
        <v>249272.87</v>
      </c>
      <c r="W106" s="399">
        <v>541240.59</v>
      </c>
      <c r="X106" s="399">
        <v>252281.27</v>
      </c>
      <c r="Y106" s="399">
        <v>541240.59</v>
      </c>
      <c r="Z106" s="399">
        <v>255289.67</v>
      </c>
      <c r="AA106" s="399">
        <v>541240.59</v>
      </c>
      <c r="AB106" s="399">
        <v>258298.07</v>
      </c>
      <c r="AC106" s="399">
        <v>541240.59</v>
      </c>
      <c r="AD106" s="399">
        <v>261306.47</v>
      </c>
      <c r="AE106" s="399">
        <f t="shared" si="5"/>
        <v>541240.59</v>
      </c>
      <c r="AF106" s="399">
        <f t="shared" si="5"/>
        <v>243256.06999999998</v>
      </c>
    </row>
    <row r="107" spans="1:32">
      <c r="A107" s="393">
        <v>98</v>
      </c>
      <c r="C107" s="16" t="s">
        <v>1350</v>
      </c>
      <c r="D107" s="398" t="s">
        <v>906</v>
      </c>
      <c r="E107" s="399">
        <v>133873.49</v>
      </c>
      <c r="F107" s="399">
        <v>8925.67</v>
      </c>
      <c r="G107" s="399">
        <v>133873.49</v>
      </c>
      <c r="H107" s="399">
        <v>9669.7800000000007</v>
      </c>
      <c r="I107" s="399">
        <v>133873.49</v>
      </c>
      <c r="J107" s="399">
        <v>10413.890000000001</v>
      </c>
      <c r="K107" s="399">
        <v>133873.49</v>
      </c>
      <c r="L107" s="399">
        <v>11158</v>
      </c>
      <c r="M107" s="399">
        <v>133873.49</v>
      </c>
      <c r="N107" s="399">
        <v>11902.11</v>
      </c>
      <c r="O107" s="399">
        <v>133873.49</v>
      </c>
      <c r="P107" s="399">
        <v>12646.22</v>
      </c>
      <c r="Q107" s="399">
        <v>133873.49</v>
      </c>
      <c r="R107" s="399">
        <v>13390.33</v>
      </c>
      <c r="S107" s="399">
        <v>133873.49</v>
      </c>
      <c r="T107" s="399">
        <v>14134.44</v>
      </c>
      <c r="U107" s="399">
        <v>133873.49</v>
      </c>
      <c r="V107" s="399">
        <v>14878.550000000001</v>
      </c>
      <c r="W107" s="399">
        <v>133873.49</v>
      </c>
      <c r="X107" s="399">
        <v>15622.66</v>
      </c>
      <c r="Y107" s="399">
        <v>133873.49</v>
      </c>
      <c r="Z107" s="399">
        <v>16366.77</v>
      </c>
      <c r="AA107" s="399">
        <v>133873.49</v>
      </c>
      <c r="AB107" s="399">
        <v>17110.88</v>
      </c>
      <c r="AC107" s="399">
        <v>133873.49</v>
      </c>
      <c r="AD107" s="399">
        <v>17854.990000000002</v>
      </c>
      <c r="AE107" s="399">
        <f t="shared" si="5"/>
        <v>133873.49</v>
      </c>
      <c r="AF107" s="399">
        <f t="shared" si="5"/>
        <v>13390.330000000002</v>
      </c>
    </row>
    <row r="108" spans="1:32">
      <c r="A108" s="393">
        <v>99</v>
      </c>
      <c r="C108" s="16" t="s">
        <v>1351</v>
      </c>
      <c r="D108" s="398" t="s">
        <v>906</v>
      </c>
      <c r="E108" s="399">
        <v>55564.55</v>
      </c>
      <c r="F108" s="399">
        <v>306.56</v>
      </c>
      <c r="G108" s="399">
        <v>55564.55</v>
      </c>
      <c r="H108" s="399">
        <v>615.41000000000008</v>
      </c>
      <c r="I108" s="399">
        <v>55564.55</v>
      </c>
      <c r="J108" s="399">
        <v>924.26</v>
      </c>
      <c r="K108" s="399">
        <v>55564.55</v>
      </c>
      <c r="L108" s="399">
        <v>1233.1100000000001</v>
      </c>
      <c r="M108" s="399">
        <v>55564.55</v>
      </c>
      <c r="N108" s="399">
        <v>1541.96</v>
      </c>
      <c r="O108" s="399">
        <v>55564.55</v>
      </c>
      <c r="P108" s="399">
        <v>1850.81</v>
      </c>
      <c r="Q108" s="399">
        <v>55564.55</v>
      </c>
      <c r="R108" s="399">
        <v>2159.66</v>
      </c>
      <c r="S108" s="399">
        <v>55564.55</v>
      </c>
      <c r="T108" s="399">
        <v>2468.5100000000002</v>
      </c>
      <c r="U108" s="399">
        <v>55564.55</v>
      </c>
      <c r="V108" s="399">
        <v>2777.36</v>
      </c>
      <c r="W108" s="399">
        <v>55564.55</v>
      </c>
      <c r="X108" s="399">
        <v>3086.21</v>
      </c>
      <c r="Y108" s="399">
        <v>55564.55</v>
      </c>
      <c r="Z108" s="399">
        <v>3395.06</v>
      </c>
      <c r="AA108" s="399">
        <v>55564.55</v>
      </c>
      <c r="AB108" s="399">
        <v>3703.9100000000003</v>
      </c>
      <c r="AC108" s="399">
        <v>55564.55</v>
      </c>
      <c r="AD108" s="399">
        <v>4012.76</v>
      </c>
      <c r="AE108" s="399">
        <f t="shared" si="5"/>
        <v>55564.55000000001</v>
      </c>
      <c r="AF108" s="399">
        <f t="shared" si="5"/>
        <v>2159.6600000000003</v>
      </c>
    </row>
    <row r="109" spans="1:32">
      <c r="A109" s="393">
        <v>100</v>
      </c>
      <c r="C109" s="16" t="s">
        <v>914</v>
      </c>
      <c r="D109" s="16" t="s">
        <v>906</v>
      </c>
      <c r="E109" s="399">
        <v>7720.22</v>
      </c>
      <c r="F109" s="399">
        <v>7720.22</v>
      </c>
      <c r="G109" s="399">
        <v>7720.22</v>
      </c>
      <c r="H109" s="399">
        <v>7720.2199999999993</v>
      </c>
      <c r="I109" s="399">
        <v>7720.22</v>
      </c>
      <c r="J109" s="399">
        <v>7720.2199999999993</v>
      </c>
      <c r="K109" s="399">
        <v>7720.22</v>
      </c>
      <c r="L109" s="399">
        <v>7720.2199999999993</v>
      </c>
      <c r="M109" s="399">
        <v>7720.22</v>
      </c>
      <c r="N109" s="399">
        <v>7720.2199999999993</v>
      </c>
      <c r="O109" s="399">
        <v>7720.22</v>
      </c>
      <c r="P109" s="399">
        <v>7720.2199999999993</v>
      </c>
      <c r="Q109" s="399">
        <v>7720.22</v>
      </c>
      <c r="R109" s="399">
        <v>7720.2199999999993</v>
      </c>
      <c r="S109" s="399">
        <v>7720.22</v>
      </c>
      <c r="T109" s="399">
        <v>7720.2199999999993</v>
      </c>
      <c r="U109" s="399">
        <v>7720.22</v>
      </c>
      <c r="V109" s="399">
        <v>7720.2199999999993</v>
      </c>
      <c r="W109" s="399">
        <v>7720.22</v>
      </c>
      <c r="X109" s="399">
        <v>7720.2199999999993</v>
      </c>
      <c r="Y109" s="399">
        <v>7720.22</v>
      </c>
      <c r="Z109" s="399">
        <v>7720.2199999999993</v>
      </c>
      <c r="AA109" s="399">
        <v>7720.22</v>
      </c>
      <c r="AB109" s="399">
        <v>7720.2199999999993</v>
      </c>
      <c r="AC109" s="399">
        <v>7720.22</v>
      </c>
      <c r="AD109" s="399">
        <v>7720.2199999999993</v>
      </c>
      <c r="AE109" s="399">
        <f t="shared" si="5"/>
        <v>7720.22</v>
      </c>
      <c r="AF109" s="399">
        <f t="shared" si="5"/>
        <v>7720.22</v>
      </c>
    </row>
    <row r="110" spans="1:32">
      <c r="A110" s="393">
        <v>101</v>
      </c>
      <c r="C110" s="16" t="s">
        <v>1352</v>
      </c>
      <c r="D110" s="16" t="s">
        <v>906</v>
      </c>
      <c r="E110" s="399">
        <v>30627.77</v>
      </c>
      <c r="F110" s="399">
        <v>16164.63</v>
      </c>
      <c r="G110" s="399">
        <v>30627.77</v>
      </c>
      <c r="H110" s="399">
        <v>17015.400000000001</v>
      </c>
      <c r="I110" s="399">
        <v>30627.77</v>
      </c>
      <c r="J110" s="399">
        <v>17866.169999999998</v>
      </c>
      <c r="K110" s="399">
        <v>30627.77</v>
      </c>
      <c r="L110" s="399">
        <v>18716.940000000002</v>
      </c>
      <c r="M110" s="399">
        <v>30627.77</v>
      </c>
      <c r="N110" s="399">
        <v>19567.71</v>
      </c>
      <c r="O110" s="399">
        <v>30627.77</v>
      </c>
      <c r="P110" s="399">
        <v>20418.480000000003</v>
      </c>
      <c r="Q110" s="399">
        <v>30627.77</v>
      </c>
      <c r="R110" s="399">
        <v>21269.25</v>
      </c>
      <c r="S110" s="399">
        <v>30627.77</v>
      </c>
      <c r="T110" s="399">
        <v>22120.02</v>
      </c>
      <c r="U110" s="399">
        <v>30627.77</v>
      </c>
      <c r="V110" s="399">
        <v>22970.79</v>
      </c>
      <c r="W110" s="399">
        <v>30627.77</v>
      </c>
      <c r="X110" s="399">
        <v>23821.56</v>
      </c>
      <c r="Y110" s="399">
        <v>30627.77</v>
      </c>
      <c r="Z110" s="399">
        <v>24672.33</v>
      </c>
      <c r="AA110" s="399">
        <v>30627.77</v>
      </c>
      <c r="AB110" s="399">
        <v>25523.100000000002</v>
      </c>
      <c r="AC110" s="399">
        <v>30627.77</v>
      </c>
      <c r="AD110" s="399">
        <v>26373.87</v>
      </c>
      <c r="AE110" s="399">
        <f t="shared" si="5"/>
        <v>30627.770000000004</v>
      </c>
      <c r="AF110" s="399">
        <f t="shared" si="5"/>
        <v>21269.250000000004</v>
      </c>
    </row>
    <row r="111" spans="1:32">
      <c r="A111" s="393">
        <v>102</v>
      </c>
      <c r="C111" s="16" t="s">
        <v>915</v>
      </c>
      <c r="D111" s="16" t="s">
        <v>906</v>
      </c>
      <c r="E111" s="399">
        <v>14271.5</v>
      </c>
      <c r="F111" s="399">
        <v>14271.5</v>
      </c>
      <c r="G111" s="399">
        <v>14271.5</v>
      </c>
      <c r="H111" s="399">
        <v>14271.5</v>
      </c>
      <c r="I111" s="399">
        <v>14271.5</v>
      </c>
      <c r="J111" s="399">
        <v>14271.5</v>
      </c>
      <c r="K111" s="399">
        <v>14271.5</v>
      </c>
      <c r="L111" s="399">
        <v>14271.5</v>
      </c>
      <c r="M111" s="399">
        <v>14271.5</v>
      </c>
      <c r="N111" s="399">
        <v>14271.5</v>
      </c>
      <c r="O111" s="399">
        <v>14271.5</v>
      </c>
      <c r="P111" s="399">
        <v>14271.5</v>
      </c>
      <c r="Q111" s="399">
        <v>14271.5</v>
      </c>
      <c r="R111" s="399">
        <v>14271.5</v>
      </c>
      <c r="S111" s="399">
        <v>14271.5</v>
      </c>
      <c r="T111" s="399">
        <v>14271.5</v>
      </c>
      <c r="U111" s="399">
        <v>14271.5</v>
      </c>
      <c r="V111" s="399">
        <v>14271.5</v>
      </c>
      <c r="W111" s="399">
        <v>14271.5</v>
      </c>
      <c r="X111" s="399">
        <v>14271.5</v>
      </c>
      <c r="Y111" s="399">
        <v>14271.5</v>
      </c>
      <c r="Z111" s="399">
        <v>14271.5</v>
      </c>
      <c r="AA111" s="399">
        <v>14271.5</v>
      </c>
      <c r="AB111" s="399">
        <v>14271.5</v>
      </c>
      <c r="AC111" s="399">
        <v>14271.5</v>
      </c>
      <c r="AD111" s="399">
        <v>14271.5</v>
      </c>
      <c r="AE111" s="399">
        <f t="shared" si="5"/>
        <v>14271.5</v>
      </c>
      <c r="AF111" s="399">
        <f t="shared" si="5"/>
        <v>14271.5</v>
      </c>
    </row>
    <row r="112" spans="1:32">
      <c r="A112" s="393">
        <v>103</v>
      </c>
      <c r="C112" s="16" t="s">
        <v>1353</v>
      </c>
      <c r="D112" s="16" t="s">
        <v>906</v>
      </c>
      <c r="E112" s="399">
        <v>116864.94</v>
      </c>
      <c r="F112" s="399">
        <v>40904.910000000003</v>
      </c>
      <c r="G112" s="399">
        <v>116864.94</v>
      </c>
      <c r="H112" s="399">
        <v>42852.66</v>
      </c>
      <c r="I112" s="399">
        <v>116864.94</v>
      </c>
      <c r="J112" s="399">
        <v>44800.41</v>
      </c>
      <c r="K112" s="399">
        <v>116864.94</v>
      </c>
      <c r="L112" s="399">
        <v>46748.160000000003</v>
      </c>
      <c r="M112" s="399">
        <v>116864.94</v>
      </c>
      <c r="N112" s="399">
        <v>48695.91</v>
      </c>
      <c r="O112" s="399">
        <v>116864.94</v>
      </c>
      <c r="P112" s="399">
        <v>50643.66</v>
      </c>
      <c r="Q112" s="399">
        <v>116864.94</v>
      </c>
      <c r="R112" s="399">
        <v>52591.41</v>
      </c>
      <c r="S112" s="399">
        <v>116864.94</v>
      </c>
      <c r="T112" s="399">
        <v>54539.16</v>
      </c>
      <c r="U112" s="399">
        <v>116864.94</v>
      </c>
      <c r="V112" s="399">
        <v>56486.91</v>
      </c>
      <c r="W112" s="399">
        <v>116864.94</v>
      </c>
      <c r="X112" s="399">
        <v>58434.659999999996</v>
      </c>
      <c r="Y112" s="399">
        <v>116864.94</v>
      </c>
      <c r="Z112" s="399">
        <v>60382.41</v>
      </c>
      <c r="AA112" s="399">
        <v>116864.94</v>
      </c>
      <c r="AB112" s="399">
        <v>62330.16</v>
      </c>
      <c r="AC112" s="399">
        <v>116864.94</v>
      </c>
      <c r="AD112" s="399">
        <v>64277.909999999996</v>
      </c>
      <c r="AE112" s="399">
        <f t="shared" si="5"/>
        <v>116864.93999999996</v>
      </c>
      <c r="AF112" s="399">
        <f t="shared" si="5"/>
        <v>52591.41</v>
      </c>
    </row>
    <row r="113" spans="1:32">
      <c r="A113" s="393">
        <v>104</v>
      </c>
      <c r="C113" s="16" t="s">
        <v>1354</v>
      </c>
      <c r="D113" s="16" t="s">
        <v>906</v>
      </c>
      <c r="E113" s="399">
        <v>102398.32</v>
      </c>
      <c r="F113" s="399">
        <v>20459.27</v>
      </c>
      <c r="G113" s="399">
        <v>102398.32</v>
      </c>
      <c r="H113" s="399">
        <v>22165.91</v>
      </c>
      <c r="I113" s="399">
        <v>102398.32</v>
      </c>
      <c r="J113" s="399">
        <v>23872.550000000003</v>
      </c>
      <c r="K113" s="399">
        <v>102398.32</v>
      </c>
      <c r="L113" s="399">
        <v>25579.19</v>
      </c>
      <c r="M113" s="399">
        <v>102398.32</v>
      </c>
      <c r="N113" s="399">
        <v>27285.83</v>
      </c>
      <c r="O113" s="399">
        <v>102398.32</v>
      </c>
      <c r="P113" s="399">
        <v>28992.47</v>
      </c>
      <c r="Q113" s="399">
        <v>102398.32</v>
      </c>
      <c r="R113" s="399">
        <v>30699.11</v>
      </c>
      <c r="S113" s="399">
        <v>102398.32</v>
      </c>
      <c r="T113" s="399">
        <v>32405.75</v>
      </c>
      <c r="U113" s="399">
        <v>102398.32</v>
      </c>
      <c r="V113" s="399">
        <v>34112.39</v>
      </c>
      <c r="W113" s="399">
        <v>102398.32</v>
      </c>
      <c r="X113" s="399">
        <v>35819.03</v>
      </c>
      <c r="Y113" s="399">
        <v>102398.32</v>
      </c>
      <c r="Z113" s="399">
        <v>37525.67</v>
      </c>
      <c r="AA113" s="399">
        <v>102398.32</v>
      </c>
      <c r="AB113" s="399">
        <v>39232.31</v>
      </c>
      <c r="AC113" s="399">
        <v>102398.32</v>
      </c>
      <c r="AD113" s="399">
        <v>40938.949999999997</v>
      </c>
      <c r="AE113" s="399">
        <f t="shared" si="5"/>
        <v>102398.32000000002</v>
      </c>
      <c r="AF113" s="399">
        <f t="shared" si="5"/>
        <v>30699.11</v>
      </c>
    </row>
    <row r="114" spans="1:32">
      <c r="A114" s="393">
        <v>105</v>
      </c>
      <c r="C114" s="16" t="s">
        <v>1355</v>
      </c>
      <c r="D114" s="16" t="s">
        <v>906</v>
      </c>
      <c r="E114" s="399">
        <v>633813.57000000007</v>
      </c>
      <c r="F114" s="399">
        <v>0</v>
      </c>
      <c r="G114" s="399">
        <v>633850.68999999994</v>
      </c>
      <c r="H114" s="399">
        <v>0</v>
      </c>
      <c r="I114" s="399">
        <v>633850.68999999994</v>
      </c>
      <c r="J114" s="399">
        <v>0</v>
      </c>
      <c r="K114" s="399">
        <v>637338.35</v>
      </c>
      <c r="L114" s="399">
        <v>0</v>
      </c>
      <c r="M114" s="399">
        <v>637993.15</v>
      </c>
      <c r="N114" s="399">
        <v>0</v>
      </c>
      <c r="O114" s="399">
        <v>637993.15</v>
      </c>
      <c r="P114" s="399">
        <v>0</v>
      </c>
      <c r="Q114" s="399">
        <v>637993.15</v>
      </c>
      <c r="R114" s="399">
        <v>0</v>
      </c>
      <c r="S114" s="399">
        <v>637990.93000000005</v>
      </c>
      <c r="T114" s="399">
        <v>0</v>
      </c>
      <c r="U114" s="399">
        <v>637990.93000000005</v>
      </c>
      <c r="V114" s="399">
        <v>0</v>
      </c>
      <c r="W114" s="399">
        <v>637990.93000000005</v>
      </c>
      <c r="X114" s="399">
        <v>0</v>
      </c>
      <c r="Y114" s="399">
        <v>637990.93000000005</v>
      </c>
      <c r="Z114" s="399">
        <v>0</v>
      </c>
      <c r="AA114" s="399">
        <v>637990.93000000005</v>
      </c>
      <c r="AB114" s="399">
        <v>0</v>
      </c>
      <c r="AC114" s="399">
        <v>637921.69999999995</v>
      </c>
      <c r="AD114" s="399">
        <v>0</v>
      </c>
      <c r="AE114" s="399">
        <f t="shared" si="5"/>
        <v>637070.1220833332</v>
      </c>
      <c r="AF114" s="399">
        <f t="shared" si="5"/>
        <v>0</v>
      </c>
    </row>
    <row r="115" spans="1:32">
      <c r="A115" s="393">
        <v>106</v>
      </c>
      <c r="C115" s="16" t="s">
        <v>2268</v>
      </c>
      <c r="D115" s="16" t="s">
        <v>906</v>
      </c>
      <c r="E115" s="399">
        <v>0</v>
      </c>
      <c r="F115" s="399">
        <v>0</v>
      </c>
      <c r="G115" s="399">
        <v>0</v>
      </c>
      <c r="H115" s="399">
        <v>0</v>
      </c>
      <c r="I115" s="399">
        <v>0</v>
      </c>
      <c r="J115" s="399">
        <v>0</v>
      </c>
      <c r="K115" s="399">
        <v>0</v>
      </c>
      <c r="L115" s="399">
        <v>0</v>
      </c>
      <c r="M115" s="399">
        <v>0</v>
      </c>
      <c r="N115" s="399">
        <v>0</v>
      </c>
      <c r="O115" s="399">
        <v>0</v>
      </c>
      <c r="P115" s="399">
        <v>0</v>
      </c>
      <c r="Q115" s="399">
        <v>0</v>
      </c>
      <c r="R115" s="399">
        <v>0</v>
      </c>
      <c r="S115" s="399">
        <v>0</v>
      </c>
      <c r="T115" s="399">
        <v>0</v>
      </c>
      <c r="U115" s="399">
        <v>0</v>
      </c>
      <c r="V115" s="399">
        <v>0</v>
      </c>
      <c r="W115" s="399">
        <v>0</v>
      </c>
      <c r="X115" s="399">
        <v>0</v>
      </c>
      <c r="Y115" s="399">
        <v>0</v>
      </c>
      <c r="Z115" s="399">
        <v>0</v>
      </c>
      <c r="AA115" s="399">
        <v>0</v>
      </c>
      <c r="AB115" s="399">
        <v>0</v>
      </c>
      <c r="AC115" s="399">
        <v>14573.87</v>
      </c>
      <c r="AD115" s="399">
        <v>0</v>
      </c>
      <c r="AE115" s="399">
        <f t="shared" si="5"/>
        <v>607.24458333333337</v>
      </c>
      <c r="AF115" s="399">
        <f t="shared" si="5"/>
        <v>0</v>
      </c>
    </row>
    <row r="116" spans="1:32">
      <c r="A116" s="393">
        <v>107</v>
      </c>
      <c r="C116" s="16" t="s">
        <v>916</v>
      </c>
      <c r="D116" s="16" t="s">
        <v>906</v>
      </c>
      <c r="E116" s="399">
        <v>131168.49</v>
      </c>
      <c r="F116" s="399">
        <v>116236.94</v>
      </c>
      <c r="G116" s="399">
        <v>131168.49</v>
      </c>
      <c r="H116" s="399">
        <v>117798.94</v>
      </c>
      <c r="I116" s="399">
        <v>131168.49</v>
      </c>
      <c r="J116" s="399">
        <v>119360.94</v>
      </c>
      <c r="K116" s="399">
        <v>131168.49</v>
      </c>
      <c r="L116" s="399">
        <v>120922.94</v>
      </c>
      <c r="M116" s="399">
        <v>131168.49</v>
      </c>
      <c r="N116" s="399">
        <v>122484.94</v>
      </c>
      <c r="O116" s="399">
        <v>131168.49</v>
      </c>
      <c r="P116" s="399">
        <v>124046.94</v>
      </c>
      <c r="Q116" s="399">
        <v>131168.49</v>
      </c>
      <c r="R116" s="399">
        <v>125608.94</v>
      </c>
      <c r="S116" s="399">
        <v>131168.49</v>
      </c>
      <c r="T116" s="399">
        <v>127170.94</v>
      </c>
      <c r="U116" s="399">
        <v>131168.49</v>
      </c>
      <c r="V116" s="399">
        <v>128732.94</v>
      </c>
      <c r="W116" s="399">
        <v>131168.49</v>
      </c>
      <c r="X116" s="399">
        <v>130294.94</v>
      </c>
      <c r="Y116" s="399">
        <v>131168.49</v>
      </c>
      <c r="Z116" s="399">
        <v>131168.49</v>
      </c>
      <c r="AA116" s="399">
        <v>131168.49</v>
      </c>
      <c r="AB116" s="399">
        <v>131168.49</v>
      </c>
      <c r="AC116" s="399">
        <v>131168.49</v>
      </c>
      <c r="AD116" s="399">
        <v>131168.49</v>
      </c>
      <c r="AE116" s="399">
        <f t="shared" si="5"/>
        <v>131168.49</v>
      </c>
      <c r="AF116" s="399">
        <f t="shared" si="5"/>
        <v>125205.17958333332</v>
      </c>
    </row>
    <row r="117" spans="1:32">
      <c r="A117" s="393">
        <v>108</v>
      </c>
      <c r="C117" s="16" t="s">
        <v>917</v>
      </c>
      <c r="D117" s="16" t="s">
        <v>906</v>
      </c>
      <c r="E117" s="399">
        <v>3004957.37</v>
      </c>
      <c r="F117" s="399">
        <v>2230146.85</v>
      </c>
      <c r="G117" s="399">
        <v>3004957.37</v>
      </c>
      <c r="H117" s="399">
        <v>2265930.88</v>
      </c>
      <c r="I117" s="399">
        <v>3004957.37</v>
      </c>
      <c r="J117" s="399">
        <v>2301714.91</v>
      </c>
      <c r="K117" s="399">
        <v>3004957.37</v>
      </c>
      <c r="L117" s="399">
        <v>2337498.94</v>
      </c>
      <c r="M117" s="399">
        <v>3004957.37</v>
      </c>
      <c r="N117" s="399">
        <v>2373282.9699999997</v>
      </c>
      <c r="O117" s="399">
        <v>3004957.37</v>
      </c>
      <c r="P117" s="399">
        <v>2409067</v>
      </c>
      <c r="Q117" s="399">
        <v>3004957.37</v>
      </c>
      <c r="R117" s="399">
        <v>2444851.0300000003</v>
      </c>
      <c r="S117" s="399">
        <v>3004957.37</v>
      </c>
      <c r="T117" s="399">
        <v>2480635.06</v>
      </c>
      <c r="U117" s="399">
        <v>3004957.37</v>
      </c>
      <c r="V117" s="399">
        <v>2516419.09</v>
      </c>
      <c r="W117" s="399">
        <v>3004957.37</v>
      </c>
      <c r="X117" s="399">
        <v>2552203.12</v>
      </c>
      <c r="Y117" s="399">
        <v>3004957.37</v>
      </c>
      <c r="Z117" s="399">
        <v>2587987.1500000004</v>
      </c>
      <c r="AA117" s="399">
        <v>3004957.37</v>
      </c>
      <c r="AB117" s="399">
        <v>2623771.1799999997</v>
      </c>
      <c r="AC117" s="399">
        <v>3004957.37</v>
      </c>
      <c r="AD117" s="399">
        <v>2659555.21</v>
      </c>
      <c r="AE117" s="399">
        <f t="shared" si="5"/>
        <v>3004957.3700000006</v>
      </c>
      <c r="AF117" s="399">
        <f t="shared" si="5"/>
        <v>2444851.0300000007</v>
      </c>
    </row>
    <row r="118" spans="1:32">
      <c r="A118" s="393">
        <v>109</v>
      </c>
      <c r="C118" s="16" t="s">
        <v>918</v>
      </c>
      <c r="D118" s="16" t="s">
        <v>906</v>
      </c>
      <c r="E118" s="399">
        <v>585144.89</v>
      </c>
      <c r="F118" s="399">
        <v>353410.95999999996</v>
      </c>
      <c r="G118" s="399">
        <v>585144.89</v>
      </c>
      <c r="H118" s="399">
        <v>360379.06</v>
      </c>
      <c r="I118" s="399">
        <v>585144.89</v>
      </c>
      <c r="J118" s="399">
        <v>367347.16</v>
      </c>
      <c r="K118" s="399">
        <v>585144.89</v>
      </c>
      <c r="L118" s="399">
        <v>374315.26</v>
      </c>
      <c r="M118" s="399">
        <v>585144.89</v>
      </c>
      <c r="N118" s="399">
        <v>381283.36</v>
      </c>
      <c r="O118" s="399">
        <v>585144.89</v>
      </c>
      <c r="P118" s="399">
        <v>388251.46</v>
      </c>
      <c r="Q118" s="399">
        <v>585144.89</v>
      </c>
      <c r="R118" s="399">
        <v>395219.56</v>
      </c>
      <c r="S118" s="399">
        <v>585144.89</v>
      </c>
      <c r="T118" s="399">
        <v>402187.66000000003</v>
      </c>
      <c r="U118" s="399">
        <v>585144.89</v>
      </c>
      <c r="V118" s="399">
        <v>409155.76</v>
      </c>
      <c r="W118" s="399">
        <v>585144.89</v>
      </c>
      <c r="X118" s="399">
        <v>416123.86</v>
      </c>
      <c r="Y118" s="399">
        <v>585144.89</v>
      </c>
      <c r="Z118" s="399">
        <v>423091.96</v>
      </c>
      <c r="AA118" s="399">
        <v>585144.89</v>
      </c>
      <c r="AB118" s="399">
        <v>430060.06</v>
      </c>
      <c r="AC118" s="399">
        <v>585144.89</v>
      </c>
      <c r="AD118" s="399">
        <v>437028.16000000003</v>
      </c>
      <c r="AE118" s="399">
        <f t="shared" si="5"/>
        <v>585144.8899999999</v>
      </c>
      <c r="AF118" s="399">
        <f t="shared" si="5"/>
        <v>395219.56</v>
      </c>
    </row>
    <row r="119" spans="1:32">
      <c r="A119" s="393">
        <v>110</v>
      </c>
      <c r="C119" s="16" t="s">
        <v>919</v>
      </c>
      <c r="D119" s="16" t="s">
        <v>906</v>
      </c>
      <c r="E119" s="399">
        <v>20560.650000000001</v>
      </c>
      <c r="F119" s="399">
        <v>11973.93</v>
      </c>
      <c r="G119" s="399">
        <v>20560.650000000001</v>
      </c>
      <c r="H119" s="399">
        <v>12218.77</v>
      </c>
      <c r="I119" s="399">
        <v>20560.650000000001</v>
      </c>
      <c r="J119" s="399">
        <v>12463.61</v>
      </c>
      <c r="K119" s="399">
        <v>20560.650000000001</v>
      </c>
      <c r="L119" s="399">
        <v>12708.45</v>
      </c>
      <c r="M119" s="399">
        <v>20560.650000000001</v>
      </c>
      <c r="N119" s="399">
        <v>12953.29</v>
      </c>
      <c r="O119" s="399">
        <v>20560.650000000001</v>
      </c>
      <c r="P119" s="399">
        <v>13198.130000000001</v>
      </c>
      <c r="Q119" s="399">
        <v>20560.650000000001</v>
      </c>
      <c r="R119" s="399">
        <v>13442.970000000001</v>
      </c>
      <c r="S119" s="399">
        <v>20560.650000000001</v>
      </c>
      <c r="T119" s="399">
        <v>13687.81</v>
      </c>
      <c r="U119" s="399">
        <v>20560.650000000001</v>
      </c>
      <c r="V119" s="399">
        <v>13932.650000000001</v>
      </c>
      <c r="W119" s="399">
        <v>20560.650000000001</v>
      </c>
      <c r="X119" s="399">
        <v>14177.49</v>
      </c>
      <c r="Y119" s="399">
        <v>20560.650000000001</v>
      </c>
      <c r="Z119" s="399">
        <v>14422.330000000002</v>
      </c>
      <c r="AA119" s="399">
        <v>20560.650000000001</v>
      </c>
      <c r="AB119" s="399">
        <v>14667.17</v>
      </c>
      <c r="AC119" s="399">
        <v>20560.650000000001</v>
      </c>
      <c r="AD119" s="399">
        <v>14912.01</v>
      </c>
      <c r="AE119" s="399">
        <f t="shared" si="5"/>
        <v>20560.649999999998</v>
      </c>
      <c r="AF119" s="399">
        <f t="shared" si="5"/>
        <v>13442.970000000001</v>
      </c>
    </row>
    <row r="120" spans="1:32">
      <c r="A120" s="393">
        <v>111</v>
      </c>
      <c r="C120" s="16" t="s">
        <v>1356</v>
      </c>
      <c r="D120" s="16" t="s">
        <v>906</v>
      </c>
      <c r="E120" s="399">
        <v>2996321.4</v>
      </c>
      <c r="F120" s="399">
        <v>765436.64</v>
      </c>
      <c r="G120" s="399">
        <v>2996321.4</v>
      </c>
      <c r="H120" s="399">
        <v>801117.83000000007</v>
      </c>
      <c r="I120" s="399">
        <v>2996321.4</v>
      </c>
      <c r="J120" s="399">
        <v>836799.02</v>
      </c>
      <c r="K120" s="399">
        <v>2996321.4</v>
      </c>
      <c r="L120" s="399">
        <v>872480.21</v>
      </c>
      <c r="M120" s="399">
        <v>2996321.4</v>
      </c>
      <c r="N120" s="399">
        <v>908161.4</v>
      </c>
      <c r="O120" s="399">
        <v>2996321.4</v>
      </c>
      <c r="P120" s="399">
        <v>943842.59000000008</v>
      </c>
      <c r="Q120" s="399">
        <v>2996321.4</v>
      </c>
      <c r="R120" s="399">
        <v>979523.78</v>
      </c>
      <c r="S120" s="399">
        <v>2996321.4</v>
      </c>
      <c r="T120" s="399">
        <v>1015204.9700000001</v>
      </c>
      <c r="U120" s="399">
        <v>2996321.4</v>
      </c>
      <c r="V120" s="399">
        <v>1050886.1599999999</v>
      </c>
      <c r="W120" s="399">
        <v>2996321.4</v>
      </c>
      <c r="X120" s="399">
        <v>1086567.3500000001</v>
      </c>
      <c r="Y120" s="399">
        <v>2996321.4</v>
      </c>
      <c r="Z120" s="399">
        <v>1122248.54</v>
      </c>
      <c r="AA120" s="399">
        <v>2996321.4</v>
      </c>
      <c r="AB120" s="399">
        <v>1157929.73</v>
      </c>
      <c r="AC120" s="399">
        <v>2316740.37</v>
      </c>
      <c r="AD120" s="399">
        <v>922893.85000000009</v>
      </c>
      <c r="AE120" s="399">
        <f t="shared" si="5"/>
        <v>2968005.5237499992</v>
      </c>
      <c r="AF120" s="399">
        <f t="shared" si="5"/>
        <v>968243.90208333358</v>
      </c>
    </row>
    <row r="121" spans="1:32">
      <c r="A121" s="393">
        <v>112</v>
      </c>
      <c r="C121" s="16" t="s">
        <v>1357</v>
      </c>
      <c r="D121" s="16" t="s">
        <v>906</v>
      </c>
      <c r="E121" s="399">
        <v>656793.18000000005</v>
      </c>
      <c r="F121" s="399">
        <v>93915.55</v>
      </c>
      <c r="G121" s="399">
        <v>654150.74</v>
      </c>
      <c r="H121" s="399">
        <v>101736.86</v>
      </c>
      <c r="I121" s="399">
        <v>654150.74</v>
      </c>
      <c r="J121" s="399">
        <v>109526.71</v>
      </c>
      <c r="K121" s="399">
        <v>654150.74</v>
      </c>
      <c r="L121" s="399">
        <v>117316.56</v>
      </c>
      <c r="M121" s="399">
        <v>654150.74</v>
      </c>
      <c r="N121" s="399">
        <v>125106.41</v>
      </c>
      <c r="O121" s="399">
        <v>654150.74</v>
      </c>
      <c r="P121" s="399">
        <v>132896.26</v>
      </c>
      <c r="Q121" s="399">
        <v>654150.74</v>
      </c>
      <c r="R121" s="399">
        <v>140686.11000000002</v>
      </c>
      <c r="S121" s="399">
        <v>654150.74</v>
      </c>
      <c r="T121" s="399">
        <v>148475.96</v>
      </c>
      <c r="U121" s="399">
        <v>654150.74</v>
      </c>
      <c r="V121" s="399">
        <v>156265.81</v>
      </c>
      <c r="W121" s="399">
        <v>654150.74</v>
      </c>
      <c r="X121" s="399">
        <v>164055.66</v>
      </c>
      <c r="Y121" s="399">
        <v>654150.74</v>
      </c>
      <c r="Z121" s="399">
        <v>171845.51</v>
      </c>
      <c r="AA121" s="399">
        <v>654150.74</v>
      </c>
      <c r="AB121" s="399">
        <v>179635.36000000002</v>
      </c>
      <c r="AC121" s="399">
        <v>654150.74</v>
      </c>
      <c r="AD121" s="399">
        <v>187425.21</v>
      </c>
      <c r="AE121" s="399">
        <f t="shared" si="5"/>
        <v>654260.84166666679</v>
      </c>
      <c r="AF121" s="399">
        <f t="shared" si="5"/>
        <v>140684.79916666666</v>
      </c>
    </row>
    <row r="122" spans="1:32">
      <c r="A122" s="393">
        <v>113</v>
      </c>
      <c r="C122" s="16" t="s">
        <v>1358</v>
      </c>
      <c r="D122" s="16" t="s">
        <v>906</v>
      </c>
      <c r="E122" s="399">
        <v>123571.06</v>
      </c>
      <c r="F122" s="399">
        <v>0</v>
      </c>
      <c r="G122" s="399">
        <v>123571.06</v>
      </c>
      <c r="H122" s="399">
        <v>1471.5300000000002</v>
      </c>
      <c r="I122" s="399">
        <v>123571.06</v>
      </c>
      <c r="J122" s="399">
        <v>2943.0600000000004</v>
      </c>
      <c r="K122" s="399">
        <v>123571.06</v>
      </c>
      <c r="L122" s="399">
        <v>4414.59</v>
      </c>
      <c r="M122" s="399">
        <v>123571.06</v>
      </c>
      <c r="N122" s="399">
        <v>5886.1200000000008</v>
      </c>
      <c r="O122" s="399">
        <v>123571.06</v>
      </c>
      <c r="P122" s="399">
        <v>7357.65</v>
      </c>
      <c r="Q122" s="399">
        <v>123571.06</v>
      </c>
      <c r="R122" s="399">
        <v>8829.18</v>
      </c>
      <c r="S122" s="399">
        <v>123571.06</v>
      </c>
      <c r="T122" s="399">
        <v>10300.709999999999</v>
      </c>
      <c r="U122" s="399">
        <v>123571.06</v>
      </c>
      <c r="V122" s="399">
        <v>11772.240000000002</v>
      </c>
      <c r="W122" s="399">
        <v>123571.06</v>
      </c>
      <c r="X122" s="399">
        <v>13243.77</v>
      </c>
      <c r="Y122" s="399">
        <v>123571.06</v>
      </c>
      <c r="Z122" s="399">
        <v>14715.3</v>
      </c>
      <c r="AA122" s="399">
        <v>123571.06</v>
      </c>
      <c r="AB122" s="399">
        <v>16186.83</v>
      </c>
      <c r="AC122" s="399">
        <v>123571.06</v>
      </c>
      <c r="AD122" s="399">
        <v>17658.36</v>
      </c>
      <c r="AE122" s="399">
        <f t="shared" si="5"/>
        <v>123571.06000000004</v>
      </c>
      <c r="AF122" s="399">
        <f t="shared" si="5"/>
        <v>8829.18</v>
      </c>
    </row>
    <row r="123" spans="1:32">
      <c r="A123" s="393">
        <v>114</v>
      </c>
      <c r="C123" s="16" t="s">
        <v>2269</v>
      </c>
      <c r="D123" s="16" t="s">
        <v>906</v>
      </c>
      <c r="E123" s="399">
        <v>0</v>
      </c>
      <c r="F123" s="399">
        <v>0</v>
      </c>
      <c r="G123" s="399">
        <v>0</v>
      </c>
      <c r="H123" s="399">
        <v>0</v>
      </c>
      <c r="I123" s="399">
        <v>0</v>
      </c>
      <c r="J123" s="399">
        <v>0</v>
      </c>
      <c r="K123" s="399">
        <v>0</v>
      </c>
      <c r="L123" s="399">
        <v>0</v>
      </c>
      <c r="M123" s="399">
        <v>0</v>
      </c>
      <c r="N123" s="399">
        <v>0</v>
      </c>
      <c r="O123" s="399">
        <v>0</v>
      </c>
      <c r="P123" s="399">
        <v>0</v>
      </c>
      <c r="Q123" s="399">
        <v>0</v>
      </c>
      <c r="R123" s="399">
        <v>0</v>
      </c>
      <c r="S123" s="399">
        <v>0</v>
      </c>
      <c r="T123" s="399">
        <v>0</v>
      </c>
      <c r="U123" s="399">
        <v>0</v>
      </c>
      <c r="V123" s="399">
        <v>0</v>
      </c>
      <c r="W123" s="399">
        <v>0</v>
      </c>
      <c r="X123" s="399">
        <v>0</v>
      </c>
      <c r="Y123" s="399">
        <v>0</v>
      </c>
      <c r="Z123" s="399">
        <v>0</v>
      </c>
      <c r="AA123" s="399">
        <v>0</v>
      </c>
      <c r="AB123" s="399">
        <v>0</v>
      </c>
      <c r="AC123" s="399">
        <v>220234.71</v>
      </c>
      <c r="AD123" s="399">
        <v>0</v>
      </c>
      <c r="AE123" s="399">
        <f t="shared" si="5"/>
        <v>9176.4462499999991</v>
      </c>
      <c r="AF123" s="399">
        <f t="shared" si="5"/>
        <v>0</v>
      </c>
    </row>
    <row r="124" spans="1:32">
      <c r="A124" s="393">
        <v>115</v>
      </c>
      <c r="C124" s="16" t="s">
        <v>2270</v>
      </c>
      <c r="D124" s="16" t="s">
        <v>906</v>
      </c>
      <c r="E124" s="399">
        <v>0</v>
      </c>
      <c r="F124" s="399">
        <v>0</v>
      </c>
      <c r="G124" s="399">
        <v>0</v>
      </c>
      <c r="H124" s="399">
        <v>0</v>
      </c>
      <c r="I124" s="399">
        <v>0</v>
      </c>
      <c r="J124" s="399">
        <v>0</v>
      </c>
      <c r="K124" s="399">
        <v>0</v>
      </c>
      <c r="L124" s="399">
        <v>0</v>
      </c>
      <c r="M124" s="399">
        <v>0</v>
      </c>
      <c r="N124" s="399">
        <v>0</v>
      </c>
      <c r="O124" s="399">
        <v>0</v>
      </c>
      <c r="P124" s="399">
        <v>0</v>
      </c>
      <c r="Q124" s="399">
        <v>0</v>
      </c>
      <c r="R124" s="399">
        <v>0</v>
      </c>
      <c r="S124" s="399">
        <v>0</v>
      </c>
      <c r="T124" s="399">
        <v>0</v>
      </c>
      <c r="U124" s="399">
        <v>0</v>
      </c>
      <c r="V124" s="399">
        <v>0</v>
      </c>
      <c r="W124" s="399">
        <v>0</v>
      </c>
      <c r="X124" s="399">
        <v>0</v>
      </c>
      <c r="Y124" s="399">
        <v>0</v>
      </c>
      <c r="Z124" s="399">
        <v>0</v>
      </c>
      <c r="AA124" s="399">
        <v>167698.90000000002</v>
      </c>
      <c r="AB124" s="399">
        <v>0</v>
      </c>
      <c r="AC124" s="399">
        <v>166354.96000000002</v>
      </c>
      <c r="AD124" s="399">
        <v>1746.8600000000001</v>
      </c>
      <c r="AE124" s="399">
        <f t="shared" si="5"/>
        <v>20906.365000000002</v>
      </c>
      <c r="AF124" s="399">
        <f t="shared" si="5"/>
        <v>72.785833333333343</v>
      </c>
    </row>
    <row r="125" spans="1:32">
      <c r="A125" s="393">
        <v>116</v>
      </c>
      <c r="C125" s="16" t="s">
        <v>2271</v>
      </c>
      <c r="D125" s="16" t="s">
        <v>906</v>
      </c>
      <c r="E125" s="399">
        <v>0</v>
      </c>
      <c r="F125" s="399">
        <v>0</v>
      </c>
      <c r="G125" s="399">
        <v>0</v>
      </c>
      <c r="H125" s="399">
        <v>0</v>
      </c>
      <c r="I125" s="399">
        <v>0</v>
      </c>
      <c r="J125" s="399">
        <v>0</v>
      </c>
      <c r="K125" s="399">
        <v>0</v>
      </c>
      <c r="L125" s="399">
        <v>0</v>
      </c>
      <c r="M125" s="399">
        <v>0</v>
      </c>
      <c r="N125" s="399">
        <v>0</v>
      </c>
      <c r="O125" s="399">
        <v>0</v>
      </c>
      <c r="P125" s="399">
        <v>0</v>
      </c>
      <c r="Q125" s="399">
        <v>0</v>
      </c>
      <c r="R125" s="399">
        <v>0</v>
      </c>
      <c r="S125" s="399">
        <v>0</v>
      </c>
      <c r="T125" s="399">
        <v>0</v>
      </c>
      <c r="U125" s="399">
        <v>0</v>
      </c>
      <c r="V125" s="399">
        <v>0</v>
      </c>
      <c r="W125" s="399">
        <v>0</v>
      </c>
      <c r="X125" s="399">
        <v>0</v>
      </c>
      <c r="Y125" s="399">
        <v>0</v>
      </c>
      <c r="Z125" s="399">
        <v>0</v>
      </c>
      <c r="AA125" s="399">
        <v>0</v>
      </c>
      <c r="AB125" s="399">
        <v>0</v>
      </c>
      <c r="AC125" s="399">
        <v>2784867.69</v>
      </c>
      <c r="AD125" s="399">
        <v>1482032.63</v>
      </c>
      <c r="AE125" s="399">
        <f t="shared" si="5"/>
        <v>116036.15375</v>
      </c>
      <c r="AF125" s="399">
        <f t="shared" si="5"/>
        <v>61751.359583333331</v>
      </c>
    </row>
    <row r="126" spans="1:32">
      <c r="A126" s="393">
        <v>117</v>
      </c>
      <c r="C126" s="16" t="s">
        <v>920</v>
      </c>
      <c r="D126" s="16" t="s">
        <v>906</v>
      </c>
      <c r="E126" s="399">
        <v>94899.760000000009</v>
      </c>
      <c r="F126" s="399">
        <v>0</v>
      </c>
      <c r="G126" s="399">
        <v>94899.760000000009</v>
      </c>
      <c r="H126" s="399">
        <v>0</v>
      </c>
      <c r="I126" s="399">
        <v>94899.760000000009</v>
      </c>
      <c r="J126" s="399">
        <v>0</v>
      </c>
      <c r="K126" s="399">
        <v>94899.760000000009</v>
      </c>
      <c r="L126" s="399">
        <v>0</v>
      </c>
      <c r="M126" s="399">
        <v>94899.760000000009</v>
      </c>
      <c r="N126" s="399">
        <v>0</v>
      </c>
      <c r="O126" s="399">
        <v>94899.760000000009</v>
      </c>
      <c r="P126" s="399">
        <v>0</v>
      </c>
      <c r="Q126" s="399">
        <v>94899.760000000009</v>
      </c>
      <c r="R126" s="399">
        <v>0</v>
      </c>
      <c r="S126" s="399">
        <v>94899.760000000009</v>
      </c>
      <c r="T126" s="399">
        <v>0</v>
      </c>
      <c r="U126" s="399">
        <v>94899.760000000009</v>
      </c>
      <c r="V126" s="399">
        <v>0</v>
      </c>
      <c r="W126" s="399">
        <v>94899.760000000009</v>
      </c>
      <c r="X126" s="399">
        <v>0</v>
      </c>
      <c r="Y126" s="399">
        <v>94899.760000000009</v>
      </c>
      <c r="Z126" s="399">
        <v>0</v>
      </c>
      <c r="AA126" s="399">
        <v>94899.760000000009</v>
      </c>
      <c r="AB126" s="399">
        <v>0</v>
      </c>
      <c r="AC126" s="399">
        <v>94899.760000000009</v>
      </c>
      <c r="AD126" s="399">
        <v>0</v>
      </c>
      <c r="AE126" s="399">
        <f t="shared" si="5"/>
        <v>94899.760000000009</v>
      </c>
      <c r="AF126" s="399">
        <f t="shared" si="5"/>
        <v>0</v>
      </c>
    </row>
    <row r="127" spans="1:32">
      <c r="A127" s="393">
        <v>118</v>
      </c>
      <c r="C127" s="16" t="s">
        <v>921</v>
      </c>
      <c r="D127" s="16" t="s">
        <v>906</v>
      </c>
      <c r="E127" s="399">
        <v>399189.1</v>
      </c>
      <c r="F127" s="399">
        <v>419228.1</v>
      </c>
      <c r="G127" s="399">
        <v>399189.10000000003</v>
      </c>
      <c r="H127" s="399">
        <v>419228.10000000003</v>
      </c>
      <c r="I127" s="399">
        <v>399189.10000000003</v>
      </c>
      <c r="J127" s="399">
        <v>419228.10000000003</v>
      </c>
      <c r="K127" s="399">
        <v>399189.10000000003</v>
      </c>
      <c r="L127" s="399">
        <v>419228.10000000003</v>
      </c>
      <c r="M127" s="399">
        <v>399189.10000000003</v>
      </c>
      <c r="N127" s="399">
        <v>419228.10000000003</v>
      </c>
      <c r="O127" s="399">
        <v>422081.87</v>
      </c>
      <c r="P127" s="399">
        <v>415354.55000000005</v>
      </c>
      <c r="Q127" s="399">
        <v>422081.87</v>
      </c>
      <c r="R127" s="399">
        <v>415547.62</v>
      </c>
      <c r="S127" s="399">
        <v>422081.87</v>
      </c>
      <c r="T127" s="399">
        <v>415976.74000000005</v>
      </c>
      <c r="U127" s="399">
        <v>422081.87</v>
      </c>
      <c r="V127" s="399">
        <v>416405.86</v>
      </c>
      <c r="W127" s="399">
        <v>422081.87</v>
      </c>
      <c r="X127" s="399">
        <v>416834.98</v>
      </c>
      <c r="Y127" s="399">
        <v>422081.87</v>
      </c>
      <c r="Z127" s="399">
        <v>417264.1</v>
      </c>
      <c r="AA127" s="399">
        <v>422081.87</v>
      </c>
      <c r="AB127" s="399">
        <v>417693.22</v>
      </c>
      <c r="AC127" s="399">
        <v>421631.54</v>
      </c>
      <c r="AD127" s="399">
        <v>418122.34</v>
      </c>
      <c r="AE127" s="399">
        <f t="shared" si="5"/>
        <v>413478.31750000006</v>
      </c>
      <c r="AF127" s="399">
        <f t="shared" si="5"/>
        <v>417555.39083333337</v>
      </c>
    </row>
    <row r="128" spans="1:32">
      <c r="A128" s="393">
        <v>119</v>
      </c>
      <c r="C128" s="16" t="s">
        <v>922</v>
      </c>
      <c r="D128" s="16" t="s">
        <v>906</v>
      </c>
      <c r="E128" s="399">
        <v>954713.11</v>
      </c>
      <c r="F128" s="399">
        <v>696776.96000000008</v>
      </c>
      <c r="G128" s="399">
        <v>954713.11</v>
      </c>
      <c r="H128" s="399">
        <v>696776.96</v>
      </c>
      <c r="I128" s="399">
        <v>954713.11</v>
      </c>
      <c r="J128" s="399">
        <v>696776.96</v>
      </c>
      <c r="K128" s="399">
        <v>954713.11</v>
      </c>
      <c r="L128" s="399">
        <v>696776.96</v>
      </c>
      <c r="M128" s="399">
        <v>954713.11</v>
      </c>
      <c r="N128" s="399">
        <v>696776.96</v>
      </c>
      <c r="O128" s="399">
        <v>954713.11</v>
      </c>
      <c r="P128" s="399">
        <v>696776.96</v>
      </c>
      <c r="Q128" s="399">
        <v>954713.11</v>
      </c>
      <c r="R128" s="399">
        <v>696776.96</v>
      </c>
      <c r="S128" s="399">
        <v>954713.11</v>
      </c>
      <c r="T128" s="399">
        <v>696776.96</v>
      </c>
      <c r="U128" s="399">
        <v>954713.11</v>
      </c>
      <c r="V128" s="399">
        <v>696776.96</v>
      </c>
      <c r="W128" s="399">
        <v>954713.11</v>
      </c>
      <c r="X128" s="399">
        <v>696776.96</v>
      </c>
      <c r="Y128" s="399">
        <v>954713.11</v>
      </c>
      <c r="Z128" s="399">
        <v>696776.96</v>
      </c>
      <c r="AA128" s="399">
        <v>954713.11</v>
      </c>
      <c r="AB128" s="399">
        <v>696776.96</v>
      </c>
      <c r="AC128" s="399">
        <v>954713.11</v>
      </c>
      <c r="AD128" s="399">
        <v>696776.96</v>
      </c>
      <c r="AE128" s="399">
        <f t="shared" si="5"/>
        <v>954713.10999999987</v>
      </c>
      <c r="AF128" s="399">
        <f t="shared" si="5"/>
        <v>696776.96</v>
      </c>
    </row>
    <row r="129" spans="1:32">
      <c r="A129" s="393">
        <v>120</v>
      </c>
      <c r="C129" s="16" t="s">
        <v>923</v>
      </c>
      <c r="D129" s="16" t="s">
        <v>906</v>
      </c>
      <c r="E129" s="399">
        <v>5944803.1500000004</v>
      </c>
      <c r="F129" s="399">
        <v>5541204.4500000002</v>
      </c>
      <c r="G129" s="399">
        <v>5944803.6600000001</v>
      </c>
      <c r="H129" s="399">
        <v>5547347.4100000001</v>
      </c>
      <c r="I129" s="399">
        <v>5944803.6600000001</v>
      </c>
      <c r="J129" s="399">
        <v>5553490.3700000001</v>
      </c>
      <c r="K129" s="399">
        <v>5978074.5600000005</v>
      </c>
      <c r="L129" s="399">
        <v>5559633.3300000001</v>
      </c>
      <c r="M129" s="399">
        <v>5978074.5600000005</v>
      </c>
      <c r="N129" s="399">
        <v>5565810.6699999999</v>
      </c>
      <c r="O129" s="399">
        <v>5978074.5600000005</v>
      </c>
      <c r="P129" s="399">
        <v>5571988.0099999998</v>
      </c>
      <c r="Q129" s="399">
        <v>5977384.3000000007</v>
      </c>
      <c r="R129" s="399">
        <v>5578165.3499999996</v>
      </c>
      <c r="S129" s="399">
        <v>5977384.3000000007</v>
      </c>
      <c r="T129" s="399">
        <v>5584341.9799999995</v>
      </c>
      <c r="U129" s="399">
        <v>5977384.3000000007</v>
      </c>
      <c r="V129" s="399">
        <v>5590518.6100000003</v>
      </c>
      <c r="W129" s="399">
        <v>5977486.1900000004</v>
      </c>
      <c r="X129" s="399">
        <v>5596695.2400000002</v>
      </c>
      <c r="Y129" s="399">
        <v>5977486.1900000004</v>
      </c>
      <c r="Z129" s="399">
        <v>5602871.9799999995</v>
      </c>
      <c r="AA129" s="399">
        <v>5977486.1900000004</v>
      </c>
      <c r="AB129" s="399">
        <v>5609048.7200000007</v>
      </c>
      <c r="AC129" s="399">
        <v>5977291.5</v>
      </c>
      <c r="AD129" s="399">
        <v>5615225.46</v>
      </c>
      <c r="AE129" s="399">
        <f t="shared" si="5"/>
        <v>5970790.8162500001</v>
      </c>
      <c r="AF129" s="399">
        <f t="shared" si="5"/>
        <v>5578177.2187499991</v>
      </c>
    </row>
    <row r="130" spans="1:32">
      <c r="A130" s="393">
        <v>121</v>
      </c>
      <c r="C130" s="16" t="s">
        <v>924</v>
      </c>
      <c r="D130" s="16" t="s">
        <v>906</v>
      </c>
      <c r="E130" s="399">
        <v>3129482.49</v>
      </c>
      <c r="F130" s="399">
        <v>1073696.77</v>
      </c>
      <c r="G130" s="399">
        <v>3149441.87</v>
      </c>
      <c r="H130" s="399">
        <v>1116049.1000000001</v>
      </c>
      <c r="I130" s="399">
        <v>3149934.33</v>
      </c>
      <c r="J130" s="399">
        <v>1158671.55</v>
      </c>
      <c r="K130" s="399">
        <v>3163528.4499999997</v>
      </c>
      <c r="L130" s="399">
        <v>1201300.6599999999</v>
      </c>
      <c r="M130" s="399">
        <v>3163528.4499999997</v>
      </c>
      <c r="N130" s="399">
        <v>1244113.75</v>
      </c>
      <c r="O130" s="399">
        <v>3163528.4499999997</v>
      </c>
      <c r="P130" s="399">
        <v>1286926.8400000001</v>
      </c>
      <c r="Q130" s="399">
        <v>3163528.4499999997</v>
      </c>
      <c r="R130" s="399">
        <v>1329739.9300000002</v>
      </c>
      <c r="S130" s="399">
        <v>3163528.4499999997</v>
      </c>
      <c r="T130" s="399">
        <v>1372553.02</v>
      </c>
      <c r="U130" s="399">
        <v>3163528.4499999997</v>
      </c>
      <c r="V130" s="399">
        <v>1415366.11</v>
      </c>
      <c r="W130" s="399">
        <v>3178999.78</v>
      </c>
      <c r="X130" s="399">
        <v>1458179.2</v>
      </c>
      <c r="Y130" s="399">
        <v>3178999.78</v>
      </c>
      <c r="Z130" s="399">
        <v>1501201.66</v>
      </c>
      <c r="AA130" s="399">
        <v>3178999.78</v>
      </c>
      <c r="AB130" s="399">
        <v>1544224.1199999999</v>
      </c>
      <c r="AC130" s="399">
        <v>3494588.6599999997</v>
      </c>
      <c r="AD130" s="399">
        <v>1587246.5799999998</v>
      </c>
      <c r="AE130" s="399">
        <f t="shared" si="5"/>
        <v>3177465.1512500006</v>
      </c>
      <c r="AF130" s="399">
        <f t="shared" si="5"/>
        <v>1329899.8012499998</v>
      </c>
    </row>
    <row r="131" spans="1:32">
      <c r="A131" s="393">
        <v>122</v>
      </c>
      <c r="C131" s="16" t="s">
        <v>925</v>
      </c>
      <c r="D131" s="16" t="s">
        <v>906</v>
      </c>
      <c r="E131" s="399">
        <v>158310.35</v>
      </c>
      <c r="F131" s="399">
        <v>-193316.37000000002</v>
      </c>
      <c r="G131" s="399">
        <v>158310.35</v>
      </c>
      <c r="H131" s="399">
        <v>-191024.83000000002</v>
      </c>
      <c r="I131" s="399">
        <v>158310.35</v>
      </c>
      <c r="J131" s="399">
        <v>-188733.29</v>
      </c>
      <c r="K131" s="399">
        <v>158310.35</v>
      </c>
      <c r="L131" s="399">
        <v>-186441.75</v>
      </c>
      <c r="M131" s="399">
        <v>158310.35</v>
      </c>
      <c r="N131" s="399">
        <v>-184150.21000000002</v>
      </c>
      <c r="O131" s="399">
        <v>158310.35</v>
      </c>
      <c r="P131" s="399">
        <v>-181858.66999999998</v>
      </c>
      <c r="Q131" s="399">
        <v>158310.35</v>
      </c>
      <c r="R131" s="399">
        <v>-179567.13</v>
      </c>
      <c r="S131" s="399">
        <v>158310.35</v>
      </c>
      <c r="T131" s="399">
        <v>-177275.59000000003</v>
      </c>
      <c r="U131" s="399">
        <v>158310.35</v>
      </c>
      <c r="V131" s="399">
        <v>-174984.05</v>
      </c>
      <c r="W131" s="399">
        <v>158310.35</v>
      </c>
      <c r="X131" s="399">
        <v>-172692.51</v>
      </c>
      <c r="Y131" s="399">
        <v>158310.35</v>
      </c>
      <c r="Z131" s="399">
        <v>-170400.97</v>
      </c>
      <c r="AA131" s="399">
        <v>158310.35</v>
      </c>
      <c r="AB131" s="399">
        <v>-168109.43</v>
      </c>
      <c r="AC131" s="399">
        <v>158310.35</v>
      </c>
      <c r="AD131" s="399">
        <v>-165817.89000000001</v>
      </c>
      <c r="AE131" s="399">
        <f t="shared" si="5"/>
        <v>158310.35000000003</v>
      </c>
      <c r="AF131" s="399">
        <f t="shared" si="5"/>
        <v>-179567.13</v>
      </c>
    </row>
    <row r="132" spans="1:32">
      <c r="A132" s="393">
        <v>123</v>
      </c>
      <c r="C132" s="16" t="s">
        <v>926</v>
      </c>
      <c r="D132" s="16" t="s">
        <v>906</v>
      </c>
      <c r="E132" s="399">
        <v>1276603.8500000001</v>
      </c>
      <c r="F132" s="399">
        <v>60413.3</v>
      </c>
      <c r="G132" s="399">
        <v>1276603.8500000001</v>
      </c>
      <c r="H132" s="399">
        <v>65711.210000000006</v>
      </c>
      <c r="I132" s="399">
        <v>1276603.8500000001</v>
      </c>
      <c r="J132" s="399">
        <v>71009.12000000001</v>
      </c>
      <c r="K132" s="399">
        <v>1283146.57</v>
      </c>
      <c r="L132" s="399">
        <v>76307.03</v>
      </c>
      <c r="M132" s="399">
        <v>1283071.6100000001</v>
      </c>
      <c r="N132" s="399">
        <v>81632.09</v>
      </c>
      <c r="O132" s="399">
        <v>1283071.6100000001</v>
      </c>
      <c r="P132" s="399">
        <v>86956.84</v>
      </c>
      <c r="Q132" s="399">
        <v>1283071.6100000001</v>
      </c>
      <c r="R132" s="399">
        <v>92281.59</v>
      </c>
      <c r="S132" s="399">
        <v>1283071.6100000001</v>
      </c>
      <c r="T132" s="399">
        <v>97606.34</v>
      </c>
      <c r="U132" s="399">
        <v>1283071.6100000001</v>
      </c>
      <c r="V132" s="399">
        <v>102931.09</v>
      </c>
      <c r="W132" s="399">
        <v>1283071.6100000001</v>
      </c>
      <c r="X132" s="399">
        <v>108255.84</v>
      </c>
      <c r="Y132" s="399">
        <v>1283071.6100000001</v>
      </c>
      <c r="Z132" s="399">
        <v>113580.59</v>
      </c>
      <c r="AA132" s="399">
        <v>1283071.6100000001</v>
      </c>
      <c r="AB132" s="399">
        <v>118905.34</v>
      </c>
      <c r="AC132" s="399">
        <v>1283046.32</v>
      </c>
      <c r="AD132" s="399">
        <v>124230.09</v>
      </c>
      <c r="AE132" s="399">
        <f t="shared" si="5"/>
        <v>1281729.3529166665</v>
      </c>
      <c r="AF132" s="399">
        <f t="shared" si="5"/>
        <v>92291.564583333326</v>
      </c>
    </row>
    <row r="133" spans="1:32">
      <c r="A133" s="393">
        <v>124</v>
      </c>
      <c r="C133" s="16" t="s">
        <v>927</v>
      </c>
      <c r="D133" s="16" t="s">
        <v>906</v>
      </c>
      <c r="E133" s="399">
        <v>2994409.61</v>
      </c>
      <c r="F133" s="399">
        <v>2994409.62</v>
      </c>
      <c r="G133" s="399">
        <v>2994409.6100000003</v>
      </c>
      <c r="H133" s="399">
        <v>2994409.62</v>
      </c>
      <c r="I133" s="399">
        <v>2994409.6100000003</v>
      </c>
      <c r="J133" s="399">
        <v>2994409.62</v>
      </c>
      <c r="K133" s="399">
        <v>2994409.6100000003</v>
      </c>
      <c r="L133" s="399">
        <v>2994409.62</v>
      </c>
      <c r="M133" s="399">
        <v>2994409.6100000003</v>
      </c>
      <c r="N133" s="399">
        <v>2994409.62</v>
      </c>
      <c r="O133" s="399">
        <v>2994409.6100000003</v>
      </c>
      <c r="P133" s="399">
        <v>2994409.62</v>
      </c>
      <c r="Q133" s="399">
        <v>2994409.6100000003</v>
      </c>
      <c r="R133" s="399">
        <v>2994409.62</v>
      </c>
      <c r="S133" s="399">
        <v>2994409.6100000003</v>
      </c>
      <c r="T133" s="399">
        <v>2994409.62</v>
      </c>
      <c r="U133" s="399">
        <v>2994409.6100000003</v>
      </c>
      <c r="V133" s="399">
        <v>2994409.62</v>
      </c>
      <c r="W133" s="399">
        <v>2994409.6100000003</v>
      </c>
      <c r="X133" s="399">
        <v>2994409.62</v>
      </c>
      <c r="Y133" s="399">
        <v>2994409.6100000003</v>
      </c>
      <c r="Z133" s="399">
        <v>2994409.62</v>
      </c>
      <c r="AA133" s="399">
        <v>2994409.6100000003</v>
      </c>
      <c r="AB133" s="399">
        <v>2994409.62</v>
      </c>
      <c r="AC133" s="399">
        <v>2994409.6100000003</v>
      </c>
      <c r="AD133" s="399">
        <v>2994409.61</v>
      </c>
      <c r="AE133" s="399">
        <f t="shared" si="5"/>
        <v>2994409.61</v>
      </c>
      <c r="AF133" s="399">
        <f t="shared" si="5"/>
        <v>2994409.6195833343</v>
      </c>
    </row>
    <row r="134" spans="1:32">
      <c r="A134" s="393">
        <v>125</v>
      </c>
      <c r="C134" s="16" t="s">
        <v>928</v>
      </c>
      <c r="D134" s="16" t="s">
        <v>906</v>
      </c>
      <c r="E134" s="399">
        <v>7723.92</v>
      </c>
      <c r="F134" s="399">
        <v>6066.64</v>
      </c>
      <c r="G134" s="399">
        <v>7723.92</v>
      </c>
      <c r="H134" s="399">
        <v>6086.92</v>
      </c>
      <c r="I134" s="399">
        <v>7723.92</v>
      </c>
      <c r="J134" s="399">
        <v>6107.2000000000007</v>
      </c>
      <c r="K134" s="399">
        <v>7723.92</v>
      </c>
      <c r="L134" s="399">
        <v>6127.4800000000005</v>
      </c>
      <c r="M134" s="399">
        <v>7723.92</v>
      </c>
      <c r="N134" s="399">
        <v>6147.76</v>
      </c>
      <c r="O134" s="399">
        <v>7723.92</v>
      </c>
      <c r="P134" s="399">
        <v>6168.0400000000009</v>
      </c>
      <c r="Q134" s="399">
        <v>7723.92</v>
      </c>
      <c r="R134" s="399">
        <v>6188.3200000000006</v>
      </c>
      <c r="S134" s="399">
        <v>7723.92</v>
      </c>
      <c r="T134" s="399">
        <v>6208.6</v>
      </c>
      <c r="U134" s="399">
        <v>7723.92</v>
      </c>
      <c r="V134" s="399">
        <v>6228.880000000001</v>
      </c>
      <c r="W134" s="399">
        <v>7723.92</v>
      </c>
      <c r="X134" s="399">
        <v>6249.1600000000008</v>
      </c>
      <c r="Y134" s="399">
        <v>7723.92</v>
      </c>
      <c r="Z134" s="399">
        <v>6269.4400000000005</v>
      </c>
      <c r="AA134" s="399">
        <v>7723.92</v>
      </c>
      <c r="AB134" s="399">
        <v>6289.72</v>
      </c>
      <c r="AC134" s="399">
        <v>7723.92</v>
      </c>
      <c r="AD134" s="399">
        <v>6310</v>
      </c>
      <c r="AE134" s="399">
        <f t="shared" si="5"/>
        <v>7723.9199999999992</v>
      </c>
      <c r="AF134" s="399">
        <f t="shared" si="5"/>
        <v>6188.32</v>
      </c>
    </row>
    <row r="135" spans="1:32">
      <c r="A135" s="393">
        <v>126</v>
      </c>
      <c r="C135" s="16" t="s">
        <v>929</v>
      </c>
      <c r="D135" s="16" t="s">
        <v>906</v>
      </c>
      <c r="E135" s="399">
        <v>2035982.23</v>
      </c>
      <c r="F135" s="399">
        <v>789500.16999999993</v>
      </c>
      <c r="G135" s="399">
        <v>1936459.93</v>
      </c>
      <c r="H135" s="399">
        <v>732671.35</v>
      </c>
      <c r="I135" s="399">
        <v>1936326.94</v>
      </c>
      <c r="J135" s="399">
        <v>742595.7</v>
      </c>
      <c r="K135" s="399">
        <v>1865255.93</v>
      </c>
      <c r="L135" s="399">
        <v>712500.19000000006</v>
      </c>
      <c r="M135" s="399">
        <v>1834253.2400000002</v>
      </c>
      <c r="N135" s="399">
        <v>702060.94</v>
      </c>
      <c r="O135" s="399">
        <v>1854822.48</v>
      </c>
      <c r="P135" s="399">
        <v>704963.83000000007</v>
      </c>
      <c r="Q135" s="399">
        <v>1854822.48</v>
      </c>
      <c r="R135" s="399">
        <v>714469.79</v>
      </c>
      <c r="S135" s="399">
        <v>1854822.48</v>
      </c>
      <c r="T135" s="399">
        <v>723975.74</v>
      </c>
      <c r="U135" s="399">
        <v>1985144.93</v>
      </c>
      <c r="V135" s="399">
        <v>733481.70000000007</v>
      </c>
      <c r="W135" s="399">
        <v>1987264.6500000001</v>
      </c>
      <c r="X135" s="399">
        <v>716590.36</v>
      </c>
      <c r="Y135" s="399">
        <v>2017208.58</v>
      </c>
      <c r="Z135" s="399">
        <v>717755.64999999991</v>
      </c>
      <c r="AA135" s="399">
        <v>1958953.4500000002</v>
      </c>
      <c r="AB135" s="399">
        <v>676442.58000000007</v>
      </c>
      <c r="AC135" s="399">
        <v>2137291.48</v>
      </c>
      <c r="AD135" s="399">
        <v>686482.22</v>
      </c>
      <c r="AE135" s="399">
        <f t="shared" si="5"/>
        <v>1930997.6620833334</v>
      </c>
      <c r="AF135" s="399">
        <f t="shared" si="5"/>
        <v>717958.25208333333</v>
      </c>
    </row>
    <row r="136" spans="1:32">
      <c r="A136" s="393">
        <v>127</v>
      </c>
      <c r="C136" s="16" t="s">
        <v>930</v>
      </c>
      <c r="D136" s="16" t="s">
        <v>906</v>
      </c>
      <c r="E136" s="399">
        <v>43088.19</v>
      </c>
      <c r="F136" s="399">
        <v>18335.93</v>
      </c>
      <c r="G136" s="399">
        <v>43088.19</v>
      </c>
      <c r="H136" s="399">
        <v>18527.669999999998</v>
      </c>
      <c r="I136" s="399">
        <v>43088.19</v>
      </c>
      <c r="J136" s="399">
        <v>18719.41</v>
      </c>
      <c r="K136" s="399">
        <v>43088.19</v>
      </c>
      <c r="L136" s="399">
        <v>18911.150000000001</v>
      </c>
      <c r="M136" s="399">
        <v>43088.19</v>
      </c>
      <c r="N136" s="399">
        <v>19102.89</v>
      </c>
      <c r="O136" s="399">
        <v>43088.19</v>
      </c>
      <c r="P136" s="399">
        <v>19294.63</v>
      </c>
      <c r="Q136" s="399">
        <v>43088.19</v>
      </c>
      <c r="R136" s="399">
        <v>19486.37</v>
      </c>
      <c r="S136" s="399">
        <v>43088.19</v>
      </c>
      <c r="T136" s="399">
        <v>19678.11</v>
      </c>
      <c r="U136" s="399">
        <v>43088.19</v>
      </c>
      <c r="V136" s="399">
        <v>19869.849999999999</v>
      </c>
      <c r="W136" s="399">
        <v>43088.19</v>
      </c>
      <c r="X136" s="399">
        <v>20061.59</v>
      </c>
      <c r="Y136" s="399">
        <v>43088.19</v>
      </c>
      <c r="Z136" s="399">
        <v>20253.330000000002</v>
      </c>
      <c r="AA136" s="399">
        <v>52521.200000000004</v>
      </c>
      <c r="AB136" s="399">
        <v>20445.07</v>
      </c>
      <c r="AC136" s="399">
        <v>52364.869999999995</v>
      </c>
      <c r="AD136" s="399">
        <v>20678.79</v>
      </c>
      <c r="AE136" s="399">
        <f t="shared" si="5"/>
        <v>44260.802499999998</v>
      </c>
      <c r="AF136" s="399">
        <f t="shared" si="5"/>
        <v>19488.119166666667</v>
      </c>
    </row>
    <row r="137" spans="1:32">
      <c r="A137" s="393">
        <v>128</v>
      </c>
      <c r="C137" s="16" t="s">
        <v>931</v>
      </c>
      <c r="D137" s="16" t="s">
        <v>906</v>
      </c>
      <c r="E137" s="399">
        <v>2441513.96</v>
      </c>
      <c r="F137" s="399">
        <v>533803.03</v>
      </c>
      <c r="G137" s="399">
        <v>2469880.0099999998</v>
      </c>
      <c r="H137" s="399">
        <v>541046.18999999994</v>
      </c>
      <c r="I137" s="399">
        <v>2477713.0299999998</v>
      </c>
      <c r="J137" s="399">
        <v>548373.5</v>
      </c>
      <c r="K137" s="399">
        <v>2481346.0699999998</v>
      </c>
      <c r="L137" s="399">
        <v>552265.71</v>
      </c>
      <c r="M137" s="399">
        <v>2505573.58</v>
      </c>
      <c r="N137" s="399">
        <v>559627.04</v>
      </c>
      <c r="O137" s="399">
        <v>2533156.7800000003</v>
      </c>
      <c r="P137" s="399">
        <v>567060.24</v>
      </c>
      <c r="Q137" s="399">
        <v>2543109.75</v>
      </c>
      <c r="R137" s="399">
        <v>574575.27</v>
      </c>
      <c r="S137" s="399">
        <v>2543109.75</v>
      </c>
      <c r="T137" s="399">
        <v>582119.83000000007</v>
      </c>
      <c r="U137" s="399">
        <v>2543109.75</v>
      </c>
      <c r="V137" s="399">
        <v>589664.39</v>
      </c>
      <c r="W137" s="399">
        <v>2550851.14</v>
      </c>
      <c r="X137" s="399">
        <v>597208.94999999995</v>
      </c>
      <c r="Y137" s="399">
        <v>2662728.4500000002</v>
      </c>
      <c r="Z137" s="399">
        <v>604776.48</v>
      </c>
      <c r="AA137" s="399">
        <v>2663853.04</v>
      </c>
      <c r="AB137" s="399">
        <v>612675.91</v>
      </c>
      <c r="AC137" s="399">
        <v>2695786.5</v>
      </c>
      <c r="AD137" s="399">
        <v>620578.67000000004</v>
      </c>
      <c r="AE137" s="399">
        <f t="shared" si="5"/>
        <v>2545256.7983333333</v>
      </c>
      <c r="AF137" s="399">
        <f t="shared" si="5"/>
        <v>575548.69666666666</v>
      </c>
    </row>
    <row r="138" spans="1:32">
      <c r="A138" s="393">
        <v>129</v>
      </c>
      <c r="C138" s="16" t="s">
        <v>932</v>
      </c>
      <c r="D138" s="16" t="s">
        <v>906</v>
      </c>
      <c r="E138" s="399">
        <v>90630.82</v>
      </c>
      <c r="F138" s="399">
        <v>42766.710000000006</v>
      </c>
      <c r="G138" s="399">
        <v>90630.82</v>
      </c>
      <c r="H138" s="399">
        <v>43114.130000000005</v>
      </c>
      <c r="I138" s="399">
        <v>90630.82</v>
      </c>
      <c r="J138" s="399">
        <v>43461.55</v>
      </c>
      <c r="K138" s="399">
        <v>84472.540000000008</v>
      </c>
      <c r="L138" s="399">
        <v>37650.69</v>
      </c>
      <c r="M138" s="399">
        <v>84472.540000000008</v>
      </c>
      <c r="N138" s="399">
        <v>37974.5</v>
      </c>
      <c r="O138" s="399">
        <v>84472.540000000008</v>
      </c>
      <c r="P138" s="399">
        <v>38298.31</v>
      </c>
      <c r="Q138" s="399">
        <v>84472.540000000008</v>
      </c>
      <c r="R138" s="399">
        <v>38622.120000000003</v>
      </c>
      <c r="S138" s="399">
        <v>84472.540000000008</v>
      </c>
      <c r="T138" s="399">
        <v>38945.93</v>
      </c>
      <c r="U138" s="399">
        <v>84472.540000000008</v>
      </c>
      <c r="V138" s="399">
        <v>39269.74</v>
      </c>
      <c r="W138" s="399">
        <v>84472.540000000008</v>
      </c>
      <c r="X138" s="399">
        <v>39593.550000000003</v>
      </c>
      <c r="Y138" s="399">
        <v>84472.540000000008</v>
      </c>
      <c r="Z138" s="399">
        <v>39917.360000000001</v>
      </c>
      <c r="AA138" s="399">
        <v>84472.540000000008</v>
      </c>
      <c r="AB138" s="399">
        <v>40241.17</v>
      </c>
      <c r="AC138" s="399">
        <v>84472.540000000008</v>
      </c>
      <c r="AD138" s="399">
        <v>40564.979999999996</v>
      </c>
      <c r="AE138" s="399">
        <f t="shared" si="5"/>
        <v>85755.515000000029</v>
      </c>
      <c r="AF138" s="399">
        <f t="shared" si="5"/>
        <v>39896.241249999992</v>
      </c>
    </row>
    <row r="139" spans="1:32">
      <c r="A139" s="393">
        <v>130</v>
      </c>
      <c r="C139" s="16" t="s">
        <v>933</v>
      </c>
      <c r="D139" s="16" t="s">
        <v>906</v>
      </c>
      <c r="E139" s="399">
        <v>-96696.89</v>
      </c>
      <c r="F139" s="399">
        <v>-34308.04</v>
      </c>
      <c r="G139" s="399">
        <v>-94673.540000000008</v>
      </c>
      <c r="H139" s="399">
        <v>-34725.449999999997</v>
      </c>
      <c r="I139" s="399">
        <v>-94673.540000000008</v>
      </c>
      <c r="J139" s="399">
        <v>-35134.120000000003</v>
      </c>
      <c r="K139" s="399">
        <v>-94673.540000000008</v>
      </c>
      <c r="L139" s="399">
        <v>-35542.79</v>
      </c>
      <c r="M139" s="399">
        <v>-94673.540000000008</v>
      </c>
      <c r="N139" s="399">
        <v>-35951.460000000006</v>
      </c>
      <c r="O139" s="399">
        <v>-94673.540000000008</v>
      </c>
      <c r="P139" s="399">
        <v>-36360.129999999997</v>
      </c>
      <c r="Q139" s="399">
        <v>-94673.540000000008</v>
      </c>
      <c r="R139" s="399">
        <v>-36768.800000000003</v>
      </c>
      <c r="S139" s="399">
        <v>-94673.540000000008</v>
      </c>
      <c r="T139" s="399">
        <v>-37177.47</v>
      </c>
      <c r="U139" s="399">
        <v>-94673.540000000008</v>
      </c>
      <c r="V139" s="399">
        <v>-37586.14</v>
      </c>
      <c r="W139" s="399">
        <v>-94673.540000000008</v>
      </c>
      <c r="X139" s="399">
        <v>-37994.810000000005</v>
      </c>
      <c r="Y139" s="399">
        <v>-94673.540000000008</v>
      </c>
      <c r="Z139" s="399">
        <v>-38403.479999999996</v>
      </c>
      <c r="AA139" s="399">
        <v>-94673.540000000008</v>
      </c>
      <c r="AB139" s="399">
        <v>-38812.15</v>
      </c>
      <c r="AC139" s="399">
        <v>-94673.540000000008</v>
      </c>
      <c r="AD139" s="399">
        <v>-51325.86</v>
      </c>
      <c r="AE139" s="399">
        <f t="shared" ref="AE139:AF147" si="6">+(E139+AC139+(+G139+I139+K139+M139+O139+Q139+S139+U139+W139+Y139+AA139)*2)/24</f>
        <v>-94757.846250000017</v>
      </c>
      <c r="AF139" s="399">
        <f t="shared" si="6"/>
        <v>-37272.8125</v>
      </c>
    </row>
    <row r="140" spans="1:32">
      <c r="A140" s="393">
        <v>131</v>
      </c>
      <c r="C140" s="16" t="s">
        <v>934</v>
      </c>
      <c r="D140" s="16" t="s">
        <v>906</v>
      </c>
      <c r="E140" s="399">
        <v>0</v>
      </c>
      <c r="F140" s="399">
        <v>-12105.03</v>
      </c>
      <c r="G140" s="399">
        <v>0</v>
      </c>
      <c r="H140" s="399">
        <v>-12105.03</v>
      </c>
      <c r="I140" s="399">
        <v>0</v>
      </c>
      <c r="J140" s="399">
        <v>-12105.03</v>
      </c>
      <c r="K140" s="399">
        <v>0</v>
      </c>
      <c r="L140" s="399">
        <v>-12105.03</v>
      </c>
      <c r="M140" s="399">
        <v>0</v>
      </c>
      <c r="N140" s="399">
        <v>-12105.03</v>
      </c>
      <c r="O140" s="399">
        <v>0</v>
      </c>
      <c r="P140" s="399">
        <v>-12105.03</v>
      </c>
      <c r="Q140" s="399">
        <v>0</v>
      </c>
      <c r="R140" s="399">
        <v>-12105.03</v>
      </c>
      <c r="S140" s="399">
        <v>0</v>
      </c>
      <c r="T140" s="399">
        <v>-12105.03</v>
      </c>
      <c r="U140" s="399">
        <v>0</v>
      </c>
      <c r="V140" s="399">
        <v>-12105.03</v>
      </c>
      <c r="W140" s="399">
        <v>0</v>
      </c>
      <c r="X140" s="399">
        <v>-12105.03</v>
      </c>
      <c r="Y140" s="399">
        <v>0</v>
      </c>
      <c r="Z140" s="399">
        <v>-12105.03</v>
      </c>
      <c r="AA140" s="399">
        <v>0</v>
      </c>
      <c r="AB140" s="399">
        <v>-12105.03</v>
      </c>
      <c r="AC140" s="399">
        <v>0</v>
      </c>
      <c r="AD140" s="399">
        <v>1.0000000000005116E-2</v>
      </c>
      <c r="AE140" s="399">
        <f t="shared" si="6"/>
        <v>0</v>
      </c>
      <c r="AF140" s="399">
        <f t="shared" si="6"/>
        <v>-11600.653333333335</v>
      </c>
    </row>
    <row r="141" spans="1:32">
      <c r="A141" s="393">
        <v>132</v>
      </c>
      <c r="C141" s="16" t="s">
        <v>935</v>
      </c>
      <c r="D141" s="16" t="s">
        <v>906</v>
      </c>
      <c r="E141" s="399">
        <v>20451.79</v>
      </c>
      <c r="F141" s="399">
        <v>5127.5300000000007</v>
      </c>
      <c r="G141" s="399">
        <v>20451.79</v>
      </c>
      <c r="H141" s="399">
        <v>5287.22</v>
      </c>
      <c r="I141" s="399">
        <v>20451.79</v>
      </c>
      <c r="J141" s="399">
        <v>5446.91</v>
      </c>
      <c r="K141" s="399">
        <v>20451.79</v>
      </c>
      <c r="L141" s="399">
        <v>5606.6</v>
      </c>
      <c r="M141" s="399">
        <v>20451.79</v>
      </c>
      <c r="N141" s="399">
        <v>5766.29</v>
      </c>
      <c r="O141" s="399">
        <v>20451.79</v>
      </c>
      <c r="P141" s="399">
        <v>5925.98</v>
      </c>
      <c r="Q141" s="399">
        <v>19861.97</v>
      </c>
      <c r="R141" s="399">
        <v>6085.67</v>
      </c>
      <c r="S141" s="399">
        <v>19861.97</v>
      </c>
      <c r="T141" s="399">
        <v>6240.76</v>
      </c>
      <c r="U141" s="399">
        <v>19861.97</v>
      </c>
      <c r="V141" s="399">
        <v>6395.8499999999995</v>
      </c>
      <c r="W141" s="399">
        <v>19861.97</v>
      </c>
      <c r="X141" s="399">
        <v>6550.9400000000005</v>
      </c>
      <c r="Y141" s="399">
        <v>19861.97</v>
      </c>
      <c r="Z141" s="399">
        <v>6706.0300000000007</v>
      </c>
      <c r="AA141" s="399">
        <v>19861.97</v>
      </c>
      <c r="AB141" s="399">
        <v>6861.1200000000008</v>
      </c>
      <c r="AC141" s="399">
        <v>19861.97</v>
      </c>
      <c r="AD141" s="399">
        <v>7016.21</v>
      </c>
      <c r="AE141" s="399">
        <f t="shared" si="6"/>
        <v>20132.304166666669</v>
      </c>
      <c r="AF141" s="399">
        <f t="shared" si="6"/>
        <v>6078.7699999999995</v>
      </c>
    </row>
    <row r="142" spans="1:32">
      <c r="A142" s="393">
        <v>133</v>
      </c>
      <c r="C142" s="16" t="s">
        <v>936</v>
      </c>
      <c r="D142" s="16" t="s">
        <v>906</v>
      </c>
      <c r="E142" s="399">
        <v>755929.80999999994</v>
      </c>
      <c r="F142" s="399">
        <v>661285.87</v>
      </c>
      <c r="G142" s="399">
        <v>755929.81</v>
      </c>
      <c r="H142" s="399">
        <v>661367.76</v>
      </c>
      <c r="I142" s="399">
        <v>755929.81</v>
      </c>
      <c r="J142" s="399">
        <v>661449.65</v>
      </c>
      <c r="K142" s="399">
        <v>755929.81</v>
      </c>
      <c r="L142" s="399">
        <v>661531.54</v>
      </c>
      <c r="M142" s="399">
        <v>755929.81</v>
      </c>
      <c r="N142" s="399">
        <v>661613.42999999993</v>
      </c>
      <c r="O142" s="399">
        <v>755929.81</v>
      </c>
      <c r="P142" s="399">
        <v>661695.31999999995</v>
      </c>
      <c r="Q142" s="399">
        <v>755929.81</v>
      </c>
      <c r="R142" s="399">
        <v>661777.21</v>
      </c>
      <c r="S142" s="399">
        <v>755929.81</v>
      </c>
      <c r="T142" s="399">
        <v>661859.1</v>
      </c>
      <c r="U142" s="399">
        <v>755929.81</v>
      </c>
      <c r="V142" s="399">
        <v>661940.99</v>
      </c>
      <c r="W142" s="399">
        <v>755929.81</v>
      </c>
      <c r="X142" s="399">
        <v>662022.88</v>
      </c>
      <c r="Y142" s="399">
        <v>755929.81</v>
      </c>
      <c r="Z142" s="399">
        <v>662104.77</v>
      </c>
      <c r="AA142" s="399">
        <v>755929.81</v>
      </c>
      <c r="AB142" s="399">
        <v>662186.66</v>
      </c>
      <c r="AC142" s="399">
        <v>1168410.55</v>
      </c>
      <c r="AD142" s="399">
        <v>662268.55000000005</v>
      </c>
      <c r="AE142" s="399">
        <f t="shared" si="6"/>
        <v>773116.50750000018</v>
      </c>
      <c r="AF142" s="399">
        <f t="shared" si="6"/>
        <v>661777.21000000008</v>
      </c>
    </row>
    <row r="143" spans="1:32">
      <c r="A143" s="393">
        <v>134</v>
      </c>
      <c r="C143" s="16" t="s">
        <v>937</v>
      </c>
      <c r="D143" s="16" t="s">
        <v>906</v>
      </c>
      <c r="E143" s="399">
        <v>134305.54</v>
      </c>
      <c r="F143" s="399">
        <v>-34004.65</v>
      </c>
      <c r="G143" s="399">
        <v>134305.54</v>
      </c>
      <c r="H143" s="399">
        <v>-32977.21</v>
      </c>
      <c r="I143" s="399">
        <v>134305.54</v>
      </c>
      <c r="J143" s="399">
        <v>-31949.770000000004</v>
      </c>
      <c r="K143" s="399">
        <v>134305.54</v>
      </c>
      <c r="L143" s="399">
        <v>-30922.33</v>
      </c>
      <c r="M143" s="399">
        <v>134305.54</v>
      </c>
      <c r="N143" s="399">
        <v>-29894.890000000003</v>
      </c>
      <c r="O143" s="399">
        <v>134305.54</v>
      </c>
      <c r="P143" s="399">
        <v>-28867.45</v>
      </c>
      <c r="Q143" s="399">
        <v>134305.54</v>
      </c>
      <c r="R143" s="399">
        <v>-27840.01</v>
      </c>
      <c r="S143" s="399">
        <v>134305.54</v>
      </c>
      <c r="T143" s="399">
        <v>-26812.57</v>
      </c>
      <c r="U143" s="399">
        <v>134305.54</v>
      </c>
      <c r="V143" s="399">
        <v>-25785.129999999997</v>
      </c>
      <c r="W143" s="399">
        <v>134305.54</v>
      </c>
      <c r="X143" s="399">
        <v>-24757.690000000002</v>
      </c>
      <c r="Y143" s="399">
        <v>134305.54</v>
      </c>
      <c r="Z143" s="399">
        <v>-23730.25</v>
      </c>
      <c r="AA143" s="399">
        <v>134305.54</v>
      </c>
      <c r="AB143" s="399">
        <v>-22702.81</v>
      </c>
      <c r="AC143" s="399">
        <v>134305.54</v>
      </c>
      <c r="AD143" s="399">
        <v>-21675.370000000003</v>
      </c>
      <c r="AE143" s="399">
        <f t="shared" si="6"/>
        <v>134305.54</v>
      </c>
      <c r="AF143" s="399">
        <f t="shared" si="6"/>
        <v>-27840.010000000006</v>
      </c>
    </row>
    <row r="144" spans="1:32">
      <c r="A144" s="393">
        <v>135</v>
      </c>
      <c r="C144" s="16" t="s">
        <v>938</v>
      </c>
      <c r="D144" s="16" t="s">
        <v>906</v>
      </c>
      <c r="E144" s="399">
        <v>59484.53</v>
      </c>
      <c r="F144" s="399">
        <v>18006.25</v>
      </c>
      <c r="G144" s="399">
        <v>59484.530000000006</v>
      </c>
      <c r="H144" s="399">
        <v>18527.240000000002</v>
      </c>
      <c r="I144" s="399">
        <v>59484.530000000006</v>
      </c>
      <c r="J144" s="399">
        <v>19048.23</v>
      </c>
      <c r="K144" s="399">
        <v>59484.530000000006</v>
      </c>
      <c r="L144" s="399">
        <v>19569.22</v>
      </c>
      <c r="M144" s="399">
        <v>59484.530000000006</v>
      </c>
      <c r="N144" s="399">
        <v>20090.21</v>
      </c>
      <c r="O144" s="399">
        <v>59484.530000000006</v>
      </c>
      <c r="P144" s="399">
        <v>20611.2</v>
      </c>
      <c r="Q144" s="399">
        <v>59484.530000000006</v>
      </c>
      <c r="R144" s="399">
        <v>21132.190000000002</v>
      </c>
      <c r="S144" s="399">
        <v>59484.530000000006</v>
      </c>
      <c r="T144" s="399">
        <v>21653.18</v>
      </c>
      <c r="U144" s="399">
        <v>59484.530000000006</v>
      </c>
      <c r="V144" s="399">
        <v>22174.170000000002</v>
      </c>
      <c r="W144" s="399">
        <v>59484.530000000006</v>
      </c>
      <c r="X144" s="399">
        <v>22695.16</v>
      </c>
      <c r="Y144" s="399">
        <v>59484.530000000006</v>
      </c>
      <c r="Z144" s="399">
        <v>23216.15</v>
      </c>
      <c r="AA144" s="399">
        <v>59484.530000000006</v>
      </c>
      <c r="AB144" s="399">
        <v>23737.14</v>
      </c>
      <c r="AC144" s="399">
        <v>59484.530000000006</v>
      </c>
      <c r="AD144" s="399">
        <v>24258.129999999997</v>
      </c>
      <c r="AE144" s="399">
        <f t="shared" si="6"/>
        <v>59484.530000000021</v>
      </c>
      <c r="AF144" s="399">
        <f t="shared" si="6"/>
        <v>21132.190000000002</v>
      </c>
    </row>
    <row r="145" spans="1:32">
      <c r="A145" s="393">
        <v>136</v>
      </c>
      <c r="C145" s="16" t="s">
        <v>939</v>
      </c>
      <c r="D145" s="16" t="s">
        <v>906</v>
      </c>
      <c r="E145" s="399">
        <v>17021371.539999999</v>
      </c>
      <c r="F145" s="399">
        <v>-4862761.5600000005</v>
      </c>
      <c r="G145" s="399">
        <v>17412554.27</v>
      </c>
      <c r="H145" s="399">
        <v>-4765377.12</v>
      </c>
      <c r="I145" s="399">
        <v>17672094.510000002</v>
      </c>
      <c r="J145" s="399">
        <v>-4656210.95</v>
      </c>
      <c r="K145" s="399">
        <v>18683811.460000001</v>
      </c>
      <c r="L145" s="399">
        <v>-4554812.99</v>
      </c>
      <c r="M145" s="399">
        <v>20220243.52</v>
      </c>
      <c r="N145" s="399">
        <v>-4250271.2699999996</v>
      </c>
      <c r="O145" s="399">
        <v>20744219.199999999</v>
      </c>
      <c r="P145" s="399">
        <v>-4134519.9699999997</v>
      </c>
      <c r="Q145" s="399">
        <v>21913827.629999999</v>
      </c>
      <c r="R145" s="399">
        <v>-4016222.31</v>
      </c>
      <c r="S145" s="399">
        <v>22160868.489999998</v>
      </c>
      <c r="T145" s="399">
        <v>-7188191.3700000001</v>
      </c>
      <c r="U145" s="399">
        <v>22823927.759999998</v>
      </c>
      <c r="V145" s="399">
        <v>-7061413.1799999997</v>
      </c>
      <c r="W145" s="399">
        <v>23098590.809999999</v>
      </c>
      <c r="X145" s="399">
        <v>-6930365.79</v>
      </c>
      <c r="Y145" s="399">
        <v>23580421.120000001</v>
      </c>
      <c r="Z145" s="399">
        <v>-6798365.2600000007</v>
      </c>
      <c r="AA145" s="399">
        <v>23884955.82</v>
      </c>
      <c r="AB145" s="399">
        <v>-6663829.2800000003</v>
      </c>
      <c r="AC145" s="399">
        <v>21564736.030000001</v>
      </c>
      <c r="AD145" s="399">
        <v>-7585645.2999999998</v>
      </c>
      <c r="AE145" s="399">
        <f t="shared" si="6"/>
        <v>20957380.697916668</v>
      </c>
      <c r="AF145" s="399">
        <f t="shared" si="6"/>
        <v>-5603648.5766666653</v>
      </c>
    </row>
    <row r="146" spans="1:32">
      <c r="A146" s="393">
        <v>137</v>
      </c>
      <c r="C146" s="16" t="s">
        <v>940</v>
      </c>
      <c r="D146" s="16" t="s">
        <v>906</v>
      </c>
      <c r="E146" s="399">
        <v>47999110.489999995</v>
      </c>
      <c r="F146" s="399">
        <v>13548823.51</v>
      </c>
      <c r="G146" s="399">
        <v>48009282.969999999</v>
      </c>
      <c r="H146" s="399">
        <v>13474287.790000001</v>
      </c>
      <c r="I146" s="399">
        <v>48089973.710000001</v>
      </c>
      <c r="J146" s="399">
        <v>13437449.34</v>
      </c>
      <c r="K146" s="399">
        <v>48071645.740000002</v>
      </c>
      <c r="L146" s="399">
        <v>13436451.07</v>
      </c>
      <c r="M146" s="399">
        <v>46600891.990000002</v>
      </c>
      <c r="N146" s="399">
        <v>12994044.439999999</v>
      </c>
      <c r="O146" s="399">
        <v>46481176.849999994</v>
      </c>
      <c r="P146" s="399">
        <v>12910434.1</v>
      </c>
      <c r="Q146" s="399">
        <v>46438987.949999996</v>
      </c>
      <c r="R146" s="399">
        <v>12858897.640000001</v>
      </c>
      <c r="S146" s="399">
        <v>43339141.289999999</v>
      </c>
      <c r="T146" s="399">
        <v>11874761.520000001</v>
      </c>
      <c r="U146" s="399">
        <v>43721819.159999996</v>
      </c>
      <c r="V146" s="399">
        <v>11856747.109999999</v>
      </c>
      <c r="W146" s="399">
        <v>43804745.420000002</v>
      </c>
      <c r="X146" s="399">
        <v>11939454.220000001</v>
      </c>
      <c r="Y146" s="399">
        <v>44252641.890000001</v>
      </c>
      <c r="Z146" s="399">
        <v>11918561.15</v>
      </c>
      <c r="AA146" s="399">
        <v>44159593.710000001</v>
      </c>
      <c r="AB146" s="399">
        <v>11831499.850000001</v>
      </c>
      <c r="AC146" s="399">
        <v>43437209.129999995</v>
      </c>
      <c r="AD146" s="399">
        <v>11331238.5</v>
      </c>
      <c r="AE146" s="399">
        <f t="shared" si="6"/>
        <v>45724005.040833332</v>
      </c>
      <c r="AF146" s="399">
        <f t="shared" si="6"/>
        <v>12581051.602916665</v>
      </c>
    </row>
    <row r="147" spans="1:32">
      <c r="A147" s="393">
        <v>138</v>
      </c>
      <c r="C147" s="16" t="s">
        <v>941</v>
      </c>
      <c r="D147" s="16" t="s">
        <v>906</v>
      </c>
      <c r="E147" s="399">
        <v>11160435.100000001</v>
      </c>
      <c r="F147" s="399">
        <v>3817599.66</v>
      </c>
      <c r="G147" s="399">
        <v>11147001.08</v>
      </c>
      <c r="H147" s="399">
        <v>3784245.81</v>
      </c>
      <c r="I147" s="399">
        <v>11166514.960000001</v>
      </c>
      <c r="J147" s="399">
        <v>3768799.29</v>
      </c>
      <c r="K147" s="399">
        <v>11197446</v>
      </c>
      <c r="L147" s="399">
        <v>3764153.41</v>
      </c>
      <c r="M147" s="399">
        <v>11194610.42</v>
      </c>
      <c r="N147" s="399">
        <v>3758857.4299999997</v>
      </c>
      <c r="O147" s="399">
        <v>11200511.59</v>
      </c>
      <c r="P147" s="399">
        <v>3729989</v>
      </c>
      <c r="Q147" s="399">
        <v>11198864.199999999</v>
      </c>
      <c r="R147" s="399">
        <v>3712882.8200000003</v>
      </c>
      <c r="S147" s="399">
        <v>11244447.940000001</v>
      </c>
      <c r="T147" s="399">
        <v>3706207.75</v>
      </c>
      <c r="U147" s="399">
        <v>11329959.15</v>
      </c>
      <c r="V147" s="399">
        <v>3702227.91</v>
      </c>
      <c r="W147" s="399">
        <v>11395118.559999999</v>
      </c>
      <c r="X147" s="399">
        <v>3724132.5</v>
      </c>
      <c r="Y147" s="399">
        <v>11443243.83</v>
      </c>
      <c r="Z147" s="399">
        <v>3722911.8699999996</v>
      </c>
      <c r="AA147" s="399">
        <v>11489303.620000001</v>
      </c>
      <c r="AB147" s="399">
        <v>3685039.1999999997</v>
      </c>
      <c r="AC147" s="399">
        <v>11519764.66</v>
      </c>
      <c r="AD147" s="399">
        <v>3690670.4400000004</v>
      </c>
      <c r="AE147" s="399">
        <f t="shared" si="6"/>
        <v>11278926.769166669</v>
      </c>
      <c r="AF147" s="399">
        <f t="shared" si="6"/>
        <v>3734465.17</v>
      </c>
    </row>
    <row r="148" spans="1:32">
      <c r="A148" s="393">
        <v>139</v>
      </c>
      <c r="B148" s="400" t="s">
        <v>902</v>
      </c>
      <c r="C148" s="401"/>
      <c r="D148" s="400" t="s">
        <v>942</v>
      </c>
      <c r="E148" s="402">
        <f t="shared" ref="E148:AF148" si="7">SUM(E94:E147)</f>
        <v>134383391.37</v>
      </c>
      <c r="F148" s="402">
        <f t="shared" si="7"/>
        <v>42166042.000000015</v>
      </c>
      <c r="G148" s="402">
        <f t="shared" si="7"/>
        <v>134719534.23000002</v>
      </c>
      <c r="H148" s="402">
        <f t="shared" si="7"/>
        <v>42438843.960000016</v>
      </c>
      <c r="I148" s="402">
        <f t="shared" si="7"/>
        <v>135087471.58000001</v>
      </c>
      <c r="J148" s="402">
        <f t="shared" si="7"/>
        <v>42846116.970000006</v>
      </c>
      <c r="K148" s="402">
        <f t="shared" si="7"/>
        <v>135982515.55000001</v>
      </c>
      <c r="L148" s="402">
        <f t="shared" si="7"/>
        <v>43130080.810000002</v>
      </c>
      <c r="M148" s="402">
        <f t="shared" si="7"/>
        <v>136140201.81999999</v>
      </c>
      <c r="N148" s="402">
        <f t="shared" si="7"/>
        <v>43314657.590000004</v>
      </c>
      <c r="O148" s="402">
        <f t="shared" si="7"/>
        <v>136621408.73999998</v>
      </c>
      <c r="P148" s="402">
        <f t="shared" si="7"/>
        <v>43656049.939999998</v>
      </c>
      <c r="Q148" s="402">
        <f t="shared" si="7"/>
        <v>137756040.33999997</v>
      </c>
      <c r="R148" s="402">
        <f t="shared" si="7"/>
        <v>44054576.300000004</v>
      </c>
      <c r="S148" s="402">
        <f t="shared" si="7"/>
        <v>134966712.62</v>
      </c>
      <c r="T148" s="402">
        <f t="shared" si="7"/>
        <v>40240929.200000003</v>
      </c>
      <c r="U148" s="402">
        <f t="shared" si="7"/>
        <v>136228936.41</v>
      </c>
      <c r="V148" s="402">
        <f t="shared" si="7"/>
        <v>40694995.439999998</v>
      </c>
      <c r="W148" s="402">
        <f t="shared" si="7"/>
        <v>137280502.25999999</v>
      </c>
      <c r="X148" s="402">
        <f t="shared" si="7"/>
        <v>41253544.970000006</v>
      </c>
      <c r="Y148" s="402">
        <f t="shared" si="7"/>
        <v>138400175.55000001</v>
      </c>
      <c r="Z148" s="402">
        <f t="shared" si="7"/>
        <v>41708111.350000001</v>
      </c>
      <c r="AA148" s="402">
        <f t="shared" si="7"/>
        <v>138777723.23000002</v>
      </c>
      <c r="AB148" s="402">
        <f t="shared" si="7"/>
        <v>42019372.900000013</v>
      </c>
      <c r="AC148" s="402">
        <f t="shared" si="7"/>
        <v>137725802.91999999</v>
      </c>
      <c r="AD148" s="402">
        <f t="shared" si="7"/>
        <v>40957731.18</v>
      </c>
      <c r="AE148" s="402">
        <f t="shared" si="7"/>
        <v>136501318.28958336</v>
      </c>
      <c r="AF148" s="402">
        <f t="shared" si="7"/>
        <v>42243263.835000008</v>
      </c>
    </row>
    <row r="149" spans="1:32">
      <c r="A149" s="393">
        <v>140</v>
      </c>
      <c r="B149" s="1048" t="s">
        <v>943</v>
      </c>
      <c r="C149" s="1048"/>
      <c r="D149" s="403"/>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row>
    <row r="150" spans="1:32">
      <c r="A150" s="393">
        <v>141</v>
      </c>
      <c r="C150" s="16" t="s">
        <v>944</v>
      </c>
      <c r="E150" s="399">
        <v>87719.71</v>
      </c>
      <c r="F150" s="399">
        <v>31955.280000000002</v>
      </c>
      <c r="G150" s="399">
        <v>87719.71</v>
      </c>
      <c r="H150" s="399">
        <v>32026.15</v>
      </c>
      <c r="I150" s="399">
        <v>87719.71</v>
      </c>
      <c r="J150" s="399">
        <v>32097.010000000002</v>
      </c>
      <c r="K150" s="399">
        <v>87719.71</v>
      </c>
      <c r="L150" s="399">
        <v>32167.88</v>
      </c>
      <c r="M150" s="399">
        <v>87719.71</v>
      </c>
      <c r="N150" s="399">
        <v>32238.74</v>
      </c>
      <c r="O150" s="399">
        <v>87719.71</v>
      </c>
      <c r="P150" s="399">
        <v>32309.61</v>
      </c>
      <c r="Q150" s="399">
        <v>87719.71</v>
      </c>
      <c r="R150" s="399">
        <v>32380.47</v>
      </c>
      <c r="S150" s="399">
        <v>87719.71</v>
      </c>
      <c r="T150" s="399">
        <v>32451.34</v>
      </c>
      <c r="U150" s="399">
        <v>87719.71</v>
      </c>
      <c r="V150" s="399">
        <v>32522.2</v>
      </c>
      <c r="W150" s="399">
        <v>87719.71</v>
      </c>
      <c r="X150" s="399">
        <v>32593.07</v>
      </c>
      <c r="Y150" s="399">
        <v>87719.71</v>
      </c>
      <c r="Z150" s="399">
        <v>32663.93</v>
      </c>
      <c r="AA150" s="399">
        <v>87719.71</v>
      </c>
      <c r="AB150" s="399">
        <v>32734.799999999999</v>
      </c>
      <c r="AC150" s="399">
        <v>86636.74</v>
      </c>
      <c r="AD150" s="399">
        <v>32361.68</v>
      </c>
      <c r="AE150" s="399">
        <f t="shared" ref="AE150:AF152" si="8">+(E150+AC150+(+G150+I150+K150+M150+O150+Q150+S150+U150+W150+Y150+AA150)*2)/24</f>
        <v>87674.586249999993</v>
      </c>
      <c r="AF150" s="399">
        <f t="shared" si="8"/>
        <v>32361.973333333332</v>
      </c>
    </row>
    <row r="151" spans="1:32">
      <c r="A151" s="393">
        <v>142</v>
      </c>
      <c r="C151" s="16" t="s">
        <v>945</v>
      </c>
      <c r="E151" s="399">
        <v>0</v>
      </c>
      <c r="F151" s="399">
        <v>0</v>
      </c>
      <c r="G151" s="399">
        <v>0</v>
      </c>
      <c r="H151" s="399">
        <v>0</v>
      </c>
      <c r="I151" s="399">
        <v>0</v>
      </c>
      <c r="J151" s="399">
        <v>0</v>
      </c>
      <c r="K151" s="399">
        <v>0</v>
      </c>
      <c r="L151" s="399">
        <v>0</v>
      </c>
      <c r="M151" s="399">
        <v>0</v>
      </c>
      <c r="N151" s="399">
        <v>0</v>
      </c>
      <c r="O151" s="399">
        <v>0</v>
      </c>
      <c r="P151" s="399">
        <v>0</v>
      </c>
      <c r="Q151" s="399">
        <v>0</v>
      </c>
      <c r="R151" s="399">
        <v>0</v>
      </c>
      <c r="S151" s="399">
        <v>0</v>
      </c>
      <c r="T151" s="399">
        <v>0</v>
      </c>
      <c r="U151" s="399">
        <v>0</v>
      </c>
      <c r="V151" s="399">
        <v>0</v>
      </c>
      <c r="W151" s="399">
        <v>0</v>
      </c>
      <c r="X151" s="399">
        <v>0</v>
      </c>
      <c r="Y151" s="399">
        <v>0</v>
      </c>
      <c r="Z151" s="399">
        <v>0</v>
      </c>
      <c r="AA151" s="399">
        <v>0</v>
      </c>
      <c r="AB151" s="399">
        <v>0</v>
      </c>
      <c r="AC151" s="399">
        <v>0</v>
      </c>
      <c r="AD151" s="399">
        <v>0</v>
      </c>
      <c r="AE151" s="399">
        <f t="shared" si="8"/>
        <v>0</v>
      </c>
      <c r="AF151" s="399">
        <f t="shared" si="8"/>
        <v>0</v>
      </c>
    </row>
    <row r="152" spans="1:32">
      <c r="A152" s="393">
        <v>143</v>
      </c>
      <c r="C152" s="16" t="s">
        <v>946</v>
      </c>
      <c r="E152" s="399">
        <v>22097038.48</v>
      </c>
      <c r="F152" s="399">
        <v>4372545.04</v>
      </c>
      <c r="G152" s="399">
        <v>22097038.48</v>
      </c>
      <c r="H152" s="399">
        <v>4398067.97</v>
      </c>
      <c r="I152" s="399">
        <v>22097038.48</v>
      </c>
      <c r="J152" s="399">
        <v>4423590.9000000004</v>
      </c>
      <c r="K152" s="399">
        <v>22097038.48</v>
      </c>
      <c r="L152" s="399">
        <v>4449113.83</v>
      </c>
      <c r="M152" s="399">
        <v>22097038.48</v>
      </c>
      <c r="N152" s="399">
        <v>4474636.7699999996</v>
      </c>
      <c r="O152" s="399">
        <v>22097038.48</v>
      </c>
      <c r="P152" s="399">
        <v>4500159.7</v>
      </c>
      <c r="Q152" s="399">
        <v>22097038.48</v>
      </c>
      <c r="R152" s="399">
        <v>4525682.63</v>
      </c>
      <c r="S152" s="399">
        <v>22097038.48</v>
      </c>
      <c r="T152" s="399">
        <v>4551205.54</v>
      </c>
      <c r="U152" s="399">
        <v>22097038.48</v>
      </c>
      <c r="V152" s="399">
        <v>4576728.4800000004</v>
      </c>
      <c r="W152" s="399">
        <v>22097038.48</v>
      </c>
      <c r="X152" s="399">
        <v>4602251.42</v>
      </c>
      <c r="Y152" s="399">
        <v>22097038.48</v>
      </c>
      <c r="Z152" s="399">
        <v>4627774.33</v>
      </c>
      <c r="AA152" s="399">
        <v>22097038.48</v>
      </c>
      <c r="AB152" s="399">
        <v>4653297.25</v>
      </c>
      <c r="AC152" s="399">
        <v>26251194.289999999</v>
      </c>
      <c r="AD152" s="399">
        <v>4656844.2300000004</v>
      </c>
      <c r="AE152" s="399">
        <f t="shared" si="8"/>
        <v>22270128.305416662</v>
      </c>
      <c r="AF152" s="399">
        <f t="shared" si="8"/>
        <v>4524766.9545833329</v>
      </c>
    </row>
    <row r="153" spans="1:32">
      <c r="A153" s="393">
        <v>144</v>
      </c>
      <c r="B153" s="1049" t="s">
        <v>943</v>
      </c>
      <c r="C153" s="1049"/>
      <c r="D153" s="400"/>
      <c r="E153" s="402">
        <f>SUM(E150:E152)</f>
        <v>22184758.190000001</v>
      </c>
      <c r="F153" s="402">
        <f t="shared" ref="F153:AF153" si="9">SUM(F150:F152)</f>
        <v>4404500.32</v>
      </c>
      <c r="G153" s="402">
        <f t="shared" si="9"/>
        <v>22184758.190000001</v>
      </c>
      <c r="H153" s="402">
        <f t="shared" si="9"/>
        <v>4430094.12</v>
      </c>
      <c r="I153" s="402">
        <f t="shared" si="9"/>
        <v>22184758.190000001</v>
      </c>
      <c r="J153" s="402">
        <f t="shared" si="9"/>
        <v>4455687.91</v>
      </c>
      <c r="K153" s="402">
        <f t="shared" si="9"/>
        <v>22184758.190000001</v>
      </c>
      <c r="L153" s="402">
        <f t="shared" si="9"/>
        <v>4481281.71</v>
      </c>
      <c r="M153" s="402">
        <f t="shared" si="9"/>
        <v>22184758.190000001</v>
      </c>
      <c r="N153" s="402">
        <f t="shared" si="9"/>
        <v>4506875.51</v>
      </c>
      <c r="O153" s="402">
        <f t="shared" si="9"/>
        <v>22184758.190000001</v>
      </c>
      <c r="P153" s="402">
        <f t="shared" si="9"/>
        <v>4532469.3100000005</v>
      </c>
      <c r="Q153" s="402">
        <f t="shared" si="9"/>
        <v>22184758.190000001</v>
      </c>
      <c r="R153" s="402">
        <f t="shared" si="9"/>
        <v>4558063.0999999996</v>
      </c>
      <c r="S153" s="402">
        <f t="shared" si="9"/>
        <v>22184758.190000001</v>
      </c>
      <c r="T153" s="402">
        <f t="shared" si="9"/>
        <v>4583656.88</v>
      </c>
      <c r="U153" s="402">
        <f t="shared" si="9"/>
        <v>22184758.190000001</v>
      </c>
      <c r="V153" s="402">
        <f t="shared" si="9"/>
        <v>4609250.6800000006</v>
      </c>
      <c r="W153" s="402">
        <f t="shared" si="9"/>
        <v>22184758.190000001</v>
      </c>
      <c r="X153" s="402">
        <f t="shared" si="9"/>
        <v>4634844.49</v>
      </c>
      <c r="Y153" s="402">
        <f t="shared" si="9"/>
        <v>22184758.190000001</v>
      </c>
      <c r="Z153" s="402">
        <f t="shared" si="9"/>
        <v>4660438.26</v>
      </c>
      <c r="AA153" s="402">
        <f t="shared" si="9"/>
        <v>22184758.190000001</v>
      </c>
      <c r="AB153" s="402">
        <f t="shared" si="9"/>
        <v>4686032.05</v>
      </c>
      <c r="AC153" s="402">
        <f t="shared" si="9"/>
        <v>26337831.029999997</v>
      </c>
      <c r="AD153" s="402">
        <f t="shared" si="9"/>
        <v>4689205.91</v>
      </c>
      <c r="AE153" s="402">
        <f t="shared" si="9"/>
        <v>22357802.891666662</v>
      </c>
      <c r="AF153" s="402">
        <f t="shared" si="9"/>
        <v>4557128.9279166665</v>
      </c>
    </row>
    <row r="154" spans="1:32">
      <c r="A154" s="393">
        <v>145</v>
      </c>
    </row>
    <row r="155" spans="1:32" ht="16.5" thickBot="1">
      <c r="A155" s="393">
        <v>146</v>
      </c>
      <c r="B155" s="405"/>
      <c r="C155" s="406" t="s">
        <v>947</v>
      </c>
      <c r="D155" s="405"/>
      <c r="E155" s="150">
        <f t="shared" ref="E155:AF155" si="10">SUM(E153,E148,E92,E47)</f>
        <v>1077226743.8999999</v>
      </c>
      <c r="F155" s="150">
        <f t="shared" si="10"/>
        <v>490935882.09999996</v>
      </c>
      <c r="G155" s="150">
        <f t="shared" si="10"/>
        <v>1081560217.4599998</v>
      </c>
      <c r="H155" s="150">
        <f t="shared" si="10"/>
        <v>493107419.64999986</v>
      </c>
      <c r="I155" s="150">
        <f t="shared" si="10"/>
        <v>1083611349.3599997</v>
      </c>
      <c r="J155" s="150">
        <f t="shared" si="10"/>
        <v>495107405.38999999</v>
      </c>
      <c r="K155" s="150">
        <f t="shared" si="10"/>
        <v>1087256406.2399998</v>
      </c>
      <c r="L155" s="150">
        <f t="shared" si="10"/>
        <v>497302605.19999993</v>
      </c>
      <c r="M155" s="150">
        <f t="shared" si="10"/>
        <v>1092877865.8399997</v>
      </c>
      <c r="N155" s="150">
        <f t="shared" si="10"/>
        <v>499612533.12000006</v>
      </c>
      <c r="O155" s="150">
        <f t="shared" si="10"/>
        <v>1097878956.9999995</v>
      </c>
      <c r="P155" s="150">
        <f t="shared" si="10"/>
        <v>501747734.64999998</v>
      </c>
      <c r="Q155" s="150">
        <f t="shared" si="10"/>
        <v>1105057401.5999997</v>
      </c>
      <c r="R155" s="150">
        <f t="shared" si="10"/>
        <v>504191621.81000006</v>
      </c>
      <c r="S155" s="150">
        <f t="shared" si="10"/>
        <v>1105475242.7299998</v>
      </c>
      <c r="T155" s="150">
        <f t="shared" si="10"/>
        <v>502359336.15000004</v>
      </c>
      <c r="U155" s="150">
        <f t="shared" si="10"/>
        <v>1109924586.79</v>
      </c>
      <c r="V155" s="150">
        <f t="shared" si="10"/>
        <v>504900056.22000003</v>
      </c>
      <c r="W155" s="150">
        <f t="shared" si="10"/>
        <v>1116902344.1899998</v>
      </c>
      <c r="X155" s="150">
        <f t="shared" si="10"/>
        <v>507268162.17000008</v>
      </c>
      <c r="Y155" s="150">
        <f t="shared" si="10"/>
        <v>1126455397.8599997</v>
      </c>
      <c r="Z155" s="150">
        <f t="shared" si="10"/>
        <v>509790469.87999988</v>
      </c>
      <c r="AA155" s="150">
        <f t="shared" si="10"/>
        <v>1132468897.4099996</v>
      </c>
      <c r="AB155" s="150">
        <f t="shared" si="10"/>
        <v>511853411.42999995</v>
      </c>
      <c r="AC155" s="150">
        <f t="shared" si="10"/>
        <v>1148216101.98</v>
      </c>
      <c r="AD155" s="150">
        <f t="shared" si="10"/>
        <v>512376596.41999996</v>
      </c>
      <c r="AE155" s="150">
        <f t="shared" si="10"/>
        <v>1104349174.1183331</v>
      </c>
      <c r="AF155" s="150">
        <f t="shared" si="10"/>
        <v>502408082.9108333</v>
      </c>
    </row>
    <row r="156" spans="1:32" ht="16.5" thickTop="1">
      <c r="A156" s="393">
        <v>147</v>
      </c>
      <c r="F156" s="378"/>
      <c r="H156" s="378"/>
      <c r="J156" s="378"/>
      <c r="L156" s="378"/>
      <c r="N156" s="378"/>
      <c r="P156" s="378"/>
      <c r="R156" s="378"/>
      <c r="T156" s="378"/>
    </row>
    <row r="157" spans="1:32">
      <c r="A157" s="393">
        <v>148</v>
      </c>
      <c r="F157" s="378"/>
      <c r="H157" s="378"/>
      <c r="I157" s="378"/>
      <c r="J157" s="378"/>
      <c r="K157" s="378"/>
      <c r="L157" s="378"/>
      <c r="M157" s="378"/>
      <c r="N157" s="378"/>
      <c r="O157" s="378"/>
      <c r="P157" s="378"/>
      <c r="Q157" s="378"/>
      <c r="R157" s="378"/>
      <c r="S157" s="378"/>
      <c r="T157" s="378"/>
      <c r="X157" s="407"/>
      <c r="Y157" s="407"/>
      <c r="Z157" s="407"/>
      <c r="AC157" s="737"/>
      <c r="AD157" s="737"/>
      <c r="AE157" s="378"/>
    </row>
    <row r="158" spans="1:32" ht="30">
      <c r="A158" s="393">
        <v>149</v>
      </c>
      <c r="B158" s="408" t="s">
        <v>1094</v>
      </c>
      <c r="D158" s="409"/>
      <c r="X158" s="407"/>
      <c r="AA158" s="410"/>
      <c r="AB158" s="410"/>
      <c r="AC158" s="737"/>
      <c r="AD158" s="737"/>
      <c r="AE158" s="378"/>
      <c r="AF158" s="378"/>
    </row>
    <row r="159" spans="1:32">
      <c r="A159" s="393">
        <v>150</v>
      </c>
    </row>
    <row r="160" spans="1:32">
      <c r="A160" s="393">
        <v>151</v>
      </c>
      <c r="Q160" s="378"/>
    </row>
    <row r="161" spans="1:32">
      <c r="A161" s="393">
        <v>152</v>
      </c>
      <c r="D161" s="410" t="s">
        <v>948</v>
      </c>
      <c r="F161" s="378">
        <f>E92</f>
        <v>716908411.13999987</v>
      </c>
      <c r="H161" s="378">
        <f>G92</f>
        <v>719814865.54999983</v>
      </c>
      <c r="J161" s="378">
        <f>I92</f>
        <v>719822123.01999986</v>
      </c>
      <c r="L161" s="378">
        <f>K92</f>
        <v>721408629.44999981</v>
      </c>
      <c r="N161" s="378">
        <f>M92</f>
        <v>726009290.69999981</v>
      </c>
      <c r="P161" s="378">
        <f>O92</f>
        <v>729343349.84999967</v>
      </c>
      <c r="R161" s="378">
        <f>Q92</f>
        <v>732720558.29999971</v>
      </c>
      <c r="T161" s="378">
        <f>S92</f>
        <v>735226566.68999982</v>
      </c>
      <c r="V161" s="378">
        <f>U92</f>
        <v>737790044.5799998</v>
      </c>
      <c r="X161" s="378">
        <f>W92</f>
        <v>743022076.07999969</v>
      </c>
      <c r="Z161" s="378">
        <f>Y92</f>
        <v>748441437.37999976</v>
      </c>
      <c r="AB161" s="378">
        <f>AA92</f>
        <v>753183631.21999967</v>
      </c>
      <c r="AD161" s="378">
        <f>AC92</f>
        <v>764082473.55999994</v>
      </c>
    </row>
    <row r="162" spans="1:32">
      <c r="A162" s="393">
        <v>153</v>
      </c>
      <c r="D162" s="410" t="s">
        <v>949</v>
      </c>
      <c r="E162" s="239">
        <v>0.74850000000000005</v>
      </c>
      <c r="F162" s="378">
        <f>E162*SUM(E94:E144)</f>
        <v>43564551.96864</v>
      </c>
      <c r="G162" s="239">
        <f>+'State Allocation Formulas'!C21</f>
        <v>0.75170000000000003</v>
      </c>
      <c r="H162" s="378">
        <f>G162*SUM(G94:G144)</f>
        <v>43711878.115547001</v>
      </c>
      <c r="I162" s="239">
        <f>+G162</f>
        <v>0.75170000000000003</v>
      </c>
      <c r="J162" s="378">
        <f>I162*SUM(I94:I144)</f>
        <v>43718036.410280004</v>
      </c>
      <c r="K162" s="239">
        <f>+I162</f>
        <v>0.75170000000000003</v>
      </c>
      <c r="L162" s="378">
        <f>K162*SUM(K94:K144)</f>
        <v>43620859.603495002</v>
      </c>
      <c r="M162" s="239">
        <f>+K162</f>
        <v>0.75170000000000003</v>
      </c>
      <c r="N162" s="378">
        <f>M162*SUM(M94:M144)</f>
        <v>43692153.492513001</v>
      </c>
      <c r="O162" s="239">
        <f>+M162</f>
        <v>0.75170000000000003</v>
      </c>
      <c r="P162" s="378">
        <f>O162*SUM(O94:O144)</f>
        <v>43745558.176869996</v>
      </c>
      <c r="Q162" s="239">
        <f>+O162</f>
        <v>0.75170000000000003</v>
      </c>
      <c r="R162" s="378">
        <f>Q162*SUM(Q94:Q144)</f>
        <v>43752217.832952</v>
      </c>
      <c r="S162" s="239">
        <f>+Q162</f>
        <v>0.75170000000000003</v>
      </c>
      <c r="T162" s="378">
        <f>S162*SUM(S94:S144)</f>
        <v>43765669.008330002</v>
      </c>
      <c r="U162" s="239">
        <f>+S162</f>
        <v>0.75170000000000003</v>
      </c>
      <c r="V162" s="378">
        <f>U162*SUM(U94:U144)</f>
        <v>43864123.246578</v>
      </c>
      <c r="W162" s="239">
        <f>+U162</f>
        <v>0.75170000000000003</v>
      </c>
      <c r="X162" s="378">
        <f>W162*SUM(W94:W144)</f>
        <v>44336805.083198994</v>
      </c>
      <c r="Y162" s="239">
        <f>+W162</f>
        <v>0.75170000000000003</v>
      </c>
      <c r="Z162" s="378">
        <f>Y162*SUM(Y94:Y144)</f>
        <v>44443412.109306999</v>
      </c>
      <c r="AA162" s="239">
        <f>+Y162</f>
        <v>0.75170000000000003</v>
      </c>
      <c r="AB162" s="378">
        <f>AA162*SUM(AA94:AA144)</f>
        <v>44533617.139136001</v>
      </c>
      <c r="AC162" s="239">
        <f>+AA162</f>
        <v>0.75170000000000003</v>
      </c>
      <c r="AD162" s="378">
        <f>AC162*SUM(AC94:AC144)</f>
        <v>46007116.783269994</v>
      </c>
      <c r="AE162" s="378"/>
    </row>
    <row r="163" spans="1:32">
      <c r="A163" s="393">
        <v>154</v>
      </c>
      <c r="D163" s="410" t="s">
        <v>950</v>
      </c>
      <c r="E163" s="239">
        <v>0.74490000000000001</v>
      </c>
      <c r="F163" s="378">
        <f>SUM(E145:E147)*E163</f>
        <v>56747165.170136996</v>
      </c>
      <c r="G163" s="239">
        <f>+'State Allocation Formulas'!C16</f>
        <v>0.74299999999999999</v>
      </c>
      <c r="H163" s="378">
        <f>SUM(G145:G147)*G163</f>
        <v>56890646.871759996</v>
      </c>
      <c r="I163" s="239">
        <f>+G163</f>
        <v>0.74299999999999999</v>
      </c>
      <c r="J163" s="378">
        <f>SUM(I145:I147)*I163</f>
        <v>57157937.302740008</v>
      </c>
      <c r="K163" s="239">
        <f>+I163</f>
        <v>0.74299999999999999</v>
      </c>
      <c r="L163" s="378">
        <f>SUM(K145:K147)*K163</f>
        <v>57919007.077600002</v>
      </c>
      <c r="M163" s="239">
        <f>+K163</f>
        <v>0.74299999999999999</v>
      </c>
      <c r="N163" s="378">
        <f>SUM(M145:M147)*M163</f>
        <v>57965699.225990005</v>
      </c>
      <c r="O163" s="239">
        <f>+M163</f>
        <v>0.74299999999999999</v>
      </c>
      <c r="P163" s="378">
        <f>SUM(O145:O147)*O163</f>
        <v>58270449.37652</v>
      </c>
      <c r="Q163" s="239">
        <f>+O163</f>
        <v>0.74299999999999999</v>
      </c>
      <c r="R163" s="378">
        <f>SUM(Q145:Q147)*Q163</f>
        <v>59106898.076540001</v>
      </c>
      <c r="S163" s="239">
        <f>+Q163</f>
        <v>0.74299999999999999</v>
      </c>
      <c r="T163" s="378">
        <f>SUM(S145:S147)*S163</f>
        <v>57021132.085960001</v>
      </c>
      <c r="U163" s="239">
        <f>+S163</f>
        <v>0.74299999999999999</v>
      </c>
      <c r="V163" s="378">
        <f>SUM(U145:U147)*U163</f>
        <v>57861649.610009991</v>
      </c>
      <c r="W163" s="239">
        <f>+U163</f>
        <v>0.74299999999999999</v>
      </c>
      <c r="X163" s="378">
        <f>SUM(W145:W147)*W163</f>
        <v>58175751.908970006</v>
      </c>
      <c r="Y163" s="239">
        <f>+W163</f>
        <v>0.74299999999999999</v>
      </c>
      <c r="Z163" s="378">
        <f>SUM(Y145:Y147)*Y163</f>
        <v>58902295.98212</v>
      </c>
      <c r="AA163" s="239">
        <f>+Y163</f>
        <v>0.74299999999999999</v>
      </c>
      <c r="AB163" s="378">
        <f>SUM(AA145:AA147)*AA163</f>
        <v>59093652.890450001</v>
      </c>
      <c r="AC163" s="239">
        <f>+AA163</f>
        <v>0.74299999999999999</v>
      </c>
      <c r="AD163" s="378">
        <f>SUM(AC145:AC147)*AC163</f>
        <v>56855630.396259993</v>
      </c>
    </row>
    <row r="164" spans="1:32">
      <c r="A164" s="393">
        <v>155</v>
      </c>
      <c r="F164" s="378"/>
      <c r="H164" s="378"/>
      <c r="J164" s="378"/>
      <c r="L164" s="378"/>
      <c r="N164" s="378"/>
      <c r="P164" s="378"/>
      <c r="R164" s="378"/>
      <c r="T164" s="378"/>
      <c r="V164" s="378"/>
      <c r="X164" s="378"/>
      <c r="Z164" s="378"/>
      <c r="AB164" s="378"/>
      <c r="AD164" s="378"/>
    </row>
    <row r="165" spans="1:32">
      <c r="A165" s="393">
        <v>156</v>
      </c>
      <c r="D165" s="410" t="s">
        <v>951</v>
      </c>
      <c r="F165" s="378">
        <f>SUM(F161:F163)</f>
        <v>817220128.27877688</v>
      </c>
      <c r="H165" s="378">
        <f>SUM(H161:H163)</f>
        <v>820417390.5373069</v>
      </c>
      <c r="J165" s="378">
        <f>SUM(J161:J163)</f>
        <v>820698096.73301983</v>
      </c>
      <c r="L165" s="378">
        <f>SUM(L161:L163)</f>
        <v>822948496.13109481</v>
      </c>
      <c r="N165" s="378">
        <f>SUM(N161:N163)</f>
        <v>827667143.41850281</v>
      </c>
      <c r="P165" s="378">
        <f>SUM(P161:P163)</f>
        <v>831359357.40338969</v>
      </c>
      <c r="R165" s="378">
        <f>SUM(R161:R163)</f>
        <v>835579674.20949173</v>
      </c>
      <c r="T165" s="378">
        <f>SUM(T161:T163)</f>
        <v>836013367.78428984</v>
      </c>
      <c r="V165" s="378">
        <f>SUM(V161:V163)</f>
        <v>839515817.43658781</v>
      </c>
      <c r="X165" s="378">
        <f>SUM(X161:X163)</f>
        <v>845534633.07216871</v>
      </c>
      <c r="Z165" s="378">
        <f>SUM(Z161:Z163)</f>
        <v>851787145.47142684</v>
      </c>
      <c r="AB165" s="378">
        <f>SUM(AB161:AB163)</f>
        <v>856810901.24958563</v>
      </c>
      <c r="AD165" s="378">
        <f>SUM(AD161:AD163)</f>
        <v>866945220.73952997</v>
      </c>
      <c r="AE165" s="16" t="s">
        <v>959</v>
      </c>
      <c r="AF165" s="399">
        <f t="shared" ref="AF165" si="11">+(F165+AD165+(+H165+J165+L165+N165+P165+R165+T165+V165+X165+Z165+AB165)*2)/24</f>
        <v>835867891.49633491</v>
      </c>
    </row>
    <row r="166" spans="1:32">
      <c r="A166" s="393">
        <v>157</v>
      </c>
      <c r="AB166" s="378"/>
      <c r="AD166" s="378"/>
    </row>
    <row r="167" spans="1:32">
      <c r="A167" s="393">
        <v>158</v>
      </c>
      <c r="D167" s="410" t="s">
        <v>948</v>
      </c>
      <c r="F167" s="378">
        <f>F92</f>
        <v>349691372.54999995</v>
      </c>
      <c r="H167" s="378">
        <f>H92</f>
        <v>351122100.51999992</v>
      </c>
      <c r="J167" s="378">
        <f>J92</f>
        <v>352161619.25</v>
      </c>
      <c r="L167" s="378">
        <f>L92</f>
        <v>353579319.95999998</v>
      </c>
      <c r="N167" s="378">
        <f>N92</f>
        <v>355202929.90000004</v>
      </c>
      <c r="P167" s="378">
        <f>P92</f>
        <v>356554963.54000002</v>
      </c>
      <c r="R167" s="378">
        <f>R92</f>
        <v>358089078.43000007</v>
      </c>
      <c r="T167" s="378">
        <f>T92</f>
        <v>359533201.34000003</v>
      </c>
      <c r="V167" s="378">
        <f>V92</f>
        <v>361133539.03000003</v>
      </c>
      <c r="X167" s="378">
        <f>X92</f>
        <v>362566654.5</v>
      </c>
      <c r="Z167" s="378">
        <f>Z92</f>
        <v>364082428.88999987</v>
      </c>
      <c r="AB167" s="378">
        <f>AB92</f>
        <v>365355850.14999998</v>
      </c>
      <c r="AD167" s="378">
        <f>AD92</f>
        <v>366495933.66000003</v>
      </c>
    </row>
    <row r="168" spans="1:32">
      <c r="A168" s="393">
        <v>159</v>
      </c>
      <c r="D168" s="410" t="s">
        <v>949</v>
      </c>
      <c r="F168" s="378">
        <f>E162*SUM(F94:F144)</f>
        <v>22202291.72191501</v>
      </c>
      <c r="H168" s="378">
        <f>G162*SUM(H94:H144)</f>
        <v>22510173.278716009</v>
      </c>
      <c r="J168" s="378">
        <f>I162*SUM(J94:J144)</f>
        <v>22773562.802293006</v>
      </c>
      <c r="L168" s="378">
        <f>K162*SUM(L94:L144)</f>
        <v>22915040.281844005</v>
      </c>
      <c r="N168" s="378">
        <f>M162*SUM(N94:N144)</f>
        <v>23161400.688383002</v>
      </c>
      <c r="P168" s="378">
        <f>O162*SUM(P94:P144)</f>
        <v>23415565.357076999</v>
      </c>
      <c r="R168" s="378">
        <f>Q162*SUM(R94:R144)</f>
        <v>23677811.943355002</v>
      </c>
      <c r="T168" s="378">
        <f>S162*SUM(T94:T144)</f>
        <v>23940255.332210001</v>
      </c>
      <c r="V168" s="378">
        <f>U162*SUM(V94:V144)</f>
        <v>24202810.837119997</v>
      </c>
      <c r="X168" s="378">
        <f>W162*SUM(X94:X144)</f>
        <v>24445527.580868002</v>
      </c>
      <c r="Z168" s="378">
        <f>Y162*SUM(Z94:Z144)</f>
        <v>24704623.198603004</v>
      </c>
      <c r="AB168" s="378">
        <f>AA162*SUM(AB94:AB144)</f>
        <v>24931380.674821008</v>
      </c>
      <c r="AD168" s="378">
        <f>AC162*SUM(AD94:AD144)</f>
        <v>25198087.149818003</v>
      </c>
    </row>
    <row r="169" spans="1:32">
      <c r="A169" s="393">
        <v>160</v>
      </c>
      <c r="D169" s="410" t="s">
        <v>950</v>
      </c>
      <c r="F169" s="378">
        <f>SUM(F145:F147)*E163</f>
        <v>9313977.5332890004</v>
      </c>
      <c r="H169" s="378">
        <f>SUM(H145:H147)*G163</f>
        <v>9282415.2646400016</v>
      </c>
      <c r="J169" s="378">
        <f>SUM(J145:J147)*I163</f>
        <v>9324677.9962399993</v>
      </c>
      <c r="L169" s="378">
        <f>SUM(L145:L147)*K163</f>
        <v>9395823.0770699997</v>
      </c>
      <c r="N169" s="378">
        <f>SUM(N145:N147)*M163</f>
        <v>9289454.5357999988</v>
      </c>
      <c r="P169" s="378">
        <f>SUM(P145:P147)*O163</f>
        <v>9291886.0255899988</v>
      </c>
      <c r="R169" s="378">
        <f>SUM(R145:R147)*Q163</f>
        <v>9328779.7054500002</v>
      </c>
      <c r="T169" s="378">
        <f>SUM(T145:T147)*S163</f>
        <v>6235833.9797000019</v>
      </c>
      <c r="V169" s="378">
        <f>SUM(V145:V147)*U163</f>
        <v>6313688.4471199997</v>
      </c>
      <c r="X169" s="378">
        <f>SUM(X145:X147)*W163</f>
        <v>6488783.15099</v>
      </c>
      <c r="Z169" s="378">
        <f>SUM(Z145:Z147)*Y163</f>
        <v>6570429.06568</v>
      </c>
      <c r="AB169" s="378">
        <f>SUM(AB145:AB147)*AA163</f>
        <v>6577563.3591100005</v>
      </c>
      <c r="AD169" s="378">
        <f>SUM(AD145:AD147)*AC163</f>
        <v>5525143.8845200008</v>
      </c>
    </row>
    <row r="170" spans="1:32">
      <c r="A170" s="393">
        <v>161</v>
      </c>
      <c r="F170" s="378"/>
      <c r="H170" s="378"/>
      <c r="J170" s="378"/>
      <c r="L170" s="378"/>
      <c r="N170" s="378"/>
      <c r="P170" s="378"/>
      <c r="R170" s="378"/>
      <c r="T170" s="378"/>
      <c r="V170" s="378"/>
      <c r="X170" s="378"/>
      <c r="Z170" s="378"/>
      <c r="AB170" s="378"/>
      <c r="AD170" s="378"/>
    </row>
    <row r="171" spans="1:32">
      <c r="A171" s="393">
        <v>162</v>
      </c>
      <c r="D171" s="410" t="s">
        <v>952</v>
      </c>
      <c r="F171" s="378">
        <f>SUM(F167:F169)</f>
        <v>381207641.80520397</v>
      </c>
      <c r="H171" s="378">
        <f>SUM(H167:H169)</f>
        <v>382914689.06335592</v>
      </c>
      <c r="J171" s="378">
        <f>SUM(J167:J169)</f>
        <v>384259860.04853302</v>
      </c>
      <c r="L171" s="378">
        <f>SUM(L167:L169)</f>
        <v>385890183.318914</v>
      </c>
      <c r="N171" s="378">
        <f>SUM(N167:N169)</f>
        <v>387653785.124183</v>
      </c>
      <c r="P171" s="378">
        <f>SUM(P167:P169)</f>
        <v>389262414.92266703</v>
      </c>
      <c r="R171" s="378">
        <f>SUM(R167:R169)</f>
        <v>391095670.07880509</v>
      </c>
      <c r="T171" s="378">
        <f>SUM(T167:T169)</f>
        <v>389709290.65191007</v>
      </c>
      <c r="V171" s="378">
        <f>SUM(V167:V169)</f>
        <v>391650038.31424004</v>
      </c>
      <c r="X171" s="378">
        <f>SUM(X167:X169)</f>
        <v>393500965.23185802</v>
      </c>
      <c r="Z171" s="378">
        <f>SUM(Z167:Z169)</f>
        <v>395357481.15428293</v>
      </c>
      <c r="AB171" s="378">
        <f>SUM(AB167:AB169)</f>
        <v>396864794.18393099</v>
      </c>
      <c r="AD171" s="378">
        <f>SUM(AD167:AD169)</f>
        <v>397219164.69433802</v>
      </c>
      <c r="AE171" s="16" t="s">
        <v>960</v>
      </c>
      <c r="AF171" s="399">
        <f t="shared" ref="AF171" si="12">+(F171+AD171+(+H171+J171+L171+N171+P171+R171+T171+V171+X171+Z171+AB171)*2)/24</f>
        <v>389781047.94520426</v>
      </c>
    </row>
  </sheetData>
  <mergeCells count="17">
    <mergeCell ref="B149:C149"/>
    <mergeCell ref="B153:C153"/>
    <mergeCell ref="A1:L1"/>
    <mergeCell ref="A2:L2"/>
    <mergeCell ref="A3:L3"/>
    <mergeCell ref="A4:L4"/>
    <mergeCell ref="A5:L5"/>
    <mergeCell ref="M2:X2"/>
    <mergeCell ref="M3:X3"/>
    <mergeCell ref="M4:X4"/>
    <mergeCell ref="M5:X5"/>
    <mergeCell ref="Y1:AF1"/>
    <mergeCell ref="Y2:AF2"/>
    <mergeCell ref="Y3:AF3"/>
    <mergeCell ref="Y4:AF4"/>
    <mergeCell ref="Y5:AF5"/>
    <mergeCell ref="M1:X1"/>
  </mergeCells>
  <phoneticPr fontId="142"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88"/>
  <sheetViews>
    <sheetView view="pageBreakPreview" zoomScale="50" zoomScaleNormal="100" zoomScaleSheetLayoutView="50" workbookViewId="0">
      <pane xSplit="9" ySplit="5" topLeftCell="J6" activePane="bottomRight" state="frozen"/>
      <selection activeCell="A2" sqref="A2:C2"/>
      <selection pane="topRight" activeCell="A2" sqref="A2:C2"/>
      <selection pane="bottomLeft" activeCell="A2" sqref="A2:C2"/>
      <selection pane="bottomRight" activeCell="J6" sqref="J6"/>
    </sheetView>
  </sheetViews>
  <sheetFormatPr defaultColWidth="9.140625" defaultRowHeight="15.75"/>
  <cols>
    <col min="1" max="1" width="9.42578125" style="20" bestFit="1" customWidth="1"/>
    <col min="2" max="2" width="42.28515625" style="3" bestFit="1" customWidth="1"/>
    <col min="3" max="3" width="9.140625" style="3"/>
    <col min="4" max="4" width="4.5703125" style="3" customWidth="1"/>
    <col min="5" max="9" width="9.140625" style="3"/>
    <col min="10" max="10" width="21.28515625" style="3" bestFit="1" customWidth="1"/>
    <col min="11" max="12" width="20.42578125" style="3" bestFit="1" customWidth="1"/>
    <col min="13" max="13" width="21.85546875" style="3" bestFit="1" customWidth="1"/>
    <col min="14" max="14" width="20.42578125" style="3" bestFit="1" customWidth="1"/>
    <col min="15" max="15" width="19.85546875" style="3" bestFit="1" customWidth="1"/>
    <col min="16" max="16" width="21.28515625" style="3" bestFit="1" customWidth="1"/>
    <col min="17" max="18" width="20.42578125" style="3" bestFit="1" customWidth="1"/>
    <col min="19" max="19" width="20.5703125" style="3" bestFit="1" customWidth="1"/>
    <col min="20" max="21" width="19.85546875" style="3" bestFit="1" customWidth="1"/>
    <col min="22" max="22" width="20.42578125" style="3" bestFit="1" customWidth="1"/>
    <col min="23" max="23" width="19.85546875" style="3" bestFit="1" customWidth="1"/>
    <col min="24" max="24" width="20.42578125" style="3" bestFit="1" customWidth="1"/>
    <col min="25" max="25" width="21.85546875" style="3" bestFit="1" customWidth="1"/>
    <col min="26" max="27" width="20.42578125" style="3" bestFit="1" customWidth="1"/>
    <col min="28" max="28" width="20.5703125" style="3" bestFit="1" customWidth="1"/>
    <col min="29" max="30" width="20.42578125" style="3" bestFit="1" customWidth="1"/>
    <col min="31" max="31" width="20.5703125" style="3" bestFit="1" customWidth="1"/>
    <col min="32" max="32" width="19.42578125" style="3" bestFit="1" customWidth="1"/>
    <col min="33" max="34" width="19.85546875" style="3" bestFit="1" customWidth="1"/>
    <col min="35" max="36" width="20.42578125" style="3" bestFit="1" customWidth="1"/>
    <col min="37" max="37" width="21.85546875" style="3" bestFit="1" customWidth="1"/>
    <col min="38" max="38" width="19.85546875" style="3" bestFit="1" customWidth="1"/>
    <col min="39" max="39" width="20.42578125" style="3" bestFit="1" customWidth="1"/>
    <col min="40" max="40" width="21.28515625" style="3" bestFit="1" customWidth="1"/>
    <col min="41" max="41" width="20.42578125" style="3" bestFit="1" customWidth="1"/>
    <col min="42" max="42" width="19.85546875" style="3" bestFit="1" customWidth="1"/>
    <col min="43" max="43" width="21.28515625" style="3" bestFit="1" customWidth="1"/>
    <col min="44" max="44" width="19.85546875" style="3" bestFit="1" customWidth="1"/>
    <col min="45" max="45" width="19.42578125" style="3" bestFit="1" customWidth="1"/>
    <col min="46" max="46" width="21.85546875" style="3" bestFit="1" customWidth="1"/>
    <col min="47" max="47" width="20.42578125" style="3" bestFit="1" customWidth="1"/>
    <col min="48" max="48" width="19.85546875" style="3" bestFit="1" customWidth="1"/>
    <col min="49" max="49" width="20.5703125" style="3" bestFit="1" customWidth="1"/>
    <col min="50" max="51" width="17.5703125" style="3" bestFit="1" customWidth="1"/>
    <col min="52" max="16384" width="9.140625" style="3"/>
  </cols>
  <sheetData>
    <row r="1" spans="1:51">
      <c r="E1" s="1029" t="s">
        <v>60</v>
      </c>
      <c r="F1" s="1029"/>
      <c r="G1" s="1029"/>
      <c r="H1" s="1029"/>
      <c r="I1" s="1029"/>
      <c r="J1" s="1029"/>
      <c r="K1" s="1029"/>
      <c r="R1" s="1029" t="s">
        <v>60</v>
      </c>
      <c r="S1" s="1029"/>
      <c r="T1" s="1029"/>
      <c r="U1" s="1029"/>
      <c r="V1" s="2"/>
      <c r="W1" s="2"/>
      <c r="X1" s="2"/>
      <c r="Y1" s="2"/>
      <c r="AB1" s="1029" t="s">
        <v>60</v>
      </c>
      <c r="AC1" s="1029"/>
      <c r="AD1" s="1029"/>
      <c r="AE1" s="1029"/>
      <c r="AF1" s="1029"/>
      <c r="AG1" s="1029"/>
      <c r="AH1" s="1029"/>
      <c r="AI1" s="1029"/>
      <c r="AJ1" s="1029"/>
      <c r="AK1" s="1029"/>
      <c r="AL1" s="1029"/>
      <c r="AM1" s="1029"/>
      <c r="AN1" s="1029"/>
      <c r="AO1" s="1029"/>
      <c r="AP1" s="1029" t="s">
        <v>60</v>
      </c>
      <c r="AQ1" s="1029"/>
      <c r="AR1" s="1029"/>
      <c r="AS1" s="1029"/>
      <c r="AT1" s="1029"/>
      <c r="AU1" s="1029"/>
      <c r="AV1" s="1029"/>
      <c r="AW1" s="1029"/>
      <c r="AX1" s="1029"/>
      <c r="AY1" s="1029"/>
    </row>
    <row r="2" spans="1:51">
      <c r="E2" s="5"/>
      <c r="F2" s="1029" t="s">
        <v>1854</v>
      </c>
      <c r="G2" s="1029"/>
      <c r="H2" s="1029"/>
      <c r="I2" s="1029"/>
      <c r="J2" s="1029"/>
      <c r="K2" s="5"/>
      <c r="R2" s="1029" t="str">
        <f>+F2</f>
        <v>UG 20_____</v>
      </c>
      <c r="S2" s="1029"/>
      <c r="T2" s="1029"/>
      <c r="U2" s="1029"/>
      <c r="V2" s="2"/>
      <c r="W2" s="2"/>
      <c r="X2" s="2"/>
      <c r="Y2" s="5"/>
      <c r="AA2" s="5"/>
      <c r="AB2" s="1029" t="str">
        <f>+R2</f>
        <v>UG 20_____</v>
      </c>
      <c r="AC2" s="1029"/>
      <c r="AD2" s="1029"/>
      <c r="AE2" s="1029"/>
      <c r="AF2" s="1029"/>
      <c r="AG2" s="1029"/>
      <c r="AH2" s="1029"/>
      <c r="AI2" s="1029"/>
      <c r="AJ2" s="1029"/>
      <c r="AK2" s="1029"/>
      <c r="AL2" s="1029"/>
      <c r="AM2" s="1029"/>
      <c r="AN2" s="1029"/>
      <c r="AO2" s="1029"/>
      <c r="AP2" s="1029" t="str">
        <f>+AB2</f>
        <v>UG 20_____</v>
      </c>
      <c r="AQ2" s="1029"/>
      <c r="AR2" s="1029"/>
      <c r="AS2" s="1029"/>
      <c r="AT2" s="1029"/>
      <c r="AU2" s="1029"/>
      <c r="AV2" s="1029"/>
      <c r="AW2" s="1029"/>
      <c r="AX2" s="1029"/>
      <c r="AY2" s="1029"/>
    </row>
    <row r="3" spans="1:51">
      <c r="E3" s="5"/>
      <c r="F3" s="1029" t="s">
        <v>1330</v>
      </c>
      <c r="G3" s="1029"/>
      <c r="H3" s="1029"/>
      <c r="I3" s="1029"/>
      <c r="J3" s="1029"/>
      <c r="K3" s="5"/>
      <c r="R3" s="1029" t="str">
        <f>+F3</f>
        <v>MCP WP-1.4</v>
      </c>
      <c r="S3" s="1029"/>
      <c r="T3" s="1029"/>
      <c r="U3" s="1029"/>
      <c r="V3" s="2"/>
      <c r="W3" s="2"/>
      <c r="X3" s="2"/>
      <c r="Y3" s="5"/>
      <c r="AA3" s="5"/>
      <c r="AB3" s="1029" t="str">
        <f>+R3</f>
        <v>MCP WP-1.4</v>
      </c>
      <c r="AC3" s="1029"/>
      <c r="AD3" s="1029"/>
      <c r="AE3" s="1029"/>
      <c r="AF3" s="1029"/>
      <c r="AG3" s="1029"/>
      <c r="AH3" s="1029"/>
      <c r="AI3" s="1029"/>
      <c r="AJ3" s="1029"/>
      <c r="AK3" s="1029"/>
      <c r="AL3" s="1029"/>
      <c r="AM3" s="1029"/>
      <c r="AN3" s="1029"/>
      <c r="AO3" s="1029"/>
      <c r="AP3" s="1029" t="str">
        <f>+AB3</f>
        <v>MCP WP-1.4</v>
      </c>
      <c r="AQ3" s="1029"/>
      <c r="AR3" s="1029"/>
      <c r="AS3" s="1029"/>
      <c r="AT3" s="1029"/>
      <c r="AU3" s="1029"/>
      <c r="AV3" s="1029"/>
      <c r="AW3" s="1029"/>
      <c r="AX3" s="1029"/>
      <c r="AY3" s="1029"/>
    </row>
    <row r="4" spans="1:51">
      <c r="E4" s="1029" t="s">
        <v>1049</v>
      </c>
      <c r="F4" s="1029"/>
      <c r="G4" s="1029"/>
      <c r="H4" s="1029"/>
      <c r="I4" s="1029"/>
      <c r="J4" s="1029"/>
      <c r="K4" s="1029"/>
      <c r="R4" s="1029" t="s">
        <v>1049</v>
      </c>
      <c r="S4" s="1029"/>
      <c r="T4" s="1029"/>
      <c r="U4" s="1029"/>
      <c r="V4" s="2"/>
      <c r="W4" s="2"/>
      <c r="X4" s="2"/>
      <c r="Y4" s="2"/>
      <c r="AB4" s="1029" t="s">
        <v>1049</v>
      </c>
      <c r="AC4" s="1029"/>
      <c r="AD4" s="1029"/>
      <c r="AE4" s="1029"/>
      <c r="AF4" s="1029"/>
      <c r="AG4" s="1029"/>
      <c r="AH4" s="1029"/>
      <c r="AI4" s="1029"/>
      <c r="AJ4" s="1029"/>
      <c r="AK4" s="1029"/>
      <c r="AL4" s="1029"/>
      <c r="AM4" s="1029"/>
      <c r="AN4" s="1029"/>
      <c r="AO4" s="1029"/>
      <c r="AP4" s="1029" t="s">
        <v>1049</v>
      </c>
      <c r="AQ4" s="1029"/>
      <c r="AR4" s="1029"/>
      <c r="AS4" s="1029"/>
      <c r="AT4" s="1029"/>
      <c r="AU4" s="1029"/>
      <c r="AV4" s="1029"/>
      <c r="AW4" s="1029"/>
      <c r="AX4" s="1029"/>
      <c r="AY4" s="1029"/>
    </row>
    <row r="5" spans="1:51">
      <c r="F5" s="1029" t="s">
        <v>1853</v>
      </c>
      <c r="G5" s="1029"/>
      <c r="H5" s="1029"/>
      <c r="I5" s="1029"/>
      <c r="J5" s="1029"/>
      <c r="R5" s="1029" t="str">
        <f>+F5</f>
        <v>Twelve Months Ended December 31, 2019</v>
      </c>
      <c r="S5" s="1029"/>
      <c r="T5" s="1029"/>
      <c r="U5" s="1029"/>
      <c r="V5" s="2"/>
      <c r="W5" s="2"/>
      <c r="X5" s="2"/>
      <c r="AB5" s="1029" t="str">
        <f>+R5</f>
        <v>Twelve Months Ended December 31, 2019</v>
      </c>
      <c r="AC5" s="1029"/>
      <c r="AD5" s="1029"/>
      <c r="AE5" s="1029"/>
      <c r="AF5" s="1029"/>
      <c r="AG5" s="1029"/>
      <c r="AH5" s="1029"/>
      <c r="AI5" s="1029"/>
      <c r="AJ5" s="1029"/>
      <c r="AK5" s="1029"/>
      <c r="AL5" s="1029"/>
      <c r="AM5" s="1029"/>
      <c r="AN5" s="1029"/>
      <c r="AO5" s="1029"/>
      <c r="AP5" s="1029" t="str">
        <f>+AB5</f>
        <v>Twelve Months Ended December 31, 2019</v>
      </c>
      <c r="AQ5" s="1029"/>
      <c r="AR5" s="1029"/>
      <c r="AS5" s="1029"/>
      <c r="AT5" s="1029"/>
      <c r="AU5" s="1029"/>
      <c r="AV5" s="1029"/>
      <c r="AW5" s="1029"/>
      <c r="AX5" s="1029"/>
      <c r="AY5" s="1029"/>
    </row>
    <row r="8" spans="1:51" s="20" customFormat="1" ht="16.5" thickBot="1">
      <c r="A8" s="20" t="s">
        <v>660</v>
      </c>
      <c r="B8" s="20" t="s">
        <v>799</v>
      </c>
      <c r="C8" s="20" t="s">
        <v>797</v>
      </c>
      <c r="E8" s="20" t="s">
        <v>798</v>
      </c>
      <c r="F8" s="20" t="s">
        <v>801</v>
      </c>
      <c r="G8" s="20" t="s">
        <v>802</v>
      </c>
      <c r="H8" s="20" t="s">
        <v>803</v>
      </c>
      <c r="I8" s="20" t="s">
        <v>804</v>
      </c>
      <c r="J8" s="20" t="s">
        <v>805</v>
      </c>
      <c r="K8" s="20" t="s">
        <v>806</v>
      </c>
      <c r="L8" s="20" t="s">
        <v>807</v>
      </c>
      <c r="M8" s="20" t="s">
        <v>808</v>
      </c>
      <c r="N8" s="20" t="s">
        <v>963</v>
      </c>
      <c r="O8" s="20" t="s">
        <v>810</v>
      </c>
      <c r="P8" s="20" t="s">
        <v>811</v>
      </c>
      <c r="Q8" s="20" t="s">
        <v>812</v>
      </c>
      <c r="R8" s="20" t="s">
        <v>1016</v>
      </c>
      <c r="S8" s="20" t="s">
        <v>1017</v>
      </c>
      <c r="T8" s="20" t="s">
        <v>1018</v>
      </c>
      <c r="U8" s="20" t="s">
        <v>1019</v>
      </c>
      <c r="V8" s="20" t="s">
        <v>1020</v>
      </c>
      <c r="W8" s="20" t="s">
        <v>1021</v>
      </c>
      <c r="X8" s="20" t="s">
        <v>1022</v>
      </c>
      <c r="Y8" s="20" t="s">
        <v>1023</v>
      </c>
      <c r="Z8" s="20" t="s">
        <v>1024</v>
      </c>
      <c r="AA8" s="20" t="s">
        <v>1025</v>
      </c>
      <c r="AB8" s="20" t="s">
        <v>1026</v>
      </c>
      <c r="AC8" s="20" t="s">
        <v>751</v>
      </c>
      <c r="AD8" s="20" t="s">
        <v>1027</v>
      </c>
      <c r="AE8" s="20" t="s">
        <v>1028</v>
      </c>
      <c r="AF8" s="20" t="s">
        <v>1029</v>
      </c>
      <c r="AG8" s="20" t="s">
        <v>1030</v>
      </c>
      <c r="AH8" s="20" t="s">
        <v>1032</v>
      </c>
      <c r="AI8" s="20" t="s">
        <v>1033</v>
      </c>
      <c r="AJ8" s="20" t="s">
        <v>1034</v>
      </c>
      <c r="AK8" s="20" t="s">
        <v>1035</v>
      </c>
      <c r="AL8" s="20" t="s">
        <v>1036</v>
      </c>
      <c r="AM8" s="20" t="s">
        <v>1037</v>
      </c>
      <c r="AN8" s="20" t="s">
        <v>1038</v>
      </c>
      <c r="AO8" s="20" t="s">
        <v>1039</v>
      </c>
      <c r="AP8" s="20" t="s">
        <v>1040</v>
      </c>
      <c r="AQ8" s="20" t="s">
        <v>1041</v>
      </c>
      <c r="AR8" s="20" t="s">
        <v>1042</v>
      </c>
      <c r="AS8" s="20" t="s">
        <v>1043</v>
      </c>
      <c r="AT8" s="20" t="s">
        <v>1044</v>
      </c>
      <c r="AU8" s="20" t="s">
        <v>902</v>
      </c>
      <c r="AV8" s="20" t="s">
        <v>1045</v>
      </c>
      <c r="AW8" s="20" t="s">
        <v>1046</v>
      </c>
      <c r="AX8" s="20" t="s">
        <v>1047</v>
      </c>
      <c r="AY8" s="20" t="s">
        <v>1048</v>
      </c>
    </row>
    <row r="9" spans="1:51">
      <c r="A9" s="20">
        <v>1</v>
      </c>
      <c r="B9" s="1060" t="s">
        <v>1093</v>
      </c>
      <c r="C9" s="1061"/>
      <c r="D9" s="1061"/>
      <c r="E9" s="1062"/>
      <c r="F9" s="1069" t="s">
        <v>371</v>
      </c>
      <c r="G9" s="1069"/>
      <c r="H9" s="1069"/>
      <c r="I9" s="1070"/>
      <c r="J9" s="151" t="s">
        <v>751</v>
      </c>
      <c r="K9" s="152" t="s">
        <v>961</v>
      </c>
      <c r="L9" s="153" t="s">
        <v>962</v>
      </c>
      <c r="M9" s="151" t="s">
        <v>751</v>
      </c>
      <c r="N9" s="152" t="s">
        <v>961</v>
      </c>
      <c r="O9" s="153" t="s">
        <v>962</v>
      </c>
      <c r="P9" s="151" t="s">
        <v>751</v>
      </c>
      <c r="Q9" s="152" t="s">
        <v>961</v>
      </c>
      <c r="R9" s="153" t="s">
        <v>962</v>
      </c>
      <c r="S9" s="151" t="s">
        <v>751</v>
      </c>
      <c r="T9" s="152" t="s">
        <v>961</v>
      </c>
      <c r="U9" s="153" t="s">
        <v>962</v>
      </c>
      <c r="V9" s="151" t="s">
        <v>751</v>
      </c>
      <c r="W9" s="152" t="s">
        <v>961</v>
      </c>
      <c r="X9" s="153" t="s">
        <v>962</v>
      </c>
      <c r="Y9" s="151" t="s">
        <v>751</v>
      </c>
      <c r="Z9" s="152" t="s">
        <v>961</v>
      </c>
      <c r="AA9" s="153" t="s">
        <v>962</v>
      </c>
      <c r="AB9" s="151" t="s">
        <v>751</v>
      </c>
      <c r="AC9" s="152" t="s">
        <v>961</v>
      </c>
      <c r="AD9" s="153" t="s">
        <v>962</v>
      </c>
      <c r="AE9" s="151" t="s">
        <v>751</v>
      </c>
      <c r="AF9" s="152" t="s">
        <v>961</v>
      </c>
      <c r="AG9" s="153" t="s">
        <v>962</v>
      </c>
      <c r="AH9" s="151" t="s">
        <v>751</v>
      </c>
      <c r="AI9" s="152" t="s">
        <v>961</v>
      </c>
      <c r="AJ9" s="153" t="s">
        <v>962</v>
      </c>
      <c r="AK9" s="151" t="s">
        <v>751</v>
      </c>
      <c r="AL9" s="152" t="s">
        <v>961</v>
      </c>
      <c r="AM9" s="153" t="s">
        <v>962</v>
      </c>
      <c r="AN9" s="151" t="s">
        <v>751</v>
      </c>
      <c r="AO9" s="152" t="s">
        <v>961</v>
      </c>
      <c r="AP9" s="153" t="s">
        <v>962</v>
      </c>
      <c r="AQ9" s="151" t="s">
        <v>751</v>
      </c>
      <c r="AR9" s="152" t="s">
        <v>961</v>
      </c>
      <c r="AS9" s="153" t="s">
        <v>962</v>
      </c>
      <c r="AT9" s="151" t="s">
        <v>751</v>
      </c>
      <c r="AU9" s="152" t="s">
        <v>961</v>
      </c>
      <c r="AV9" s="153" t="s">
        <v>962</v>
      </c>
      <c r="AW9" s="154" t="s">
        <v>1001</v>
      </c>
      <c r="AX9" s="154" t="s">
        <v>106</v>
      </c>
      <c r="AY9" s="154" t="s">
        <v>83</v>
      </c>
    </row>
    <row r="10" spans="1:51">
      <c r="A10" s="20">
        <v>2</v>
      </c>
      <c r="B10" s="1063"/>
      <c r="C10" s="1064"/>
      <c r="D10" s="1064"/>
      <c r="E10" s="1065"/>
      <c r="F10" s="1071" t="s">
        <v>372</v>
      </c>
      <c r="G10" s="1071"/>
      <c r="H10" s="1071"/>
      <c r="I10" s="1072"/>
      <c r="J10" s="702" t="s">
        <v>1331</v>
      </c>
      <c r="K10" s="693" t="s">
        <v>1331</v>
      </c>
      <c r="L10" s="703" t="s">
        <v>1331</v>
      </c>
      <c r="M10" s="702" t="s">
        <v>1857</v>
      </c>
      <c r="N10" s="693" t="s">
        <v>1857</v>
      </c>
      <c r="O10" s="693" t="s">
        <v>1857</v>
      </c>
      <c r="P10" s="702" t="s">
        <v>1857</v>
      </c>
      <c r="Q10" s="693" t="s">
        <v>1857</v>
      </c>
      <c r="R10" s="693" t="s">
        <v>1857</v>
      </c>
      <c r="S10" s="702" t="s">
        <v>1857</v>
      </c>
      <c r="T10" s="693" t="s">
        <v>1857</v>
      </c>
      <c r="U10" s="693" t="s">
        <v>1857</v>
      </c>
      <c r="V10" s="702" t="s">
        <v>1857</v>
      </c>
      <c r="W10" s="693" t="s">
        <v>1857</v>
      </c>
      <c r="X10" s="693" t="s">
        <v>1857</v>
      </c>
      <c r="Y10" s="702" t="s">
        <v>1857</v>
      </c>
      <c r="Z10" s="693" t="s">
        <v>1857</v>
      </c>
      <c r="AA10" s="693" t="s">
        <v>1857</v>
      </c>
      <c r="AB10" s="702" t="s">
        <v>1857</v>
      </c>
      <c r="AC10" s="702" t="s">
        <v>1857</v>
      </c>
      <c r="AD10" s="702" t="s">
        <v>1857</v>
      </c>
      <c r="AE10" s="702" t="s">
        <v>1857</v>
      </c>
      <c r="AF10" s="702" t="s">
        <v>1857</v>
      </c>
      <c r="AG10" s="702" t="s">
        <v>1857</v>
      </c>
      <c r="AH10" s="702" t="s">
        <v>1857</v>
      </c>
      <c r="AI10" s="702" t="s">
        <v>1857</v>
      </c>
      <c r="AJ10" s="702" t="s">
        <v>1857</v>
      </c>
      <c r="AK10" s="702" t="s">
        <v>1857</v>
      </c>
      <c r="AL10" s="702" t="s">
        <v>1857</v>
      </c>
      <c r="AM10" s="702" t="s">
        <v>1857</v>
      </c>
      <c r="AN10" s="702" t="s">
        <v>1857</v>
      </c>
      <c r="AO10" s="693" t="s">
        <v>1857</v>
      </c>
      <c r="AP10" s="693" t="s">
        <v>1857</v>
      </c>
      <c r="AQ10" s="702" t="s">
        <v>1857</v>
      </c>
      <c r="AR10" s="693" t="s">
        <v>1857</v>
      </c>
      <c r="AS10" s="693" t="s">
        <v>1857</v>
      </c>
      <c r="AT10" s="702" t="s">
        <v>1857</v>
      </c>
      <c r="AU10" s="693" t="s">
        <v>1857</v>
      </c>
      <c r="AV10" s="693" t="s">
        <v>1857</v>
      </c>
    </row>
    <row r="11" spans="1:51">
      <c r="A11" s="20">
        <v>3</v>
      </c>
      <c r="B11" s="1063"/>
      <c r="C11" s="1064"/>
      <c r="D11" s="1064"/>
      <c r="E11" s="1065"/>
      <c r="F11" s="1071" t="s">
        <v>373</v>
      </c>
      <c r="G11" s="1071"/>
      <c r="H11" s="1071"/>
      <c r="I11" s="1072"/>
      <c r="J11" s="155" t="s">
        <v>963</v>
      </c>
      <c r="K11" s="156" t="s">
        <v>963</v>
      </c>
      <c r="L11" s="157" t="s">
        <v>963</v>
      </c>
      <c r="M11" s="155" t="s">
        <v>963</v>
      </c>
      <c r="N11" s="156" t="s">
        <v>963</v>
      </c>
      <c r="O11" s="157" t="s">
        <v>963</v>
      </c>
      <c r="P11" s="155" t="s">
        <v>963</v>
      </c>
      <c r="Q11" s="156" t="s">
        <v>963</v>
      </c>
      <c r="R11" s="157" t="s">
        <v>963</v>
      </c>
      <c r="S11" s="155" t="s">
        <v>963</v>
      </c>
      <c r="T11" s="156" t="s">
        <v>963</v>
      </c>
      <c r="U11" s="157" t="s">
        <v>963</v>
      </c>
      <c r="V11" s="155" t="s">
        <v>963</v>
      </c>
      <c r="W11" s="156" t="s">
        <v>963</v>
      </c>
      <c r="X11" s="157" t="s">
        <v>963</v>
      </c>
      <c r="Y11" s="155" t="s">
        <v>963</v>
      </c>
      <c r="Z11" s="156" t="s">
        <v>963</v>
      </c>
      <c r="AA11" s="157" t="s">
        <v>963</v>
      </c>
      <c r="AB11" s="155" t="s">
        <v>963</v>
      </c>
      <c r="AC11" s="156" t="s">
        <v>963</v>
      </c>
      <c r="AD11" s="157" t="s">
        <v>963</v>
      </c>
      <c r="AE11" s="155" t="s">
        <v>963</v>
      </c>
      <c r="AF11" s="156" t="s">
        <v>963</v>
      </c>
      <c r="AG11" s="157" t="s">
        <v>963</v>
      </c>
      <c r="AH11" s="155" t="s">
        <v>963</v>
      </c>
      <c r="AI11" s="156" t="s">
        <v>963</v>
      </c>
      <c r="AJ11" s="157" t="s">
        <v>963</v>
      </c>
      <c r="AK11" s="155" t="s">
        <v>963</v>
      </c>
      <c r="AL11" s="156" t="s">
        <v>963</v>
      </c>
      <c r="AM11" s="157" t="s">
        <v>963</v>
      </c>
      <c r="AN11" s="155" t="s">
        <v>963</v>
      </c>
      <c r="AO11" s="156" t="s">
        <v>963</v>
      </c>
      <c r="AP11" s="157" t="s">
        <v>963</v>
      </c>
      <c r="AQ11" s="155" t="s">
        <v>963</v>
      </c>
      <c r="AR11" s="156" t="s">
        <v>963</v>
      </c>
      <c r="AS11" s="157" t="s">
        <v>963</v>
      </c>
      <c r="AT11" s="155" t="s">
        <v>963</v>
      </c>
      <c r="AU11" s="156" t="s">
        <v>963</v>
      </c>
      <c r="AV11" s="157" t="s">
        <v>963</v>
      </c>
      <c r="AX11" s="154" t="s">
        <v>367</v>
      </c>
    </row>
    <row r="12" spans="1:51">
      <c r="A12" s="139">
        <v>4</v>
      </c>
      <c r="B12" s="1063"/>
      <c r="C12" s="1064"/>
      <c r="D12" s="1064"/>
      <c r="E12" s="1065"/>
      <c r="F12" s="1071" t="s">
        <v>374</v>
      </c>
      <c r="G12" s="1071"/>
      <c r="H12" s="1071"/>
      <c r="I12" s="1072"/>
      <c r="J12" s="155" t="s">
        <v>471</v>
      </c>
      <c r="K12" s="156" t="s">
        <v>471</v>
      </c>
      <c r="L12" s="157" t="s">
        <v>471</v>
      </c>
      <c r="M12" s="155" t="s">
        <v>526</v>
      </c>
      <c r="N12" s="156" t="s">
        <v>526</v>
      </c>
      <c r="O12" s="157" t="s">
        <v>526</v>
      </c>
      <c r="P12" s="155" t="s">
        <v>560</v>
      </c>
      <c r="Q12" s="156" t="s">
        <v>560</v>
      </c>
      <c r="R12" s="157" t="s">
        <v>560</v>
      </c>
      <c r="S12" s="155" t="s">
        <v>561</v>
      </c>
      <c r="T12" s="156" t="s">
        <v>561</v>
      </c>
      <c r="U12" s="157" t="s">
        <v>561</v>
      </c>
      <c r="V12" s="155" t="s">
        <v>964</v>
      </c>
      <c r="W12" s="156" t="s">
        <v>964</v>
      </c>
      <c r="X12" s="157" t="s">
        <v>964</v>
      </c>
      <c r="Y12" s="155" t="s">
        <v>965</v>
      </c>
      <c r="Z12" s="156" t="s">
        <v>965</v>
      </c>
      <c r="AA12" s="157" t="s">
        <v>965</v>
      </c>
      <c r="AB12" s="155" t="s">
        <v>966</v>
      </c>
      <c r="AC12" s="156" t="s">
        <v>966</v>
      </c>
      <c r="AD12" s="157" t="s">
        <v>966</v>
      </c>
      <c r="AE12" s="155" t="s">
        <v>967</v>
      </c>
      <c r="AF12" s="156" t="s">
        <v>967</v>
      </c>
      <c r="AG12" s="157" t="s">
        <v>967</v>
      </c>
      <c r="AH12" s="155" t="s">
        <v>387</v>
      </c>
      <c r="AI12" s="156" t="s">
        <v>387</v>
      </c>
      <c r="AJ12" s="157" t="s">
        <v>387</v>
      </c>
      <c r="AK12" s="155" t="s">
        <v>968</v>
      </c>
      <c r="AL12" s="156" t="s">
        <v>968</v>
      </c>
      <c r="AM12" s="157" t="s">
        <v>968</v>
      </c>
      <c r="AN12" s="155" t="s">
        <v>969</v>
      </c>
      <c r="AO12" s="156" t="s">
        <v>969</v>
      </c>
      <c r="AP12" s="157" t="s">
        <v>969</v>
      </c>
      <c r="AQ12" s="155" t="s">
        <v>970</v>
      </c>
      <c r="AR12" s="156" t="s">
        <v>970</v>
      </c>
      <c r="AS12" s="157" t="s">
        <v>970</v>
      </c>
      <c r="AT12" s="155" t="s">
        <v>471</v>
      </c>
      <c r="AU12" s="156" t="s">
        <v>471</v>
      </c>
      <c r="AV12" s="157" t="s">
        <v>471</v>
      </c>
    </row>
    <row r="13" spans="1:51" ht="16.5" thickBot="1">
      <c r="A13" s="139">
        <v>5</v>
      </c>
      <c r="B13" s="1066"/>
      <c r="C13" s="1067"/>
      <c r="D13" s="1067"/>
      <c r="E13" s="1068"/>
      <c r="F13" s="1071" t="s">
        <v>375</v>
      </c>
      <c r="G13" s="1071"/>
      <c r="H13" s="1071"/>
      <c r="I13" s="1072"/>
      <c r="J13" s="155" t="s">
        <v>723</v>
      </c>
      <c r="K13" s="156" t="s">
        <v>723</v>
      </c>
      <c r="L13" s="157" t="s">
        <v>723</v>
      </c>
      <c r="M13" s="155" t="s">
        <v>723</v>
      </c>
      <c r="N13" s="156" t="s">
        <v>723</v>
      </c>
      <c r="O13" s="157" t="s">
        <v>723</v>
      </c>
      <c r="P13" s="155" t="s">
        <v>723</v>
      </c>
      <c r="Q13" s="156" t="s">
        <v>723</v>
      </c>
      <c r="R13" s="157" t="s">
        <v>723</v>
      </c>
      <c r="S13" s="155" t="s">
        <v>723</v>
      </c>
      <c r="T13" s="156" t="s">
        <v>723</v>
      </c>
      <c r="U13" s="157" t="s">
        <v>723</v>
      </c>
      <c r="V13" s="155" t="s">
        <v>723</v>
      </c>
      <c r="W13" s="156" t="s">
        <v>723</v>
      </c>
      <c r="X13" s="157" t="s">
        <v>723</v>
      </c>
      <c r="Y13" s="155" t="s">
        <v>723</v>
      </c>
      <c r="Z13" s="156" t="s">
        <v>723</v>
      </c>
      <c r="AA13" s="157" t="s">
        <v>723</v>
      </c>
      <c r="AB13" s="155" t="s">
        <v>723</v>
      </c>
      <c r="AC13" s="156" t="s">
        <v>723</v>
      </c>
      <c r="AD13" s="157" t="s">
        <v>723</v>
      </c>
      <c r="AE13" s="155" t="s">
        <v>723</v>
      </c>
      <c r="AF13" s="156" t="s">
        <v>723</v>
      </c>
      <c r="AG13" s="157" t="s">
        <v>723</v>
      </c>
      <c r="AH13" s="155" t="s">
        <v>723</v>
      </c>
      <c r="AI13" s="156" t="s">
        <v>723</v>
      </c>
      <c r="AJ13" s="157" t="s">
        <v>723</v>
      </c>
      <c r="AK13" s="155" t="s">
        <v>723</v>
      </c>
      <c r="AL13" s="156" t="s">
        <v>723</v>
      </c>
      <c r="AM13" s="157" t="s">
        <v>723</v>
      </c>
      <c r="AN13" s="155" t="s">
        <v>723</v>
      </c>
      <c r="AO13" s="156" t="s">
        <v>723</v>
      </c>
      <c r="AP13" s="157" t="s">
        <v>723</v>
      </c>
      <c r="AQ13" s="155" t="s">
        <v>723</v>
      </c>
      <c r="AR13" s="156" t="s">
        <v>723</v>
      </c>
      <c r="AS13" s="157" t="s">
        <v>723</v>
      </c>
      <c r="AT13" s="155" t="s">
        <v>723</v>
      </c>
      <c r="AU13" s="156" t="s">
        <v>723</v>
      </c>
      <c r="AV13" s="157" t="s">
        <v>723</v>
      </c>
    </row>
    <row r="14" spans="1:51">
      <c r="A14" s="139">
        <v>6</v>
      </c>
      <c r="B14" s="158"/>
      <c r="C14" s="159"/>
      <c r="D14" s="159"/>
      <c r="E14" s="159"/>
      <c r="F14" s="159"/>
      <c r="G14" s="159"/>
      <c r="H14" s="159"/>
      <c r="I14" s="160"/>
      <c r="J14" s="158"/>
      <c r="K14" s="159"/>
      <c r="L14" s="160"/>
      <c r="M14" s="158"/>
      <c r="N14" s="159"/>
      <c r="O14" s="160"/>
      <c r="P14" s="158"/>
      <c r="Q14" s="159"/>
      <c r="R14" s="160"/>
      <c r="S14" s="158"/>
      <c r="T14" s="159"/>
      <c r="U14" s="160"/>
      <c r="V14" s="158"/>
      <c r="W14" s="159"/>
      <c r="X14" s="160"/>
      <c r="Y14" s="158"/>
      <c r="Z14" s="159"/>
      <c r="AA14" s="160"/>
      <c r="AB14" s="158"/>
      <c r="AC14" s="159"/>
      <c r="AD14" s="160"/>
      <c r="AE14" s="158"/>
      <c r="AF14" s="159"/>
      <c r="AG14" s="160"/>
      <c r="AH14" s="158"/>
      <c r="AI14" s="159"/>
      <c r="AJ14" s="160"/>
      <c r="AK14" s="158"/>
      <c r="AL14" s="159"/>
      <c r="AM14" s="160"/>
      <c r="AN14" s="158"/>
      <c r="AO14" s="159"/>
      <c r="AP14" s="160"/>
      <c r="AQ14" s="158"/>
      <c r="AR14" s="159"/>
      <c r="AS14" s="160"/>
      <c r="AT14" s="158"/>
      <c r="AU14" s="159"/>
      <c r="AV14" s="160"/>
      <c r="AW14" s="160"/>
      <c r="AX14" s="160"/>
      <c r="AY14" s="160"/>
    </row>
    <row r="15" spans="1:51" ht="31.5">
      <c r="A15" s="139">
        <v>7</v>
      </c>
      <c r="B15" s="162"/>
      <c r="C15" s="163" t="s">
        <v>971</v>
      </c>
      <c r="D15" s="163"/>
      <c r="E15" s="163" t="s">
        <v>972</v>
      </c>
      <c r="F15" s="163" t="s">
        <v>973</v>
      </c>
      <c r="G15" s="163" t="s">
        <v>974</v>
      </c>
      <c r="H15" s="163" t="s">
        <v>975</v>
      </c>
      <c r="I15" s="164" t="s">
        <v>976</v>
      </c>
      <c r="J15" s="162"/>
      <c r="K15" s="165"/>
      <c r="L15" s="166"/>
      <c r="M15" s="162"/>
      <c r="N15" s="165"/>
      <c r="O15" s="166"/>
      <c r="P15" s="162"/>
      <c r="Q15" s="165"/>
      <c r="R15" s="166"/>
      <c r="S15" s="162"/>
      <c r="T15" s="165"/>
      <c r="U15" s="166"/>
      <c r="V15" s="162"/>
      <c r="W15" s="165"/>
      <c r="X15" s="166"/>
      <c r="Y15" s="162"/>
      <c r="Z15" s="165"/>
      <c r="AA15" s="166"/>
      <c r="AB15" s="162"/>
      <c r="AC15" s="165"/>
      <c r="AD15" s="166"/>
      <c r="AE15" s="162"/>
      <c r="AF15" s="165"/>
      <c r="AG15" s="166"/>
      <c r="AH15" s="162"/>
      <c r="AI15" s="165"/>
      <c r="AJ15" s="166"/>
      <c r="AK15" s="162"/>
      <c r="AL15" s="165"/>
      <c r="AM15" s="166"/>
      <c r="AN15" s="162"/>
      <c r="AO15" s="165"/>
      <c r="AP15" s="166"/>
      <c r="AQ15" s="162"/>
      <c r="AR15" s="165"/>
      <c r="AS15" s="166"/>
      <c r="AT15" s="162"/>
      <c r="AU15" s="165"/>
      <c r="AV15" s="166"/>
    </row>
    <row r="16" spans="1:51">
      <c r="A16" s="139">
        <v>8</v>
      </c>
      <c r="B16" s="1057" t="s">
        <v>978</v>
      </c>
      <c r="C16" s="1058"/>
      <c r="D16" s="1058"/>
      <c r="E16" s="1058"/>
      <c r="F16" s="1058"/>
      <c r="G16" s="1058"/>
      <c r="H16" s="1058"/>
      <c r="I16" s="1059"/>
      <c r="J16" s="167"/>
      <c r="K16" s="168"/>
      <c r="L16" s="169"/>
      <c r="M16" s="167"/>
      <c r="N16" s="168"/>
      <c r="O16" s="169"/>
      <c r="P16" s="167"/>
      <c r="Q16" s="168"/>
      <c r="R16" s="169"/>
      <c r="S16" s="167"/>
      <c r="T16" s="168"/>
      <c r="U16" s="169"/>
      <c r="V16" s="167"/>
      <c r="W16" s="168"/>
      <c r="X16" s="169"/>
      <c r="Y16" s="167"/>
      <c r="Z16" s="168"/>
      <c r="AA16" s="169"/>
      <c r="AB16" s="167"/>
      <c r="AC16" s="168"/>
      <c r="AD16" s="169"/>
      <c r="AE16" s="167"/>
      <c r="AF16" s="168"/>
      <c r="AG16" s="169"/>
      <c r="AH16" s="167"/>
      <c r="AI16" s="168"/>
      <c r="AJ16" s="169"/>
      <c r="AK16" s="167"/>
      <c r="AL16" s="168"/>
      <c r="AM16" s="169"/>
      <c r="AN16" s="167"/>
      <c r="AO16" s="168"/>
      <c r="AP16" s="169"/>
      <c r="AQ16" s="167"/>
      <c r="AR16" s="168"/>
      <c r="AS16" s="169"/>
      <c r="AT16" s="167"/>
      <c r="AU16" s="168"/>
      <c r="AV16" s="169"/>
    </row>
    <row r="17" spans="1:56">
      <c r="A17" s="139">
        <v>9</v>
      </c>
      <c r="B17" s="161" t="s">
        <v>979</v>
      </c>
      <c r="C17" s="156" t="s">
        <v>752</v>
      </c>
      <c r="D17" s="156"/>
      <c r="E17" s="156" t="s">
        <v>980</v>
      </c>
      <c r="F17" s="156" t="s">
        <v>630</v>
      </c>
      <c r="G17" s="156" t="s">
        <v>981</v>
      </c>
      <c r="H17" s="156" t="s">
        <v>380</v>
      </c>
      <c r="I17" s="157" t="s">
        <v>380</v>
      </c>
      <c r="J17" s="167">
        <v>0</v>
      </c>
      <c r="K17" s="168">
        <v>0</v>
      </c>
      <c r="L17" s="169"/>
      <c r="M17" s="167">
        <v>0</v>
      </c>
      <c r="N17" s="168">
        <v>0</v>
      </c>
      <c r="O17" s="169"/>
      <c r="P17" s="167">
        <v>0</v>
      </c>
      <c r="Q17" s="168">
        <v>0</v>
      </c>
      <c r="R17" s="169"/>
      <c r="S17" s="167">
        <v>0</v>
      </c>
      <c r="T17" s="168">
        <v>0</v>
      </c>
      <c r="U17" s="169"/>
      <c r="V17" s="167">
        <v>0</v>
      </c>
      <c r="W17" s="168">
        <v>0</v>
      </c>
      <c r="X17" s="169"/>
      <c r="Y17" s="167">
        <v>0</v>
      </c>
      <c r="Z17" s="168">
        <v>0</v>
      </c>
      <c r="AA17" s="169"/>
      <c r="AB17" s="167">
        <v>0</v>
      </c>
      <c r="AC17" s="168">
        <v>0</v>
      </c>
      <c r="AD17" s="169"/>
      <c r="AE17" s="167">
        <v>0</v>
      </c>
      <c r="AF17" s="168">
        <v>0</v>
      </c>
      <c r="AG17" s="169"/>
      <c r="AH17" s="167">
        <v>0</v>
      </c>
      <c r="AI17" s="168">
        <v>0</v>
      </c>
      <c r="AJ17" s="169"/>
      <c r="AK17" s="167">
        <v>0</v>
      </c>
      <c r="AL17" s="168">
        <v>0</v>
      </c>
      <c r="AM17" s="169"/>
      <c r="AN17" s="167">
        <v>0</v>
      </c>
      <c r="AO17" s="168">
        <v>0</v>
      </c>
      <c r="AP17" s="169"/>
      <c r="AQ17" s="167">
        <v>0</v>
      </c>
      <c r="AR17" s="168">
        <v>0</v>
      </c>
      <c r="AS17" s="169"/>
      <c r="AT17" s="167">
        <v>0</v>
      </c>
      <c r="AU17" s="168">
        <v>0</v>
      </c>
      <c r="AV17" s="169"/>
    </row>
    <row r="18" spans="1:56">
      <c r="A18" s="20">
        <v>10</v>
      </c>
      <c r="B18" s="161" t="s">
        <v>982</v>
      </c>
      <c r="C18" s="156" t="s">
        <v>752</v>
      </c>
      <c r="D18" s="156"/>
      <c r="E18" s="156" t="s">
        <v>380</v>
      </c>
      <c r="F18" s="156" t="s">
        <v>630</v>
      </c>
      <c r="G18" s="156" t="s">
        <v>983</v>
      </c>
      <c r="H18" s="156" t="s">
        <v>380</v>
      </c>
      <c r="I18" s="157" t="s">
        <v>380</v>
      </c>
      <c r="J18" s="167">
        <f>+K18+L18</f>
        <v>-3418947.2399999998</v>
      </c>
      <c r="K18" s="170">
        <v>-3255123.44</v>
      </c>
      <c r="L18" s="169">
        <v>-163823.79999999999</v>
      </c>
      <c r="M18" s="167">
        <f>+N18+O18</f>
        <v>-3302748.8</v>
      </c>
      <c r="N18" s="170">
        <v>-3146448.38</v>
      </c>
      <c r="O18" s="169">
        <v>-156300.42000000001</v>
      </c>
      <c r="P18" s="167">
        <f>+Q18+R18</f>
        <v>-3311183.56</v>
      </c>
      <c r="Q18" s="170">
        <v>-3146448.38</v>
      </c>
      <c r="R18" s="169">
        <v>-164735.18</v>
      </c>
      <c r="S18" s="167">
        <f>+T18+U18</f>
        <v>-3337179.04</v>
      </c>
      <c r="T18" s="170">
        <v>-3146448.38</v>
      </c>
      <c r="U18" s="169">
        <v>-190730.66</v>
      </c>
      <c r="V18" s="167">
        <f>+W18+X18</f>
        <v>-3333157.56</v>
      </c>
      <c r="W18" s="170">
        <v>-3142835.9</v>
      </c>
      <c r="X18" s="169">
        <v>-190321.66</v>
      </c>
      <c r="Y18" s="167">
        <f>+Z18+AA18</f>
        <v>-3338815.94</v>
      </c>
      <c r="Z18" s="170">
        <v>-3142439.63</v>
      </c>
      <c r="AA18" s="169">
        <v>-196376.31</v>
      </c>
      <c r="AB18" s="167">
        <f>+AC18+AD18</f>
        <v>-3338815.94</v>
      </c>
      <c r="AC18" s="170">
        <v>-3142439.63</v>
      </c>
      <c r="AD18" s="169">
        <v>-196376.31</v>
      </c>
      <c r="AE18" s="167">
        <f>+AF18+AG18</f>
        <v>-3336013.46</v>
      </c>
      <c r="AF18" s="170">
        <v>-3142439.63</v>
      </c>
      <c r="AG18" s="169">
        <v>-193573.83</v>
      </c>
      <c r="AH18" s="167">
        <f>+AI18+AJ18</f>
        <v>-3339862.54</v>
      </c>
      <c r="AI18" s="170">
        <v>-3142439.63</v>
      </c>
      <c r="AJ18" s="169">
        <v>-197422.91</v>
      </c>
      <c r="AK18" s="167">
        <f>+AL18+AM18</f>
        <v>-3340258.81</v>
      </c>
      <c r="AL18" s="170">
        <v>-3142835.9</v>
      </c>
      <c r="AM18" s="169">
        <v>-197422.91</v>
      </c>
      <c r="AN18" s="167">
        <f>+AO18+AP18</f>
        <v>-3343673.7199999997</v>
      </c>
      <c r="AO18" s="170">
        <v>-3142835.9</v>
      </c>
      <c r="AP18" s="169">
        <v>-200837.82</v>
      </c>
      <c r="AQ18" s="167">
        <f>+AR18+AS18</f>
        <v>-3349954.61</v>
      </c>
      <c r="AR18" s="170">
        <v>-3142835.9</v>
      </c>
      <c r="AS18" s="169">
        <v>-207118.71</v>
      </c>
      <c r="AT18" s="167">
        <f>+AU18+AV18</f>
        <v>-3349954.61</v>
      </c>
      <c r="AU18" s="170">
        <v>-3142835.9</v>
      </c>
      <c r="AV18" s="169">
        <v>-207118.71</v>
      </c>
      <c r="AW18" s="119">
        <f>+(AT18+J18+(M18+P18+S18+V18+Y18+AB18+AE18+AH18+AK18+AN18+AQ18)*2)/24</f>
        <v>-3338009.575416666</v>
      </c>
      <c r="AX18" s="119">
        <f t="shared" ref="AX18:AY22" si="0">+(AU18+K18+(N18+Q18+T18+W18+Z18+AC18+AF18+AI18+AL18+AO18+AR18)*2)/24</f>
        <v>-3148285.5775000001</v>
      </c>
      <c r="AY18" s="119">
        <f t="shared" si="0"/>
        <v>-189723.99791666667</v>
      </c>
    </row>
    <row r="19" spans="1:56">
      <c r="A19" s="20">
        <v>11</v>
      </c>
      <c r="B19" s="161" t="s">
        <v>984</v>
      </c>
      <c r="C19" s="156" t="s">
        <v>752</v>
      </c>
      <c r="D19" s="156"/>
      <c r="E19" s="156" t="s">
        <v>977</v>
      </c>
      <c r="F19" s="156" t="s">
        <v>630</v>
      </c>
      <c r="G19" s="156" t="s">
        <v>985</v>
      </c>
      <c r="H19" s="156" t="s">
        <v>380</v>
      </c>
      <c r="I19" s="157" t="s">
        <v>380</v>
      </c>
      <c r="J19" s="167">
        <f t="shared" ref="J19:J22" si="1">+K19+L19</f>
        <v>117299.85</v>
      </c>
      <c r="K19" s="168">
        <v>108675.06</v>
      </c>
      <c r="L19" s="169">
        <v>8624.7900000000009</v>
      </c>
      <c r="M19" s="167">
        <f>+N19+O19</f>
        <v>0</v>
      </c>
      <c r="N19" s="168">
        <v>0</v>
      </c>
      <c r="O19" s="169">
        <v>0</v>
      </c>
      <c r="P19" s="167">
        <v>0</v>
      </c>
      <c r="Q19" s="168">
        <v>0</v>
      </c>
      <c r="R19" s="169">
        <v>0</v>
      </c>
      <c r="S19" s="167">
        <f>+T19+U19</f>
        <v>77103.62</v>
      </c>
      <c r="T19" s="168">
        <v>74253.98</v>
      </c>
      <c r="U19" s="169">
        <v>2849.64</v>
      </c>
      <c r="V19" s="167">
        <f>+W19+X19</f>
        <v>77103.62</v>
      </c>
      <c r="W19" s="168">
        <v>74253.98</v>
      </c>
      <c r="X19" s="169">
        <v>2849.64</v>
      </c>
      <c r="Y19" s="167">
        <f>+Z19+AA19</f>
        <v>77103.62</v>
      </c>
      <c r="Z19" s="168">
        <v>74253.98</v>
      </c>
      <c r="AA19" s="169">
        <v>2849.64</v>
      </c>
      <c r="AB19" s="167">
        <f>+AC19+AD19</f>
        <v>77103.62</v>
      </c>
      <c r="AC19" s="168">
        <v>74253.98</v>
      </c>
      <c r="AD19" s="169">
        <v>2849.64</v>
      </c>
      <c r="AE19" s="167">
        <f>+AF19+AG19</f>
        <v>77103.62</v>
      </c>
      <c r="AF19" s="168">
        <v>74253.98</v>
      </c>
      <c r="AG19" s="169">
        <v>2849.64</v>
      </c>
      <c r="AH19" s="167">
        <f t="shared" ref="AH19:AH22" si="2">+AI19+AJ19</f>
        <v>77103.62</v>
      </c>
      <c r="AI19" s="168">
        <v>74253.98</v>
      </c>
      <c r="AJ19" s="169">
        <v>2849.64</v>
      </c>
      <c r="AK19" s="167">
        <f t="shared" ref="AK19:AK22" si="3">+AL19+AM19</f>
        <v>140365.51999999999</v>
      </c>
      <c r="AL19" s="168">
        <v>128346.79</v>
      </c>
      <c r="AM19" s="169">
        <v>12018.73</v>
      </c>
      <c r="AN19" s="167">
        <f t="shared" ref="AN19:AN22" si="4">+AO19+AP19</f>
        <v>140365.51999999999</v>
      </c>
      <c r="AO19" s="168">
        <v>128346.79</v>
      </c>
      <c r="AP19" s="169">
        <v>12018.73</v>
      </c>
      <c r="AQ19" s="167">
        <f t="shared" ref="AQ19:AQ22" si="5">+AR19+AS19</f>
        <v>140365.51999999999</v>
      </c>
      <c r="AR19" s="168">
        <v>128346.79</v>
      </c>
      <c r="AS19" s="169">
        <v>12018.73</v>
      </c>
      <c r="AT19" s="167">
        <f t="shared" ref="AT19:AT22" si="6">+AU19+AV19</f>
        <v>140365.51999999999</v>
      </c>
      <c r="AU19" s="168">
        <v>128346.79</v>
      </c>
      <c r="AV19" s="169">
        <v>12018.73</v>
      </c>
      <c r="AW19" s="119">
        <f t="shared" ref="AW19:AW22" si="7">+(AT19+J19+(M19+P19+S19+V19+Y19+AB19+AE19+AH19+AK19+AN19+AQ19)*2)/24</f>
        <v>84379.247083333335</v>
      </c>
      <c r="AX19" s="119">
        <f t="shared" si="0"/>
        <v>79089.597916666666</v>
      </c>
      <c r="AY19" s="119">
        <f t="shared" si="0"/>
        <v>5289.649166666667</v>
      </c>
    </row>
    <row r="20" spans="1:56">
      <c r="A20" s="20">
        <v>12</v>
      </c>
      <c r="B20" s="161" t="s">
        <v>986</v>
      </c>
      <c r="C20" s="156" t="s">
        <v>752</v>
      </c>
      <c r="D20" s="156"/>
      <c r="E20" s="156" t="s">
        <v>977</v>
      </c>
      <c r="F20" s="156" t="s">
        <v>630</v>
      </c>
      <c r="G20" s="156" t="s">
        <v>987</v>
      </c>
      <c r="H20" s="156" t="s">
        <v>380</v>
      </c>
      <c r="I20" s="157" t="s">
        <v>380</v>
      </c>
      <c r="J20" s="171">
        <f t="shared" si="1"/>
        <v>0</v>
      </c>
      <c r="K20" s="172">
        <v>0.01</v>
      </c>
      <c r="L20" s="173">
        <v>-0.01</v>
      </c>
      <c r="M20" s="171">
        <f>+N20+O20</f>
        <v>0</v>
      </c>
      <c r="N20" s="172">
        <v>0.01</v>
      </c>
      <c r="O20" s="173">
        <v>-0.01</v>
      </c>
      <c r="P20" s="171">
        <v>0</v>
      </c>
      <c r="Q20" s="172">
        <v>0.01</v>
      </c>
      <c r="R20" s="173">
        <v>-0.01</v>
      </c>
      <c r="S20" s="171">
        <v>0</v>
      </c>
      <c r="T20" s="172">
        <v>0.01</v>
      </c>
      <c r="U20" s="173">
        <v>-0.01</v>
      </c>
      <c r="V20" s="171">
        <v>0</v>
      </c>
      <c r="W20" s="172">
        <v>0.01</v>
      </c>
      <c r="X20" s="173">
        <v>-0.01</v>
      </c>
      <c r="Y20" s="171">
        <v>0</v>
      </c>
      <c r="Z20" s="172">
        <v>0.01</v>
      </c>
      <c r="AA20" s="173">
        <v>-0.01</v>
      </c>
      <c r="AB20" s="171">
        <v>0</v>
      </c>
      <c r="AC20" s="172">
        <v>0.01</v>
      </c>
      <c r="AD20" s="173">
        <v>-0.01</v>
      </c>
      <c r="AE20" s="171">
        <v>0</v>
      </c>
      <c r="AF20" s="172">
        <v>0.01</v>
      </c>
      <c r="AG20" s="173">
        <v>-0.01</v>
      </c>
      <c r="AH20" s="171">
        <f t="shared" si="2"/>
        <v>0</v>
      </c>
      <c r="AI20" s="172">
        <v>0.01</v>
      </c>
      <c r="AJ20" s="173">
        <v>-0.01</v>
      </c>
      <c r="AK20" s="171">
        <f t="shared" si="3"/>
        <v>0</v>
      </c>
      <c r="AL20" s="172">
        <v>0.01</v>
      </c>
      <c r="AM20" s="173">
        <v>-0.01</v>
      </c>
      <c r="AN20" s="171">
        <f t="shared" si="4"/>
        <v>0</v>
      </c>
      <c r="AO20" s="172">
        <v>0.01</v>
      </c>
      <c r="AP20" s="173">
        <v>-0.01</v>
      </c>
      <c r="AQ20" s="171">
        <f t="shared" si="5"/>
        <v>0</v>
      </c>
      <c r="AR20" s="172">
        <v>0.01</v>
      </c>
      <c r="AS20" s="173">
        <v>-0.01</v>
      </c>
      <c r="AT20" s="171">
        <f t="shared" si="6"/>
        <v>0</v>
      </c>
      <c r="AU20" s="172">
        <v>0.01</v>
      </c>
      <c r="AV20" s="173">
        <v>-0.01</v>
      </c>
      <c r="AW20" s="119">
        <f t="shared" si="7"/>
        <v>0</v>
      </c>
      <c r="AX20" s="119">
        <f t="shared" si="0"/>
        <v>9.9999999999999985E-3</v>
      </c>
      <c r="AY20" s="119">
        <f t="shared" si="0"/>
        <v>-9.9999999999999985E-3</v>
      </c>
    </row>
    <row r="21" spans="1:56">
      <c r="A21" s="139">
        <v>13</v>
      </c>
      <c r="B21" s="161" t="s">
        <v>988</v>
      </c>
      <c r="C21" s="156" t="s">
        <v>752</v>
      </c>
      <c r="D21" s="156"/>
      <c r="E21" s="156" t="s">
        <v>977</v>
      </c>
      <c r="F21" s="156" t="s">
        <v>630</v>
      </c>
      <c r="G21" s="156" t="s">
        <v>989</v>
      </c>
      <c r="H21" s="156" t="s">
        <v>380</v>
      </c>
      <c r="I21" s="157" t="s">
        <v>380</v>
      </c>
      <c r="J21" s="171">
        <f t="shared" si="1"/>
        <v>-1014253.48</v>
      </c>
      <c r="K21" s="172">
        <v>-758934.52</v>
      </c>
      <c r="L21" s="173">
        <v>-255318.96</v>
      </c>
      <c r="M21" s="171">
        <f t="shared" ref="M21:M22" si="8">+N21+O21</f>
        <v>-1014253.48</v>
      </c>
      <c r="N21" s="172">
        <v>-762301.02</v>
      </c>
      <c r="O21" s="173">
        <v>-251952.46</v>
      </c>
      <c r="P21" s="171">
        <f>+Q21+R21</f>
        <v>-1014253.48</v>
      </c>
      <c r="Q21" s="172">
        <v>-762301.02</v>
      </c>
      <c r="R21" s="173">
        <v>-251952.46</v>
      </c>
      <c r="S21" s="171">
        <f>+T21+U21</f>
        <v>-998215.14</v>
      </c>
      <c r="T21" s="172">
        <v>-750245</v>
      </c>
      <c r="U21" s="173">
        <v>-247970.14</v>
      </c>
      <c r="V21" s="171">
        <f>+W21+X21</f>
        <v>-961008.70000000007</v>
      </c>
      <c r="W21" s="172">
        <v>-722276.92</v>
      </c>
      <c r="X21" s="173">
        <v>-238731.78</v>
      </c>
      <c r="Y21" s="171">
        <f>+Z21+AA21</f>
        <v>-961008.70000000007</v>
      </c>
      <c r="Z21" s="172">
        <v>-722276.92</v>
      </c>
      <c r="AA21" s="173">
        <v>-238731.78</v>
      </c>
      <c r="AB21" s="171">
        <f>+AC21+AD21</f>
        <v>-961008.70000000007</v>
      </c>
      <c r="AC21" s="172">
        <v>-722276.92</v>
      </c>
      <c r="AD21" s="173">
        <v>-238731.78</v>
      </c>
      <c r="AE21" s="171">
        <f>+AF21+AG21</f>
        <v>-961008.70000000007</v>
      </c>
      <c r="AF21" s="172">
        <v>-722276.92</v>
      </c>
      <c r="AG21" s="173">
        <v>-238731.78</v>
      </c>
      <c r="AH21" s="171">
        <f t="shared" si="2"/>
        <v>-961008.70000000007</v>
      </c>
      <c r="AI21" s="172">
        <v>-722276.92</v>
      </c>
      <c r="AJ21" s="173">
        <v>-238731.78</v>
      </c>
      <c r="AK21" s="171">
        <f t="shared" si="3"/>
        <v>-940392.64999999991</v>
      </c>
      <c r="AL21" s="172">
        <v>-706779.84</v>
      </c>
      <c r="AM21" s="173">
        <v>-233612.81</v>
      </c>
      <c r="AN21" s="171">
        <f t="shared" si="4"/>
        <v>-947948.91</v>
      </c>
      <c r="AO21" s="172">
        <v>-712459.88</v>
      </c>
      <c r="AP21" s="173">
        <v>-235489.03</v>
      </c>
      <c r="AQ21" s="171">
        <f t="shared" si="5"/>
        <v>-956826.3</v>
      </c>
      <c r="AR21" s="172">
        <v>-719133.01</v>
      </c>
      <c r="AS21" s="173">
        <v>-237693.29</v>
      </c>
      <c r="AT21" s="171">
        <f t="shared" si="6"/>
        <v>-985998.22</v>
      </c>
      <c r="AU21" s="172">
        <v>-741061.54</v>
      </c>
      <c r="AV21" s="173">
        <v>-244936.68</v>
      </c>
      <c r="AW21" s="119">
        <f t="shared" si="7"/>
        <v>-973088.27583333338</v>
      </c>
      <c r="AX21" s="119">
        <f t="shared" si="0"/>
        <v>-731216.86666666658</v>
      </c>
      <c r="AY21" s="119">
        <f t="shared" si="0"/>
        <v>-241871.40916666665</v>
      </c>
    </row>
    <row r="22" spans="1:56" ht="16.5" thickBot="1">
      <c r="A22" s="139">
        <v>14</v>
      </c>
      <c r="B22" s="161" t="s">
        <v>990</v>
      </c>
      <c r="C22" s="156" t="s">
        <v>752</v>
      </c>
      <c r="D22" s="156"/>
      <c r="E22" s="156" t="s">
        <v>977</v>
      </c>
      <c r="F22" s="156" t="s">
        <v>630</v>
      </c>
      <c r="G22" s="156" t="s">
        <v>991</v>
      </c>
      <c r="H22" s="156" t="s">
        <v>380</v>
      </c>
      <c r="I22" s="157" t="s">
        <v>380</v>
      </c>
      <c r="J22" s="171">
        <f t="shared" si="1"/>
        <v>0</v>
      </c>
      <c r="K22" s="172">
        <v>0</v>
      </c>
      <c r="L22" s="173">
        <v>0</v>
      </c>
      <c r="M22" s="171">
        <f t="shared" si="8"/>
        <v>0</v>
      </c>
      <c r="N22" s="172">
        <v>0</v>
      </c>
      <c r="O22" s="173">
        <v>0</v>
      </c>
      <c r="P22" s="171">
        <v>0</v>
      </c>
      <c r="Q22" s="172">
        <v>0</v>
      </c>
      <c r="R22" s="173">
        <v>0</v>
      </c>
      <c r="S22" s="171">
        <v>0</v>
      </c>
      <c r="T22" s="172">
        <v>0</v>
      </c>
      <c r="U22" s="173">
        <v>0</v>
      </c>
      <c r="V22" s="171">
        <v>0</v>
      </c>
      <c r="W22" s="172">
        <v>0</v>
      </c>
      <c r="X22" s="173">
        <v>0</v>
      </c>
      <c r="Y22" s="171">
        <v>0</v>
      </c>
      <c r="Z22" s="172">
        <v>0</v>
      </c>
      <c r="AA22" s="173">
        <v>0</v>
      </c>
      <c r="AB22" s="171">
        <v>0</v>
      </c>
      <c r="AC22" s="172">
        <v>0</v>
      </c>
      <c r="AD22" s="173">
        <v>0</v>
      </c>
      <c r="AE22" s="171">
        <v>0</v>
      </c>
      <c r="AF22" s="172">
        <v>0</v>
      </c>
      <c r="AG22" s="173">
        <v>0</v>
      </c>
      <c r="AH22" s="171">
        <f t="shared" si="2"/>
        <v>0</v>
      </c>
      <c r="AI22" s="172">
        <v>0</v>
      </c>
      <c r="AJ22" s="173">
        <v>0</v>
      </c>
      <c r="AK22" s="171">
        <f t="shared" si="3"/>
        <v>0</v>
      </c>
      <c r="AL22" s="172">
        <v>0</v>
      </c>
      <c r="AM22" s="173">
        <v>0</v>
      </c>
      <c r="AN22" s="171">
        <f t="shared" si="4"/>
        <v>0</v>
      </c>
      <c r="AO22" s="172">
        <v>0</v>
      </c>
      <c r="AP22" s="173">
        <v>0</v>
      </c>
      <c r="AQ22" s="171">
        <f t="shared" si="5"/>
        <v>0</v>
      </c>
      <c r="AR22" s="172">
        <v>0</v>
      </c>
      <c r="AS22" s="173">
        <v>0</v>
      </c>
      <c r="AT22" s="171">
        <f t="shared" si="6"/>
        <v>0</v>
      </c>
      <c r="AU22" s="172">
        <v>0</v>
      </c>
      <c r="AV22" s="173">
        <v>0</v>
      </c>
      <c r="AW22" s="174">
        <f t="shared" si="7"/>
        <v>0</v>
      </c>
      <c r="AX22" s="174">
        <f t="shared" si="0"/>
        <v>0</v>
      </c>
      <c r="AY22" s="174">
        <f t="shared" si="0"/>
        <v>0</v>
      </c>
    </row>
    <row r="23" spans="1:56" ht="16.5" thickBot="1">
      <c r="A23" s="139">
        <v>15</v>
      </c>
      <c r="B23" s="161"/>
      <c r="C23" s="156"/>
      <c r="D23" s="156"/>
      <c r="E23" s="156"/>
      <c r="F23" s="156"/>
      <c r="G23" s="156"/>
      <c r="H23" s="156"/>
      <c r="I23" s="157"/>
      <c r="J23" s="175">
        <f>SUM(J18:J22)</f>
        <v>-4315900.8699999992</v>
      </c>
      <c r="K23" s="176">
        <f>SUM(K17:K22)</f>
        <v>-3905382.89</v>
      </c>
      <c r="L23" s="177">
        <f>SUM(L18:L22)</f>
        <v>-410517.98</v>
      </c>
      <c r="M23" s="175">
        <f>SUM(M17:M22)</f>
        <v>-4317002.2799999993</v>
      </c>
      <c r="N23" s="176">
        <f>SUM(N17:N22)</f>
        <v>-3908749.39</v>
      </c>
      <c r="O23" s="177">
        <f>SUM(O18:O22)</f>
        <v>-408252.89</v>
      </c>
      <c r="P23" s="175">
        <f>SUM(P17:P22)</f>
        <v>-4325437.04</v>
      </c>
      <c r="Q23" s="176">
        <f>SUM(Q17:Q22)</f>
        <v>-3908749.39</v>
      </c>
      <c r="R23" s="177">
        <f>SUM(R18:R22)</f>
        <v>-416687.65</v>
      </c>
      <c r="S23" s="175">
        <f>SUM(S17:S22)</f>
        <v>-4258290.5599999996</v>
      </c>
      <c r="T23" s="176">
        <f>SUM(T17:T22)</f>
        <v>-3822439.39</v>
      </c>
      <c r="U23" s="177">
        <f>SUM(U18:U22)</f>
        <v>-435851.17000000004</v>
      </c>
      <c r="V23" s="175">
        <f>SUM(V17:V22)</f>
        <v>-4217062.6399999997</v>
      </c>
      <c r="W23" s="176">
        <f>SUM(W17:W22)</f>
        <v>-3790858.83</v>
      </c>
      <c r="X23" s="177">
        <f>SUM(X18:X22)</f>
        <v>-426203.81</v>
      </c>
      <c r="Y23" s="175">
        <f>SUM(Y17:Y22)</f>
        <v>-4222721.0199999996</v>
      </c>
      <c r="Z23" s="176">
        <f>SUM(Z17:Z22)</f>
        <v>-3790462.56</v>
      </c>
      <c r="AA23" s="177">
        <f>SUM(AA18:AA22)</f>
        <v>-432258.45999999996</v>
      </c>
      <c r="AB23" s="175">
        <f>SUM(AB17:AB22)</f>
        <v>-4222721.0199999996</v>
      </c>
      <c r="AC23" s="176">
        <f>SUM(AC17:AC22)</f>
        <v>-3790462.56</v>
      </c>
      <c r="AD23" s="177">
        <f>SUM(AD18:AD22)</f>
        <v>-432258.45999999996</v>
      </c>
      <c r="AE23" s="175">
        <f>SUM(AE17:AE22)</f>
        <v>-4219918.54</v>
      </c>
      <c r="AF23" s="176">
        <f>SUM(AF17:AF22)</f>
        <v>-3790462.56</v>
      </c>
      <c r="AG23" s="177">
        <f>SUM(AG18:AG22)</f>
        <v>-429455.98</v>
      </c>
      <c r="AH23" s="175">
        <f>SUM(AH17:AH22)</f>
        <v>-4223767.62</v>
      </c>
      <c r="AI23" s="176">
        <f>SUM(AI17:AI22)</f>
        <v>-3790462.56</v>
      </c>
      <c r="AJ23" s="177">
        <f>SUM(AJ18:AJ22)</f>
        <v>-433305.06</v>
      </c>
      <c r="AK23" s="175">
        <f>SUM(AK17:AK22)</f>
        <v>-4140285.94</v>
      </c>
      <c r="AL23" s="176">
        <f>SUM(AL17:AL22)</f>
        <v>-3721268.94</v>
      </c>
      <c r="AM23" s="177">
        <f>SUM(AM18:AM22)</f>
        <v>-419017</v>
      </c>
      <c r="AN23" s="175">
        <f>SUM(AN17:AN22)</f>
        <v>-4151257.11</v>
      </c>
      <c r="AO23" s="176">
        <f>SUM(AO17:AO22)</f>
        <v>-3726948.98</v>
      </c>
      <c r="AP23" s="177">
        <f>SUM(AP18:AP22)</f>
        <v>-424308.13</v>
      </c>
      <c r="AQ23" s="175">
        <f>SUM(AQ17:AQ22)</f>
        <v>-4166415.3899999997</v>
      </c>
      <c r="AR23" s="176">
        <f>SUM(AR17:AR22)</f>
        <v>-3733622.1100000003</v>
      </c>
      <c r="AS23" s="177">
        <f>SUM(AS18:AS22)</f>
        <v>-432793.28</v>
      </c>
      <c r="AT23" s="175">
        <f>SUM(AT17:AT22)</f>
        <v>-4195587.3099999996</v>
      </c>
      <c r="AU23" s="176">
        <f>SUM(AU17:AU22)</f>
        <v>-3755550.64</v>
      </c>
      <c r="AV23" s="177">
        <f>SUM(AV18:AV22)</f>
        <v>-440036.67</v>
      </c>
      <c r="AW23" s="178">
        <f>SUM(AW18:AW22)</f>
        <v>-4226718.604166666</v>
      </c>
      <c r="AX23" s="729">
        <f t="shared" ref="AX23:AY23" si="9">SUM(AX18:AX22)</f>
        <v>-3800412.8362500002</v>
      </c>
      <c r="AY23" s="179">
        <f t="shared" si="9"/>
        <v>-426305.76791666669</v>
      </c>
    </row>
    <row r="24" spans="1:56" ht="16.5" thickTop="1">
      <c r="A24" s="139">
        <v>16</v>
      </c>
      <c r="B24" s="161"/>
      <c r="C24" s="156"/>
      <c r="D24" s="156"/>
      <c r="E24" s="156"/>
      <c r="F24" s="156"/>
      <c r="G24" s="156"/>
      <c r="H24" s="156"/>
      <c r="I24" s="157"/>
      <c r="J24" s="167"/>
      <c r="K24" s="168"/>
      <c r="L24" s="169">
        <v>8.7311491370201111E-10</v>
      </c>
      <c r="M24" s="167"/>
      <c r="N24" s="168"/>
      <c r="O24" s="169">
        <v>5.8207660913467407E-10</v>
      </c>
      <c r="P24" s="167"/>
      <c r="Q24" s="168"/>
      <c r="R24" s="169">
        <v>6.9849193096160889E-10</v>
      </c>
      <c r="S24" s="167"/>
      <c r="T24" s="168"/>
      <c r="U24" s="169">
        <v>0</v>
      </c>
      <c r="V24" s="167"/>
      <c r="W24" s="168"/>
      <c r="X24" s="169">
        <v>0</v>
      </c>
      <c r="Y24" s="167"/>
      <c r="Z24" s="168"/>
      <c r="AA24" s="169">
        <v>0</v>
      </c>
      <c r="AB24" s="167"/>
      <c r="AC24" s="168"/>
      <c r="AD24" s="169">
        <v>0</v>
      </c>
      <c r="AE24" s="167"/>
      <c r="AF24" s="168"/>
      <c r="AG24" s="169">
        <v>0</v>
      </c>
      <c r="AH24" s="167"/>
      <c r="AI24" s="168"/>
      <c r="AJ24" s="169">
        <v>0</v>
      </c>
      <c r="AK24" s="167"/>
      <c r="AL24" s="168"/>
      <c r="AM24" s="169">
        <v>4.6566128730773926E-10</v>
      </c>
      <c r="AN24" s="167"/>
      <c r="AO24" s="168"/>
      <c r="AP24" s="169">
        <v>4.6566128730773926E-10</v>
      </c>
      <c r="AQ24" s="167"/>
      <c r="AR24" s="168"/>
      <c r="AS24" s="169">
        <v>6.4028427004814148E-10</v>
      </c>
      <c r="AT24" s="167"/>
      <c r="AU24" s="168"/>
      <c r="AV24" s="169">
        <v>0</v>
      </c>
      <c r="AW24" s="180"/>
      <c r="AX24" s="1050" t="s">
        <v>2020</v>
      </c>
      <c r="AY24" s="1050"/>
      <c r="AZ24" s="1050"/>
      <c r="BA24" s="1050"/>
      <c r="BB24" s="1050"/>
      <c r="BC24" s="1050"/>
      <c r="BD24" s="1050"/>
    </row>
    <row r="25" spans="1:56">
      <c r="A25" s="139">
        <v>17</v>
      </c>
      <c r="B25" s="1057" t="s">
        <v>992</v>
      </c>
      <c r="C25" s="1058"/>
      <c r="D25" s="1058"/>
      <c r="E25" s="1058"/>
      <c r="F25" s="1058"/>
      <c r="G25" s="1058"/>
      <c r="H25" s="1058"/>
      <c r="I25" s="1059"/>
      <c r="J25" s="181"/>
      <c r="K25" s="182"/>
      <c r="L25" s="183"/>
      <c r="M25" s="181"/>
      <c r="N25" s="182"/>
      <c r="O25" s="183"/>
      <c r="P25" s="181"/>
      <c r="Q25" s="182"/>
      <c r="R25" s="183"/>
      <c r="S25" s="181"/>
      <c r="T25" s="182"/>
      <c r="U25" s="183"/>
      <c r="V25" s="181"/>
      <c r="W25" s="182"/>
      <c r="X25" s="183"/>
      <c r="Y25" s="181"/>
      <c r="Z25" s="182"/>
      <c r="AA25" s="183"/>
      <c r="AB25" s="181"/>
      <c r="AC25" s="182"/>
      <c r="AD25" s="183"/>
      <c r="AE25" s="181"/>
      <c r="AF25" s="182"/>
      <c r="AG25" s="183"/>
      <c r="AH25" s="181"/>
      <c r="AI25" s="182"/>
      <c r="AJ25" s="183"/>
      <c r="AK25" s="181"/>
      <c r="AL25" s="182"/>
      <c r="AM25" s="183"/>
      <c r="AN25" s="181"/>
      <c r="AO25" s="182"/>
      <c r="AP25" s="183"/>
      <c r="AQ25" s="181"/>
      <c r="AR25" s="182"/>
      <c r="AS25" s="183"/>
      <c r="AT25" s="181"/>
      <c r="AU25" s="182"/>
      <c r="AV25" s="183"/>
      <c r="AX25" s="1050"/>
      <c r="AY25" s="1050"/>
      <c r="AZ25" s="1050"/>
      <c r="BA25" s="1050"/>
      <c r="BB25" s="1050"/>
      <c r="BC25" s="1050"/>
      <c r="BD25" s="1050"/>
    </row>
    <row r="26" spans="1:56">
      <c r="A26" s="139">
        <v>18</v>
      </c>
      <c r="B26" s="184" t="s">
        <v>993</v>
      </c>
      <c r="C26" s="156" t="s">
        <v>752</v>
      </c>
      <c r="D26" s="156"/>
      <c r="E26" s="156" t="s">
        <v>977</v>
      </c>
      <c r="F26" s="185" t="s">
        <v>639</v>
      </c>
      <c r="G26" s="185" t="s">
        <v>994</v>
      </c>
      <c r="H26" s="185" t="s">
        <v>380</v>
      </c>
      <c r="I26" s="186" t="s">
        <v>380</v>
      </c>
      <c r="J26" s="187">
        <f>+K26+L26</f>
        <v>-99638867.390000001</v>
      </c>
      <c r="K26" s="684">
        <v>-76751819.560000002</v>
      </c>
      <c r="L26" s="188">
        <v>-22887047.829999998</v>
      </c>
      <c r="M26" s="187">
        <f>+N26+O26</f>
        <v>-99562756.319999993</v>
      </c>
      <c r="N26" s="684">
        <v>-75209706.129999995</v>
      </c>
      <c r="O26" s="188">
        <v>-24353050.190000001</v>
      </c>
      <c r="P26" s="187">
        <f>+Q26+R26</f>
        <v>-99486645.239999995</v>
      </c>
      <c r="Q26" s="684">
        <v>-75152211.819999993</v>
      </c>
      <c r="R26" s="188">
        <v>-24334433.420000002</v>
      </c>
      <c r="S26" s="187">
        <f>+T26+U26</f>
        <v>-99410534.159999996</v>
      </c>
      <c r="T26" s="684">
        <v>-75094717.510000005</v>
      </c>
      <c r="U26" s="188">
        <v>-24315816.649999999</v>
      </c>
      <c r="V26" s="187">
        <f>+W26+X26</f>
        <v>-99334423.089999989</v>
      </c>
      <c r="W26" s="684">
        <v>-75037223.209999993</v>
      </c>
      <c r="X26" s="188">
        <v>-24297199.879999999</v>
      </c>
      <c r="Y26" s="187">
        <v>-1.4901161193847699E-8</v>
      </c>
      <c r="Z26" s="684">
        <v>-9.9999904632568394E-3</v>
      </c>
      <c r="AA26" s="188">
        <v>1.00000016391277E-2</v>
      </c>
      <c r="AB26" s="187">
        <v>-1.4901161193847699E-8</v>
      </c>
      <c r="AC26" s="684">
        <v>-9.9999904632568394E-3</v>
      </c>
      <c r="AD26" s="188">
        <v>1.00000016391277E-2</v>
      </c>
      <c r="AE26" s="187">
        <v>-1.4901161193847699E-8</v>
      </c>
      <c r="AF26" s="684">
        <v>-9.9999904632568394E-3</v>
      </c>
      <c r="AG26" s="188">
        <v>1.00000016391277E-2</v>
      </c>
      <c r="AH26" s="187">
        <v>-1.4901161193847699E-8</v>
      </c>
      <c r="AI26" s="684">
        <v>-9.9999904632568394E-3</v>
      </c>
      <c r="AJ26" s="188">
        <v>1.00000016391277E-2</v>
      </c>
      <c r="AK26" s="187">
        <v>-1.4901161193847699E-8</v>
      </c>
      <c r="AL26" s="684">
        <v>-9.9999904632568394E-3</v>
      </c>
      <c r="AM26" s="188">
        <v>1.00000016391277E-2</v>
      </c>
      <c r="AN26" s="187">
        <v>-1.4901161193847699E-8</v>
      </c>
      <c r="AO26" s="684">
        <v>-9.9999904632568394E-3</v>
      </c>
      <c r="AP26" s="188">
        <v>1.00000016391277E-2</v>
      </c>
      <c r="AQ26" s="187">
        <v>-1.4901161193847699E-8</v>
      </c>
      <c r="AR26" s="684">
        <v>-9.9999904632568394E-3</v>
      </c>
      <c r="AS26" s="188">
        <v>1.00000016391277E-2</v>
      </c>
      <c r="AT26" s="187">
        <v>-1.4901161193847699E-8</v>
      </c>
      <c r="AU26" s="684">
        <v>-9.9999904632568394E-3</v>
      </c>
      <c r="AV26" s="188">
        <v>1.00000016391277E-2</v>
      </c>
      <c r="AW26" s="119">
        <f t="shared" ref="AW26:AW42" si="10">+(AT26+J26+(M26+P26+S26+V26+Y26+AB26+AE26+AH26+AK26+AN26+AQ26)*2)/24</f>
        <v>-37301149.375416666</v>
      </c>
      <c r="AX26" s="119">
        <f t="shared" ref="AX26:AX42" si="11">+(AU26+K26+(N26+Q26+T26+W26+Z26+AC26+AF26+AI26+AL26+AO26+AR26)*2)/24</f>
        <v>-28239147.37708332</v>
      </c>
      <c r="AY26" s="119">
        <f t="shared" ref="AY26:AY42" si="12">+(AV26+L26+(O26+R26+U26+X26+AA26+AD26+AG26+AJ26+AM26+AP26+AS26)*2)/24</f>
        <v>-9062001.9983333293</v>
      </c>
    </row>
    <row r="27" spans="1:56">
      <c r="A27" s="139">
        <v>19</v>
      </c>
      <c r="B27" s="184" t="s">
        <v>993</v>
      </c>
      <c r="C27" s="156" t="s">
        <v>752</v>
      </c>
      <c r="D27" s="156"/>
      <c r="E27" s="156" t="s">
        <v>1005</v>
      </c>
      <c r="F27" s="185" t="s">
        <v>639</v>
      </c>
      <c r="G27" s="185" t="s">
        <v>994</v>
      </c>
      <c r="H27" s="185" t="s">
        <v>380</v>
      </c>
      <c r="I27" s="186" t="s">
        <v>380</v>
      </c>
      <c r="J27" s="187">
        <f t="shared" ref="J27:J34" si="13">+K27+L27</f>
        <v>0</v>
      </c>
      <c r="K27" s="684">
        <v>0</v>
      </c>
      <c r="L27" s="188">
        <v>0</v>
      </c>
      <c r="M27" s="187">
        <f t="shared" ref="M27:M34" si="14">+N27+O27</f>
        <v>0</v>
      </c>
      <c r="N27" s="684">
        <v>0</v>
      </c>
      <c r="O27" s="188">
        <v>0</v>
      </c>
      <c r="P27" s="187">
        <f t="shared" ref="P27:P34" si="15">+Q27+R27</f>
        <v>0</v>
      </c>
      <c r="Q27" s="684">
        <v>0</v>
      </c>
      <c r="R27" s="188">
        <v>0</v>
      </c>
      <c r="S27" s="187">
        <f t="shared" ref="S27:S34" si="16">+T27+U27</f>
        <v>0</v>
      </c>
      <c r="T27" s="684">
        <v>0</v>
      </c>
      <c r="U27" s="188">
        <v>0</v>
      </c>
      <c r="V27" s="187">
        <f t="shared" ref="V27:V34" si="17">+W27+X27</f>
        <v>0</v>
      </c>
      <c r="W27" s="684">
        <v>0</v>
      </c>
      <c r="X27" s="188">
        <v>0</v>
      </c>
      <c r="Y27" s="187">
        <f>+Z27+AA27</f>
        <v>-22343046.039999999</v>
      </c>
      <c r="Z27" s="684">
        <v>0</v>
      </c>
      <c r="AA27" s="188">
        <v>-22343046.039999999</v>
      </c>
      <c r="AB27" s="187">
        <f>+AC27+AD27</f>
        <v>-22325913.43</v>
      </c>
      <c r="AC27" s="684">
        <v>0</v>
      </c>
      <c r="AD27" s="188">
        <v>-22325913.43</v>
      </c>
      <c r="AE27" s="187">
        <f>+AF27+AG27</f>
        <v>-22308780.829999998</v>
      </c>
      <c r="AF27" s="684">
        <v>0</v>
      </c>
      <c r="AG27" s="188">
        <v>-22308780.829999998</v>
      </c>
      <c r="AH27" s="187">
        <f>+AI27+AJ27</f>
        <v>-22291648.23</v>
      </c>
      <c r="AI27" s="684">
        <v>0</v>
      </c>
      <c r="AJ27" s="188">
        <v>-22291648.23</v>
      </c>
      <c r="AK27" s="187">
        <f>+AL27+AM27</f>
        <v>-22274515.629999999</v>
      </c>
      <c r="AL27" s="684">
        <v>0</v>
      </c>
      <c r="AM27" s="188">
        <v>-22274515.629999999</v>
      </c>
      <c r="AN27" s="187">
        <f>+AO27+AP27</f>
        <v>-22257383.030000001</v>
      </c>
      <c r="AO27" s="684">
        <v>0</v>
      </c>
      <c r="AP27" s="188">
        <v>-22257383.030000001</v>
      </c>
      <c r="AQ27" s="187">
        <f>+AR27+AS27</f>
        <v>-22454623.309999999</v>
      </c>
      <c r="AR27" s="684">
        <v>0</v>
      </c>
      <c r="AS27" s="188">
        <v>-22454623.309999999</v>
      </c>
      <c r="AT27" s="187">
        <f>+AU27+AV27</f>
        <v>-22776131.02</v>
      </c>
      <c r="AU27" s="684">
        <v>0</v>
      </c>
      <c r="AV27" s="188">
        <v>-22776131.02</v>
      </c>
      <c r="AW27" s="119">
        <f t="shared" si="10"/>
        <v>-13970331.334166666</v>
      </c>
      <c r="AX27" s="119">
        <f t="shared" si="11"/>
        <v>0</v>
      </c>
      <c r="AY27" s="119">
        <f t="shared" si="12"/>
        <v>-13970331.334166666</v>
      </c>
    </row>
    <row r="28" spans="1:56">
      <c r="A28" s="139">
        <v>20</v>
      </c>
      <c r="B28" s="184" t="s">
        <v>993</v>
      </c>
      <c r="C28" s="156" t="s">
        <v>752</v>
      </c>
      <c r="D28" s="156"/>
      <c r="E28" s="156" t="s">
        <v>980</v>
      </c>
      <c r="F28" s="185" t="s">
        <v>639</v>
      </c>
      <c r="G28" s="185" t="s">
        <v>994</v>
      </c>
      <c r="H28" s="185" t="s">
        <v>380</v>
      </c>
      <c r="I28" s="186" t="s">
        <v>380</v>
      </c>
      <c r="J28" s="187">
        <f t="shared" si="13"/>
        <v>0</v>
      </c>
      <c r="K28" s="684">
        <v>0</v>
      </c>
      <c r="L28" s="188">
        <v>0</v>
      </c>
      <c r="M28" s="187">
        <f t="shared" si="14"/>
        <v>0</v>
      </c>
      <c r="N28" s="684">
        <v>0</v>
      </c>
      <c r="O28" s="188">
        <v>0</v>
      </c>
      <c r="P28" s="187">
        <f t="shared" si="15"/>
        <v>0</v>
      </c>
      <c r="Q28" s="684">
        <v>0</v>
      </c>
      <c r="R28" s="188">
        <v>0</v>
      </c>
      <c r="S28" s="187">
        <f t="shared" si="16"/>
        <v>0</v>
      </c>
      <c r="T28" s="684">
        <v>0</v>
      </c>
      <c r="U28" s="188">
        <v>0</v>
      </c>
      <c r="V28" s="187">
        <f t="shared" si="17"/>
        <v>0</v>
      </c>
      <c r="W28" s="684">
        <v>0</v>
      </c>
      <c r="X28" s="188">
        <v>0</v>
      </c>
      <c r="Y28" s="187">
        <f t="shared" ref="Y28:Y34" si="18">+Z28+AA28</f>
        <v>-76915265.980000004</v>
      </c>
      <c r="Z28" s="684">
        <v>-76915265.980000004</v>
      </c>
      <c r="AA28" s="188">
        <v>0</v>
      </c>
      <c r="AB28" s="187">
        <f t="shared" ref="AB28:AB34" si="19">+AC28+AD28</f>
        <v>-76856287.510000005</v>
      </c>
      <c r="AC28" s="684">
        <v>-76856287.510000005</v>
      </c>
      <c r="AD28" s="188">
        <v>0</v>
      </c>
      <c r="AE28" s="187">
        <f t="shared" ref="AE28:AE34" si="20">+AF28+AG28</f>
        <v>-76797309.040000007</v>
      </c>
      <c r="AF28" s="684">
        <v>-76797309.040000007</v>
      </c>
      <c r="AG28" s="188">
        <v>0</v>
      </c>
      <c r="AH28" s="187">
        <f t="shared" ref="AH28:AH34" si="21">+AI28+AJ28</f>
        <v>-76738330.569999993</v>
      </c>
      <c r="AI28" s="684">
        <v>-76738330.569999993</v>
      </c>
      <c r="AJ28" s="188">
        <v>0</v>
      </c>
      <c r="AK28" s="187">
        <f t="shared" ref="AK28:AK34" si="22">+AL28+AM28</f>
        <v>-76679352.090000004</v>
      </c>
      <c r="AL28" s="684">
        <v>-76679352.090000004</v>
      </c>
      <c r="AM28" s="188">
        <v>0</v>
      </c>
      <c r="AN28" s="187">
        <f t="shared" ref="AN28:AN34" si="23">+AO28+AP28</f>
        <v>-76620373.620000005</v>
      </c>
      <c r="AO28" s="684">
        <v>-76620373.620000005</v>
      </c>
      <c r="AP28" s="188">
        <v>0</v>
      </c>
      <c r="AQ28" s="187">
        <f t="shared" ref="AQ28:AQ34" si="24">+AR28+AS28</f>
        <v>-77299367.390000001</v>
      </c>
      <c r="AR28" s="684">
        <v>-77299367.390000001</v>
      </c>
      <c r="AS28" s="188">
        <v>0</v>
      </c>
      <c r="AT28" s="187">
        <f t="shared" ref="AT28:AT34" si="25">+AU28+AV28</f>
        <v>-78406148.049999997</v>
      </c>
      <c r="AU28" s="684">
        <v>-78406148.049999997</v>
      </c>
      <c r="AV28" s="188">
        <v>0</v>
      </c>
      <c r="AW28" s="119">
        <f t="shared" si="10"/>
        <v>-48092446.685416669</v>
      </c>
      <c r="AX28" s="119">
        <f t="shared" si="11"/>
        <v>-48092446.685416669</v>
      </c>
      <c r="AY28" s="119">
        <f t="shared" si="12"/>
        <v>0</v>
      </c>
    </row>
    <row r="29" spans="1:56">
      <c r="A29" s="139">
        <v>21</v>
      </c>
      <c r="B29" s="184" t="s">
        <v>995</v>
      </c>
      <c r="C29" s="156" t="s">
        <v>752</v>
      </c>
      <c r="D29" s="156"/>
      <c r="E29" s="156" t="s">
        <v>977</v>
      </c>
      <c r="F29" s="185" t="s">
        <v>640</v>
      </c>
      <c r="G29" s="185" t="s">
        <v>996</v>
      </c>
      <c r="H29" s="185" t="s">
        <v>380</v>
      </c>
      <c r="I29" s="186" t="s">
        <v>380</v>
      </c>
      <c r="J29" s="187">
        <f t="shared" si="13"/>
        <v>-153482.01</v>
      </c>
      <c r="K29" s="684">
        <v>-118227.19</v>
      </c>
      <c r="L29" s="188">
        <v>-35254.82</v>
      </c>
      <c r="M29" s="187">
        <f t="shared" si="14"/>
        <v>-152777.97</v>
      </c>
      <c r="N29" s="684">
        <v>-115408.48</v>
      </c>
      <c r="O29" s="188">
        <v>-37369.49</v>
      </c>
      <c r="P29" s="187">
        <f t="shared" si="15"/>
        <v>-152073.93</v>
      </c>
      <c r="Q29" s="684">
        <v>-114876.65</v>
      </c>
      <c r="R29" s="188">
        <v>-37197.279999999999</v>
      </c>
      <c r="S29" s="187">
        <f t="shared" si="16"/>
        <v>-151369.9</v>
      </c>
      <c r="T29" s="684">
        <v>-114344.83</v>
      </c>
      <c r="U29" s="188">
        <v>-37025.07</v>
      </c>
      <c r="V29" s="187">
        <f t="shared" si="17"/>
        <v>-150665.85999999999</v>
      </c>
      <c r="W29" s="684">
        <v>-113813</v>
      </c>
      <c r="X29" s="188">
        <v>-36852.86</v>
      </c>
      <c r="Y29" s="187">
        <f t="shared" si="18"/>
        <v>2.1827898863402417E-11</v>
      </c>
      <c r="Z29" s="684">
        <v>-9.9999999802094005E-3</v>
      </c>
      <c r="AA29" s="188">
        <v>1.0000000002037299E-2</v>
      </c>
      <c r="AB29" s="187">
        <f t="shared" si="19"/>
        <v>2.1827898863402417E-11</v>
      </c>
      <c r="AC29" s="684">
        <v>-9.9999999802094005E-3</v>
      </c>
      <c r="AD29" s="188">
        <v>1.0000000002037299E-2</v>
      </c>
      <c r="AE29" s="187">
        <f t="shared" si="20"/>
        <v>2.1827898863402417E-11</v>
      </c>
      <c r="AF29" s="684">
        <v>-9.9999999802094005E-3</v>
      </c>
      <c r="AG29" s="188">
        <v>1.0000000002037299E-2</v>
      </c>
      <c r="AH29" s="187">
        <f t="shared" si="21"/>
        <v>2.1827898863402417E-11</v>
      </c>
      <c r="AI29" s="684">
        <v>-9.9999999802094005E-3</v>
      </c>
      <c r="AJ29" s="188">
        <v>1.0000000002037299E-2</v>
      </c>
      <c r="AK29" s="187">
        <f t="shared" si="22"/>
        <v>2.1827898863402417E-11</v>
      </c>
      <c r="AL29" s="684">
        <v>-9.9999999802094005E-3</v>
      </c>
      <c r="AM29" s="188">
        <v>1.0000000002037299E-2</v>
      </c>
      <c r="AN29" s="187">
        <f t="shared" si="23"/>
        <v>2.1827898863402417E-11</v>
      </c>
      <c r="AO29" s="684">
        <v>-9.9999999802094005E-3</v>
      </c>
      <c r="AP29" s="188">
        <v>1.0000000002037299E-2</v>
      </c>
      <c r="AQ29" s="187">
        <f t="shared" si="24"/>
        <v>2.1827898863402417E-11</v>
      </c>
      <c r="AR29" s="684">
        <v>-9.9999999802094005E-3</v>
      </c>
      <c r="AS29" s="188">
        <v>1.0000000002037299E-2</v>
      </c>
      <c r="AT29" s="187">
        <f t="shared" si="25"/>
        <v>2.1827898863402417E-11</v>
      </c>
      <c r="AU29" s="684">
        <v>-9.9999999802094005E-3</v>
      </c>
      <c r="AV29" s="188">
        <v>1.0000000002037299E-2</v>
      </c>
      <c r="AW29" s="386">
        <f t="shared" si="10"/>
        <v>-56969.05541666667</v>
      </c>
      <c r="AX29" s="387">
        <f t="shared" si="11"/>
        <v>-43129.719166666669</v>
      </c>
      <c r="AY29" s="387">
        <f t="shared" si="12"/>
        <v>-13839.336249999995</v>
      </c>
    </row>
    <row r="30" spans="1:56">
      <c r="A30" s="139">
        <v>22</v>
      </c>
      <c r="B30" s="184" t="s">
        <v>995</v>
      </c>
      <c r="C30" s="156" t="s">
        <v>752</v>
      </c>
      <c r="D30" s="156"/>
      <c r="E30" s="156" t="s">
        <v>1005</v>
      </c>
      <c r="F30" s="185" t="s">
        <v>640</v>
      </c>
      <c r="G30" s="185" t="s">
        <v>996</v>
      </c>
      <c r="H30" s="185" t="s">
        <v>380</v>
      </c>
      <c r="I30" s="186" t="s">
        <v>380</v>
      </c>
      <c r="J30" s="187">
        <f t="shared" si="13"/>
        <v>0</v>
      </c>
      <c r="K30" s="684">
        <v>0</v>
      </c>
      <c r="L30" s="188">
        <v>0</v>
      </c>
      <c r="M30" s="187">
        <f t="shared" si="14"/>
        <v>0</v>
      </c>
      <c r="N30" s="684">
        <v>0</v>
      </c>
      <c r="O30" s="188">
        <v>0</v>
      </c>
      <c r="P30" s="187">
        <f t="shared" si="15"/>
        <v>0</v>
      </c>
      <c r="Q30" s="684">
        <v>0</v>
      </c>
      <c r="R30" s="188">
        <v>0</v>
      </c>
      <c r="S30" s="187">
        <f t="shared" si="16"/>
        <v>0</v>
      </c>
      <c r="T30" s="684">
        <v>0</v>
      </c>
      <c r="U30" s="188">
        <v>0</v>
      </c>
      <c r="V30" s="187">
        <f t="shared" si="17"/>
        <v>0</v>
      </c>
      <c r="W30" s="684">
        <v>0</v>
      </c>
      <c r="X30" s="188">
        <v>0</v>
      </c>
      <c r="Y30" s="187">
        <f t="shared" si="18"/>
        <v>-36680.65</v>
      </c>
      <c r="Z30" s="684">
        <v>0</v>
      </c>
      <c r="AA30" s="188">
        <v>-36680.65</v>
      </c>
      <c r="AB30" s="187">
        <f t="shared" si="19"/>
        <v>-36508.44</v>
      </c>
      <c r="AC30" s="684">
        <v>0</v>
      </c>
      <c r="AD30" s="188">
        <v>-36508.44</v>
      </c>
      <c r="AE30" s="187">
        <f t="shared" si="20"/>
        <v>-36336.230000000003</v>
      </c>
      <c r="AF30" s="684">
        <v>0</v>
      </c>
      <c r="AG30" s="188">
        <v>-36336.230000000003</v>
      </c>
      <c r="AH30" s="187">
        <f t="shared" si="21"/>
        <v>-36164.019999999997</v>
      </c>
      <c r="AI30" s="684">
        <v>0</v>
      </c>
      <c r="AJ30" s="188">
        <v>-36164.019999999997</v>
      </c>
      <c r="AK30" s="187">
        <f t="shared" si="22"/>
        <v>-35991.82</v>
      </c>
      <c r="AL30" s="684">
        <v>0</v>
      </c>
      <c r="AM30" s="188">
        <v>-35991.82</v>
      </c>
      <c r="AN30" s="187">
        <f t="shared" si="23"/>
        <v>-35819.61</v>
      </c>
      <c r="AO30" s="684">
        <v>0</v>
      </c>
      <c r="AP30" s="188">
        <v>-35819.61</v>
      </c>
      <c r="AQ30" s="187">
        <f t="shared" si="24"/>
        <v>-35647.4</v>
      </c>
      <c r="AR30" s="684">
        <v>0</v>
      </c>
      <c r="AS30" s="188">
        <v>-35647.4</v>
      </c>
      <c r="AT30" s="187">
        <f t="shared" si="25"/>
        <v>-35475.199999999997</v>
      </c>
      <c r="AU30" s="684">
        <v>0</v>
      </c>
      <c r="AV30" s="188">
        <v>-35475.199999999997</v>
      </c>
      <c r="AW30" s="386">
        <f t="shared" si="10"/>
        <v>-22573.814166666667</v>
      </c>
      <c r="AX30" s="387">
        <f t="shared" si="11"/>
        <v>0</v>
      </c>
      <c r="AY30" s="387">
        <f t="shared" si="12"/>
        <v>-22573.814166666667</v>
      </c>
    </row>
    <row r="31" spans="1:56">
      <c r="A31" s="139">
        <v>23</v>
      </c>
      <c r="B31" s="184" t="s">
        <v>995</v>
      </c>
      <c r="C31" s="156" t="s">
        <v>752</v>
      </c>
      <c r="D31" s="156"/>
      <c r="E31" s="156" t="s">
        <v>980</v>
      </c>
      <c r="F31" s="185" t="s">
        <v>640</v>
      </c>
      <c r="G31" s="185" t="s">
        <v>996</v>
      </c>
      <c r="H31" s="185" t="s">
        <v>380</v>
      </c>
      <c r="I31" s="186" t="s">
        <v>380</v>
      </c>
      <c r="J31" s="187">
        <f t="shared" si="13"/>
        <v>0</v>
      </c>
      <c r="K31" s="684">
        <v>0</v>
      </c>
      <c r="L31" s="188">
        <v>0</v>
      </c>
      <c r="M31" s="187">
        <f t="shared" si="14"/>
        <v>0</v>
      </c>
      <c r="N31" s="684">
        <v>0</v>
      </c>
      <c r="O31" s="188">
        <v>0</v>
      </c>
      <c r="P31" s="187">
        <f t="shared" si="15"/>
        <v>0</v>
      </c>
      <c r="Q31" s="684">
        <v>0</v>
      </c>
      <c r="R31" s="188">
        <v>0</v>
      </c>
      <c r="S31" s="187">
        <f t="shared" si="16"/>
        <v>0</v>
      </c>
      <c r="T31" s="684">
        <v>0</v>
      </c>
      <c r="U31" s="188">
        <v>0</v>
      </c>
      <c r="V31" s="187">
        <f t="shared" si="17"/>
        <v>0</v>
      </c>
      <c r="W31" s="684">
        <v>0</v>
      </c>
      <c r="X31" s="188">
        <v>0</v>
      </c>
      <c r="Y31" s="187">
        <f t="shared" si="18"/>
        <v>-113281.17</v>
      </c>
      <c r="Z31" s="684">
        <v>-113281.17</v>
      </c>
      <c r="AA31" s="188">
        <v>0</v>
      </c>
      <c r="AB31" s="187">
        <f t="shared" si="19"/>
        <v>-112749.34</v>
      </c>
      <c r="AC31" s="684">
        <v>-112749.34</v>
      </c>
      <c r="AD31" s="188">
        <v>0</v>
      </c>
      <c r="AE31" s="187">
        <f t="shared" si="20"/>
        <v>-112217.51</v>
      </c>
      <c r="AF31" s="684">
        <v>-112217.51</v>
      </c>
      <c r="AG31" s="188">
        <v>0</v>
      </c>
      <c r="AH31" s="187">
        <f t="shared" si="21"/>
        <v>-111685.68</v>
      </c>
      <c r="AI31" s="684">
        <v>-111685.68</v>
      </c>
      <c r="AJ31" s="188">
        <v>0</v>
      </c>
      <c r="AK31" s="187">
        <f t="shared" si="22"/>
        <v>-111153.85</v>
      </c>
      <c r="AL31" s="684">
        <v>-111153.85</v>
      </c>
      <c r="AM31" s="188">
        <v>0</v>
      </c>
      <c r="AN31" s="187">
        <f t="shared" si="23"/>
        <v>-110622.02</v>
      </c>
      <c r="AO31" s="684">
        <v>-110622.02</v>
      </c>
      <c r="AP31" s="188">
        <v>0</v>
      </c>
      <c r="AQ31" s="187">
        <f t="shared" si="24"/>
        <v>-110090.19</v>
      </c>
      <c r="AR31" s="684">
        <v>-110090.19</v>
      </c>
      <c r="AS31" s="188">
        <v>0</v>
      </c>
      <c r="AT31" s="187">
        <f t="shared" si="25"/>
        <v>-109558.36</v>
      </c>
      <c r="AU31" s="684">
        <v>-109558.36</v>
      </c>
      <c r="AV31" s="188">
        <v>0</v>
      </c>
      <c r="AW31" s="386">
        <f t="shared" si="10"/>
        <v>-69714.911666666667</v>
      </c>
      <c r="AX31" s="387">
        <f t="shared" si="11"/>
        <v>-69714.911666666667</v>
      </c>
      <c r="AY31" s="387">
        <f t="shared" si="12"/>
        <v>0</v>
      </c>
    </row>
    <row r="32" spans="1:56">
      <c r="A32" s="139">
        <v>24</v>
      </c>
      <c r="B32" s="184" t="s">
        <v>1332</v>
      </c>
      <c r="C32" s="156" t="s">
        <v>752</v>
      </c>
      <c r="D32" s="156"/>
      <c r="E32" s="156" t="s">
        <v>977</v>
      </c>
      <c r="F32" s="185" t="s">
        <v>467</v>
      </c>
      <c r="G32" s="185" t="s">
        <v>1337</v>
      </c>
      <c r="H32" s="185" t="s">
        <v>380</v>
      </c>
      <c r="I32" s="186" t="s">
        <v>380</v>
      </c>
      <c r="J32" s="187">
        <f t="shared" si="13"/>
        <v>680831.94</v>
      </c>
      <c r="K32" s="684">
        <v>524444.86</v>
      </c>
      <c r="L32" s="188">
        <v>156387.07999999999</v>
      </c>
      <c r="M32" s="187">
        <f t="shared" si="14"/>
        <v>681059.07000000007</v>
      </c>
      <c r="N32" s="684">
        <v>514472.02</v>
      </c>
      <c r="O32" s="188">
        <v>166587.04999999999</v>
      </c>
      <c r="P32" s="187">
        <f t="shared" si="15"/>
        <v>682798.39999999991</v>
      </c>
      <c r="Q32" s="684">
        <v>515785.91</v>
      </c>
      <c r="R32" s="188">
        <v>167012.49</v>
      </c>
      <c r="S32" s="187">
        <f t="shared" si="16"/>
        <v>672259.39</v>
      </c>
      <c r="T32" s="684">
        <v>507824.74</v>
      </c>
      <c r="U32" s="188">
        <v>164434.65</v>
      </c>
      <c r="V32" s="187">
        <f t="shared" si="17"/>
        <v>671430.12</v>
      </c>
      <c r="W32" s="684">
        <v>507198.31</v>
      </c>
      <c r="X32" s="188">
        <v>164231.81</v>
      </c>
      <c r="Y32" s="187">
        <f t="shared" si="18"/>
        <v>0</v>
      </c>
      <c r="Z32" s="684">
        <v>0</v>
      </c>
      <c r="AA32" s="188">
        <v>0</v>
      </c>
      <c r="AB32" s="187">
        <f t="shared" si="19"/>
        <v>0</v>
      </c>
      <c r="AC32" s="684">
        <v>0</v>
      </c>
      <c r="AD32" s="188">
        <v>0</v>
      </c>
      <c r="AE32" s="187">
        <f t="shared" si="20"/>
        <v>0</v>
      </c>
      <c r="AF32" s="684">
        <v>0</v>
      </c>
      <c r="AG32" s="188">
        <v>0</v>
      </c>
      <c r="AH32" s="187">
        <f t="shared" si="21"/>
        <v>0</v>
      </c>
      <c r="AI32" s="684">
        <v>0</v>
      </c>
      <c r="AJ32" s="188">
        <v>0</v>
      </c>
      <c r="AK32" s="187">
        <f t="shared" si="22"/>
        <v>0</v>
      </c>
      <c r="AL32" s="684">
        <v>0</v>
      </c>
      <c r="AM32" s="188">
        <v>0</v>
      </c>
      <c r="AN32" s="187">
        <f t="shared" si="23"/>
        <v>0</v>
      </c>
      <c r="AO32" s="684">
        <v>0</v>
      </c>
      <c r="AP32" s="188">
        <v>0</v>
      </c>
      <c r="AQ32" s="187">
        <f t="shared" si="24"/>
        <v>0</v>
      </c>
      <c r="AR32" s="684">
        <v>0</v>
      </c>
      <c r="AS32" s="188">
        <v>0</v>
      </c>
      <c r="AT32" s="187">
        <f t="shared" si="25"/>
        <v>0</v>
      </c>
      <c r="AU32" s="684">
        <v>0</v>
      </c>
      <c r="AV32" s="188">
        <v>0</v>
      </c>
      <c r="AW32" s="386">
        <f t="shared" si="10"/>
        <v>253996.91250000001</v>
      </c>
      <c r="AX32" s="387">
        <f t="shared" si="11"/>
        <v>192291.95083333334</v>
      </c>
      <c r="AY32" s="387">
        <f t="shared" si="12"/>
        <v>61704.96166666667</v>
      </c>
    </row>
    <row r="33" spans="1:51">
      <c r="A33" s="139">
        <v>25</v>
      </c>
      <c r="B33" s="184" t="s">
        <v>1332</v>
      </c>
      <c r="C33" s="156" t="s">
        <v>752</v>
      </c>
      <c r="D33" s="156"/>
      <c r="E33" s="156" t="s">
        <v>1005</v>
      </c>
      <c r="F33" s="185" t="s">
        <v>467</v>
      </c>
      <c r="G33" s="185" t="s">
        <v>1337</v>
      </c>
      <c r="H33" s="185" t="s">
        <v>380</v>
      </c>
      <c r="I33" s="186" t="s">
        <v>380</v>
      </c>
      <c r="J33" s="187">
        <f t="shared" si="13"/>
        <v>0</v>
      </c>
      <c r="K33" s="684">
        <v>0</v>
      </c>
      <c r="L33" s="188">
        <v>0</v>
      </c>
      <c r="M33" s="187">
        <f t="shared" si="14"/>
        <v>0</v>
      </c>
      <c r="N33" s="684">
        <v>0</v>
      </c>
      <c r="O33" s="188">
        <v>0</v>
      </c>
      <c r="P33" s="187">
        <f t="shared" si="15"/>
        <v>0</v>
      </c>
      <c r="Q33" s="684">
        <v>0</v>
      </c>
      <c r="R33" s="188">
        <v>0</v>
      </c>
      <c r="S33" s="187">
        <f t="shared" si="16"/>
        <v>0</v>
      </c>
      <c r="T33" s="684">
        <v>0</v>
      </c>
      <c r="U33" s="188">
        <v>0</v>
      </c>
      <c r="V33" s="187">
        <f t="shared" si="17"/>
        <v>0</v>
      </c>
      <c r="W33" s="684">
        <v>0</v>
      </c>
      <c r="X33" s="188">
        <v>0</v>
      </c>
      <c r="Y33" s="187">
        <f t="shared" si="18"/>
        <v>39907.08</v>
      </c>
      <c r="Z33" s="684">
        <v>0</v>
      </c>
      <c r="AA33" s="188">
        <v>39907.08</v>
      </c>
      <c r="AB33" s="187">
        <f t="shared" si="19"/>
        <v>39907.08</v>
      </c>
      <c r="AC33" s="684">
        <v>0</v>
      </c>
      <c r="AD33" s="188">
        <v>39907.08</v>
      </c>
      <c r="AE33" s="187">
        <f t="shared" si="20"/>
        <v>39329.18</v>
      </c>
      <c r="AF33" s="684">
        <v>0</v>
      </c>
      <c r="AG33" s="188">
        <v>39329.18</v>
      </c>
      <c r="AH33" s="187">
        <f t="shared" si="21"/>
        <v>40122.9</v>
      </c>
      <c r="AI33" s="684">
        <v>0</v>
      </c>
      <c r="AJ33" s="188">
        <v>40122.9</v>
      </c>
      <c r="AK33" s="187">
        <f t="shared" si="22"/>
        <v>38232.14</v>
      </c>
      <c r="AL33" s="684">
        <v>0</v>
      </c>
      <c r="AM33" s="188">
        <v>38232.14</v>
      </c>
      <c r="AN33" s="187">
        <f t="shared" si="23"/>
        <v>38936.33</v>
      </c>
      <c r="AO33" s="684">
        <v>0</v>
      </c>
      <c r="AP33" s="188">
        <v>38936.33</v>
      </c>
      <c r="AQ33" s="187">
        <f t="shared" si="24"/>
        <v>40231.5</v>
      </c>
      <c r="AR33" s="684">
        <v>0</v>
      </c>
      <c r="AS33" s="188">
        <v>40231.5</v>
      </c>
      <c r="AT33" s="187">
        <f t="shared" si="25"/>
        <v>40231.5</v>
      </c>
      <c r="AU33" s="684">
        <v>0</v>
      </c>
      <c r="AV33" s="188">
        <v>40231.5</v>
      </c>
      <c r="AW33" s="386">
        <f t="shared" si="10"/>
        <v>24731.83</v>
      </c>
      <c r="AX33" s="387">
        <f t="shared" si="11"/>
        <v>0</v>
      </c>
      <c r="AY33" s="387">
        <f t="shared" si="12"/>
        <v>24731.83</v>
      </c>
    </row>
    <row r="34" spans="1:51">
      <c r="A34" s="139">
        <v>26</v>
      </c>
      <c r="B34" s="184" t="s">
        <v>1332</v>
      </c>
      <c r="C34" s="156" t="s">
        <v>752</v>
      </c>
      <c r="D34" s="156"/>
      <c r="E34" s="156" t="s">
        <v>980</v>
      </c>
      <c r="F34" s="185" t="s">
        <v>467</v>
      </c>
      <c r="G34" s="185" t="s">
        <v>1337</v>
      </c>
      <c r="H34" s="185" t="s">
        <v>380</v>
      </c>
      <c r="I34" s="186" t="s">
        <v>380</v>
      </c>
      <c r="J34" s="187">
        <f t="shared" si="13"/>
        <v>0</v>
      </c>
      <c r="K34" s="684">
        <v>0</v>
      </c>
      <c r="L34" s="188">
        <v>0</v>
      </c>
      <c r="M34" s="187">
        <f t="shared" si="14"/>
        <v>0</v>
      </c>
      <c r="N34" s="684">
        <v>0</v>
      </c>
      <c r="O34" s="188">
        <v>0</v>
      </c>
      <c r="P34" s="187">
        <f t="shared" si="15"/>
        <v>0</v>
      </c>
      <c r="Q34" s="684">
        <v>0</v>
      </c>
      <c r="R34" s="188">
        <v>0</v>
      </c>
      <c r="S34" s="187">
        <f t="shared" si="16"/>
        <v>0</v>
      </c>
      <c r="T34" s="684">
        <v>0</v>
      </c>
      <c r="U34" s="188">
        <v>0</v>
      </c>
      <c r="V34" s="187">
        <f t="shared" si="17"/>
        <v>0</v>
      </c>
      <c r="W34" s="684">
        <v>0</v>
      </c>
      <c r="X34" s="188">
        <v>0</v>
      </c>
      <c r="Y34" s="187">
        <f t="shared" si="18"/>
        <v>632689.85</v>
      </c>
      <c r="Z34" s="684">
        <v>632689.85</v>
      </c>
      <c r="AA34" s="188">
        <v>0</v>
      </c>
      <c r="AB34" s="187">
        <f t="shared" si="19"/>
        <v>632689.85</v>
      </c>
      <c r="AC34" s="684">
        <v>632689.85</v>
      </c>
      <c r="AD34" s="188">
        <v>0</v>
      </c>
      <c r="AE34" s="187">
        <f t="shared" si="20"/>
        <v>632689.85</v>
      </c>
      <c r="AF34" s="684">
        <v>632689.85</v>
      </c>
      <c r="AG34" s="188">
        <v>0</v>
      </c>
      <c r="AH34" s="187">
        <f t="shared" si="21"/>
        <v>632689.85</v>
      </c>
      <c r="AI34" s="684">
        <v>632689.85</v>
      </c>
      <c r="AJ34" s="188">
        <v>0</v>
      </c>
      <c r="AK34" s="187">
        <f t="shared" si="22"/>
        <v>621617.1</v>
      </c>
      <c r="AL34" s="684">
        <v>621617.1</v>
      </c>
      <c r="AM34" s="188">
        <v>0</v>
      </c>
      <c r="AN34" s="187">
        <f t="shared" si="23"/>
        <v>621617.1</v>
      </c>
      <c r="AO34" s="684">
        <v>621617.1</v>
      </c>
      <c r="AP34" s="188">
        <v>0</v>
      </c>
      <c r="AQ34" s="187">
        <f t="shared" si="24"/>
        <v>621617.1</v>
      </c>
      <c r="AR34" s="684">
        <v>621617.1</v>
      </c>
      <c r="AS34" s="188">
        <v>0</v>
      </c>
      <c r="AT34" s="187">
        <f t="shared" si="25"/>
        <v>621617.1</v>
      </c>
      <c r="AU34" s="684">
        <v>621617.1</v>
      </c>
      <c r="AV34" s="188">
        <v>0</v>
      </c>
      <c r="AW34" s="386">
        <f t="shared" si="10"/>
        <v>392201.60416666669</v>
      </c>
      <c r="AX34" s="387">
        <f t="shared" si="11"/>
        <v>392201.60416666669</v>
      </c>
      <c r="AY34" s="387">
        <f t="shared" si="12"/>
        <v>0</v>
      </c>
    </row>
    <row r="35" spans="1:51">
      <c r="A35" s="139">
        <v>27</v>
      </c>
      <c r="B35" s="184" t="s">
        <v>1333</v>
      </c>
      <c r="C35" s="156" t="s">
        <v>752</v>
      </c>
      <c r="D35" s="156"/>
      <c r="E35" s="156" t="s">
        <v>980</v>
      </c>
      <c r="F35" s="185" t="s">
        <v>639</v>
      </c>
      <c r="G35" s="185" t="s">
        <v>1338</v>
      </c>
      <c r="H35" s="185" t="s">
        <v>380</v>
      </c>
      <c r="I35" s="186" t="s">
        <v>380</v>
      </c>
      <c r="J35" s="388">
        <v>0</v>
      </c>
      <c r="K35" s="685">
        <v>0</v>
      </c>
      <c r="L35" s="389">
        <v>0</v>
      </c>
      <c r="M35" s="388">
        <v>0</v>
      </c>
      <c r="N35" s="685">
        <v>0</v>
      </c>
      <c r="O35" s="389">
        <v>0</v>
      </c>
      <c r="P35" s="388">
        <v>0</v>
      </c>
      <c r="Q35" s="685">
        <v>0</v>
      </c>
      <c r="R35" s="389">
        <v>0</v>
      </c>
      <c r="S35" s="388">
        <v>0</v>
      </c>
      <c r="T35" s="685">
        <v>0</v>
      </c>
      <c r="U35" s="389">
        <v>0</v>
      </c>
      <c r="V35" s="388">
        <v>0</v>
      </c>
      <c r="W35" s="685">
        <v>0</v>
      </c>
      <c r="X35" s="389">
        <v>0</v>
      </c>
      <c r="Y35" s="388">
        <v>0</v>
      </c>
      <c r="Z35" s="685">
        <v>0</v>
      </c>
      <c r="AA35" s="389">
        <v>0</v>
      </c>
      <c r="AB35" s="388">
        <v>0</v>
      </c>
      <c r="AC35" s="685">
        <v>0</v>
      </c>
      <c r="AD35" s="389">
        <v>0</v>
      </c>
      <c r="AE35" s="388">
        <v>0</v>
      </c>
      <c r="AF35" s="685">
        <v>0</v>
      </c>
      <c r="AG35" s="389">
        <v>0</v>
      </c>
      <c r="AH35" s="388">
        <v>0</v>
      </c>
      <c r="AI35" s="685">
        <v>0</v>
      </c>
      <c r="AJ35" s="389">
        <v>0</v>
      </c>
      <c r="AK35" s="388">
        <v>0</v>
      </c>
      <c r="AL35" s="685">
        <v>0</v>
      </c>
      <c r="AM35" s="389">
        <v>0</v>
      </c>
      <c r="AN35" s="388">
        <v>0</v>
      </c>
      <c r="AO35" s="685">
        <v>0</v>
      </c>
      <c r="AP35" s="389">
        <v>0</v>
      </c>
      <c r="AQ35" s="388">
        <v>0</v>
      </c>
      <c r="AR35" s="685">
        <v>0</v>
      </c>
      <c r="AS35" s="389">
        <v>0</v>
      </c>
      <c r="AT35" s="388">
        <v>0</v>
      </c>
      <c r="AU35" s="685">
        <v>0</v>
      </c>
      <c r="AV35" s="389">
        <v>0</v>
      </c>
      <c r="AW35" s="386">
        <f t="shared" si="10"/>
        <v>0</v>
      </c>
      <c r="AX35" s="387">
        <f t="shared" si="11"/>
        <v>0</v>
      </c>
      <c r="AY35" s="387">
        <f t="shared" si="12"/>
        <v>0</v>
      </c>
    </row>
    <row r="36" spans="1:51">
      <c r="A36" s="139">
        <v>28</v>
      </c>
      <c r="B36" s="184" t="s">
        <v>1334</v>
      </c>
      <c r="C36" s="156" t="s">
        <v>752</v>
      </c>
      <c r="D36" s="156"/>
      <c r="E36" s="156" t="s">
        <v>980</v>
      </c>
      <c r="F36" s="185" t="s">
        <v>467</v>
      </c>
      <c r="G36" s="185" t="s">
        <v>1339</v>
      </c>
      <c r="H36" s="185" t="s">
        <v>380</v>
      </c>
      <c r="I36" s="186" t="s">
        <v>380</v>
      </c>
      <c r="J36" s="388">
        <f>+K36+L36</f>
        <v>248712.88</v>
      </c>
      <c r="K36" s="685">
        <v>248712.88</v>
      </c>
      <c r="L36" s="389">
        <v>0</v>
      </c>
      <c r="M36" s="388">
        <f>+N36+O36</f>
        <v>246409.98</v>
      </c>
      <c r="N36" s="685">
        <v>246409.98</v>
      </c>
      <c r="O36" s="389">
        <v>0</v>
      </c>
      <c r="P36" s="388">
        <f>+Q36+R36</f>
        <v>244107.08</v>
      </c>
      <c r="Q36" s="685">
        <v>244107.08</v>
      </c>
      <c r="R36" s="389">
        <v>0</v>
      </c>
      <c r="S36" s="388">
        <f>+T36+U36</f>
        <v>241804.19</v>
      </c>
      <c r="T36" s="685">
        <v>241804.19</v>
      </c>
      <c r="U36" s="389">
        <v>0</v>
      </c>
      <c r="V36" s="388">
        <f>+W36+X36</f>
        <v>239501.29</v>
      </c>
      <c r="W36" s="685">
        <v>239501.29</v>
      </c>
      <c r="X36" s="389">
        <v>0</v>
      </c>
      <c r="Y36" s="388">
        <f>+Z36+AA36</f>
        <v>237198.39</v>
      </c>
      <c r="Z36" s="685">
        <v>237198.39</v>
      </c>
      <c r="AA36" s="389">
        <v>0</v>
      </c>
      <c r="AB36" s="388">
        <f>+AC36+AD36</f>
        <v>234895.5</v>
      </c>
      <c r="AC36" s="685">
        <v>234895.5</v>
      </c>
      <c r="AD36" s="389">
        <v>0</v>
      </c>
      <c r="AE36" s="388">
        <f>+AF36+AG36</f>
        <v>232592.6</v>
      </c>
      <c r="AF36" s="685">
        <v>232592.6</v>
      </c>
      <c r="AG36" s="389">
        <v>0</v>
      </c>
      <c r="AH36" s="388">
        <f>+AI36+AJ36</f>
        <v>230289.7</v>
      </c>
      <c r="AI36" s="685">
        <v>230289.7</v>
      </c>
      <c r="AJ36" s="389">
        <v>0</v>
      </c>
      <c r="AK36" s="388">
        <f>+AL36+AM36</f>
        <v>227986.81</v>
      </c>
      <c r="AL36" s="685">
        <v>227986.81</v>
      </c>
      <c r="AM36" s="389">
        <v>0</v>
      </c>
      <c r="AN36" s="388">
        <f>+AO36+AP36</f>
        <v>225683.91</v>
      </c>
      <c r="AO36" s="685">
        <v>225683.91</v>
      </c>
      <c r="AP36" s="389">
        <v>0</v>
      </c>
      <c r="AQ36" s="388">
        <f>+AR36+AS36</f>
        <v>223381.01</v>
      </c>
      <c r="AR36" s="685">
        <v>223381.01</v>
      </c>
      <c r="AS36" s="389">
        <v>0</v>
      </c>
      <c r="AT36" s="388">
        <f>+AU36+AV36</f>
        <v>221078.12</v>
      </c>
      <c r="AU36" s="685">
        <v>221078.12</v>
      </c>
      <c r="AV36" s="389">
        <v>0</v>
      </c>
      <c r="AW36" s="386">
        <f t="shared" si="10"/>
        <v>234895.49666666667</v>
      </c>
      <c r="AX36" s="387">
        <f t="shared" si="11"/>
        <v>234895.49666666667</v>
      </c>
      <c r="AY36" s="387">
        <f t="shared" si="12"/>
        <v>0</v>
      </c>
    </row>
    <row r="37" spans="1:51">
      <c r="A37" s="139">
        <v>29</v>
      </c>
      <c r="B37" s="184" t="s">
        <v>1334</v>
      </c>
      <c r="C37" s="156" t="s">
        <v>752</v>
      </c>
      <c r="D37" s="156"/>
      <c r="E37" s="156" t="s">
        <v>1005</v>
      </c>
      <c r="F37" s="185" t="s">
        <v>467</v>
      </c>
      <c r="G37" s="185" t="s">
        <v>1339</v>
      </c>
      <c r="H37" s="185"/>
      <c r="I37" s="186"/>
      <c r="J37" s="390">
        <f>+K37+L37</f>
        <v>65440.960000000101</v>
      </c>
      <c r="K37" s="686">
        <v>0</v>
      </c>
      <c r="L37" s="189">
        <v>65440.960000000101</v>
      </c>
      <c r="M37" s="390">
        <f>+N37+O37</f>
        <v>64077.61</v>
      </c>
      <c r="N37" s="686">
        <v>0</v>
      </c>
      <c r="O37" s="189">
        <v>64077.61</v>
      </c>
      <c r="P37" s="390">
        <f>+Q37+R37</f>
        <v>62714.26</v>
      </c>
      <c r="Q37" s="686">
        <v>0</v>
      </c>
      <c r="R37" s="189">
        <v>62714.26</v>
      </c>
      <c r="S37" s="390">
        <f>+T37+U37</f>
        <v>61350.9</v>
      </c>
      <c r="T37" s="686">
        <v>0</v>
      </c>
      <c r="U37" s="189">
        <v>61350.9</v>
      </c>
      <c r="V37" s="390">
        <f>+W37+X37</f>
        <v>59987.55</v>
      </c>
      <c r="W37" s="686">
        <v>0</v>
      </c>
      <c r="X37" s="189">
        <v>59987.55</v>
      </c>
      <c r="Y37" s="390">
        <f>+Z37+AA37</f>
        <v>58624.2</v>
      </c>
      <c r="Z37" s="686">
        <v>0</v>
      </c>
      <c r="AA37" s="189">
        <v>58624.2</v>
      </c>
      <c r="AB37" s="390">
        <f>+AC37+AD37</f>
        <v>57260.84</v>
      </c>
      <c r="AC37" s="686">
        <v>0</v>
      </c>
      <c r="AD37" s="189">
        <v>57260.84</v>
      </c>
      <c r="AE37" s="390">
        <f>+AF37+AG37</f>
        <v>55897.49</v>
      </c>
      <c r="AF37" s="686">
        <v>0</v>
      </c>
      <c r="AG37" s="189">
        <v>55897.49</v>
      </c>
      <c r="AH37" s="390">
        <f>+AI37+AJ37</f>
        <v>54534.14</v>
      </c>
      <c r="AI37" s="686">
        <v>0</v>
      </c>
      <c r="AJ37" s="189">
        <v>54534.14</v>
      </c>
      <c r="AK37" s="390">
        <f>+AL37+AM37</f>
        <v>53170.78</v>
      </c>
      <c r="AL37" s="686">
        <v>0</v>
      </c>
      <c r="AM37" s="189">
        <v>53170.78</v>
      </c>
      <c r="AN37" s="390">
        <f>+AO37+AP37</f>
        <v>51807.43</v>
      </c>
      <c r="AO37" s="686">
        <v>0</v>
      </c>
      <c r="AP37" s="189">
        <v>51807.43</v>
      </c>
      <c r="AQ37" s="390">
        <f>+AR37+AS37</f>
        <v>50444.08</v>
      </c>
      <c r="AR37" s="686">
        <v>0</v>
      </c>
      <c r="AS37" s="189">
        <v>50444.08</v>
      </c>
      <c r="AT37" s="390">
        <f>+AU37+AV37</f>
        <v>49080.72</v>
      </c>
      <c r="AU37" s="686">
        <v>0</v>
      </c>
      <c r="AV37" s="189">
        <v>49080.72</v>
      </c>
      <c r="AW37" s="386">
        <f t="shared" si="10"/>
        <v>57260.843333333345</v>
      </c>
      <c r="AX37" s="387">
        <f t="shared" si="11"/>
        <v>0</v>
      </c>
      <c r="AY37" s="387">
        <f t="shared" si="12"/>
        <v>57260.843333333345</v>
      </c>
    </row>
    <row r="38" spans="1:51">
      <c r="A38" s="139">
        <v>30</v>
      </c>
      <c r="B38" s="184" t="s">
        <v>1333</v>
      </c>
      <c r="C38" s="156" t="s">
        <v>752</v>
      </c>
      <c r="D38" s="156"/>
      <c r="E38" s="156" t="s">
        <v>1005</v>
      </c>
      <c r="F38" s="185" t="s">
        <v>639</v>
      </c>
      <c r="G38" s="185" t="s">
        <v>1338</v>
      </c>
      <c r="H38" s="185"/>
      <c r="I38" s="186"/>
      <c r="J38" s="390">
        <f t="shared" ref="J38:J42" si="26">+K38+L38</f>
        <v>0</v>
      </c>
      <c r="K38" s="686">
        <v>0</v>
      </c>
      <c r="L38" s="189">
        <v>0</v>
      </c>
      <c r="M38" s="390">
        <f t="shared" ref="M38:M42" si="27">+N38+O38</f>
        <v>0</v>
      </c>
      <c r="N38" s="686">
        <v>0</v>
      </c>
      <c r="O38" s="189">
        <v>0</v>
      </c>
      <c r="P38" s="390">
        <f t="shared" ref="P38:P42" si="28">+Q38+R38</f>
        <v>0</v>
      </c>
      <c r="Q38" s="686">
        <v>0</v>
      </c>
      <c r="R38" s="189">
        <v>0</v>
      </c>
      <c r="S38" s="390">
        <f t="shared" ref="S38:S42" si="29">+T38+U38</f>
        <v>0</v>
      </c>
      <c r="T38" s="686">
        <v>0</v>
      </c>
      <c r="U38" s="189">
        <v>0</v>
      </c>
      <c r="V38" s="390">
        <f t="shared" ref="V38:V42" si="30">+W38+X38</f>
        <v>0</v>
      </c>
      <c r="W38" s="686">
        <v>0</v>
      </c>
      <c r="X38" s="189">
        <v>0</v>
      </c>
      <c r="Y38" s="390">
        <f t="shared" ref="Y38:Y42" si="31">+Z38+AA38</f>
        <v>0</v>
      </c>
      <c r="Z38" s="686">
        <v>0</v>
      </c>
      <c r="AA38" s="189">
        <v>0</v>
      </c>
      <c r="AB38" s="390">
        <f t="shared" ref="AB38:AB42" si="32">+AC38+AD38</f>
        <v>0</v>
      </c>
      <c r="AC38" s="686">
        <v>0</v>
      </c>
      <c r="AD38" s="189">
        <v>0</v>
      </c>
      <c r="AE38" s="390">
        <f t="shared" ref="AE38:AE42" si="33">+AF38+AG38</f>
        <v>0</v>
      </c>
      <c r="AF38" s="686">
        <v>0</v>
      </c>
      <c r="AG38" s="189">
        <v>0</v>
      </c>
      <c r="AH38" s="390">
        <f t="shared" ref="AH38:AH42" si="34">+AI38+AJ38</f>
        <v>0</v>
      </c>
      <c r="AI38" s="686">
        <v>0</v>
      </c>
      <c r="AJ38" s="189">
        <v>0</v>
      </c>
      <c r="AK38" s="390">
        <f t="shared" ref="AK38:AK42" si="35">+AL38+AM38</f>
        <v>0</v>
      </c>
      <c r="AL38" s="686">
        <v>0</v>
      </c>
      <c r="AM38" s="189">
        <v>0</v>
      </c>
      <c r="AN38" s="390">
        <f t="shared" ref="AN38:AN42" si="36">+AO38+AP38</f>
        <v>0</v>
      </c>
      <c r="AO38" s="686">
        <v>0</v>
      </c>
      <c r="AP38" s="189">
        <v>0</v>
      </c>
      <c r="AQ38" s="390">
        <f t="shared" ref="AQ38:AQ42" si="37">+AR38+AS38</f>
        <v>0</v>
      </c>
      <c r="AR38" s="686">
        <v>0</v>
      </c>
      <c r="AS38" s="189">
        <v>0</v>
      </c>
      <c r="AT38" s="390">
        <f t="shared" ref="AT38:AT42" si="38">+AU38+AV38</f>
        <v>0</v>
      </c>
      <c r="AU38" s="686">
        <v>0</v>
      </c>
      <c r="AV38" s="189">
        <v>0</v>
      </c>
      <c r="AW38" s="386">
        <f t="shared" si="10"/>
        <v>0</v>
      </c>
      <c r="AX38" s="387">
        <f t="shared" si="11"/>
        <v>0</v>
      </c>
      <c r="AY38" s="387">
        <f t="shared" si="12"/>
        <v>0</v>
      </c>
    </row>
    <row r="39" spans="1:51">
      <c r="A39" s="139">
        <v>31</v>
      </c>
      <c r="B39" s="184" t="s">
        <v>997</v>
      </c>
      <c r="C39" s="156" t="s">
        <v>752</v>
      </c>
      <c r="D39" s="156"/>
      <c r="E39" s="156" t="s">
        <v>1005</v>
      </c>
      <c r="F39" s="185" t="s">
        <v>639</v>
      </c>
      <c r="G39" s="185" t="s">
        <v>998</v>
      </c>
      <c r="H39" s="185"/>
      <c r="I39" s="186"/>
      <c r="J39" s="390">
        <f t="shared" si="26"/>
        <v>-4420542.34</v>
      </c>
      <c r="K39" s="686">
        <v>0</v>
      </c>
      <c r="L39" s="189">
        <v>-4420542.34</v>
      </c>
      <c r="M39" s="390">
        <f t="shared" si="27"/>
        <v>-4433550.5599999996</v>
      </c>
      <c r="N39" s="686">
        <v>0</v>
      </c>
      <c r="O39" s="189">
        <v>-4433550.5599999996</v>
      </c>
      <c r="P39" s="390">
        <f t="shared" si="28"/>
        <v>-4446558.79</v>
      </c>
      <c r="Q39" s="686">
        <v>0</v>
      </c>
      <c r="R39" s="189">
        <v>-4446558.79</v>
      </c>
      <c r="S39" s="390">
        <f t="shared" si="29"/>
        <v>-4459567.03</v>
      </c>
      <c r="T39" s="686">
        <v>0</v>
      </c>
      <c r="U39" s="189">
        <v>-4459567.03</v>
      </c>
      <c r="V39" s="390">
        <f t="shared" si="30"/>
        <v>-4472575.25</v>
      </c>
      <c r="W39" s="686">
        <v>0</v>
      </c>
      <c r="X39" s="189">
        <v>-4472575.25</v>
      </c>
      <c r="Y39" s="390">
        <f t="shared" si="31"/>
        <v>-4485583.4800000004</v>
      </c>
      <c r="Z39" s="686">
        <v>0</v>
      </c>
      <c r="AA39" s="189">
        <v>-4485583.4800000004</v>
      </c>
      <c r="AB39" s="390">
        <f t="shared" si="32"/>
        <v>-4498591.7</v>
      </c>
      <c r="AC39" s="686">
        <v>0</v>
      </c>
      <c r="AD39" s="189">
        <v>-4498591.7</v>
      </c>
      <c r="AE39" s="390">
        <f t="shared" si="33"/>
        <v>-4511599.92</v>
      </c>
      <c r="AF39" s="686">
        <v>0</v>
      </c>
      <c r="AG39" s="189">
        <v>-4511599.92</v>
      </c>
      <c r="AH39" s="390">
        <f t="shared" si="34"/>
        <v>-4524608.1500000004</v>
      </c>
      <c r="AI39" s="686">
        <v>0</v>
      </c>
      <c r="AJ39" s="189">
        <v>-4524608.1500000004</v>
      </c>
      <c r="AK39" s="390">
        <f t="shared" si="35"/>
        <v>-4537616.3899999997</v>
      </c>
      <c r="AL39" s="686">
        <v>0</v>
      </c>
      <c r="AM39" s="189">
        <v>-4537616.3899999997</v>
      </c>
      <c r="AN39" s="390">
        <f t="shared" si="36"/>
        <v>-4550624.6100000003</v>
      </c>
      <c r="AO39" s="686">
        <v>0</v>
      </c>
      <c r="AP39" s="189">
        <v>-4550624.6100000003</v>
      </c>
      <c r="AQ39" s="390">
        <f t="shared" si="37"/>
        <v>-4641330.5999999996</v>
      </c>
      <c r="AR39" s="686">
        <v>0</v>
      </c>
      <c r="AS39" s="189">
        <v>-4641330.5999999996</v>
      </c>
      <c r="AT39" s="390">
        <f t="shared" si="38"/>
        <v>-4791249.5199999996</v>
      </c>
      <c r="AU39" s="686">
        <v>0</v>
      </c>
      <c r="AV39" s="189">
        <v>-4791249.5199999996</v>
      </c>
      <c r="AW39" s="386">
        <f t="shared" si="10"/>
        <v>-4514008.5341666667</v>
      </c>
      <c r="AX39" s="387">
        <f t="shared" si="11"/>
        <v>0</v>
      </c>
      <c r="AY39" s="387">
        <f t="shared" si="12"/>
        <v>-4514008.5341666667</v>
      </c>
    </row>
    <row r="40" spans="1:51">
      <c r="A40" s="139">
        <v>32</v>
      </c>
      <c r="B40" s="184" t="s">
        <v>999</v>
      </c>
      <c r="C40" s="156" t="s">
        <v>752</v>
      </c>
      <c r="D40" s="156"/>
      <c r="E40" s="156" t="s">
        <v>1005</v>
      </c>
      <c r="F40" s="185" t="s">
        <v>640</v>
      </c>
      <c r="G40" s="185" t="s">
        <v>1000</v>
      </c>
      <c r="H40" s="185"/>
      <c r="I40" s="186"/>
      <c r="J40" s="390">
        <f t="shared" si="26"/>
        <v>-13433.67</v>
      </c>
      <c r="K40" s="686">
        <v>0</v>
      </c>
      <c r="L40" s="189">
        <v>-13433.67</v>
      </c>
      <c r="M40" s="390">
        <f t="shared" si="27"/>
        <v>-13372.05</v>
      </c>
      <c r="N40" s="686">
        <v>0</v>
      </c>
      <c r="O40" s="189">
        <v>-13372.05</v>
      </c>
      <c r="P40" s="390">
        <f t="shared" si="28"/>
        <v>-13310.43</v>
      </c>
      <c r="Q40" s="686">
        <v>0</v>
      </c>
      <c r="R40" s="189">
        <v>-13310.43</v>
      </c>
      <c r="S40" s="390">
        <f t="shared" si="29"/>
        <v>-13248.81</v>
      </c>
      <c r="T40" s="686">
        <v>0</v>
      </c>
      <c r="U40" s="189">
        <v>-13248.81</v>
      </c>
      <c r="V40" s="390">
        <f t="shared" si="30"/>
        <v>-13187.19</v>
      </c>
      <c r="W40" s="686">
        <v>0</v>
      </c>
      <c r="X40" s="189">
        <v>-13187.19</v>
      </c>
      <c r="Y40" s="390">
        <f t="shared" si="31"/>
        <v>-13125.57</v>
      </c>
      <c r="Z40" s="686">
        <v>0</v>
      </c>
      <c r="AA40" s="189">
        <v>-13125.57</v>
      </c>
      <c r="AB40" s="390">
        <f t="shared" si="32"/>
        <v>-13063.95</v>
      </c>
      <c r="AC40" s="686">
        <v>0</v>
      </c>
      <c r="AD40" s="189">
        <v>-13063.95</v>
      </c>
      <c r="AE40" s="390">
        <f t="shared" si="33"/>
        <v>-13002.33</v>
      </c>
      <c r="AF40" s="686">
        <v>0</v>
      </c>
      <c r="AG40" s="189">
        <v>-13002.33</v>
      </c>
      <c r="AH40" s="390">
        <f t="shared" si="34"/>
        <v>-12940.71</v>
      </c>
      <c r="AI40" s="686">
        <v>0</v>
      </c>
      <c r="AJ40" s="189">
        <v>-12940.71</v>
      </c>
      <c r="AK40" s="390">
        <f t="shared" si="35"/>
        <v>-12879.09</v>
      </c>
      <c r="AL40" s="686">
        <v>0</v>
      </c>
      <c r="AM40" s="189">
        <v>-12879.09</v>
      </c>
      <c r="AN40" s="390">
        <f t="shared" si="36"/>
        <v>-12817.47</v>
      </c>
      <c r="AO40" s="686">
        <v>0</v>
      </c>
      <c r="AP40" s="189">
        <v>-12817.47</v>
      </c>
      <c r="AQ40" s="390">
        <f t="shared" si="37"/>
        <v>-12755.85</v>
      </c>
      <c r="AR40" s="686">
        <v>0</v>
      </c>
      <c r="AS40" s="189">
        <v>-12755.85</v>
      </c>
      <c r="AT40" s="390">
        <f t="shared" si="38"/>
        <v>-12694.23</v>
      </c>
      <c r="AU40" s="686">
        <v>0</v>
      </c>
      <c r="AV40" s="189">
        <v>-12694.23</v>
      </c>
      <c r="AW40" s="386">
        <f t="shared" si="10"/>
        <v>-13063.950000000003</v>
      </c>
      <c r="AX40" s="387">
        <f t="shared" si="11"/>
        <v>0</v>
      </c>
      <c r="AY40" s="387">
        <f t="shared" si="12"/>
        <v>-13063.950000000003</v>
      </c>
    </row>
    <row r="41" spans="1:51">
      <c r="A41" s="139">
        <v>33</v>
      </c>
      <c r="B41" s="184" t="s">
        <v>1335</v>
      </c>
      <c r="C41" s="156" t="s">
        <v>752</v>
      </c>
      <c r="D41" s="156"/>
      <c r="E41" s="156" t="s">
        <v>1005</v>
      </c>
      <c r="F41" s="185" t="s">
        <v>467</v>
      </c>
      <c r="G41" s="185" t="s">
        <v>1340</v>
      </c>
      <c r="H41" s="185"/>
      <c r="I41" s="186"/>
      <c r="J41" s="390">
        <f t="shared" si="26"/>
        <v>59590.47</v>
      </c>
      <c r="K41" s="686">
        <v>0</v>
      </c>
      <c r="L41" s="189">
        <v>59590.47</v>
      </c>
      <c r="M41" s="390">
        <f t="shared" si="27"/>
        <v>59610.35</v>
      </c>
      <c r="N41" s="686">
        <v>0</v>
      </c>
      <c r="O41" s="189">
        <v>59610.35</v>
      </c>
      <c r="P41" s="390">
        <f t="shared" si="28"/>
        <v>59762.59</v>
      </c>
      <c r="Q41" s="686">
        <v>0</v>
      </c>
      <c r="R41" s="189">
        <v>59762.59</v>
      </c>
      <c r="S41" s="390">
        <f t="shared" si="29"/>
        <v>58840.15</v>
      </c>
      <c r="T41" s="686">
        <v>0</v>
      </c>
      <c r="U41" s="189">
        <v>58840.15</v>
      </c>
      <c r="V41" s="390">
        <f t="shared" si="30"/>
        <v>58767.57</v>
      </c>
      <c r="W41" s="686">
        <v>0</v>
      </c>
      <c r="X41" s="189">
        <v>58767.57</v>
      </c>
      <c r="Y41" s="390">
        <f t="shared" si="31"/>
        <v>58869.7</v>
      </c>
      <c r="Z41" s="686">
        <v>0</v>
      </c>
      <c r="AA41" s="189">
        <v>58869.7</v>
      </c>
      <c r="AB41" s="390">
        <f t="shared" si="32"/>
        <v>58869.7</v>
      </c>
      <c r="AC41" s="686">
        <v>0</v>
      </c>
      <c r="AD41" s="189">
        <v>58869.7</v>
      </c>
      <c r="AE41" s="390">
        <f t="shared" si="33"/>
        <v>58819.12</v>
      </c>
      <c r="AF41" s="686">
        <v>0</v>
      </c>
      <c r="AG41" s="189">
        <v>58819.12</v>
      </c>
      <c r="AH41" s="390">
        <f t="shared" si="34"/>
        <v>58888.59</v>
      </c>
      <c r="AI41" s="686">
        <v>0</v>
      </c>
      <c r="AJ41" s="189">
        <v>58888.59</v>
      </c>
      <c r="AK41" s="390">
        <f t="shared" si="35"/>
        <v>57753.95</v>
      </c>
      <c r="AL41" s="686">
        <v>0</v>
      </c>
      <c r="AM41" s="189">
        <v>57753.95</v>
      </c>
      <c r="AN41" s="390">
        <f t="shared" si="36"/>
        <v>57815.58</v>
      </c>
      <c r="AO41" s="686">
        <v>0</v>
      </c>
      <c r="AP41" s="189">
        <v>57815.58</v>
      </c>
      <c r="AQ41" s="390">
        <f t="shared" si="37"/>
        <v>57928.94</v>
      </c>
      <c r="AR41" s="686">
        <v>0</v>
      </c>
      <c r="AS41" s="189">
        <v>57928.94</v>
      </c>
      <c r="AT41" s="390">
        <f t="shared" si="38"/>
        <v>57928.94</v>
      </c>
      <c r="AU41" s="686">
        <v>0</v>
      </c>
      <c r="AV41" s="189">
        <v>57928.94</v>
      </c>
      <c r="AW41" s="386">
        <f t="shared" si="10"/>
        <v>58723.828749999993</v>
      </c>
      <c r="AX41" s="387">
        <f t="shared" si="11"/>
        <v>0</v>
      </c>
      <c r="AY41" s="387">
        <f t="shared" si="12"/>
        <v>58723.828749999993</v>
      </c>
    </row>
    <row r="42" spans="1:51">
      <c r="A42" s="139">
        <v>34</v>
      </c>
      <c r="B42" s="184" t="s">
        <v>1336</v>
      </c>
      <c r="C42" s="156" t="s">
        <v>752</v>
      </c>
      <c r="D42" s="156"/>
      <c r="E42" s="156" t="s">
        <v>1005</v>
      </c>
      <c r="F42" s="185" t="s">
        <v>467</v>
      </c>
      <c r="G42" s="185" t="s">
        <v>1341</v>
      </c>
      <c r="H42" s="185"/>
      <c r="I42" s="186"/>
      <c r="J42" s="390">
        <f t="shared" si="26"/>
        <v>-2574.25</v>
      </c>
      <c r="K42" s="686">
        <v>0</v>
      </c>
      <c r="L42" s="189">
        <v>-2574.25</v>
      </c>
      <c r="M42" s="390">
        <f t="shared" si="27"/>
        <v>-2526.58</v>
      </c>
      <c r="N42" s="686">
        <v>0</v>
      </c>
      <c r="O42" s="189">
        <v>-2526.58</v>
      </c>
      <c r="P42" s="390">
        <f t="shared" si="28"/>
        <v>-2478.91</v>
      </c>
      <c r="Q42" s="686">
        <v>0</v>
      </c>
      <c r="R42" s="189">
        <v>-2478.91</v>
      </c>
      <c r="S42" s="390">
        <f t="shared" si="29"/>
        <v>-2431.2399999999998</v>
      </c>
      <c r="T42" s="686">
        <v>0</v>
      </c>
      <c r="U42" s="189">
        <v>-2431.2399999999998</v>
      </c>
      <c r="V42" s="390">
        <f t="shared" si="30"/>
        <v>-2383.5700000000002</v>
      </c>
      <c r="W42" s="686">
        <v>0</v>
      </c>
      <c r="X42" s="189">
        <v>-2383.5700000000002</v>
      </c>
      <c r="Y42" s="390">
        <f t="shared" si="31"/>
        <v>-2335.9</v>
      </c>
      <c r="Z42" s="686">
        <v>0</v>
      </c>
      <c r="AA42" s="189">
        <v>-2335.9</v>
      </c>
      <c r="AB42" s="390">
        <f t="shared" si="32"/>
        <v>-2288.2199999999998</v>
      </c>
      <c r="AC42" s="686">
        <v>0</v>
      </c>
      <c r="AD42" s="189">
        <v>-2288.2199999999998</v>
      </c>
      <c r="AE42" s="390">
        <f t="shared" si="33"/>
        <v>-2240.5500000000002</v>
      </c>
      <c r="AF42" s="686">
        <v>0</v>
      </c>
      <c r="AG42" s="189">
        <v>-2240.5500000000002</v>
      </c>
      <c r="AH42" s="390">
        <f t="shared" si="34"/>
        <v>-2192.88</v>
      </c>
      <c r="AI42" s="686">
        <v>0</v>
      </c>
      <c r="AJ42" s="189">
        <v>-2192.88</v>
      </c>
      <c r="AK42" s="390">
        <f t="shared" si="35"/>
        <v>-2145.21</v>
      </c>
      <c r="AL42" s="686">
        <v>0</v>
      </c>
      <c r="AM42" s="189">
        <v>-2145.21</v>
      </c>
      <c r="AN42" s="390">
        <f t="shared" si="36"/>
        <v>-2097.54</v>
      </c>
      <c r="AO42" s="686">
        <v>0</v>
      </c>
      <c r="AP42" s="189">
        <v>-2097.54</v>
      </c>
      <c r="AQ42" s="390">
        <f t="shared" si="37"/>
        <v>-2049.87</v>
      </c>
      <c r="AR42" s="686">
        <v>0</v>
      </c>
      <c r="AS42" s="189">
        <v>-2049.87</v>
      </c>
      <c r="AT42" s="390">
        <f t="shared" si="38"/>
        <v>-2002.19</v>
      </c>
      <c r="AU42" s="686">
        <v>0</v>
      </c>
      <c r="AV42" s="189">
        <v>-2002.19</v>
      </c>
      <c r="AW42" s="386">
        <f t="shared" si="10"/>
        <v>-2288.2241666666664</v>
      </c>
      <c r="AX42" s="387">
        <f t="shared" si="11"/>
        <v>0</v>
      </c>
      <c r="AY42" s="387">
        <f t="shared" si="12"/>
        <v>-2288.2241666666664</v>
      </c>
    </row>
    <row r="43" spans="1:51" ht="16.5" thickBot="1">
      <c r="A43" s="139">
        <v>35</v>
      </c>
      <c r="B43" s="161"/>
      <c r="C43" s="156"/>
      <c r="D43" s="156"/>
      <c r="E43" s="156"/>
      <c r="F43" s="156"/>
      <c r="G43" s="156"/>
      <c r="H43" s="156"/>
      <c r="I43" s="157"/>
      <c r="J43" s="175">
        <f>SUM(J26:J42)</f>
        <v>-103174323.41000003</v>
      </c>
      <c r="K43" s="175">
        <f t="shared" ref="K43:M43" si="39">SUM(K26:K42)</f>
        <v>-76096889.010000005</v>
      </c>
      <c r="L43" s="175">
        <f t="shared" si="39"/>
        <v>-27077434.400000002</v>
      </c>
      <c r="M43" s="175">
        <f t="shared" si="39"/>
        <v>-103113826.47</v>
      </c>
      <c r="N43" s="175">
        <f t="shared" ref="N43" si="40">SUM(N26:N42)</f>
        <v>-74564232.609999999</v>
      </c>
      <c r="O43" s="175">
        <f t="shared" ref="O43:P43" si="41">SUM(O26:O42)</f>
        <v>-28549593.859999996</v>
      </c>
      <c r="P43" s="175">
        <f t="shared" si="41"/>
        <v>-103051684.97</v>
      </c>
      <c r="Q43" s="175">
        <f t="shared" ref="Q43" si="42">SUM(Q26:Q42)</f>
        <v>-74507195.480000004</v>
      </c>
      <c r="R43" s="175">
        <f t="shared" ref="R43:S43" si="43">SUM(R26:R42)</f>
        <v>-28544489.490000002</v>
      </c>
      <c r="S43" s="175">
        <f t="shared" si="43"/>
        <v>-103002896.50999999</v>
      </c>
      <c r="T43" s="175">
        <f t="shared" ref="T43" si="44">SUM(T26:T42)</f>
        <v>-74459433.410000011</v>
      </c>
      <c r="U43" s="175">
        <f t="shared" ref="U43:V43" si="45">SUM(U26:U42)</f>
        <v>-28543463.100000001</v>
      </c>
      <c r="V43" s="175">
        <f t="shared" si="45"/>
        <v>-102943548.42999998</v>
      </c>
      <c r="W43" s="175">
        <f t="shared" ref="W43" si="46">SUM(W26:W42)</f>
        <v>-74404336.609999985</v>
      </c>
      <c r="X43" s="175">
        <f t="shared" ref="X43:Y43" si="47">SUM(X26:X42)</f>
        <v>-28539211.82</v>
      </c>
      <c r="Y43" s="175">
        <f t="shared" si="47"/>
        <v>-102882029.57000002</v>
      </c>
      <c r="Z43" s="175">
        <f t="shared" ref="Z43" si="48">SUM(Z26:Z42)</f>
        <v>-76158658.930000007</v>
      </c>
      <c r="AA43" s="175">
        <f t="shared" ref="AA43:AB43" si="49">SUM(AA26:AA42)</f>
        <v>-26723370.639999997</v>
      </c>
      <c r="AB43" s="175">
        <f t="shared" si="49"/>
        <v>-102821779.62000003</v>
      </c>
      <c r="AC43" s="175">
        <f t="shared" ref="AC43" si="50">SUM(AC26:AC42)</f>
        <v>-76101451.520000011</v>
      </c>
      <c r="AD43" s="175">
        <f t="shared" ref="AD43:AE43" si="51">SUM(AD26:AD42)</f>
        <v>-26720328.099999998</v>
      </c>
      <c r="AE43" s="175">
        <f t="shared" si="51"/>
        <v>-102762158.17000003</v>
      </c>
      <c r="AF43" s="175">
        <f t="shared" ref="AF43" si="52">SUM(AF26:AF42)</f>
        <v>-76044244.12000002</v>
      </c>
      <c r="AG43" s="175">
        <f t="shared" ref="AG43:AH43" si="53">SUM(AG26:AG42)</f>
        <v>-26717914.049999997</v>
      </c>
      <c r="AH43" s="175">
        <f t="shared" si="53"/>
        <v>-102701045.06</v>
      </c>
      <c r="AI43" s="175">
        <f t="shared" ref="AI43" si="54">SUM(AI26:AI42)</f>
        <v>-75987036.719999999</v>
      </c>
      <c r="AJ43" s="175">
        <f t="shared" ref="AJ43:AK43" si="55">SUM(AJ26:AJ42)</f>
        <v>-26714008.339999996</v>
      </c>
      <c r="AK43" s="175">
        <f t="shared" si="55"/>
        <v>-102654893.3</v>
      </c>
      <c r="AL43" s="175">
        <f t="shared" ref="AL43" si="56">SUM(AL26:AL42)</f>
        <v>-75940902.049999997</v>
      </c>
      <c r="AM43" s="175">
        <f t="shared" ref="AM43:AN43" si="57">SUM(AM26:AM42)</f>
        <v>-26713991.249999996</v>
      </c>
      <c r="AN43" s="175">
        <f t="shared" si="57"/>
        <v>-102593877.55000003</v>
      </c>
      <c r="AO43" s="175">
        <f t="shared" ref="AO43" si="58">SUM(AO26:AO42)</f>
        <v>-75883694.650000006</v>
      </c>
      <c r="AP43" s="175">
        <f t="shared" ref="AP43:AQ43" si="59">SUM(AP26:AP42)</f>
        <v>-26710182.899999999</v>
      </c>
      <c r="AQ43" s="175">
        <f t="shared" si="59"/>
        <v>-103562261.98000002</v>
      </c>
      <c r="AR43" s="175">
        <f t="shared" ref="AR43" si="60">SUM(AR26:AR42)</f>
        <v>-76564459.489999995</v>
      </c>
      <c r="AS43" s="175">
        <f t="shared" ref="AS43:AT43" si="61">SUM(AS26:AS42)</f>
        <v>-26997802.489999995</v>
      </c>
      <c r="AT43" s="175">
        <f t="shared" si="61"/>
        <v>-105143322.19000001</v>
      </c>
      <c r="AU43" s="175">
        <f t="shared" ref="AU43" si="62">SUM(AU26:AU42)</f>
        <v>-77673011.209999993</v>
      </c>
      <c r="AV43" s="175">
        <f t="shared" ref="AV43" si="63">SUM(AV26:AV42)</f>
        <v>-27470310.979999997</v>
      </c>
      <c r="AW43" s="391">
        <f>SUM(AW25:AW42)</f>
        <v>-103020735.36916667</v>
      </c>
      <c r="AX43" s="489">
        <f>SUM(AX25:AX42)</f>
        <v>-75625049.641666636</v>
      </c>
      <c r="AY43" s="392">
        <f>SUM(AY25:AY42)</f>
        <v>-27395685.727499995</v>
      </c>
    </row>
    <row r="44" spans="1:51" s="16" customFormat="1" ht="17.25" thickTop="1" thickBot="1">
      <c r="A44" s="694">
        <v>30</v>
      </c>
      <c r="B44" s="465" t="s">
        <v>1014</v>
      </c>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row>
    <row r="45" spans="1:51" s="16" customFormat="1">
      <c r="A45" s="694">
        <v>31</v>
      </c>
      <c r="B45" s="16" t="s">
        <v>1391</v>
      </c>
      <c r="C45" s="466" t="s">
        <v>752</v>
      </c>
      <c r="E45" s="466"/>
      <c r="F45" s="467">
        <v>1900</v>
      </c>
      <c r="G45" s="467" t="s">
        <v>1006</v>
      </c>
      <c r="H45" s="466"/>
      <c r="I45" s="466"/>
      <c r="J45" s="468">
        <v>-7249.34</v>
      </c>
      <c r="K45" s="469"/>
      <c r="L45" s="470"/>
      <c r="M45" s="469">
        <v>-7165.15</v>
      </c>
      <c r="N45" s="469"/>
      <c r="O45" s="470"/>
      <c r="P45" s="469">
        <v>-7080.94</v>
      </c>
      <c r="Q45" s="469"/>
      <c r="R45" s="470"/>
      <c r="S45" s="469">
        <v>-6996.75</v>
      </c>
      <c r="T45" s="469"/>
      <c r="U45" s="470"/>
      <c r="V45" s="469">
        <v>-6912.56</v>
      </c>
      <c r="W45" s="469"/>
      <c r="X45" s="470"/>
      <c r="Y45" s="469">
        <v>-6828.37</v>
      </c>
      <c r="Z45" s="469"/>
      <c r="AA45" s="470"/>
      <c r="AB45" s="469">
        <v>-6744.18</v>
      </c>
      <c r="AC45" s="469"/>
      <c r="AD45" s="470"/>
      <c r="AE45" s="469">
        <v>-6659.99</v>
      </c>
      <c r="AF45" s="469"/>
      <c r="AG45" s="470"/>
      <c r="AH45" s="469">
        <v>-6575.8</v>
      </c>
      <c r="AI45" s="469"/>
      <c r="AJ45" s="470"/>
      <c r="AK45" s="469">
        <v>-6491.61</v>
      </c>
      <c r="AL45" s="469"/>
      <c r="AM45" s="470"/>
      <c r="AN45" s="469">
        <v>-6407.42</v>
      </c>
      <c r="AO45" s="469"/>
      <c r="AP45" s="470"/>
      <c r="AQ45" s="469">
        <v>-6323.23</v>
      </c>
      <c r="AR45" s="469"/>
      <c r="AS45" s="470"/>
      <c r="AT45" s="469">
        <v>-6239.04</v>
      </c>
      <c r="AU45" s="469"/>
      <c r="AV45" s="470"/>
      <c r="AW45" s="471">
        <f t="shared" ref="AW45:AW72" si="64">+(AT45+J45+(M45+P45+S45+V45+Y45+AB45+AE45+AH45+AK45+AN45+AQ45)*2)/24</f>
        <v>-6744.1824999999999</v>
      </c>
      <c r="AX45" s="466"/>
      <c r="AY45" s="466"/>
    </row>
    <row r="46" spans="1:51" s="16" customFormat="1">
      <c r="A46" s="694">
        <v>32</v>
      </c>
      <c r="B46" s="16" t="s">
        <v>1392</v>
      </c>
      <c r="C46" s="466" t="s">
        <v>752</v>
      </c>
      <c r="E46" s="466"/>
      <c r="F46" s="467" t="s">
        <v>467</v>
      </c>
      <c r="G46" s="467" t="s">
        <v>1007</v>
      </c>
      <c r="H46" s="466"/>
      <c r="I46" s="466"/>
      <c r="J46" s="472">
        <v>2574.23</v>
      </c>
      <c r="K46" s="473"/>
      <c r="L46" s="474"/>
      <c r="M46" s="473">
        <v>2526.5500000000002</v>
      </c>
      <c r="N46" s="473"/>
      <c r="O46" s="474"/>
      <c r="P46" s="473">
        <v>2478.9</v>
      </c>
      <c r="Q46" s="473"/>
      <c r="R46" s="474"/>
      <c r="S46" s="473">
        <v>2431.23</v>
      </c>
      <c r="T46" s="473"/>
      <c r="U46" s="474"/>
      <c r="V46" s="473">
        <v>2383.5700000000002</v>
      </c>
      <c r="W46" s="473"/>
      <c r="X46" s="474"/>
      <c r="Y46" s="473">
        <v>2335.9</v>
      </c>
      <c r="Z46" s="473"/>
      <c r="AA46" s="474"/>
      <c r="AB46" s="473">
        <v>2288.2199999999998</v>
      </c>
      <c r="AC46" s="473"/>
      <c r="AD46" s="474"/>
      <c r="AE46" s="473">
        <v>2240.5700000000002</v>
      </c>
      <c r="AF46" s="473"/>
      <c r="AG46" s="474"/>
      <c r="AH46" s="473">
        <v>2192.91</v>
      </c>
      <c r="AI46" s="473"/>
      <c r="AJ46" s="474"/>
      <c r="AK46" s="473">
        <v>2145.2199999999998</v>
      </c>
      <c r="AL46" s="473"/>
      <c r="AM46" s="474"/>
      <c r="AN46" s="473">
        <v>2097.56</v>
      </c>
      <c r="AO46" s="473"/>
      <c r="AP46" s="474"/>
      <c r="AQ46" s="473">
        <v>2049.87</v>
      </c>
      <c r="AR46" s="473"/>
      <c r="AS46" s="474"/>
      <c r="AT46" s="473">
        <v>2002.16</v>
      </c>
      <c r="AU46" s="473"/>
      <c r="AV46" s="474"/>
      <c r="AW46" s="475">
        <f t="shared" si="64"/>
        <v>2288.2245833333332</v>
      </c>
      <c r="AX46" s="466"/>
      <c r="AY46" s="466"/>
    </row>
    <row r="47" spans="1:51" s="16" customFormat="1">
      <c r="A47" s="139">
        <v>34</v>
      </c>
      <c r="B47" s="16" t="s">
        <v>1393</v>
      </c>
      <c r="C47" s="466" t="s">
        <v>752</v>
      </c>
      <c r="E47" s="466"/>
      <c r="F47" s="467" t="s">
        <v>467</v>
      </c>
      <c r="G47" s="467" t="s">
        <v>1008</v>
      </c>
      <c r="H47" s="466"/>
      <c r="I47" s="466"/>
      <c r="J47" s="472">
        <v>1007436.65</v>
      </c>
      <c r="K47" s="473"/>
      <c r="L47" s="474"/>
      <c r="M47" s="473">
        <v>1007188.66</v>
      </c>
      <c r="N47" s="473"/>
      <c r="O47" s="474"/>
      <c r="P47" s="473">
        <v>1005952.68</v>
      </c>
      <c r="Q47" s="473"/>
      <c r="R47" s="474"/>
      <c r="S47" s="473">
        <v>1003898.25</v>
      </c>
      <c r="T47" s="473"/>
      <c r="U47" s="474"/>
      <c r="V47" s="473">
        <v>1001032.56</v>
      </c>
      <c r="W47" s="473"/>
      <c r="X47" s="474"/>
      <c r="Y47" s="473">
        <v>418897.9</v>
      </c>
      <c r="Z47" s="473"/>
      <c r="AA47" s="474"/>
      <c r="AB47" s="473">
        <v>408252.29</v>
      </c>
      <c r="AC47" s="473"/>
      <c r="AD47" s="474"/>
      <c r="AE47" s="473">
        <v>407353.09</v>
      </c>
      <c r="AF47" s="473"/>
      <c r="AG47" s="474"/>
      <c r="AH47" s="473">
        <v>405581.88</v>
      </c>
      <c r="AI47" s="473"/>
      <c r="AJ47" s="474"/>
      <c r="AK47" s="473">
        <v>404369.91999999998</v>
      </c>
      <c r="AL47" s="473"/>
      <c r="AM47" s="474"/>
      <c r="AN47" s="473">
        <v>401034.88</v>
      </c>
      <c r="AO47" s="473"/>
      <c r="AP47" s="474"/>
      <c r="AQ47" s="473">
        <v>399699.02</v>
      </c>
      <c r="AR47" s="473"/>
      <c r="AS47" s="474"/>
      <c r="AT47" s="473">
        <v>329517.43</v>
      </c>
      <c r="AU47" s="473"/>
      <c r="AV47" s="474"/>
      <c r="AW47" s="475">
        <f t="shared" si="64"/>
        <v>627644.84749999992</v>
      </c>
      <c r="AX47" s="466"/>
      <c r="AY47" s="466"/>
    </row>
    <row r="48" spans="1:51" s="16" customFormat="1">
      <c r="A48" s="139">
        <v>35</v>
      </c>
      <c r="B48" s="16" t="s">
        <v>1394</v>
      </c>
      <c r="C48" s="466" t="s">
        <v>752</v>
      </c>
      <c r="E48" s="466"/>
      <c r="F48" s="467" t="s">
        <v>467</v>
      </c>
      <c r="G48" s="467" t="s">
        <v>198</v>
      </c>
      <c r="H48" s="466"/>
      <c r="I48" s="466"/>
      <c r="J48" s="472">
        <v>145396.82</v>
      </c>
      <c r="K48" s="473"/>
      <c r="L48" s="474"/>
      <c r="M48" s="473">
        <v>148421.38</v>
      </c>
      <c r="N48" s="473"/>
      <c r="O48" s="474"/>
      <c r="P48" s="473">
        <v>128771.35</v>
      </c>
      <c r="Q48" s="473"/>
      <c r="R48" s="474"/>
      <c r="S48" s="473">
        <v>129857.41</v>
      </c>
      <c r="T48" s="473"/>
      <c r="U48" s="474"/>
      <c r="V48" s="473">
        <v>112857.27</v>
      </c>
      <c r="W48" s="473"/>
      <c r="X48" s="474"/>
      <c r="Y48" s="473">
        <v>114490.48</v>
      </c>
      <c r="Z48" s="473"/>
      <c r="AA48" s="474"/>
      <c r="AB48" s="473">
        <v>117214.76</v>
      </c>
      <c r="AC48" s="473"/>
      <c r="AD48" s="474"/>
      <c r="AE48" s="473">
        <v>119154.55</v>
      </c>
      <c r="AF48" s="473"/>
      <c r="AG48" s="474"/>
      <c r="AH48" s="473">
        <v>121273.61</v>
      </c>
      <c r="AI48" s="473"/>
      <c r="AJ48" s="474"/>
      <c r="AK48" s="473">
        <v>120858.67</v>
      </c>
      <c r="AL48" s="473"/>
      <c r="AM48" s="474"/>
      <c r="AN48" s="473">
        <v>120291.11</v>
      </c>
      <c r="AO48" s="473"/>
      <c r="AP48" s="474"/>
      <c r="AQ48" s="473">
        <v>100655.08</v>
      </c>
      <c r="AR48" s="473"/>
      <c r="AS48" s="474"/>
      <c r="AT48" s="473">
        <v>152233.85999999999</v>
      </c>
      <c r="AU48" s="473"/>
      <c r="AV48" s="474"/>
      <c r="AW48" s="475">
        <f t="shared" si="64"/>
        <v>123555.08416666668</v>
      </c>
      <c r="AX48" s="466"/>
      <c r="AY48" s="466"/>
    </row>
    <row r="49" spans="1:51" s="16" customFormat="1">
      <c r="A49" s="139">
        <v>36</v>
      </c>
      <c r="B49" s="16" t="s">
        <v>1395</v>
      </c>
      <c r="C49" s="466" t="s">
        <v>752</v>
      </c>
      <c r="E49" s="466"/>
      <c r="F49" s="467" t="s">
        <v>467</v>
      </c>
      <c r="G49" s="467" t="s">
        <v>1009</v>
      </c>
      <c r="H49" s="466"/>
      <c r="I49" s="466"/>
      <c r="J49" s="472">
        <v>-82824.95</v>
      </c>
      <c r="K49" s="473"/>
      <c r="L49" s="474"/>
      <c r="M49" s="473">
        <v>-81863.039999999994</v>
      </c>
      <c r="N49" s="473"/>
      <c r="O49" s="474"/>
      <c r="P49" s="473">
        <v>-80901.16</v>
      </c>
      <c r="Q49" s="473"/>
      <c r="R49" s="474"/>
      <c r="S49" s="473">
        <v>-79939.23</v>
      </c>
      <c r="T49" s="473"/>
      <c r="U49" s="474"/>
      <c r="V49" s="473">
        <v>-78977.33</v>
      </c>
      <c r="W49" s="473"/>
      <c r="X49" s="474"/>
      <c r="Y49" s="473">
        <v>-78015.429999999993</v>
      </c>
      <c r="Z49" s="473"/>
      <c r="AA49" s="474"/>
      <c r="AB49" s="473">
        <v>-77053.539999999994</v>
      </c>
      <c r="AC49" s="473"/>
      <c r="AD49" s="474"/>
      <c r="AE49" s="473">
        <v>-76091.649999999994</v>
      </c>
      <c r="AF49" s="473"/>
      <c r="AG49" s="474"/>
      <c r="AH49" s="473">
        <v>-75129.75</v>
      </c>
      <c r="AI49" s="473"/>
      <c r="AJ49" s="474"/>
      <c r="AK49" s="473">
        <v>-74167.83</v>
      </c>
      <c r="AL49" s="473"/>
      <c r="AM49" s="474"/>
      <c r="AN49" s="473">
        <v>-73205.919999999998</v>
      </c>
      <c r="AO49" s="473"/>
      <c r="AP49" s="474"/>
      <c r="AQ49" s="473">
        <v>-72244.02</v>
      </c>
      <c r="AR49" s="473"/>
      <c r="AS49" s="474"/>
      <c r="AT49" s="473">
        <v>-71282.13</v>
      </c>
      <c r="AU49" s="473"/>
      <c r="AV49" s="474"/>
      <c r="AW49" s="475">
        <f t="shared" si="64"/>
        <v>-77053.536666666667</v>
      </c>
      <c r="AX49" s="466"/>
      <c r="AY49" s="466"/>
    </row>
    <row r="50" spans="1:51" s="16" customFormat="1">
      <c r="A50" s="139">
        <v>37</v>
      </c>
      <c r="B50" s="16" t="s">
        <v>1396</v>
      </c>
      <c r="C50" s="466" t="s">
        <v>752</v>
      </c>
      <c r="E50" s="466"/>
      <c r="F50" s="467" t="s">
        <v>467</v>
      </c>
      <c r="G50" s="467" t="s">
        <v>1010</v>
      </c>
      <c r="H50" s="466"/>
      <c r="I50" s="466"/>
      <c r="J50" s="472">
        <v>-314153.82</v>
      </c>
      <c r="K50" s="473"/>
      <c r="L50" s="474"/>
      <c r="M50" s="473">
        <v>-310487.56</v>
      </c>
      <c r="N50" s="473"/>
      <c r="O50" s="474"/>
      <c r="P50" s="473">
        <v>-306821.32</v>
      </c>
      <c r="Q50" s="473"/>
      <c r="R50" s="474"/>
      <c r="S50" s="473">
        <v>-303155.03999999998</v>
      </c>
      <c r="T50" s="473"/>
      <c r="U50" s="474"/>
      <c r="V50" s="473">
        <v>-299488.8</v>
      </c>
      <c r="W50" s="473"/>
      <c r="X50" s="474"/>
      <c r="Y50" s="473">
        <v>-295822.51</v>
      </c>
      <c r="Z50" s="473"/>
      <c r="AA50" s="474"/>
      <c r="AB50" s="473">
        <v>-292156.31</v>
      </c>
      <c r="AC50" s="473"/>
      <c r="AD50" s="474"/>
      <c r="AE50" s="473">
        <v>-288490.09000000003</v>
      </c>
      <c r="AF50" s="473"/>
      <c r="AG50" s="474"/>
      <c r="AH50" s="473">
        <v>-284823.81</v>
      </c>
      <c r="AI50" s="473"/>
      <c r="AJ50" s="474"/>
      <c r="AK50" s="473">
        <v>-281157.56</v>
      </c>
      <c r="AL50" s="473"/>
      <c r="AM50" s="474"/>
      <c r="AN50" s="473">
        <v>-277491.31</v>
      </c>
      <c r="AO50" s="473"/>
      <c r="AP50" s="474"/>
      <c r="AQ50" s="473">
        <v>-273824.98</v>
      </c>
      <c r="AR50" s="473"/>
      <c r="AS50" s="474"/>
      <c r="AT50" s="473">
        <v>-270158.8</v>
      </c>
      <c r="AU50" s="473"/>
      <c r="AV50" s="474"/>
      <c r="AW50" s="475">
        <f t="shared" si="64"/>
        <v>-292156.3</v>
      </c>
      <c r="AX50" s="466"/>
      <c r="AY50" s="466"/>
    </row>
    <row r="51" spans="1:51" s="16" customFormat="1">
      <c r="A51" s="139">
        <v>39</v>
      </c>
      <c r="B51" s="16" t="s">
        <v>1397</v>
      </c>
      <c r="C51" s="466" t="s">
        <v>752</v>
      </c>
      <c r="E51" s="466"/>
      <c r="F51" s="467" t="s">
        <v>467</v>
      </c>
      <c r="G51" s="467" t="s">
        <v>1011</v>
      </c>
      <c r="H51" s="466"/>
      <c r="I51" s="466"/>
      <c r="J51" s="472">
        <v>11510145.4</v>
      </c>
      <c r="K51" s="473"/>
      <c r="L51" s="474"/>
      <c r="M51" s="473">
        <v>11507312.039999999</v>
      </c>
      <c r="N51" s="473"/>
      <c r="O51" s="474"/>
      <c r="P51" s="473">
        <v>11493190.75</v>
      </c>
      <c r="Q51" s="473"/>
      <c r="R51" s="474"/>
      <c r="S51" s="473">
        <v>11469718.529999999</v>
      </c>
      <c r="T51" s="473"/>
      <c r="U51" s="474"/>
      <c r="V51" s="473">
        <v>11436977.539999999</v>
      </c>
      <c r="W51" s="473"/>
      <c r="X51" s="474"/>
      <c r="Y51" s="473">
        <v>4785984.6900000004</v>
      </c>
      <c r="Z51" s="473"/>
      <c r="AA51" s="474"/>
      <c r="AB51" s="473">
        <v>4664356.68</v>
      </c>
      <c r="AC51" s="473"/>
      <c r="AD51" s="474"/>
      <c r="AE51" s="473">
        <v>4654083.1500000004</v>
      </c>
      <c r="AF51" s="473"/>
      <c r="AG51" s="474"/>
      <c r="AH51" s="473">
        <v>4633846.72</v>
      </c>
      <c r="AI51" s="473"/>
      <c r="AJ51" s="474"/>
      <c r="AK51" s="473">
        <v>4619999.8499999996</v>
      </c>
      <c r="AL51" s="473"/>
      <c r="AM51" s="474"/>
      <c r="AN51" s="473">
        <v>4581896.46</v>
      </c>
      <c r="AO51" s="473"/>
      <c r="AP51" s="474"/>
      <c r="AQ51" s="473">
        <v>4566634.12</v>
      </c>
      <c r="AR51" s="473"/>
      <c r="AS51" s="474"/>
      <c r="AT51" s="473">
        <v>3764796.5</v>
      </c>
      <c r="AU51" s="473"/>
      <c r="AV51" s="474"/>
      <c r="AW51" s="475">
        <f t="shared" si="64"/>
        <v>7170955.9566666661</v>
      </c>
      <c r="AX51" s="466"/>
      <c r="AY51" s="466"/>
    </row>
    <row r="52" spans="1:51" s="16" customFormat="1">
      <c r="A52" s="139">
        <v>40</v>
      </c>
      <c r="B52" s="16" t="s">
        <v>1398</v>
      </c>
      <c r="C52" s="466" t="s">
        <v>752</v>
      </c>
      <c r="E52" s="466"/>
      <c r="F52" s="467" t="s">
        <v>467</v>
      </c>
      <c r="G52" s="467" t="s">
        <v>1161</v>
      </c>
      <c r="H52" s="466"/>
      <c r="I52" s="466"/>
      <c r="J52" s="476">
        <v>1661184.9</v>
      </c>
      <c r="K52" s="473"/>
      <c r="L52" s="474"/>
      <c r="M52" s="476">
        <v>1695741.01</v>
      </c>
      <c r="N52" s="473"/>
      <c r="O52" s="474"/>
      <c r="P52" s="476">
        <v>1471236.01</v>
      </c>
      <c r="Q52" s="473"/>
      <c r="R52" s="474"/>
      <c r="S52" s="476">
        <v>1483644.41</v>
      </c>
      <c r="T52" s="473"/>
      <c r="U52" s="474"/>
      <c r="V52" s="476">
        <v>1289414.67</v>
      </c>
      <c r="W52" s="473"/>
      <c r="X52" s="474"/>
      <c r="Y52" s="476">
        <v>1308074.3700000001</v>
      </c>
      <c r="Z52" s="473"/>
      <c r="AA52" s="474"/>
      <c r="AB52" s="476">
        <v>1339199.76</v>
      </c>
      <c r="AC52" s="473"/>
      <c r="AD52" s="474"/>
      <c r="AE52" s="476">
        <v>1361362.4</v>
      </c>
      <c r="AF52" s="473"/>
      <c r="AG52" s="474"/>
      <c r="AH52" s="476">
        <v>1385573.15</v>
      </c>
      <c r="AI52" s="473"/>
      <c r="AJ52" s="474"/>
      <c r="AK52" s="476">
        <v>1380832.33</v>
      </c>
      <c r="AL52" s="473"/>
      <c r="AM52" s="474"/>
      <c r="AN52" s="476">
        <v>1374347.93</v>
      </c>
      <c r="AO52" s="473"/>
      <c r="AP52" s="474"/>
      <c r="AQ52" s="476">
        <v>1150002.48</v>
      </c>
      <c r="AR52" s="473"/>
      <c r="AS52" s="474"/>
      <c r="AT52" s="476">
        <v>1739299.2</v>
      </c>
      <c r="AU52" s="473"/>
      <c r="AV52" s="473"/>
      <c r="AW52" s="477">
        <f t="shared" si="64"/>
        <v>1411639.2141666666</v>
      </c>
      <c r="AX52" s="466"/>
      <c r="AY52" s="466"/>
    </row>
    <row r="53" spans="1:51" s="16" customFormat="1">
      <c r="A53" s="139">
        <v>41</v>
      </c>
      <c r="C53" s="466"/>
      <c r="E53" s="466"/>
      <c r="F53" s="466"/>
      <c r="G53" s="466"/>
      <c r="H53" s="466"/>
      <c r="I53" s="466"/>
      <c r="J53" s="472">
        <f>SUM(J45:J52)</f>
        <v>13922509.890000001</v>
      </c>
      <c r="K53" s="473"/>
      <c r="L53" s="474"/>
      <c r="M53" s="473">
        <f>SUM(M45:M52)</f>
        <v>13961673.889999999</v>
      </c>
      <c r="N53" s="473"/>
      <c r="O53" s="473"/>
      <c r="P53" s="473">
        <f>SUM(P45:P52)</f>
        <v>13706826.27</v>
      </c>
      <c r="Q53" s="473"/>
      <c r="R53" s="473"/>
      <c r="S53" s="473">
        <f>SUM(S45:S52)</f>
        <v>13699458.809999999</v>
      </c>
      <c r="T53" s="473"/>
      <c r="U53" s="473"/>
      <c r="V53" s="473">
        <f>SUM(V45:V52)</f>
        <v>13457286.92</v>
      </c>
      <c r="W53" s="473"/>
      <c r="X53" s="473"/>
      <c r="Y53" s="473">
        <f>SUM(Y45:Y52)</f>
        <v>6249117.0300000003</v>
      </c>
      <c r="Z53" s="473"/>
      <c r="AA53" s="473"/>
      <c r="AB53" s="473">
        <f>SUM(AB45:AB52)</f>
        <v>6155357.6799999997</v>
      </c>
      <c r="AC53" s="473"/>
      <c r="AD53" s="473"/>
      <c r="AE53" s="473">
        <f>SUM(AE45:AE52)</f>
        <v>6172952.0300000012</v>
      </c>
      <c r="AF53" s="473"/>
      <c r="AG53" s="473"/>
      <c r="AH53" s="473">
        <f>SUM(AH45:AH52)</f>
        <v>6181938.9100000001</v>
      </c>
      <c r="AI53" s="473"/>
      <c r="AJ53" s="473"/>
      <c r="AK53" s="473">
        <f>SUM(AK45:AK52)</f>
        <v>6166388.9899999993</v>
      </c>
      <c r="AL53" s="473"/>
      <c r="AM53" s="473"/>
      <c r="AN53" s="473">
        <f>SUM(AN45:AN52)</f>
        <v>6122563.29</v>
      </c>
      <c r="AO53" s="473"/>
      <c r="AP53" s="473"/>
      <c r="AQ53" s="473">
        <f>SUM(AQ45:AQ52)</f>
        <v>5866648.3399999999</v>
      </c>
      <c r="AR53" s="473"/>
      <c r="AS53" s="473"/>
      <c r="AT53" s="473">
        <f>SUM(AT45:AT52)</f>
        <v>5640169.1799999997</v>
      </c>
      <c r="AU53" s="473"/>
      <c r="AV53" s="473"/>
      <c r="AW53" s="475">
        <f t="shared" si="64"/>
        <v>8960129.3079166654</v>
      </c>
      <c r="AX53" s="466"/>
      <c r="AY53" s="466"/>
    </row>
    <row r="54" spans="1:51" s="16" customFormat="1">
      <c r="A54" s="139">
        <v>42</v>
      </c>
      <c r="C54" s="466"/>
      <c r="E54" s="466"/>
      <c r="F54" s="466"/>
      <c r="G54" s="466"/>
      <c r="H54" s="466"/>
      <c r="I54" s="466"/>
      <c r="J54" s="472"/>
      <c r="K54" s="473"/>
      <c r="L54" s="474"/>
      <c r="M54" s="473"/>
      <c r="N54" s="473"/>
      <c r="O54" s="474"/>
      <c r="P54" s="473"/>
      <c r="Q54" s="473"/>
      <c r="R54" s="474"/>
      <c r="S54" s="473"/>
      <c r="T54" s="473"/>
      <c r="U54" s="474"/>
      <c r="V54" s="473"/>
      <c r="W54" s="473"/>
      <c r="X54" s="474"/>
      <c r="Y54" s="473"/>
      <c r="Z54" s="473"/>
      <c r="AA54" s="474"/>
      <c r="AB54" s="473"/>
      <c r="AC54" s="473"/>
      <c r="AD54" s="474"/>
      <c r="AE54" s="473"/>
      <c r="AF54" s="473"/>
      <c r="AG54" s="474"/>
      <c r="AH54" s="473"/>
      <c r="AI54" s="473"/>
      <c r="AJ54" s="474"/>
      <c r="AK54" s="473"/>
      <c r="AL54" s="473"/>
      <c r="AM54" s="474"/>
      <c r="AN54" s="473"/>
      <c r="AO54" s="473"/>
      <c r="AP54" s="474"/>
      <c r="AQ54" s="473"/>
      <c r="AR54" s="473"/>
      <c r="AS54" s="474"/>
      <c r="AT54" s="473"/>
      <c r="AU54" s="473"/>
      <c r="AV54" s="474"/>
      <c r="AW54" s="475"/>
      <c r="AX54" s="466"/>
      <c r="AY54" s="466"/>
    </row>
    <row r="55" spans="1:51" s="16" customFormat="1">
      <c r="A55" s="139">
        <v>43</v>
      </c>
      <c r="B55" s="16" t="s">
        <v>1391</v>
      </c>
      <c r="C55" s="466" t="s">
        <v>752</v>
      </c>
      <c r="E55" s="466"/>
      <c r="F55" s="466" t="s">
        <v>639</v>
      </c>
      <c r="G55" s="466" t="s">
        <v>1006</v>
      </c>
      <c r="H55" s="466"/>
      <c r="I55" s="466"/>
      <c r="J55" s="472">
        <v>895436.16</v>
      </c>
      <c r="K55" s="473"/>
      <c r="L55" s="474"/>
      <c r="M55" s="473">
        <v>891841.56</v>
      </c>
      <c r="N55" s="473"/>
      <c r="O55" s="474"/>
      <c r="P55" s="473">
        <v>888246.94</v>
      </c>
      <c r="Q55" s="473"/>
      <c r="R55" s="474"/>
      <c r="S55" s="473">
        <v>884652.33</v>
      </c>
      <c r="T55" s="473"/>
      <c r="U55" s="474"/>
      <c r="V55" s="473">
        <v>881057.7</v>
      </c>
      <c r="W55" s="473"/>
      <c r="X55" s="474"/>
      <c r="Y55" s="473">
        <v>877463.1</v>
      </c>
      <c r="Z55" s="473"/>
      <c r="AA55" s="474"/>
      <c r="AB55" s="473">
        <v>873868.48</v>
      </c>
      <c r="AC55" s="473"/>
      <c r="AD55" s="474"/>
      <c r="AE55" s="473">
        <v>870273.95</v>
      </c>
      <c r="AF55" s="473"/>
      <c r="AG55" s="474"/>
      <c r="AH55" s="473">
        <v>866679.33</v>
      </c>
      <c r="AI55" s="473"/>
      <c r="AJ55" s="474"/>
      <c r="AK55" s="473">
        <v>863084.72</v>
      </c>
      <c r="AL55" s="473"/>
      <c r="AM55" s="474"/>
      <c r="AN55" s="473">
        <v>859490.1</v>
      </c>
      <c r="AO55" s="473"/>
      <c r="AP55" s="474"/>
      <c r="AQ55" s="473">
        <v>855502.51</v>
      </c>
      <c r="AR55" s="473"/>
      <c r="AS55" s="474"/>
      <c r="AT55" s="473">
        <v>850011.25</v>
      </c>
      <c r="AU55" s="473"/>
      <c r="AV55" s="474"/>
      <c r="AW55" s="475">
        <f t="shared" si="64"/>
        <v>873740.36874999991</v>
      </c>
      <c r="AX55" s="466"/>
      <c r="AY55" s="466"/>
    </row>
    <row r="56" spans="1:51" s="16" customFormat="1">
      <c r="A56" s="139">
        <v>44</v>
      </c>
      <c r="B56" s="16" t="s">
        <v>1392</v>
      </c>
      <c r="C56" s="466" t="s">
        <v>752</v>
      </c>
      <c r="E56" s="466"/>
      <c r="F56" s="466" t="s">
        <v>639</v>
      </c>
      <c r="G56" s="466" t="s">
        <v>1007</v>
      </c>
      <c r="H56" s="466"/>
      <c r="I56" s="466"/>
      <c r="J56" s="472">
        <v>-798533.89</v>
      </c>
      <c r="K56" s="473"/>
      <c r="L56" s="474"/>
      <c r="M56" s="473">
        <v>-793515.04</v>
      </c>
      <c r="N56" s="473"/>
      <c r="O56" s="474"/>
      <c r="P56" s="473">
        <v>-788496.17</v>
      </c>
      <c r="Q56" s="473"/>
      <c r="R56" s="474"/>
      <c r="S56" s="473">
        <v>-783477.27</v>
      </c>
      <c r="T56" s="473"/>
      <c r="U56" s="474"/>
      <c r="V56" s="473">
        <v>-778458.43</v>
      </c>
      <c r="W56" s="473"/>
      <c r="X56" s="474"/>
      <c r="Y56" s="473">
        <v>-773439.56</v>
      </c>
      <c r="Z56" s="473"/>
      <c r="AA56" s="474"/>
      <c r="AB56" s="473">
        <v>-768420.69</v>
      </c>
      <c r="AC56" s="473"/>
      <c r="AD56" s="474"/>
      <c r="AE56" s="473">
        <v>-763401.51</v>
      </c>
      <c r="AF56" s="473"/>
      <c r="AG56" s="474"/>
      <c r="AH56" s="473">
        <v>-758382.62</v>
      </c>
      <c r="AI56" s="473"/>
      <c r="AJ56" s="474"/>
      <c r="AK56" s="473">
        <v>-753363.76</v>
      </c>
      <c r="AL56" s="473"/>
      <c r="AM56" s="474"/>
      <c r="AN56" s="473">
        <v>-748344.91</v>
      </c>
      <c r="AO56" s="473"/>
      <c r="AP56" s="474"/>
      <c r="AQ56" s="473">
        <v>-751585.57</v>
      </c>
      <c r="AR56" s="473"/>
      <c r="AS56" s="474"/>
      <c r="AT56" s="473">
        <v>-748372.32</v>
      </c>
      <c r="AU56" s="473"/>
      <c r="AV56" s="474"/>
      <c r="AW56" s="475">
        <f t="shared" si="64"/>
        <v>-769528.21958333335</v>
      </c>
      <c r="AX56" s="466"/>
      <c r="AY56" s="466"/>
    </row>
    <row r="57" spans="1:51" s="16" customFormat="1">
      <c r="A57" s="139">
        <v>46</v>
      </c>
      <c r="B57" s="16" t="s">
        <v>1393</v>
      </c>
      <c r="C57" s="466" t="s">
        <v>752</v>
      </c>
      <c r="E57" s="466"/>
      <c r="F57" s="466" t="s">
        <v>639</v>
      </c>
      <c r="G57" s="466" t="s">
        <v>1008</v>
      </c>
      <c r="H57" s="466"/>
      <c r="I57" s="466"/>
      <c r="J57" s="472">
        <v>492728.47</v>
      </c>
      <c r="K57" s="473"/>
      <c r="L57" s="474"/>
      <c r="M57" s="473">
        <v>491067.3</v>
      </c>
      <c r="N57" s="473"/>
      <c r="O57" s="474"/>
      <c r="P57" s="473">
        <v>491190.19</v>
      </c>
      <c r="Q57" s="473"/>
      <c r="R57" s="474"/>
      <c r="S57" s="473">
        <v>494874.48</v>
      </c>
      <c r="T57" s="473"/>
      <c r="U57" s="474"/>
      <c r="V57" s="473">
        <v>495326.42</v>
      </c>
      <c r="W57" s="473"/>
      <c r="X57" s="474"/>
      <c r="Y57" s="473">
        <v>494892.02</v>
      </c>
      <c r="Z57" s="473"/>
      <c r="AA57" s="474"/>
      <c r="AB57" s="473">
        <v>494416.3</v>
      </c>
      <c r="AC57" s="473"/>
      <c r="AD57" s="474"/>
      <c r="AE57" s="473">
        <v>494046.33</v>
      </c>
      <c r="AF57" s="473"/>
      <c r="AG57" s="474"/>
      <c r="AH57" s="473">
        <v>499096.44</v>
      </c>
      <c r="AI57" s="473"/>
      <c r="AJ57" s="474"/>
      <c r="AK57" s="473">
        <v>500831.95</v>
      </c>
      <c r="AL57" s="473"/>
      <c r="AM57" s="474"/>
      <c r="AN57" s="473">
        <v>501238.35</v>
      </c>
      <c r="AO57" s="473"/>
      <c r="AP57" s="474"/>
      <c r="AQ57" s="473">
        <v>428206.76</v>
      </c>
      <c r="AR57" s="473"/>
      <c r="AS57" s="474"/>
      <c r="AT57" s="473">
        <v>505732.86</v>
      </c>
      <c r="AU57" s="473"/>
      <c r="AV57" s="474"/>
      <c r="AW57" s="475">
        <f t="shared" si="64"/>
        <v>490368.1004166666</v>
      </c>
      <c r="AX57" s="466"/>
      <c r="AY57" s="466"/>
    </row>
    <row r="58" spans="1:51" s="16" customFormat="1">
      <c r="A58" s="139">
        <v>47</v>
      </c>
      <c r="B58" s="16" t="s">
        <v>1394</v>
      </c>
      <c r="C58" s="466" t="s">
        <v>752</v>
      </c>
      <c r="E58" s="466"/>
      <c r="F58" s="466" t="s">
        <v>639</v>
      </c>
      <c r="G58" s="466" t="s">
        <v>198</v>
      </c>
      <c r="H58" s="466"/>
      <c r="I58" s="466"/>
      <c r="J58" s="472">
        <v>0</v>
      </c>
      <c r="K58" s="473"/>
      <c r="L58" s="474"/>
      <c r="M58" s="473">
        <v>0</v>
      </c>
      <c r="N58" s="473"/>
      <c r="O58" s="474"/>
      <c r="P58" s="473">
        <v>0</v>
      </c>
      <c r="Q58" s="473"/>
      <c r="R58" s="474"/>
      <c r="S58" s="473">
        <v>0</v>
      </c>
      <c r="T58" s="473"/>
      <c r="U58" s="474"/>
      <c r="V58" s="473">
        <v>0</v>
      </c>
      <c r="W58" s="473"/>
      <c r="X58" s="474"/>
      <c r="Y58" s="473">
        <v>0</v>
      </c>
      <c r="Z58" s="473"/>
      <c r="AA58" s="474"/>
      <c r="AB58" s="473">
        <v>0</v>
      </c>
      <c r="AC58" s="473"/>
      <c r="AD58" s="474"/>
      <c r="AE58" s="473">
        <v>0</v>
      </c>
      <c r="AF58" s="473"/>
      <c r="AG58" s="474"/>
      <c r="AH58" s="473">
        <v>0</v>
      </c>
      <c r="AI58" s="473"/>
      <c r="AJ58" s="474"/>
      <c r="AK58" s="473">
        <v>0</v>
      </c>
      <c r="AL58" s="473"/>
      <c r="AM58" s="474"/>
      <c r="AN58" s="473">
        <v>0</v>
      </c>
      <c r="AO58" s="473"/>
      <c r="AP58" s="474"/>
      <c r="AQ58" s="473">
        <v>0</v>
      </c>
      <c r="AR58" s="473"/>
      <c r="AS58" s="474"/>
      <c r="AT58" s="473">
        <v>0</v>
      </c>
      <c r="AU58" s="473"/>
      <c r="AV58" s="474"/>
      <c r="AW58" s="475">
        <f t="shared" si="64"/>
        <v>0</v>
      </c>
      <c r="AX58" s="466"/>
      <c r="AY58" s="466"/>
    </row>
    <row r="59" spans="1:51" s="16" customFormat="1">
      <c r="A59" s="139">
        <v>48</v>
      </c>
      <c r="B59" s="16" t="s">
        <v>1395</v>
      </c>
      <c r="C59" s="466" t="s">
        <v>752</v>
      </c>
      <c r="E59" s="466"/>
      <c r="F59" s="466" t="s">
        <v>639</v>
      </c>
      <c r="G59" s="466" t="s">
        <v>1009</v>
      </c>
      <c r="H59" s="466"/>
      <c r="I59" s="466"/>
      <c r="J59" s="472">
        <v>10230519.77</v>
      </c>
      <c r="K59" s="473"/>
      <c r="L59" s="474"/>
      <c r="M59" s="473">
        <v>10189450.65</v>
      </c>
      <c r="N59" s="473"/>
      <c r="O59" s="474"/>
      <c r="P59" s="473">
        <v>10148381.529999999</v>
      </c>
      <c r="Q59" s="473"/>
      <c r="R59" s="474"/>
      <c r="S59" s="473">
        <v>10107312.4</v>
      </c>
      <c r="T59" s="473"/>
      <c r="U59" s="474"/>
      <c r="V59" s="473">
        <v>10066243.27</v>
      </c>
      <c r="W59" s="473"/>
      <c r="X59" s="474"/>
      <c r="Y59" s="473">
        <v>10025174.17</v>
      </c>
      <c r="Z59" s="473"/>
      <c r="AA59" s="474"/>
      <c r="AB59" s="473">
        <v>9984105.0199999996</v>
      </c>
      <c r="AC59" s="473"/>
      <c r="AD59" s="474"/>
      <c r="AE59" s="473">
        <v>9943036.9100000001</v>
      </c>
      <c r="AF59" s="473"/>
      <c r="AG59" s="474"/>
      <c r="AH59" s="473">
        <v>9901967.7899999991</v>
      </c>
      <c r="AI59" s="473"/>
      <c r="AJ59" s="474"/>
      <c r="AK59" s="473">
        <v>9860898.6600000001</v>
      </c>
      <c r="AL59" s="473"/>
      <c r="AM59" s="474"/>
      <c r="AN59" s="473">
        <v>9819829.5399999991</v>
      </c>
      <c r="AO59" s="473"/>
      <c r="AP59" s="474"/>
      <c r="AQ59" s="473">
        <v>9774270.3900000006</v>
      </c>
      <c r="AR59" s="473"/>
      <c r="AS59" s="474"/>
      <c r="AT59" s="473">
        <v>9711531.8900000006</v>
      </c>
      <c r="AU59" s="473"/>
      <c r="AV59" s="474"/>
      <c r="AW59" s="475">
        <f t="shared" si="64"/>
        <v>9982641.3466666639</v>
      </c>
      <c r="AX59" s="466"/>
      <c r="AY59" s="466"/>
    </row>
    <row r="60" spans="1:51" s="16" customFormat="1">
      <c r="A60" s="139">
        <v>49</v>
      </c>
      <c r="B60" s="16" t="s">
        <v>1396</v>
      </c>
      <c r="C60" s="466" t="s">
        <v>752</v>
      </c>
      <c r="E60" s="466"/>
      <c r="F60" s="466" t="s">
        <v>639</v>
      </c>
      <c r="G60" s="466" t="s">
        <v>1010</v>
      </c>
      <c r="H60" s="466"/>
      <c r="I60" s="466"/>
      <c r="J60" s="472">
        <v>39297042.920000002</v>
      </c>
      <c r="K60" s="473"/>
      <c r="L60" s="474"/>
      <c r="M60" s="473">
        <v>39137349.799999997</v>
      </c>
      <c r="N60" s="473"/>
      <c r="O60" s="474"/>
      <c r="P60" s="473">
        <v>38977656.649999999</v>
      </c>
      <c r="Q60" s="473"/>
      <c r="R60" s="474"/>
      <c r="S60" s="473">
        <v>38817963.509999998</v>
      </c>
      <c r="T60" s="473"/>
      <c r="U60" s="474"/>
      <c r="V60" s="473">
        <v>38658270.439999998</v>
      </c>
      <c r="W60" s="473"/>
      <c r="X60" s="474"/>
      <c r="Y60" s="473">
        <v>38498577.340000004</v>
      </c>
      <c r="Z60" s="473"/>
      <c r="AA60" s="474"/>
      <c r="AB60" s="473">
        <v>38338884.200000003</v>
      </c>
      <c r="AC60" s="473"/>
      <c r="AD60" s="474"/>
      <c r="AE60" s="473">
        <v>38179194.590000004</v>
      </c>
      <c r="AF60" s="473"/>
      <c r="AG60" s="474"/>
      <c r="AH60" s="473">
        <v>38019501.460000001</v>
      </c>
      <c r="AI60" s="473"/>
      <c r="AJ60" s="474"/>
      <c r="AK60" s="473">
        <v>37859808.329999998</v>
      </c>
      <c r="AL60" s="473"/>
      <c r="AM60" s="474"/>
      <c r="AN60" s="473">
        <v>37700115.229999997</v>
      </c>
      <c r="AO60" s="473"/>
      <c r="AP60" s="474"/>
      <c r="AQ60" s="473">
        <v>37530125.719999999</v>
      </c>
      <c r="AR60" s="473"/>
      <c r="AS60" s="474"/>
      <c r="AT60" s="473">
        <v>37290719.920000002</v>
      </c>
      <c r="AU60" s="473"/>
      <c r="AV60" s="474"/>
      <c r="AW60" s="475">
        <f t="shared" si="64"/>
        <v>38334277.390833333</v>
      </c>
      <c r="AX60" s="466"/>
      <c r="AY60" s="466"/>
    </row>
    <row r="61" spans="1:51" s="16" customFormat="1">
      <c r="A61" s="139">
        <v>51</v>
      </c>
      <c r="B61" s="16" t="s">
        <v>1397</v>
      </c>
      <c r="C61" s="466" t="s">
        <v>752</v>
      </c>
      <c r="E61" s="466"/>
      <c r="F61" s="466" t="s">
        <v>639</v>
      </c>
      <c r="G61" s="466" t="s">
        <v>1011</v>
      </c>
      <c r="H61" s="466"/>
      <c r="I61" s="466"/>
      <c r="J61" s="472">
        <v>347877.73</v>
      </c>
      <c r="K61" s="473"/>
      <c r="L61" s="474"/>
      <c r="M61" s="473">
        <v>328898.68</v>
      </c>
      <c r="N61" s="473"/>
      <c r="O61" s="474"/>
      <c r="P61" s="473">
        <v>330302.68</v>
      </c>
      <c r="Q61" s="473"/>
      <c r="R61" s="474"/>
      <c r="S61" s="473">
        <v>372396.35</v>
      </c>
      <c r="T61" s="473"/>
      <c r="U61" s="474"/>
      <c r="V61" s="473">
        <v>377559.63</v>
      </c>
      <c r="W61" s="473"/>
      <c r="X61" s="474"/>
      <c r="Y61" s="473">
        <v>372596.72</v>
      </c>
      <c r="Z61" s="473"/>
      <c r="AA61" s="474"/>
      <c r="AB61" s="473">
        <v>367161.58</v>
      </c>
      <c r="AC61" s="473"/>
      <c r="AD61" s="474"/>
      <c r="AE61" s="473">
        <v>362934.5</v>
      </c>
      <c r="AF61" s="473"/>
      <c r="AG61" s="474"/>
      <c r="AH61" s="473">
        <v>420633.06</v>
      </c>
      <c r="AI61" s="473"/>
      <c r="AJ61" s="474"/>
      <c r="AK61" s="473">
        <v>440461.47</v>
      </c>
      <c r="AL61" s="473"/>
      <c r="AM61" s="474"/>
      <c r="AN61" s="473">
        <v>445104.75</v>
      </c>
      <c r="AO61" s="473"/>
      <c r="AP61" s="474"/>
      <c r="AQ61" s="473">
        <v>-389294.49</v>
      </c>
      <c r="AR61" s="473"/>
      <c r="AS61" s="474"/>
      <c r="AT61" s="473">
        <v>496455.14</v>
      </c>
      <c r="AU61" s="473"/>
      <c r="AV61" s="474"/>
      <c r="AW61" s="475">
        <f t="shared" si="64"/>
        <v>320910.11374999996</v>
      </c>
      <c r="AX61" s="466"/>
      <c r="AY61" s="466"/>
    </row>
    <row r="62" spans="1:51" s="16" customFormat="1">
      <c r="A62" s="139">
        <v>52</v>
      </c>
      <c r="B62" s="16" t="s">
        <v>1398</v>
      </c>
      <c r="C62" s="466" t="s">
        <v>752</v>
      </c>
      <c r="E62" s="466"/>
      <c r="F62" s="466" t="s">
        <v>639</v>
      </c>
      <c r="G62" s="466" t="s">
        <v>1161</v>
      </c>
      <c r="H62" s="466"/>
      <c r="I62" s="466"/>
      <c r="J62" s="476">
        <v>0</v>
      </c>
      <c r="K62" s="473"/>
      <c r="L62" s="474"/>
      <c r="M62" s="472">
        <v>0</v>
      </c>
      <c r="N62" s="473"/>
      <c r="O62" s="474"/>
      <c r="P62" s="476">
        <v>0</v>
      </c>
      <c r="Q62" s="473"/>
      <c r="R62" s="474"/>
      <c r="S62" s="476">
        <v>0</v>
      </c>
      <c r="T62" s="473"/>
      <c r="U62" s="474"/>
      <c r="V62" s="476">
        <v>0</v>
      </c>
      <c r="W62" s="473"/>
      <c r="X62" s="474"/>
      <c r="Y62" s="476">
        <v>0</v>
      </c>
      <c r="Z62" s="473"/>
      <c r="AA62" s="474"/>
      <c r="AB62" s="476">
        <v>0</v>
      </c>
      <c r="AC62" s="473"/>
      <c r="AD62" s="474"/>
      <c r="AE62" s="476">
        <v>0</v>
      </c>
      <c r="AF62" s="473"/>
      <c r="AG62" s="474"/>
      <c r="AH62" s="476">
        <v>0</v>
      </c>
      <c r="AI62" s="473"/>
      <c r="AJ62" s="474"/>
      <c r="AK62" s="476">
        <v>0</v>
      </c>
      <c r="AL62" s="473"/>
      <c r="AM62" s="474"/>
      <c r="AN62" s="476">
        <v>0</v>
      </c>
      <c r="AO62" s="473"/>
      <c r="AP62" s="474"/>
      <c r="AQ62" s="476">
        <v>0</v>
      </c>
      <c r="AR62" s="473"/>
      <c r="AS62" s="474"/>
      <c r="AT62" s="476">
        <v>0</v>
      </c>
      <c r="AU62" s="473"/>
      <c r="AV62" s="474"/>
      <c r="AW62" s="478">
        <f t="shared" si="64"/>
        <v>0</v>
      </c>
      <c r="AX62" s="466"/>
      <c r="AY62" s="466"/>
    </row>
    <row r="63" spans="1:51" s="16" customFormat="1">
      <c r="A63" s="139">
        <v>53</v>
      </c>
      <c r="C63" s="466"/>
      <c r="E63" s="466"/>
      <c r="F63" s="466"/>
      <c r="G63" s="466"/>
      <c r="H63" s="466"/>
      <c r="I63" s="466"/>
      <c r="J63" s="472">
        <f>SUM(J55:J62)</f>
        <v>50465071.159999996</v>
      </c>
      <c r="K63" s="473"/>
      <c r="L63" s="473"/>
      <c r="M63" s="479">
        <f>SUM(M55:M62)</f>
        <v>50245092.949999996</v>
      </c>
      <c r="N63" s="473"/>
      <c r="O63" s="473"/>
      <c r="P63" s="473">
        <f>SUM(P55:P62)</f>
        <v>50047281.82</v>
      </c>
      <c r="Q63" s="473"/>
      <c r="R63" s="473"/>
      <c r="S63" s="473">
        <f>SUM(S55:S62)</f>
        <v>49893721.799999997</v>
      </c>
      <c r="T63" s="473"/>
      <c r="U63" s="473"/>
      <c r="V63" s="473">
        <f>SUM(V55:V62)</f>
        <v>49699999.030000001</v>
      </c>
      <c r="W63" s="473"/>
      <c r="X63" s="473"/>
      <c r="Y63" s="473">
        <f>SUM(Y55:Y62)</f>
        <v>49495263.790000007</v>
      </c>
      <c r="Z63" s="473"/>
      <c r="AA63" s="473"/>
      <c r="AB63" s="473">
        <f>SUM(AB55:AB62)</f>
        <v>49290014.890000001</v>
      </c>
      <c r="AC63" s="473"/>
      <c r="AD63" s="473"/>
      <c r="AE63" s="473">
        <f>SUM(AE55:AE62)</f>
        <v>49086084.770000003</v>
      </c>
      <c r="AF63" s="473"/>
      <c r="AG63" s="473"/>
      <c r="AH63" s="473">
        <f>SUM(AH55:AH62)</f>
        <v>48949495.460000001</v>
      </c>
      <c r="AI63" s="473"/>
      <c r="AJ63" s="473"/>
      <c r="AK63" s="473">
        <f>SUM(AK55:AK62)</f>
        <v>48771721.369999997</v>
      </c>
      <c r="AL63" s="473"/>
      <c r="AM63" s="473"/>
      <c r="AN63" s="473">
        <f>SUM(AN55:AN62)</f>
        <v>48577433.059999995</v>
      </c>
      <c r="AO63" s="473"/>
      <c r="AP63" s="473"/>
      <c r="AQ63" s="473">
        <f>SUM(AQ55:AQ62)</f>
        <v>47447225.32</v>
      </c>
      <c r="AR63" s="473"/>
      <c r="AS63" s="473"/>
      <c r="AT63" s="473">
        <f>SUM(AT55:AT62)</f>
        <v>48106078.740000002</v>
      </c>
      <c r="AU63" s="473"/>
      <c r="AV63" s="473"/>
      <c r="AW63" s="475">
        <f>SUM(AW55:AW62)</f>
        <v>49232409.100833334</v>
      </c>
      <c r="AX63" s="466"/>
      <c r="AY63" s="466"/>
    </row>
    <row r="64" spans="1:51" s="16" customFormat="1">
      <c r="A64" s="139">
        <v>54</v>
      </c>
      <c r="C64" s="466"/>
      <c r="E64" s="466"/>
      <c r="F64" s="466"/>
      <c r="G64" s="466"/>
      <c r="H64" s="466"/>
      <c r="I64" s="466"/>
      <c r="J64" s="472"/>
      <c r="K64" s="473"/>
      <c r="L64" s="474"/>
      <c r="M64" s="473"/>
      <c r="N64" s="473"/>
      <c r="O64" s="474"/>
      <c r="P64" s="473"/>
      <c r="Q64" s="473"/>
      <c r="R64" s="474"/>
      <c r="S64" s="473"/>
      <c r="T64" s="473"/>
      <c r="U64" s="474"/>
      <c r="V64" s="473"/>
      <c r="W64" s="473"/>
      <c r="X64" s="474"/>
      <c r="Y64" s="473"/>
      <c r="Z64" s="473"/>
      <c r="AA64" s="474"/>
      <c r="AB64" s="473"/>
      <c r="AC64" s="473"/>
      <c r="AD64" s="474"/>
      <c r="AE64" s="473"/>
      <c r="AF64" s="473"/>
      <c r="AG64" s="474"/>
      <c r="AH64" s="473"/>
      <c r="AI64" s="473"/>
      <c r="AJ64" s="474"/>
      <c r="AK64" s="473"/>
      <c r="AL64" s="473"/>
      <c r="AM64" s="474"/>
      <c r="AN64" s="473"/>
      <c r="AO64" s="473"/>
      <c r="AP64" s="474"/>
      <c r="AQ64" s="473"/>
      <c r="AR64" s="473"/>
      <c r="AS64" s="474"/>
      <c r="AT64" s="473"/>
      <c r="AU64" s="473"/>
      <c r="AV64" s="474"/>
      <c r="AW64" s="475"/>
      <c r="AX64" s="466"/>
      <c r="AY64" s="466"/>
    </row>
    <row r="65" spans="1:51" s="16" customFormat="1">
      <c r="A65" s="139">
        <v>55</v>
      </c>
      <c r="B65" s="16" t="s">
        <v>1391</v>
      </c>
      <c r="C65" s="466" t="s">
        <v>752</v>
      </c>
      <c r="E65" s="466"/>
      <c r="F65" s="466" t="s">
        <v>640</v>
      </c>
      <c r="G65" s="466" t="s">
        <v>1006</v>
      </c>
      <c r="H65" s="466"/>
      <c r="I65" s="473"/>
      <c r="J65" s="472">
        <v>167522.1</v>
      </c>
      <c r="K65" s="473"/>
      <c r="L65" s="474"/>
      <c r="M65" s="473">
        <v>165691.44</v>
      </c>
      <c r="N65" s="473"/>
      <c r="O65" s="474"/>
      <c r="P65" s="473">
        <v>163860.78</v>
      </c>
      <c r="Q65" s="473"/>
      <c r="R65" s="474"/>
      <c r="S65" s="473">
        <v>162030.10999999999</v>
      </c>
      <c r="T65" s="473"/>
      <c r="U65" s="474"/>
      <c r="V65" s="473">
        <v>160199.45000000001</v>
      </c>
      <c r="W65" s="473"/>
      <c r="X65" s="474"/>
      <c r="Y65" s="473">
        <v>158368.76999999999</v>
      </c>
      <c r="Z65" s="473"/>
      <c r="AA65" s="474"/>
      <c r="AB65" s="473">
        <v>156538.10999999999</v>
      </c>
      <c r="AC65" s="473"/>
      <c r="AD65" s="474"/>
      <c r="AE65" s="473">
        <v>154707.46</v>
      </c>
      <c r="AF65" s="473"/>
      <c r="AG65" s="474"/>
      <c r="AH65" s="473">
        <v>152876.79</v>
      </c>
      <c r="AI65" s="473"/>
      <c r="AJ65" s="474"/>
      <c r="AK65" s="473">
        <v>151046.13</v>
      </c>
      <c r="AL65" s="473"/>
      <c r="AM65" s="474"/>
      <c r="AN65" s="473">
        <v>149215.47</v>
      </c>
      <c r="AO65" s="473"/>
      <c r="AP65" s="474"/>
      <c r="AQ65" s="473">
        <v>147384.79999999999</v>
      </c>
      <c r="AR65" s="473"/>
      <c r="AS65" s="474"/>
      <c r="AT65" s="473">
        <v>145554.14000000001</v>
      </c>
      <c r="AU65" s="473"/>
      <c r="AV65" s="474"/>
      <c r="AW65" s="475">
        <f t="shared" si="64"/>
        <v>156538.11916666667</v>
      </c>
      <c r="AX65" s="466"/>
      <c r="AY65" s="466"/>
    </row>
    <row r="66" spans="1:51" s="16" customFormat="1">
      <c r="A66" s="139">
        <v>56</v>
      </c>
      <c r="B66" s="16" t="s">
        <v>1392</v>
      </c>
      <c r="C66" s="466" t="s">
        <v>752</v>
      </c>
      <c r="E66" s="466"/>
      <c r="F66" s="466" t="s">
        <v>640</v>
      </c>
      <c r="G66" s="466" t="s">
        <v>1007</v>
      </c>
      <c r="H66" s="466"/>
      <c r="I66" s="473"/>
      <c r="J66" s="472">
        <v>-94506.66</v>
      </c>
      <c r="K66" s="473"/>
      <c r="L66" s="474"/>
      <c r="M66" s="473">
        <v>-92537.75</v>
      </c>
      <c r="N66" s="473"/>
      <c r="O66" s="474"/>
      <c r="P66" s="473">
        <v>-90568.86</v>
      </c>
      <c r="Q66" s="473"/>
      <c r="R66" s="474"/>
      <c r="S66" s="473">
        <v>-88599.98</v>
      </c>
      <c r="T66" s="473"/>
      <c r="U66" s="474"/>
      <c r="V66" s="473">
        <v>-86631.06</v>
      </c>
      <c r="W66" s="473"/>
      <c r="X66" s="474"/>
      <c r="Y66" s="473">
        <v>-84662.19</v>
      </c>
      <c r="Z66" s="473"/>
      <c r="AA66" s="474"/>
      <c r="AB66" s="473">
        <v>-82693.31</v>
      </c>
      <c r="AC66" s="473"/>
      <c r="AD66" s="474"/>
      <c r="AE66" s="473">
        <v>-80724.41</v>
      </c>
      <c r="AF66" s="473"/>
      <c r="AG66" s="474"/>
      <c r="AH66" s="473">
        <v>-78755.520000000004</v>
      </c>
      <c r="AI66" s="473"/>
      <c r="AJ66" s="474"/>
      <c r="AK66" s="473">
        <v>-76786.63</v>
      </c>
      <c r="AL66" s="473"/>
      <c r="AM66" s="474"/>
      <c r="AN66" s="473">
        <v>-74817.77</v>
      </c>
      <c r="AO66" s="473"/>
      <c r="AP66" s="474"/>
      <c r="AQ66" s="473">
        <v>-72848.850000000006</v>
      </c>
      <c r="AR66" s="473"/>
      <c r="AS66" s="474"/>
      <c r="AT66" s="473">
        <v>-70879.97</v>
      </c>
      <c r="AU66" s="473"/>
      <c r="AV66" s="474"/>
      <c r="AW66" s="475">
        <f t="shared" si="64"/>
        <v>-82693.303750000006</v>
      </c>
      <c r="AX66" s="466"/>
      <c r="AY66" s="466"/>
    </row>
    <row r="67" spans="1:51" s="16" customFormat="1">
      <c r="A67" s="139">
        <v>58</v>
      </c>
      <c r="B67" s="16" t="s">
        <v>1393</v>
      </c>
      <c r="C67" s="466" t="s">
        <v>752</v>
      </c>
      <c r="E67" s="466"/>
      <c r="F67" s="466" t="s">
        <v>640</v>
      </c>
      <c r="G67" s="466" t="s">
        <v>1008</v>
      </c>
      <c r="H67" s="466"/>
      <c r="I67" s="473"/>
      <c r="J67" s="472">
        <v>-3065780.91</v>
      </c>
      <c r="K67" s="473"/>
      <c r="L67" s="474"/>
      <c r="M67" s="473">
        <v>-3181548.37</v>
      </c>
      <c r="N67" s="473"/>
      <c r="O67" s="474"/>
      <c r="P67" s="473">
        <v>-3564694.16</v>
      </c>
      <c r="Q67" s="473"/>
      <c r="R67" s="474"/>
      <c r="S67" s="473">
        <v>-3952969.04</v>
      </c>
      <c r="T67" s="473"/>
      <c r="U67" s="474"/>
      <c r="V67" s="473">
        <v>-3937409.17</v>
      </c>
      <c r="W67" s="473"/>
      <c r="X67" s="474"/>
      <c r="Y67" s="473">
        <v>-3324360.74</v>
      </c>
      <c r="Z67" s="473"/>
      <c r="AA67" s="474"/>
      <c r="AB67" s="473">
        <v>-3364355.18</v>
      </c>
      <c r="AC67" s="473"/>
      <c r="AD67" s="474"/>
      <c r="AE67" s="473">
        <v>-3430173.01</v>
      </c>
      <c r="AF67" s="473"/>
      <c r="AG67" s="474"/>
      <c r="AH67" s="473">
        <v>-3503736.18</v>
      </c>
      <c r="AI67" s="473"/>
      <c r="AJ67" s="474"/>
      <c r="AK67" s="473">
        <v>-3380958.09</v>
      </c>
      <c r="AL67" s="473"/>
      <c r="AM67" s="474"/>
      <c r="AN67" s="473">
        <v>-3390779.09</v>
      </c>
      <c r="AO67" s="473"/>
      <c r="AP67" s="474"/>
      <c r="AQ67" s="473">
        <v>-3320611.22</v>
      </c>
      <c r="AR67" s="473"/>
      <c r="AS67" s="474"/>
      <c r="AT67" s="473">
        <v>-3272468.91</v>
      </c>
      <c r="AU67" s="473"/>
      <c r="AV67" s="474"/>
      <c r="AW67" s="475">
        <f t="shared" si="64"/>
        <v>-3460059.9299999997</v>
      </c>
      <c r="AX67" s="466"/>
      <c r="AY67" s="466"/>
    </row>
    <row r="68" spans="1:51" s="16" customFormat="1">
      <c r="A68" s="139">
        <v>59</v>
      </c>
      <c r="B68" s="16" t="s">
        <v>1394</v>
      </c>
      <c r="C68" s="466" t="s">
        <v>752</v>
      </c>
      <c r="E68" s="466"/>
      <c r="F68" s="466" t="s">
        <v>640</v>
      </c>
      <c r="G68" s="466" t="s">
        <v>198</v>
      </c>
      <c r="H68" s="466"/>
      <c r="I68" s="473"/>
      <c r="J68" s="472">
        <v>0</v>
      </c>
      <c r="K68" s="473"/>
      <c r="L68" s="474"/>
      <c r="M68" s="473">
        <v>0</v>
      </c>
      <c r="N68" s="473"/>
      <c r="O68" s="474"/>
      <c r="P68" s="473">
        <v>0</v>
      </c>
      <c r="Q68" s="473"/>
      <c r="R68" s="474"/>
      <c r="S68" s="473">
        <v>0</v>
      </c>
      <c r="T68" s="473"/>
      <c r="U68" s="474"/>
      <c r="V68" s="473">
        <v>0</v>
      </c>
      <c r="W68" s="473"/>
      <c r="X68" s="474"/>
      <c r="Y68" s="473">
        <v>0</v>
      </c>
      <c r="Z68" s="473"/>
      <c r="AA68" s="474"/>
      <c r="AB68" s="473">
        <v>0</v>
      </c>
      <c r="AC68" s="473"/>
      <c r="AD68" s="474"/>
      <c r="AE68" s="473">
        <v>0</v>
      </c>
      <c r="AF68" s="473"/>
      <c r="AG68" s="474"/>
      <c r="AH68" s="473">
        <v>0</v>
      </c>
      <c r="AI68" s="473"/>
      <c r="AJ68" s="474"/>
      <c r="AK68" s="473">
        <v>0</v>
      </c>
      <c r="AL68" s="473"/>
      <c r="AM68" s="474"/>
      <c r="AN68" s="473">
        <v>0</v>
      </c>
      <c r="AO68" s="473"/>
      <c r="AP68" s="474"/>
      <c r="AQ68" s="473">
        <v>0</v>
      </c>
      <c r="AR68" s="473"/>
      <c r="AS68" s="474"/>
      <c r="AT68" s="473">
        <v>0</v>
      </c>
      <c r="AU68" s="473"/>
      <c r="AV68" s="474"/>
      <c r="AW68" s="475">
        <f t="shared" si="64"/>
        <v>0</v>
      </c>
      <c r="AX68" s="466"/>
      <c r="AY68" s="466"/>
    </row>
    <row r="69" spans="1:51" s="16" customFormat="1">
      <c r="A69" s="139">
        <v>60</v>
      </c>
      <c r="B69" s="16" t="s">
        <v>1395</v>
      </c>
      <c r="C69" s="466" t="s">
        <v>752</v>
      </c>
      <c r="E69" s="466"/>
      <c r="F69" s="466" t="s">
        <v>640</v>
      </c>
      <c r="G69" s="466" t="s">
        <v>1009</v>
      </c>
      <c r="H69" s="466"/>
      <c r="I69" s="473"/>
      <c r="J69" s="472">
        <v>1913970.3</v>
      </c>
      <c r="K69" s="473"/>
      <c r="L69" s="474"/>
      <c r="M69" s="473">
        <v>1893054.62</v>
      </c>
      <c r="N69" s="473"/>
      <c r="O69" s="473"/>
      <c r="P69" s="472">
        <v>1872138.94</v>
      </c>
      <c r="Q69" s="473"/>
      <c r="R69" s="474"/>
      <c r="S69" s="473">
        <v>1851223.29</v>
      </c>
      <c r="T69" s="473"/>
      <c r="U69" s="474"/>
      <c r="V69" s="473">
        <v>1830307.64</v>
      </c>
      <c r="W69" s="473"/>
      <c r="X69" s="474"/>
      <c r="Y69" s="473">
        <v>1809391.99</v>
      </c>
      <c r="Z69" s="473"/>
      <c r="AA69" s="474"/>
      <c r="AB69" s="473">
        <v>1788476.31</v>
      </c>
      <c r="AC69" s="473"/>
      <c r="AD69" s="474"/>
      <c r="AE69" s="473">
        <v>1767560.66</v>
      </c>
      <c r="AF69" s="473"/>
      <c r="AG69" s="474"/>
      <c r="AH69" s="473">
        <v>1746645</v>
      </c>
      <c r="AI69" s="473"/>
      <c r="AJ69" s="474"/>
      <c r="AK69" s="473">
        <v>1725729.32</v>
      </c>
      <c r="AL69" s="473"/>
      <c r="AM69" s="474"/>
      <c r="AN69" s="473">
        <v>1704813.64</v>
      </c>
      <c r="AO69" s="473"/>
      <c r="AP69" s="474"/>
      <c r="AQ69" s="473">
        <v>1683897.97</v>
      </c>
      <c r="AR69" s="473"/>
      <c r="AS69" s="473"/>
      <c r="AT69" s="472">
        <v>1662982.3</v>
      </c>
      <c r="AU69" s="473"/>
      <c r="AV69" s="474"/>
      <c r="AW69" s="475">
        <f t="shared" si="64"/>
        <v>1788476.3066666666</v>
      </c>
      <c r="AX69" s="466"/>
      <c r="AY69" s="466"/>
    </row>
    <row r="70" spans="1:51" s="16" customFormat="1">
      <c r="A70" s="139">
        <v>61</v>
      </c>
      <c r="B70" s="16" t="s">
        <v>1396</v>
      </c>
      <c r="C70" s="466" t="s">
        <v>752</v>
      </c>
      <c r="E70" s="466"/>
      <c r="F70" s="466" t="s">
        <v>640</v>
      </c>
      <c r="G70" s="466" t="s">
        <v>1010</v>
      </c>
      <c r="H70" s="466"/>
      <c r="I70" s="473"/>
      <c r="J70" s="472">
        <v>7294680.6500000004</v>
      </c>
      <c r="K70" s="473"/>
      <c r="L70" s="474"/>
      <c r="M70" s="473">
        <v>7214029.0300000003</v>
      </c>
      <c r="N70" s="473"/>
      <c r="O70" s="473"/>
      <c r="P70" s="472">
        <v>7133377.3700000001</v>
      </c>
      <c r="Q70" s="473"/>
      <c r="R70" s="474"/>
      <c r="S70" s="473">
        <v>7052725.7300000004</v>
      </c>
      <c r="T70" s="473"/>
      <c r="U70" s="474"/>
      <c r="V70" s="473">
        <v>6972074.0999999996</v>
      </c>
      <c r="W70" s="473"/>
      <c r="X70" s="474"/>
      <c r="Y70" s="473">
        <v>6891422.5099999998</v>
      </c>
      <c r="Z70" s="473"/>
      <c r="AA70" s="474"/>
      <c r="AB70" s="473">
        <v>6810770.9199999999</v>
      </c>
      <c r="AC70" s="473"/>
      <c r="AD70" s="474"/>
      <c r="AE70" s="473">
        <v>6730119.3099999996</v>
      </c>
      <c r="AF70" s="473"/>
      <c r="AG70" s="474"/>
      <c r="AH70" s="473">
        <v>6649467.6600000001</v>
      </c>
      <c r="AI70" s="473"/>
      <c r="AJ70" s="474"/>
      <c r="AK70" s="473">
        <v>6568816.04</v>
      </c>
      <c r="AL70" s="473"/>
      <c r="AM70" s="474"/>
      <c r="AN70" s="473">
        <v>6488164.3399999999</v>
      </c>
      <c r="AO70" s="473"/>
      <c r="AP70" s="474"/>
      <c r="AQ70" s="473">
        <v>6407512.7000000002</v>
      </c>
      <c r="AR70" s="473"/>
      <c r="AS70" s="473"/>
      <c r="AT70" s="472">
        <v>6326861.0300000003</v>
      </c>
      <c r="AU70" s="473"/>
      <c r="AV70" s="474"/>
      <c r="AW70" s="475">
        <f t="shared" si="64"/>
        <v>6810770.8791666673</v>
      </c>
      <c r="AX70" s="466"/>
      <c r="AY70" s="466"/>
    </row>
    <row r="71" spans="1:51" s="16" customFormat="1">
      <c r="A71" s="139">
        <v>63</v>
      </c>
      <c r="B71" s="16" t="s">
        <v>1397</v>
      </c>
      <c r="C71" s="466" t="s">
        <v>752</v>
      </c>
      <c r="E71" s="466"/>
      <c r="F71" s="466" t="s">
        <v>640</v>
      </c>
      <c r="G71" s="466" t="s">
        <v>1011</v>
      </c>
      <c r="H71" s="466"/>
      <c r="I71" s="473"/>
      <c r="J71" s="472">
        <v>-40255923.640000001</v>
      </c>
      <c r="K71" s="473"/>
      <c r="L71" s="474"/>
      <c r="M71" s="473">
        <v>-41475441.259999998</v>
      </c>
      <c r="N71" s="473"/>
      <c r="O71" s="474"/>
      <c r="P71" s="473">
        <v>-45749804.460000001</v>
      </c>
      <c r="Q71" s="473"/>
      <c r="R71" s="474"/>
      <c r="S71" s="473">
        <v>-50082768.520000003</v>
      </c>
      <c r="T71" s="473"/>
      <c r="U71" s="474"/>
      <c r="V71" s="473">
        <v>-49801847.409999996</v>
      </c>
      <c r="W71" s="473"/>
      <c r="X71" s="474"/>
      <c r="Y71" s="473">
        <v>-42694512.810000002</v>
      </c>
      <c r="Z71" s="473"/>
      <c r="AA71" s="474"/>
      <c r="AB71" s="473">
        <v>-43048310.259999998</v>
      </c>
      <c r="AC71" s="473"/>
      <c r="AD71" s="474"/>
      <c r="AE71" s="473">
        <v>-43697144.140000001</v>
      </c>
      <c r="AF71" s="473"/>
      <c r="AG71" s="474"/>
      <c r="AH71" s="473">
        <v>-44434469.880000003</v>
      </c>
      <c r="AI71" s="473"/>
      <c r="AJ71" s="474"/>
      <c r="AK71" s="473">
        <v>-42928561.740000002</v>
      </c>
      <c r="AL71" s="473"/>
      <c r="AM71" s="474"/>
      <c r="AN71" s="473">
        <v>-42937621.810000002</v>
      </c>
      <c r="AO71" s="473"/>
      <c r="AP71" s="474"/>
      <c r="AQ71" s="473">
        <v>-42032794.729999997</v>
      </c>
      <c r="AR71" s="473"/>
      <c r="AS71" s="473"/>
      <c r="AT71" s="472">
        <v>-41379613.530000001</v>
      </c>
      <c r="AU71" s="473"/>
      <c r="AV71" s="474"/>
      <c r="AW71" s="475">
        <f t="shared" si="64"/>
        <v>-44141753.800416671</v>
      </c>
      <c r="AX71" s="466"/>
      <c r="AY71" s="466"/>
    </row>
    <row r="72" spans="1:51" s="16" customFormat="1" ht="16.5" thickBot="1">
      <c r="A72" s="139">
        <v>64</v>
      </c>
      <c r="B72" s="16" t="s">
        <v>1398</v>
      </c>
      <c r="C72" s="466" t="s">
        <v>752</v>
      </c>
      <c r="E72" s="466"/>
      <c r="F72" s="466" t="s">
        <v>640</v>
      </c>
      <c r="G72" s="466" t="s">
        <v>1161</v>
      </c>
      <c r="H72" s="466"/>
      <c r="I72" s="473"/>
      <c r="J72" s="472">
        <v>0</v>
      </c>
      <c r="K72" s="473"/>
      <c r="L72" s="474"/>
      <c r="M72" s="472">
        <v>0</v>
      </c>
      <c r="N72" s="473"/>
      <c r="O72" s="474"/>
      <c r="P72" s="472">
        <v>0</v>
      </c>
      <c r="Q72" s="473"/>
      <c r="R72" s="474"/>
      <c r="S72" s="472">
        <v>0</v>
      </c>
      <c r="T72" s="473"/>
      <c r="U72" s="474"/>
      <c r="V72" s="472">
        <v>0</v>
      </c>
      <c r="W72" s="473"/>
      <c r="X72" s="474"/>
      <c r="Y72" s="472">
        <v>0</v>
      </c>
      <c r="Z72" s="473"/>
      <c r="AA72" s="474"/>
      <c r="AB72" s="472">
        <v>0</v>
      </c>
      <c r="AC72" s="473"/>
      <c r="AD72" s="474"/>
      <c r="AE72" s="472">
        <v>0</v>
      </c>
      <c r="AF72" s="473"/>
      <c r="AG72" s="474"/>
      <c r="AH72" s="472">
        <v>0</v>
      </c>
      <c r="AI72" s="473"/>
      <c r="AJ72" s="474"/>
      <c r="AK72" s="472">
        <v>0</v>
      </c>
      <c r="AL72" s="473"/>
      <c r="AM72" s="474"/>
      <c r="AN72" s="472">
        <v>0</v>
      </c>
      <c r="AO72" s="473"/>
      <c r="AP72" s="474"/>
      <c r="AQ72" s="472">
        <v>0</v>
      </c>
      <c r="AR72" s="473"/>
      <c r="AS72" s="474"/>
      <c r="AT72" s="472">
        <v>0</v>
      </c>
      <c r="AU72" s="473"/>
      <c r="AV72" s="474"/>
      <c r="AW72" s="475">
        <f t="shared" si="64"/>
        <v>0</v>
      </c>
      <c r="AX72" s="466"/>
      <c r="AY72" s="466"/>
    </row>
    <row r="73" spans="1:51" s="16" customFormat="1">
      <c r="A73" s="139">
        <v>65</v>
      </c>
      <c r="C73" s="466"/>
      <c r="E73" s="466"/>
      <c r="F73" s="466"/>
      <c r="G73" s="466"/>
      <c r="H73" s="466"/>
      <c r="I73" s="466"/>
      <c r="J73" s="480">
        <f>SUM(J65:J72)</f>
        <v>-34040038.159999996</v>
      </c>
      <c r="K73" s="473"/>
      <c r="L73" s="473"/>
      <c r="M73" s="480">
        <f>SUM(M65:M72)</f>
        <v>-35476752.289999999</v>
      </c>
      <c r="N73" s="473"/>
      <c r="O73" s="473"/>
      <c r="P73" s="480">
        <f>SUM(P65:P72)</f>
        <v>-40235690.390000001</v>
      </c>
      <c r="Q73" s="473"/>
      <c r="R73" s="473"/>
      <c r="S73" s="480">
        <f>SUM(S65:S72)</f>
        <v>-45058358.410000004</v>
      </c>
      <c r="T73" s="473"/>
      <c r="U73" s="473"/>
      <c r="V73" s="480">
        <f>SUM(V65:V72)</f>
        <v>-44863306.449999996</v>
      </c>
      <c r="W73" s="473"/>
      <c r="X73" s="473"/>
      <c r="Y73" s="480">
        <f>SUM(Y65:Y72)</f>
        <v>-37244352.469999999</v>
      </c>
      <c r="Z73" s="473"/>
      <c r="AA73" s="473"/>
      <c r="AB73" s="480">
        <f>SUM(AB65:AB72)</f>
        <v>-37739573.409999996</v>
      </c>
      <c r="AC73" s="473"/>
      <c r="AD73" s="473"/>
      <c r="AE73" s="480">
        <f>SUM(AE65:AE72)</f>
        <v>-38555654.130000003</v>
      </c>
      <c r="AF73" s="473"/>
      <c r="AG73" s="473"/>
      <c r="AH73" s="480">
        <v>-2162554.64</v>
      </c>
      <c r="AI73" s="473"/>
      <c r="AJ73" s="473"/>
      <c r="AK73" s="480">
        <v>-2157345.3199999998</v>
      </c>
      <c r="AL73" s="473"/>
      <c r="AM73" s="473"/>
      <c r="AN73" s="480">
        <v>-2157203.5499999998</v>
      </c>
      <c r="AO73" s="473"/>
      <c r="AP73" s="473"/>
      <c r="AQ73" s="480">
        <v>-2157061.7999999998</v>
      </c>
      <c r="AR73" s="473"/>
      <c r="AS73" s="473"/>
      <c r="AT73" s="480">
        <f>SUM(AT65:AT72)</f>
        <v>-36587564.939999998</v>
      </c>
      <c r="AU73" s="473"/>
      <c r="AV73" s="473"/>
      <c r="AW73" s="481">
        <f>SUM(AW65:AW72)</f>
        <v>-38928721.729166672</v>
      </c>
      <c r="AX73" s="466"/>
      <c r="AY73" s="466"/>
    </row>
    <row r="74" spans="1:51" s="16" customFormat="1">
      <c r="A74" s="139">
        <v>66</v>
      </c>
      <c r="B74" s="466"/>
      <c r="C74" s="466"/>
      <c r="D74" s="466"/>
      <c r="E74" s="466"/>
      <c r="F74" s="466"/>
      <c r="G74" s="466"/>
      <c r="H74" s="466"/>
      <c r="I74" s="466"/>
      <c r="J74" s="482"/>
      <c r="K74" s="473"/>
      <c r="L74" s="473"/>
      <c r="M74" s="482"/>
      <c r="N74" s="473"/>
      <c r="O74" s="473"/>
      <c r="P74" s="482"/>
      <c r="Q74" s="473"/>
      <c r="R74" s="473"/>
      <c r="S74" s="482"/>
      <c r="T74" s="473"/>
      <c r="U74" s="473"/>
      <c r="V74" s="482"/>
      <c r="W74" s="473"/>
      <c r="X74" s="473"/>
      <c r="Y74" s="482"/>
      <c r="Z74" s="473"/>
      <c r="AA74" s="473"/>
      <c r="AB74" s="482"/>
      <c r="AC74" s="473"/>
      <c r="AD74" s="473"/>
      <c r="AE74" s="482"/>
      <c r="AF74" s="473"/>
      <c r="AG74" s="473"/>
      <c r="AH74" s="482"/>
      <c r="AI74" s="473"/>
      <c r="AJ74" s="473"/>
      <c r="AK74" s="482"/>
      <c r="AL74" s="473"/>
      <c r="AM74" s="473"/>
      <c r="AN74" s="482"/>
      <c r="AO74" s="473"/>
      <c r="AP74" s="473"/>
      <c r="AQ74" s="482"/>
      <c r="AR74" s="473"/>
      <c r="AS74" s="473"/>
      <c r="AT74" s="482"/>
      <c r="AU74" s="473"/>
      <c r="AV74" s="473"/>
      <c r="AW74" s="482"/>
      <c r="AX74" s="466"/>
      <c r="AY74" s="466"/>
    </row>
    <row r="75" spans="1:51" s="16" customFormat="1">
      <c r="A75" s="139">
        <v>67</v>
      </c>
      <c r="B75" s="466"/>
      <c r="C75" s="466"/>
      <c r="D75" s="466"/>
      <c r="E75" s="466"/>
      <c r="F75" s="466"/>
      <c r="G75" s="466"/>
      <c r="H75" s="466"/>
      <c r="I75" s="466"/>
      <c r="J75" s="483">
        <f>+J43+J53+J63+J73</f>
        <v>-72826780.520000026</v>
      </c>
      <c r="K75" s="484"/>
      <c r="L75" s="484"/>
      <c r="M75" s="483">
        <f>+M43+M53+M63+M73</f>
        <v>-74383811.920000002</v>
      </c>
      <c r="N75" s="484"/>
      <c r="O75" s="484"/>
      <c r="P75" s="483">
        <f>+P43+P53+P63+P73</f>
        <v>-79533267.270000011</v>
      </c>
      <c r="Q75" s="484"/>
      <c r="R75" s="484"/>
      <c r="S75" s="483">
        <f>+S43+S53+S63+S73</f>
        <v>-84468074.310000002</v>
      </c>
      <c r="T75" s="484"/>
      <c r="U75" s="484"/>
      <c r="V75" s="483">
        <f>+V43+V53+V63+V73</f>
        <v>-84649568.929999977</v>
      </c>
      <c r="W75" s="484"/>
      <c r="X75" s="484"/>
      <c r="Y75" s="483">
        <f>+Y43+Y53+Y63+Y73</f>
        <v>-84382001.220000014</v>
      </c>
      <c r="Z75" s="484"/>
      <c r="AA75" s="484"/>
      <c r="AB75" s="483">
        <f>+AB43+AB53+AB63+AB73</f>
        <v>-85115980.460000023</v>
      </c>
      <c r="AC75" s="484"/>
      <c r="AD75" s="484"/>
      <c r="AE75" s="483">
        <f>+AE43+AE53+AE63+AE73</f>
        <v>-86058775.50000003</v>
      </c>
      <c r="AF75" s="484"/>
      <c r="AG75" s="484"/>
      <c r="AH75" s="483">
        <f>+AH43+AH53+AH63+AH73</f>
        <v>-49732165.330000006</v>
      </c>
      <c r="AI75" s="484"/>
      <c r="AJ75" s="484"/>
      <c r="AK75" s="483">
        <f>+AK43+AK53+AK63+AK73</f>
        <v>-49874128.260000005</v>
      </c>
      <c r="AL75" s="484"/>
      <c r="AM75" s="484"/>
      <c r="AN75" s="483">
        <f>+AN43+AN53+AN63+AN73</f>
        <v>-50051084.750000022</v>
      </c>
      <c r="AO75" s="484"/>
      <c r="AP75" s="484"/>
      <c r="AQ75" s="483">
        <f>+AQ43+AQ53+AQ63+AQ73</f>
        <v>-52405450.120000012</v>
      </c>
      <c r="AR75" s="484"/>
      <c r="AS75" s="484"/>
      <c r="AT75" s="483">
        <f>+AT43+AT53+AT63+AT73</f>
        <v>-87984639.210000008</v>
      </c>
      <c r="AU75" s="484"/>
      <c r="AV75" s="484"/>
      <c r="AW75" s="483">
        <f>+AW43+AW53+AW63+AW73</f>
        <v>-83756918.689583331</v>
      </c>
      <c r="AX75" s="466"/>
      <c r="AY75" s="466"/>
    </row>
    <row r="76" spans="1:51" s="16" customFormat="1" ht="16.5" thickBot="1">
      <c r="A76" s="139">
        <v>68</v>
      </c>
      <c r="B76" s="466"/>
      <c r="C76" s="466"/>
      <c r="D76" s="466"/>
      <c r="E76" s="466"/>
      <c r="F76" s="466"/>
      <c r="G76" s="466"/>
      <c r="H76" s="466"/>
      <c r="I76" s="466"/>
      <c r="J76" s="482"/>
      <c r="K76" s="473"/>
      <c r="L76" s="473"/>
      <c r="M76" s="482"/>
      <c r="N76" s="473"/>
      <c r="O76" s="473"/>
      <c r="P76" s="482"/>
      <c r="Q76" s="473"/>
      <c r="R76" s="473"/>
      <c r="S76" s="482"/>
      <c r="T76" s="473"/>
      <c r="U76" s="473"/>
      <c r="V76" s="482"/>
      <c r="W76" s="473"/>
      <c r="X76" s="473"/>
      <c r="Y76" s="482"/>
      <c r="Z76" s="473"/>
      <c r="AA76" s="473"/>
      <c r="AB76" s="482"/>
      <c r="AC76" s="473"/>
      <c r="AD76" s="473"/>
      <c r="AE76" s="482"/>
      <c r="AF76" s="473"/>
      <c r="AG76" s="473"/>
      <c r="AH76" s="482"/>
      <c r="AI76" s="473"/>
      <c r="AJ76" s="473"/>
      <c r="AK76" s="482"/>
      <c r="AL76" s="473"/>
      <c r="AM76" s="473"/>
      <c r="AN76" s="482"/>
      <c r="AO76" s="473"/>
      <c r="AP76" s="474"/>
      <c r="AQ76" s="474"/>
      <c r="AR76" s="473"/>
      <c r="AS76" s="473"/>
      <c r="AT76" s="482"/>
      <c r="AU76" s="473"/>
      <c r="AV76" s="473"/>
      <c r="AW76" s="482"/>
      <c r="AX76" s="466"/>
      <c r="AY76" s="466"/>
    </row>
    <row r="77" spans="1:51" s="16" customFormat="1">
      <c r="A77" s="139">
        <v>69</v>
      </c>
      <c r="B77" s="1051" t="s">
        <v>1093</v>
      </c>
      <c r="C77" s="1052"/>
      <c r="D77" s="1052"/>
      <c r="E77" s="1053"/>
      <c r="F77" s="466"/>
      <c r="G77" s="466" t="s">
        <v>1401</v>
      </c>
      <c r="H77" s="466"/>
      <c r="I77" s="466"/>
      <c r="J77" s="482">
        <f>+J36+J53+J32+J37+J41+J42</f>
        <v>14974511.890000002</v>
      </c>
      <c r="K77" s="472"/>
      <c r="L77" s="473"/>
      <c r="M77" s="472">
        <f t="shared" ref="M77" si="65">+M36+M53+M32+M37+M41+M42</f>
        <v>15010304.319999998</v>
      </c>
      <c r="N77" s="473"/>
      <c r="O77" s="473"/>
      <c r="P77" s="482">
        <f t="shared" ref="P77:V77" si="66">+P36+P53+P32+P37+P41+P42</f>
        <v>14753729.689999999</v>
      </c>
      <c r="Q77" s="473"/>
      <c r="R77" s="474"/>
      <c r="S77" s="482">
        <f t="shared" si="66"/>
        <v>14731282.199999999</v>
      </c>
      <c r="T77" s="473"/>
      <c r="U77" s="474"/>
      <c r="V77" s="482">
        <f t="shared" si="66"/>
        <v>14484589.879999999</v>
      </c>
      <c r="W77" s="473"/>
      <c r="X77" s="474"/>
      <c r="Y77" s="482">
        <f>+Y36+Y53+Y32+Y37+Y41+Y42+Y33+Y34</f>
        <v>7274070.3499999996</v>
      </c>
      <c r="Z77" s="473"/>
      <c r="AA77" s="474"/>
      <c r="AB77" s="482">
        <f>+AB36+AB53+AB32+AB37+AB41+AB42+AB33+AB34</f>
        <v>7176692.4299999997</v>
      </c>
      <c r="AC77" s="473"/>
      <c r="AD77" s="474"/>
      <c r="AE77" s="482">
        <f>+AE36+AE53+AE32+AE37+AE41+AE42+AE33+AE34</f>
        <v>7190039.7200000007</v>
      </c>
      <c r="AF77" s="473"/>
      <c r="AG77" s="474"/>
      <c r="AH77" s="482">
        <f>+AH36+AH53+AH32+AH37+AH41+AH42+AH33+AH34</f>
        <v>7196271.21</v>
      </c>
      <c r="AI77" s="482"/>
      <c r="AJ77" s="482"/>
      <c r="AK77" s="482">
        <f>+AK36+AK53+AK32+AK37+AK41+AK42+AK33+AK34</f>
        <v>7163004.5599999987</v>
      </c>
      <c r="AL77" s="472"/>
      <c r="AM77" s="474"/>
      <c r="AN77" s="474">
        <f>+AN36+AN53+AN32+AN37+AN41+AN42+AN33+AN34</f>
        <v>7116326.0999999996</v>
      </c>
      <c r="AO77" s="472"/>
      <c r="AP77" s="474"/>
      <c r="AQ77" s="474">
        <f>+AQ36+AQ53+AQ32+AQ37+AQ41+AQ42+AQ33+AQ34</f>
        <v>6858201.0999999996</v>
      </c>
      <c r="AR77" s="482"/>
      <c r="AS77" s="482"/>
      <c r="AT77" s="482">
        <f>+AT36+AT53+AT32+AT37+AT41+AT42+AT33+AT34</f>
        <v>6628103.3699999992</v>
      </c>
      <c r="AU77" s="472"/>
      <c r="AV77" s="474"/>
      <c r="AW77" s="474">
        <f>+AW36+AW53+AW32+AW37+AW41+AW42+AW33+AW34</f>
        <v>9979651.5991666634</v>
      </c>
      <c r="AX77" s="466"/>
      <c r="AY77" s="466"/>
    </row>
    <row r="78" spans="1:51" s="16" customFormat="1">
      <c r="A78" s="139">
        <v>70</v>
      </c>
      <c r="B78" s="1054"/>
      <c r="C78" s="1055"/>
      <c r="D78" s="1055"/>
      <c r="E78" s="1056"/>
      <c r="F78" s="466"/>
      <c r="G78" s="466" t="s">
        <v>1012</v>
      </c>
      <c r="H78" s="466"/>
      <c r="I78" s="466"/>
      <c r="J78" s="482">
        <f>+J26+J63+J39</f>
        <v>-53594338.570000008</v>
      </c>
      <c r="K78" s="472"/>
      <c r="L78" s="473"/>
      <c r="M78" s="472">
        <f t="shared" ref="M78" si="67">+M26+M63+M39</f>
        <v>-53751213.93</v>
      </c>
      <c r="N78" s="473"/>
      <c r="O78" s="474"/>
      <c r="P78" s="482">
        <f t="shared" ref="P78:V78" si="68">+P26+P63+P39</f>
        <v>-53885922.209999993</v>
      </c>
      <c r="Q78" s="473"/>
      <c r="R78" s="474"/>
      <c r="S78" s="482">
        <f t="shared" si="68"/>
        <v>-53976379.390000001</v>
      </c>
      <c r="T78" s="473"/>
      <c r="U78" s="474"/>
      <c r="V78" s="482">
        <f t="shared" si="68"/>
        <v>-54106999.309999987</v>
      </c>
      <c r="W78" s="473"/>
      <c r="X78" s="474"/>
      <c r="Y78" s="482">
        <f>+Y26+Y63+Y39+Y27+Y28</f>
        <v>-54248631.710000016</v>
      </c>
      <c r="Z78" s="473"/>
      <c r="AA78" s="474"/>
      <c r="AB78" s="482">
        <f>+AB26+AB63+AB39+AB27+AB28</f>
        <v>-54390777.750000022</v>
      </c>
      <c r="AC78" s="473"/>
      <c r="AD78" s="474"/>
      <c r="AE78" s="482">
        <f>+AE26+AE63+AE39+AE27+AE28</f>
        <v>-54531605.020000018</v>
      </c>
      <c r="AF78" s="473"/>
      <c r="AG78" s="474"/>
      <c r="AH78" s="482">
        <f>+AH26+AH63+AH39+AH27+AH28</f>
        <v>-54605091.49000001</v>
      </c>
      <c r="AI78" s="482"/>
      <c r="AJ78" s="482"/>
      <c r="AK78" s="482">
        <f>+AK26+AK63+AK39+AK27+AK28</f>
        <v>-54719762.740000024</v>
      </c>
      <c r="AL78" s="472"/>
      <c r="AM78" s="474"/>
      <c r="AN78" s="474">
        <f>+AN26+AN63+AN39+AN27+AN28</f>
        <v>-54850948.200000025</v>
      </c>
      <c r="AO78" s="472"/>
      <c r="AP78" s="474"/>
      <c r="AQ78" s="474">
        <f>+AQ26+AQ63+AQ39+AQ27+AQ28</f>
        <v>-56948095.980000019</v>
      </c>
      <c r="AR78" s="482"/>
      <c r="AS78" s="482"/>
      <c r="AT78" s="482">
        <f>+AT26+AT63+AT39+AT27+AT28</f>
        <v>-57867449.850000009</v>
      </c>
      <c r="AU78" s="472"/>
      <c r="AV78" s="474"/>
      <c r="AW78" s="474">
        <f>+AW26+AW63+AW39+AW27+AW28</f>
        <v>-54645526.828333333</v>
      </c>
      <c r="AX78" s="466"/>
      <c r="AY78" s="466"/>
    </row>
    <row r="79" spans="1:51" s="16" customFormat="1">
      <c r="A79" s="139">
        <v>71</v>
      </c>
      <c r="B79" s="1054"/>
      <c r="C79" s="1055"/>
      <c r="D79" s="1055"/>
      <c r="E79" s="1056"/>
      <c r="F79" s="466"/>
      <c r="G79" s="466" t="s">
        <v>1013</v>
      </c>
      <c r="H79" s="466"/>
      <c r="I79" s="466"/>
      <c r="J79" s="697">
        <f>+J73+J29+J40</f>
        <v>-34206953.839999996</v>
      </c>
      <c r="K79" s="697"/>
      <c r="L79" s="698"/>
      <c r="M79" s="697">
        <f t="shared" ref="M79" si="69">+M73+M29+M40</f>
        <v>-35642902.309999995</v>
      </c>
      <c r="N79" s="485"/>
      <c r="O79" s="474"/>
      <c r="P79" s="696">
        <f t="shared" ref="P79:V79" si="70">+P73+P29+P40</f>
        <v>-40401074.75</v>
      </c>
      <c r="Q79" s="697"/>
      <c r="R79" s="698"/>
      <c r="S79" s="696">
        <f t="shared" si="70"/>
        <v>-45222977.120000005</v>
      </c>
      <c r="T79" s="473"/>
      <c r="U79" s="698"/>
      <c r="V79" s="696">
        <f t="shared" si="70"/>
        <v>-45027159.499999993</v>
      </c>
      <c r="W79" s="697"/>
      <c r="X79" s="474"/>
      <c r="Y79" s="696">
        <f>+Y73+Y29+Y40+Y31+Y30</f>
        <v>-37407439.859999999</v>
      </c>
      <c r="Z79" s="697"/>
      <c r="AA79" s="474"/>
      <c r="AB79" s="696">
        <f>+AB73+AB29+AB40+AB30+AB31</f>
        <v>-37901895.140000001</v>
      </c>
      <c r="AC79" s="697"/>
      <c r="AD79" s="698"/>
      <c r="AE79" s="696">
        <f>+AE73+AE29+AE40+AE30+AE31</f>
        <v>-38717210.199999996</v>
      </c>
      <c r="AF79" s="697"/>
      <c r="AG79" s="474"/>
      <c r="AH79" s="696">
        <f>+AH73+AH29+AH40+AH30+AH31</f>
        <v>-2323345.0500000003</v>
      </c>
      <c r="AI79" s="696"/>
      <c r="AJ79" s="696"/>
      <c r="AK79" s="696">
        <f>+AK73+AK29+AK40+AK30+AK31</f>
        <v>-2317370.0799999996</v>
      </c>
      <c r="AL79" s="697"/>
      <c r="AM79" s="698"/>
      <c r="AN79" s="698">
        <f>+AN73+AN29+AN40+AN30+AN31</f>
        <v>-2316462.65</v>
      </c>
      <c r="AO79" s="697"/>
      <c r="AP79" s="474"/>
      <c r="AQ79" s="698">
        <f>+AQ73+AQ29+AQ40+AQ30+AQ31</f>
        <v>-2315555.2399999998</v>
      </c>
      <c r="AR79" s="696"/>
      <c r="AS79" s="696"/>
      <c r="AT79" s="696">
        <f>+AT73+AT29+AT40+AT30+AT31</f>
        <v>-36745292.729999997</v>
      </c>
      <c r="AU79" s="697"/>
      <c r="AV79" s="474"/>
      <c r="AW79" s="698">
        <f>+AW73+AW29+AW40+AW31+AW30</f>
        <v>-39091043.460416675</v>
      </c>
      <c r="AX79" s="466"/>
      <c r="AY79" s="466"/>
    </row>
    <row r="80" spans="1:51" s="16" customFormat="1" ht="16.5" thickBot="1">
      <c r="A80" s="139">
        <v>72</v>
      </c>
      <c r="B80" s="1054"/>
      <c r="C80" s="1055"/>
      <c r="D80" s="1055"/>
      <c r="E80" s="1056"/>
      <c r="F80" s="466"/>
      <c r="G80" s="466"/>
      <c r="H80" s="466"/>
      <c r="I80" s="466"/>
      <c r="J80" s="695">
        <f>+J77+J78+J79</f>
        <v>-72826780.520000011</v>
      </c>
      <c r="K80" s="487"/>
      <c r="L80" s="487"/>
      <c r="M80" s="486">
        <f t="shared" ref="M80:AT80" si="71">+M77+M78+M79</f>
        <v>-74383811.919999987</v>
      </c>
      <c r="N80" s="487"/>
      <c r="O80" s="700"/>
      <c r="P80" s="699">
        <f t="shared" si="71"/>
        <v>-79533267.269999996</v>
      </c>
      <c r="Q80" s="487"/>
      <c r="R80" s="487"/>
      <c r="S80" s="486">
        <f t="shared" si="71"/>
        <v>-84468074.310000002</v>
      </c>
      <c r="T80" s="701"/>
      <c r="U80" s="487"/>
      <c r="V80" s="486">
        <f t="shared" si="71"/>
        <v>-84649568.929999977</v>
      </c>
      <c r="W80" s="487"/>
      <c r="X80" s="700"/>
      <c r="Y80" s="486">
        <f t="shared" si="71"/>
        <v>-84382001.220000014</v>
      </c>
      <c r="Z80" s="487"/>
      <c r="AA80" s="700"/>
      <c r="AB80" s="486">
        <f t="shared" si="71"/>
        <v>-85115980.460000023</v>
      </c>
      <c r="AC80" s="487"/>
      <c r="AD80" s="487"/>
      <c r="AE80" s="486">
        <f t="shared" si="71"/>
        <v>-86058775.500000015</v>
      </c>
      <c r="AF80" s="487"/>
      <c r="AG80" s="700"/>
      <c r="AH80" s="486">
        <f t="shared" si="71"/>
        <v>-49732165.330000006</v>
      </c>
      <c r="AI80" s="487"/>
      <c r="AJ80" s="487"/>
      <c r="AK80" s="486">
        <f t="shared" si="71"/>
        <v>-49874128.26000002</v>
      </c>
      <c r="AL80" s="487"/>
      <c r="AM80" s="487"/>
      <c r="AN80" s="486">
        <f t="shared" si="71"/>
        <v>-50051084.750000022</v>
      </c>
      <c r="AO80" s="487"/>
      <c r="AP80" s="700"/>
      <c r="AQ80" s="486">
        <f t="shared" si="71"/>
        <v>-52405450.12000002</v>
      </c>
      <c r="AR80" s="487"/>
      <c r="AS80" s="487"/>
      <c r="AT80" s="486">
        <f t="shared" si="71"/>
        <v>-87984639.210000008</v>
      </c>
      <c r="AU80" s="487"/>
      <c r="AV80" s="700"/>
      <c r="AW80" s="699">
        <f>+AW78+AW79+AW77</f>
        <v>-83756918.689583346</v>
      </c>
      <c r="AX80" s="466"/>
      <c r="AY80" s="466"/>
    </row>
    <row r="81" spans="2:51">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row>
    <row r="82" spans="2:51">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row>
    <row r="83" spans="2:51">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row>
    <row r="84" spans="2:51">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row>
    <row r="85" spans="2:51">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row>
    <row r="86" spans="2:51">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row>
    <row r="87" spans="2:51">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row>
    <row r="88" spans="2:51">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row>
  </sheetData>
  <mergeCells count="35">
    <mergeCell ref="F3:J3"/>
    <mergeCell ref="E4:K4"/>
    <mergeCell ref="F5:J5"/>
    <mergeCell ref="F13:I13"/>
    <mergeCell ref="E1:K1"/>
    <mergeCell ref="F2:J2"/>
    <mergeCell ref="B77:E80"/>
    <mergeCell ref="B16:I16"/>
    <mergeCell ref="B25:I25"/>
    <mergeCell ref="B9:E13"/>
    <mergeCell ref="F9:I9"/>
    <mergeCell ref="F10:I10"/>
    <mergeCell ref="F11:I11"/>
    <mergeCell ref="F12:I12"/>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AP1:AY1"/>
    <mergeCell ref="AP2:AY2"/>
    <mergeCell ref="AP3:AY3"/>
    <mergeCell ref="AP4:AY4"/>
    <mergeCell ref="AP5:AY5"/>
  </mergeCells>
  <phoneticPr fontId="142"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B1:N17"/>
  <sheetViews>
    <sheetView view="pageBreakPreview" zoomScaleNormal="100" zoomScaleSheetLayoutView="100" workbookViewId="0"/>
  </sheetViews>
  <sheetFormatPr defaultColWidth="9.140625" defaultRowHeight="15.75"/>
  <cols>
    <col min="1" max="1" width="1.42578125" style="3" customWidth="1"/>
    <col min="2" max="2" width="2.5703125" style="3" customWidth="1"/>
    <col min="3" max="3" width="10.5703125" style="5" bestFit="1" customWidth="1"/>
    <col min="4" max="4" width="43" style="3" bestFit="1" customWidth="1"/>
    <col min="5" max="5" width="4.140625" style="3" customWidth="1"/>
    <col min="6" max="6" width="17.5703125" style="3" bestFit="1" customWidth="1"/>
    <col min="7" max="7" width="6" style="3" customWidth="1"/>
    <col min="8" max="8" width="10.140625" style="3" bestFit="1" customWidth="1"/>
    <col min="9" max="9" width="5.140625" style="3" customWidth="1"/>
    <col min="10" max="10" width="13.7109375" style="3" bestFit="1" customWidth="1"/>
    <col min="11" max="13" width="9.140625" style="3"/>
    <col min="14" max="14" width="13.85546875" style="3" bestFit="1" customWidth="1"/>
    <col min="15" max="16384" width="9.140625" style="3"/>
  </cols>
  <sheetData>
    <row r="1" spans="2:14">
      <c r="B1" s="192"/>
      <c r="C1" s="1029" t="s">
        <v>60</v>
      </c>
      <c r="D1" s="1029"/>
      <c r="E1" s="1029"/>
      <c r="F1" s="1029"/>
      <c r="G1" s="1029"/>
      <c r="H1" s="1029"/>
      <c r="I1" s="1029"/>
      <c r="J1" s="1029"/>
      <c r="K1" s="193"/>
      <c r="L1" s="194"/>
      <c r="M1" s="193"/>
    </row>
    <row r="2" spans="2:14">
      <c r="B2" s="192"/>
      <c r="C2" s="1029" t="s">
        <v>1854</v>
      </c>
      <c r="D2" s="1029"/>
      <c r="E2" s="1029"/>
      <c r="F2" s="1029"/>
      <c r="G2" s="1029"/>
      <c r="H2" s="1029"/>
      <c r="I2" s="1029"/>
      <c r="J2" s="1029"/>
      <c r="K2" s="195"/>
      <c r="L2" s="195"/>
      <c r="M2" s="195"/>
    </row>
    <row r="3" spans="2:14">
      <c r="B3" s="192"/>
      <c r="C3" s="1029" t="s">
        <v>1381</v>
      </c>
      <c r="D3" s="1029"/>
      <c r="E3" s="1029"/>
      <c r="F3" s="1029"/>
      <c r="G3" s="1029"/>
      <c r="H3" s="1029"/>
      <c r="I3" s="1029"/>
      <c r="J3" s="1029"/>
      <c r="K3" s="195"/>
      <c r="L3" s="195"/>
      <c r="M3" s="195"/>
    </row>
    <row r="4" spans="2:14">
      <c r="B4" s="192"/>
      <c r="C4" s="1029" t="s">
        <v>720</v>
      </c>
      <c r="D4" s="1029"/>
      <c r="E4" s="1029"/>
      <c r="F4" s="1029"/>
      <c r="G4" s="1029"/>
      <c r="H4" s="1029"/>
      <c r="I4" s="1029"/>
      <c r="J4" s="1029"/>
      <c r="K4" s="196"/>
      <c r="L4" s="196"/>
      <c r="M4" s="196"/>
    </row>
    <row r="5" spans="2:14">
      <c r="B5" s="192"/>
      <c r="C5" s="1029" t="s">
        <v>1853</v>
      </c>
      <c r="D5" s="1029"/>
      <c r="E5" s="1029"/>
      <c r="F5" s="1029"/>
      <c r="G5" s="1029"/>
      <c r="H5" s="1029"/>
      <c r="I5" s="1029"/>
      <c r="J5" s="1029"/>
      <c r="K5" s="197"/>
      <c r="L5" s="197"/>
      <c r="M5" s="197"/>
    </row>
    <row r="6" spans="2:14">
      <c r="E6" s="1073"/>
      <c r="F6" s="1073"/>
      <c r="G6" s="1073"/>
      <c r="H6" s="1073"/>
      <c r="I6" s="1073"/>
      <c r="J6" s="1073"/>
    </row>
    <row r="7" spans="2:14">
      <c r="B7" s="198"/>
      <c r="C7" s="199"/>
      <c r="D7" s="198"/>
      <c r="E7" s="193"/>
      <c r="F7" s="193"/>
      <c r="G7" s="193"/>
      <c r="H7" s="193"/>
      <c r="I7" s="193"/>
      <c r="J7" s="193"/>
      <c r="K7" s="198"/>
      <c r="L7" s="198"/>
      <c r="M7" s="192"/>
    </row>
    <row r="8" spans="2:14" s="5" customFormat="1">
      <c r="B8" s="200"/>
      <c r="C8" s="201" t="s">
        <v>47</v>
      </c>
      <c r="D8" s="201" t="s">
        <v>799</v>
      </c>
      <c r="E8" s="201"/>
      <c r="F8" s="201" t="s">
        <v>797</v>
      </c>
      <c r="G8" s="201"/>
      <c r="H8" s="201" t="s">
        <v>800</v>
      </c>
      <c r="I8" s="201"/>
      <c r="J8" s="201" t="s">
        <v>801</v>
      </c>
      <c r="K8" s="200"/>
      <c r="L8" s="202"/>
      <c r="M8" s="201"/>
    </row>
    <row r="9" spans="2:14">
      <c r="B9" s="198"/>
      <c r="C9" s="203" t="s">
        <v>795</v>
      </c>
      <c r="D9" s="204" t="s">
        <v>48</v>
      </c>
      <c r="E9" s="205"/>
      <c r="F9" s="205" t="s">
        <v>49</v>
      </c>
      <c r="G9" s="205"/>
      <c r="H9" s="206" t="s">
        <v>50</v>
      </c>
      <c r="I9" s="206"/>
      <c r="J9" s="207" t="s">
        <v>51</v>
      </c>
      <c r="K9" s="198"/>
      <c r="L9" s="198"/>
      <c r="M9" s="192"/>
    </row>
    <row r="10" spans="2:14">
      <c r="B10" s="198"/>
      <c r="C10" s="191"/>
      <c r="D10" s="208"/>
      <c r="E10" s="208"/>
      <c r="F10" s="208"/>
      <c r="G10" s="208"/>
      <c r="H10" s="208"/>
      <c r="I10" s="208"/>
      <c r="J10" s="209" t="s">
        <v>50</v>
      </c>
      <c r="K10" s="198"/>
      <c r="L10" s="198"/>
      <c r="M10" s="192"/>
    </row>
    <row r="11" spans="2:14">
      <c r="C11" s="191">
        <v>1</v>
      </c>
      <c r="D11" s="210" t="s">
        <v>52</v>
      </c>
      <c r="E11" s="208"/>
      <c r="F11" s="794">
        <f>+'Exh. No. BGM-3 (2)'!AI10</f>
        <v>0.52900000000000003</v>
      </c>
      <c r="G11" s="212"/>
      <c r="H11" s="213">
        <f>+'Exh. No. BGM-3 (1)'!AJ10</f>
        <v>4.5404544820512822E-2</v>
      </c>
      <c r="I11" s="214"/>
      <c r="J11" s="215">
        <f>ROUND(+F11*H11,5)</f>
        <v>2.402E-2</v>
      </c>
      <c r="K11" s="198"/>
      <c r="L11" s="216"/>
      <c r="M11" s="192"/>
      <c r="N11" s="217"/>
    </row>
    <row r="12" spans="2:14">
      <c r="C12" s="191">
        <v>2</v>
      </c>
      <c r="D12" s="210" t="s">
        <v>53</v>
      </c>
      <c r="E12" s="208"/>
      <c r="F12" s="211">
        <v>0</v>
      </c>
      <c r="G12" s="212"/>
      <c r="H12" s="213">
        <v>0</v>
      </c>
      <c r="I12" s="214"/>
      <c r="J12" s="215">
        <f>ROUND(+F12*H12,5)</f>
        <v>0</v>
      </c>
      <c r="K12" s="198"/>
      <c r="L12" s="216"/>
      <c r="M12" s="192"/>
    </row>
    <row r="13" spans="2:14">
      <c r="C13" s="191">
        <v>3</v>
      </c>
      <c r="D13" s="210" t="s">
        <v>54</v>
      </c>
      <c r="E13" s="208"/>
      <c r="F13" s="794">
        <f>1-F11</f>
        <v>0.47099999999999997</v>
      </c>
      <c r="G13" s="212"/>
      <c r="H13" s="213">
        <f>+'Exh. No. BGM-3 (1)'!AJ11</f>
        <v>9.4E-2</v>
      </c>
      <c r="I13" s="214"/>
      <c r="J13" s="215">
        <f>ROUND(+F13*H13,5)</f>
        <v>4.4269999999999997E-2</v>
      </c>
      <c r="K13" s="198"/>
      <c r="L13" s="216"/>
      <c r="M13" s="192"/>
    </row>
    <row r="14" spans="2:14" ht="16.5" thickBot="1">
      <c r="B14" s="198"/>
      <c r="C14" s="191">
        <v>4</v>
      </c>
      <c r="D14" s="210" t="s">
        <v>55</v>
      </c>
      <c r="E14" s="208"/>
      <c r="F14" s="218">
        <f>SUM(F11:F13)</f>
        <v>1</v>
      </c>
      <c r="G14" s="212"/>
      <c r="H14" s="212"/>
      <c r="I14" s="214"/>
      <c r="J14" s="219">
        <f>SUM(J11:J13)</f>
        <v>6.828999999999999E-2</v>
      </c>
      <c r="K14" s="198"/>
      <c r="L14" s="198"/>
      <c r="M14" s="192"/>
    </row>
    <row r="15" spans="2:14" ht="16.5" thickTop="1">
      <c r="B15" s="198"/>
      <c r="C15" s="220"/>
      <c r="D15" s="221"/>
      <c r="E15" s="221"/>
      <c r="F15" s="221"/>
      <c r="G15" s="221"/>
      <c r="H15" s="221"/>
      <c r="I15" s="221"/>
      <c r="J15" s="222"/>
      <c r="K15" s="198"/>
      <c r="L15" s="198"/>
      <c r="M15" s="192"/>
    </row>
    <row r="16" spans="2:14">
      <c r="B16" s="198"/>
      <c r="C16" s="200"/>
      <c r="D16" s="198"/>
      <c r="E16" s="198"/>
      <c r="F16" s="198"/>
      <c r="G16" s="198"/>
      <c r="H16" s="198"/>
      <c r="I16" s="198"/>
      <c r="J16" s="198"/>
      <c r="K16" s="198"/>
      <c r="L16" s="198"/>
      <c r="M16" s="192"/>
    </row>
    <row r="17" spans="2:12">
      <c r="B17" s="192"/>
      <c r="C17" s="201"/>
      <c r="D17" s="198" t="s">
        <v>1095</v>
      </c>
      <c r="E17" s="198"/>
      <c r="F17" s="198"/>
      <c r="G17" s="198"/>
      <c r="H17" s="198"/>
      <c r="I17" s="198"/>
      <c r="J17" s="192"/>
      <c r="K17" s="192"/>
      <c r="L17" s="192"/>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9D1F-81D2-434E-8AAA-86102EDDE325}">
  <dimension ref="B5:L40"/>
  <sheetViews>
    <sheetView zoomScale="205" zoomScaleNormal="205" workbookViewId="0"/>
  </sheetViews>
  <sheetFormatPr defaultRowHeight="21"/>
  <cols>
    <col min="1" max="1" width="9.140625" style="629"/>
    <col min="2" max="2" width="4.140625" style="955" customWidth="1"/>
    <col min="3" max="11" width="9.140625" style="629"/>
    <col min="12" max="12" width="5.140625" style="629" customWidth="1"/>
    <col min="13" max="16384" width="9.140625" style="629"/>
  </cols>
  <sheetData>
    <row r="5" spans="2:12" ht="15">
      <c r="B5" s="1018" t="s">
        <v>2589</v>
      </c>
      <c r="C5" s="953"/>
      <c r="D5" s="953"/>
      <c r="E5" s="953"/>
      <c r="F5" s="953"/>
      <c r="G5" s="953"/>
      <c r="H5" s="953"/>
      <c r="I5" s="953"/>
      <c r="J5" s="953"/>
      <c r="K5" s="953"/>
      <c r="L5" s="952"/>
    </row>
    <row r="6" spans="2:12" ht="15">
      <c r="B6" s="1019"/>
      <c r="C6" s="956"/>
      <c r="D6" s="956"/>
      <c r="E6" s="956"/>
      <c r="F6" s="956"/>
      <c r="G6" s="956"/>
      <c r="H6" s="956"/>
      <c r="I6" s="956"/>
      <c r="J6" s="956"/>
      <c r="K6" s="956"/>
      <c r="L6" s="945"/>
    </row>
    <row r="7" spans="2:12" ht="15">
      <c r="B7" s="1019"/>
      <c r="C7" s="956"/>
      <c r="D7" s="956"/>
      <c r="E7" s="956"/>
      <c r="F7" s="956"/>
      <c r="G7" s="956"/>
      <c r="H7" s="956"/>
      <c r="I7" s="956"/>
      <c r="J7" s="956"/>
      <c r="K7" s="956"/>
      <c r="L7" s="945"/>
    </row>
    <row r="8" spans="2:12" ht="15">
      <c r="B8" s="1019"/>
      <c r="C8" s="956"/>
      <c r="D8" s="956"/>
      <c r="E8" s="956"/>
      <c r="F8" s="956"/>
      <c r="G8" s="956"/>
      <c r="H8" s="956"/>
      <c r="I8" s="956"/>
      <c r="J8" s="956"/>
      <c r="K8" s="956"/>
      <c r="L8" s="945"/>
    </row>
    <row r="9" spans="2:12" ht="15">
      <c r="B9" s="1019"/>
      <c r="C9" s="956"/>
      <c r="D9" s="956"/>
      <c r="E9" s="956"/>
      <c r="F9" s="956"/>
      <c r="G9" s="956"/>
      <c r="H9" s="956"/>
      <c r="I9" s="956"/>
      <c r="J9" s="956"/>
      <c r="K9" s="956"/>
      <c r="L9" s="945"/>
    </row>
    <row r="10" spans="2:12" ht="15">
      <c r="B10" s="1019"/>
      <c r="C10" s="956"/>
      <c r="D10" s="956"/>
      <c r="E10" s="956"/>
      <c r="F10" s="956"/>
      <c r="G10" s="956"/>
      <c r="H10" s="956"/>
      <c r="I10" s="956"/>
      <c r="J10" s="956"/>
      <c r="K10" s="956"/>
      <c r="L10" s="945"/>
    </row>
    <row r="11" spans="2:12" ht="15">
      <c r="B11" s="1019"/>
      <c r="C11" s="956"/>
      <c r="D11" s="956"/>
      <c r="E11" s="956"/>
      <c r="F11" s="956"/>
      <c r="G11" s="956"/>
      <c r="H11" s="956"/>
      <c r="I11" s="956"/>
      <c r="J11" s="956"/>
      <c r="K11" s="956"/>
      <c r="L11" s="945"/>
    </row>
    <row r="12" spans="2:12" ht="15">
      <c r="B12" s="1019"/>
      <c r="C12" s="956"/>
      <c r="D12" s="956"/>
      <c r="E12" s="956"/>
      <c r="F12" s="956"/>
      <c r="G12" s="956"/>
      <c r="H12" s="956"/>
      <c r="I12" s="956"/>
      <c r="J12" s="956"/>
      <c r="K12" s="956"/>
      <c r="L12" s="945"/>
    </row>
    <row r="13" spans="2:12" ht="15">
      <c r="B13" s="1019"/>
      <c r="C13" s="956"/>
      <c r="D13" s="956"/>
      <c r="E13" s="956"/>
      <c r="F13" s="956"/>
      <c r="G13" s="956"/>
      <c r="H13" s="956"/>
      <c r="I13" s="956"/>
      <c r="J13" s="956"/>
      <c r="K13" s="956"/>
      <c r="L13" s="945"/>
    </row>
    <row r="14" spans="2:12" ht="15">
      <c r="B14" s="1019"/>
      <c r="C14" s="956"/>
      <c r="D14" s="956"/>
      <c r="E14" s="956"/>
      <c r="F14" s="956"/>
      <c r="G14" s="956"/>
      <c r="H14" s="956"/>
      <c r="I14" s="956"/>
      <c r="J14" s="956"/>
      <c r="K14" s="956"/>
      <c r="L14" s="945"/>
    </row>
    <row r="15" spans="2:12" ht="15">
      <c r="B15" s="1019"/>
      <c r="C15" s="956"/>
      <c r="D15" s="956"/>
      <c r="E15" s="956"/>
      <c r="F15" s="956"/>
      <c r="G15" s="956"/>
      <c r="H15" s="956"/>
      <c r="I15" s="956"/>
      <c r="J15" s="956"/>
      <c r="K15" s="956"/>
      <c r="L15" s="945"/>
    </row>
    <row r="16" spans="2:12" ht="15">
      <c r="B16" s="1019"/>
      <c r="C16" s="956"/>
      <c r="D16" s="956"/>
      <c r="E16" s="956"/>
      <c r="F16" s="956"/>
      <c r="G16" s="956"/>
      <c r="H16" s="956"/>
      <c r="I16" s="956"/>
      <c r="J16" s="956"/>
      <c r="K16" s="956"/>
      <c r="L16" s="945"/>
    </row>
    <row r="17" spans="2:12" ht="15">
      <c r="B17" s="1019"/>
      <c r="C17" s="956"/>
      <c r="D17" s="956"/>
      <c r="E17" s="956"/>
      <c r="F17" s="956"/>
      <c r="G17" s="956"/>
      <c r="H17" s="956"/>
      <c r="I17" s="956"/>
      <c r="J17" s="956"/>
      <c r="K17" s="956"/>
      <c r="L17" s="945"/>
    </row>
    <row r="18" spans="2:12" ht="15">
      <c r="B18" s="1019"/>
      <c r="C18" s="956"/>
      <c r="D18" s="956"/>
      <c r="E18" s="956"/>
      <c r="F18" s="956"/>
      <c r="G18" s="956"/>
      <c r="H18" s="956"/>
      <c r="I18" s="956"/>
      <c r="J18" s="956"/>
      <c r="K18" s="956"/>
      <c r="L18" s="945"/>
    </row>
    <row r="19" spans="2:12" ht="15">
      <c r="B19" s="1019"/>
      <c r="C19" s="956"/>
      <c r="D19" s="956"/>
      <c r="E19" s="956"/>
      <c r="F19" s="956"/>
      <c r="G19" s="956"/>
      <c r="H19" s="956"/>
      <c r="I19" s="956"/>
      <c r="J19" s="956"/>
      <c r="K19" s="956"/>
      <c r="L19" s="945"/>
    </row>
    <row r="20" spans="2:12" ht="15">
      <c r="B20" s="1019"/>
      <c r="C20" s="956"/>
      <c r="D20" s="956"/>
      <c r="E20" s="956"/>
      <c r="F20" s="956"/>
      <c r="G20" s="956"/>
      <c r="H20" s="956"/>
      <c r="I20" s="956"/>
      <c r="J20" s="956"/>
      <c r="K20" s="956"/>
      <c r="L20" s="945"/>
    </row>
    <row r="21" spans="2:12" ht="15">
      <c r="B21" s="1019"/>
      <c r="C21" s="956"/>
      <c r="D21" s="956"/>
      <c r="E21" s="956"/>
      <c r="F21" s="956"/>
      <c r="G21" s="956"/>
      <c r="H21" s="956"/>
      <c r="I21" s="956"/>
      <c r="J21" s="956"/>
      <c r="K21" s="956"/>
      <c r="L21" s="945"/>
    </row>
    <row r="22" spans="2:12" ht="15">
      <c r="B22" s="1020"/>
      <c r="C22" s="943"/>
      <c r="D22" s="943"/>
      <c r="E22" s="943"/>
      <c r="F22" s="943"/>
      <c r="G22" s="943"/>
      <c r="H22" s="943"/>
      <c r="I22" s="943"/>
      <c r="J22" s="943"/>
      <c r="K22" s="943"/>
      <c r="L22" s="942"/>
    </row>
    <row r="23" spans="2:12" ht="15" customHeight="1">
      <c r="B23" s="1018" t="s">
        <v>2629</v>
      </c>
      <c r="C23" s="953"/>
      <c r="D23" s="953"/>
      <c r="E23" s="953"/>
      <c r="F23" s="953"/>
      <c r="G23" s="953"/>
      <c r="H23" s="953"/>
      <c r="I23" s="953"/>
      <c r="J23" s="953"/>
      <c r="K23" s="953"/>
      <c r="L23" s="952"/>
    </row>
    <row r="24" spans="2:12" ht="15">
      <c r="B24" s="1019"/>
      <c r="C24" s="956"/>
      <c r="D24" s="956"/>
      <c r="E24" s="956"/>
      <c r="F24" s="956"/>
      <c r="G24" s="956"/>
      <c r="H24" s="956"/>
      <c r="I24" s="956"/>
      <c r="J24" s="956"/>
      <c r="K24" s="956"/>
      <c r="L24" s="945"/>
    </row>
    <row r="25" spans="2:12" ht="15">
      <c r="B25" s="1019"/>
      <c r="C25" s="956"/>
      <c r="D25" s="956"/>
      <c r="E25" s="956"/>
      <c r="F25" s="956"/>
      <c r="G25" s="956"/>
      <c r="H25" s="956"/>
      <c r="I25" s="956"/>
      <c r="J25" s="956"/>
      <c r="K25" s="956"/>
      <c r="L25" s="945"/>
    </row>
    <row r="26" spans="2:12" ht="15">
      <c r="B26" s="1019"/>
      <c r="C26" s="956"/>
      <c r="D26" s="956"/>
      <c r="E26" s="956"/>
      <c r="F26" s="956"/>
      <c r="G26" s="956"/>
      <c r="H26" s="956"/>
      <c r="I26" s="956"/>
      <c r="J26" s="956"/>
      <c r="K26" s="956"/>
      <c r="L26" s="945"/>
    </row>
    <row r="27" spans="2:12" ht="15">
      <c r="B27" s="1019"/>
      <c r="C27" s="956"/>
      <c r="D27" s="956"/>
      <c r="E27" s="956"/>
      <c r="F27" s="956"/>
      <c r="G27" s="956"/>
      <c r="H27" s="956"/>
      <c r="I27" s="956"/>
      <c r="J27" s="956"/>
      <c r="K27" s="956"/>
      <c r="L27" s="945"/>
    </row>
    <row r="28" spans="2:12" ht="15">
      <c r="B28" s="1019"/>
      <c r="C28" s="956"/>
      <c r="D28" s="956"/>
      <c r="E28" s="956"/>
      <c r="F28" s="956"/>
      <c r="G28" s="956"/>
      <c r="H28" s="956"/>
      <c r="I28" s="956"/>
      <c r="J28" s="956"/>
      <c r="K28" s="956"/>
      <c r="L28" s="945"/>
    </row>
    <row r="29" spans="2:12" ht="15">
      <c r="B29" s="1019"/>
      <c r="C29" s="956"/>
      <c r="D29" s="956"/>
      <c r="E29" s="956"/>
      <c r="F29" s="956"/>
      <c r="G29" s="956"/>
      <c r="H29" s="956"/>
      <c r="I29" s="956"/>
      <c r="J29" s="956"/>
      <c r="K29" s="956"/>
      <c r="L29" s="945"/>
    </row>
    <row r="30" spans="2:12" ht="15">
      <c r="B30" s="1019"/>
      <c r="C30" s="956"/>
      <c r="D30" s="956"/>
      <c r="E30" s="956"/>
      <c r="F30" s="956"/>
      <c r="G30" s="956"/>
      <c r="H30" s="956"/>
      <c r="I30" s="956"/>
      <c r="J30" s="956"/>
      <c r="K30" s="956"/>
      <c r="L30" s="945"/>
    </row>
    <row r="31" spans="2:12" ht="15">
      <c r="B31" s="1019"/>
      <c r="C31" s="956"/>
      <c r="D31" s="956"/>
      <c r="E31" s="956"/>
      <c r="F31" s="956"/>
      <c r="G31" s="956"/>
      <c r="H31" s="956"/>
      <c r="I31" s="956"/>
      <c r="J31" s="956"/>
      <c r="K31" s="956"/>
      <c r="L31" s="945"/>
    </row>
    <row r="32" spans="2:12" ht="15">
      <c r="B32" s="1019"/>
      <c r="C32" s="956"/>
      <c r="D32" s="956"/>
      <c r="E32" s="956"/>
      <c r="F32" s="956"/>
      <c r="G32" s="956"/>
      <c r="H32" s="956"/>
      <c r="I32" s="956"/>
      <c r="J32" s="956"/>
      <c r="K32" s="956"/>
      <c r="L32" s="945"/>
    </row>
    <row r="33" spans="2:12" ht="15">
      <c r="B33" s="1019"/>
      <c r="C33" s="956"/>
      <c r="D33" s="956"/>
      <c r="E33" s="956"/>
      <c r="F33" s="956"/>
      <c r="G33" s="956"/>
      <c r="H33" s="956"/>
      <c r="I33" s="956"/>
      <c r="J33" s="956"/>
      <c r="K33" s="956"/>
      <c r="L33" s="945"/>
    </row>
    <row r="34" spans="2:12" ht="15">
      <c r="B34" s="1019"/>
      <c r="C34" s="956"/>
      <c r="D34" s="956"/>
      <c r="E34" s="956"/>
      <c r="F34" s="956"/>
      <c r="G34" s="956"/>
      <c r="H34" s="956"/>
      <c r="I34" s="956"/>
      <c r="J34" s="956"/>
      <c r="K34" s="956"/>
      <c r="L34" s="945"/>
    </row>
    <row r="35" spans="2:12" ht="15">
      <c r="B35" s="1019"/>
      <c r="C35" s="956"/>
      <c r="D35" s="956"/>
      <c r="E35" s="956"/>
      <c r="F35" s="956"/>
      <c r="G35" s="956"/>
      <c r="H35" s="956"/>
      <c r="I35" s="956"/>
      <c r="J35" s="956"/>
      <c r="K35" s="956"/>
      <c r="L35" s="945"/>
    </row>
    <row r="36" spans="2:12" ht="15">
      <c r="B36" s="1019"/>
      <c r="C36" s="956"/>
      <c r="D36" s="956"/>
      <c r="E36" s="956"/>
      <c r="F36" s="956"/>
      <c r="G36" s="956"/>
      <c r="H36" s="956"/>
      <c r="I36" s="956"/>
      <c r="J36" s="956"/>
      <c r="K36" s="956"/>
      <c r="L36" s="945"/>
    </row>
    <row r="37" spans="2:12" ht="15">
      <c r="B37" s="1019"/>
      <c r="C37" s="956"/>
      <c r="D37" s="956"/>
      <c r="E37" s="956"/>
      <c r="F37" s="956"/>
      <c r="G37" s="956"/>
      <c r="H37" s="956"/>
      <c r="I37" s="956"/>
      <c r="J37" s="956"/>
      <c r="K37" s="956"/>
      <c r="L37" s="945"/>
    </row>
    <row r="38" spans="2:12" ht="15">
      <c r="B38" s="1019"/>
      <c r="C38" s="956"/>
      <c r="D38" s="956"/>
      <c r="E38" s="956"/>
      <c r="F38" s="956"/>
      <c r="G38" s="956"/>
      <c r="H38" s="956"/>
      <c r="I38" s="956"/>
      <c r="J38" s="956"/>
      <c r="K38" s="956"/>
      <c r="L38" s="945"/>
    </row>
    <row r="39" spans="2:12" ht="15">
      <c r="B39" s="1019"/>
      <c r="C39" s="956"/>
      <c r="D39" s="956"/>
      <c r="E39" s="956"/>
      <c r="F39" s="956"/>
      <c r="G39" s="956"/>
      <c r="H39" s="956"/>
      <c r="I39" s="956"/>
      <c r="J39" s="956"/>
      <c r="K39" s="956"/>
      <c r="L39" s="945"/>
    </row>
    <row r="40" spans="2:12" ht="15">
      <c r="B40" s="1020"/>
      <c r="C40" s="943"/>
      <c r="D40" s="943"/>
      <c r="E40" s="943"/>
      <c r="F40" s="943"/>
      <c r="G40" s="943"/>
      <c r="H40" s="943"/>
      <c r="I40" s="943"/>
      <c r="J40" s="943"/>
      <c r="K40" s="943"/>
      <c r="L40" s="942"/>
    </row>
  </sheetData>
  <mergeCells count="2">
    <mergeCell ref="B5:B22"/>
    <mergeCell ref="B23:B4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U71"/>
  <sheetViews>
    <sheetView view="pageBreakPreview" zoomScaleNormal="75" zoomScaleSheetLayoutView="100" workbookViewId="0"/>
  </sheetViews>
  <sheetFormatPr defaultColWidth="17.85546875" defaultRowHeight="12.75"/>
  <cols>
    <col min="1" max="1" width="7.85546875" style="296" bestFit="1" customWidth="1"/>
    <col min="2" max="2" width="17.7109375" style="252" customWidth="1"/>
    <col min="3" max="3" width="11.28515625" style="252" bestFit="1" customWidth="1"/>
    <col min="4" max="4" width="8.7109375" style="252" customWidth="1"/>
    <col min="5" max="5" width="10.42578125" style="252" customWidth="1"/>
    <col min="6" max="6" width="22.42578125" style="252" customWidth="1"/>
    <col min="7" max="7" width="15.140625" style="252" customWidth="1"/>
    <col min="8" max="9" width="15.42578125" style="252" bestFit="1" customWidth="1"/>
    <col min="10" max="10" width="8.28515625" style="252" bestFit="1" customWidth="1"/>
    <col min="11" max="11" width="15.5703125" style="252" bestFit="1" customWidth="1"/>
    <col min="12" max="13" width="11.7109375" style="252" bestFit="1" customWidth="1"/>
    <col min="14" max="14" width="14" style="252" bestFit="1" customWidth="1"/>
    <col min="15" max="15" width="10.85546875" style="252" bestFit="1" customWidth="1"/>
    <col min="16" max="16" width="12" style="252" bestFit="1" customWidth="1"/>
    <col min="17" max="17" width="10.42578125" style="252" bestFit="1" customWidth="1"/>
    <col min="18" max="18" width="13.42578125" style="252" customWidth="1"/>
    <col min="19" max="19" width="15.140625" style="252" customWidth="1"/>
    <col min="20" max="20" width="26.5703125" style="252" customWidth="1"/>
    <col min="21" max="16384" width="17.85546875" style="252"/>
  </cols>
  <sheetData>
    <row r="1" spans="1:20" s="253" customFormat="1" ht="15.75">
      <c r="A1" s="418"/>
      <c r="H1" s="1029" t="s">
        <v>60</v>
      </c>
      <c r="I1" s="1029"/>
      <c r="J1" s="1029"/>
      <c r="K1" s="1029"/>
      <c r="L1" s="1029"/>
      <c r="M1" s="1029"/>
      <c r="N1" s="1029"/>
      <c r="O1" s="1029"/>
      <c r="P1" s="1029"/>
    </row>
    <row r="2" spans="1:20" s="253" customFormat="1" ht="15.75">
      <c r="A2" s="418"/>
      <c r="H2" s="1029" t="s">
        <v>1854</v>
      </c>
      <c r="I2" s="1029"/>
      <c r="J2" s="1029"/>
      <c r="K2" s="1029"/>
      <c r="L2" s="1029"/>
      <c r="M2" s="1029"/>
      <c r="N2" s="1029"/>
      <c r="O2" s="1029"/>
      <c r="P2" s="1029"/>
    </row>
    <row r="3" spans="1:20" s="253" customFormat="1" ht="15.75">
      <c r="A3" s="418"/>
      <c r="B3" s="419"/>
      <c r="H3" s="1029" t="s">
        <v>1382</v>
      </c>
      <c r="I3" s="1029"/>
      <c r="J3" s="1029"/>
      <c r="K3" s="1029"/>
      <c r="L3" s="1029"/>
      <c r="M3" s="1029"/>
      <c r="N3" s="1029"/>
      <c r="O3" s="1029"/>
      <c r="P3" s="1029"/>
    </row>
    <row r="4" spans="1:20" s="253" customFormat="1" ht="15.75">
      <c r="A4" s="418"/>
      <c r="H4" s="1029" t="s">
        <v>1103</v>
      </c>
      <c r="I4" s="1029"/>
      <c r="J4" s="1029"/>
      <c r="K4" s="1029"/>
      <c r="L4" s="1029"/>
      <c r="M4" s="1029"/>
      <c r="N4" s="1029"/>
      <c r="O4" s="1029"/>
      <c r="P4" s="1029"/>
    </row>
    <row r="5" spans="1:20" s="253" customFormat="1" ht="15.75">
      <c r="A5" s="418"/>
      <c r="B5" s="420"/>
      <c r="H5" s="1029" t="s">
        <v>1853</v>
      </c>
      <c r="I5" s="1029"/>
      <c r="J5" s="1029"/>
      <c r="K5" s="1029"/>
      <c r="L5" s="1029"/>
      <c r="M5" s="1029"/>
      <c r="N5" s="1029"/>
      <c r="O5" s="1029"/>
      <c r="P5" s="1029"/>
    </row>
    <row r="6" spans="1:20" s="418" customFormat="1" ht="15.75">
      <c r="B6" s="421" t="s">
        <v>799</v>
      </c>
      <c r="C6" s="418" t="s">
        <v>797</v>
      </c>
      <c r="D6" s="418" t="s">
        <v>798</v>
      </c>
      <c r="E6" s="418" t="s">
        <v>801</v>
      </c>
      <c r="F6" s="418" t="s">
        <v>802</v>
      </c>
      <c r="G6" s="418" t="s">
        <v>803</v>
      </c>
      <c r="H6" s="297" t="s">
        <v>804</v>
      </c>
      <c r="I6" s="297" t="s">
        <v>805</v>
      </c>
      <c r="J6" s="297" t="s">
        <v>806</v>
      </c>
      <c r="K6" s="297" t="s">
        <v>807</v>
      </c>
      <c r="L6" s="297" t="s">
        <v>808</v>
      </c>
      <c r="M6" s="297" t="s">
        <v>809</v>
      </c>
      <c r="N6" s="297" t="s">
        <v>810</v>
      </c>
      <c r="O6" s="297" t="s">
        <v>811</v>
      </c>
      <c r="P6" s="297" t="s">
        <v>812</v>
      </c>
      <c r="Q6" s="418" t="s">
        <v>1016</v>
      </c>
      <c r="R6" s="418" t="s">
        <v>1017</v>
      </c>
      <c r="S6" s="418" t="s">
        <v>1018</v>
      </c>
      <c r="T6" s="418" t="s">
        <v>1019</v>
      </c>
    </row>
    <row r="7" spans="1:20" s="253" customFormat="1" ht="15.75" thickBot="1">
      <c r="A7" s="418"/>
      <c r="B7" s="420" t="s">
        <v>1971</v>
      </c>
    </row>
    <row r="8" spans="1:20" s="253" customFormat="1">
      <c r="A8" s="418" t="s">
        <v>660</v>
      </c>
      <c r="B8" s="289"/>
      <c r="C8" s="288"/>
      <c r="D8" s="288"/>
      <c r="E8" s="287"/>
      <c r="F8" s="288"/>
      <c r="G8" s="288"/>
      <c r="H8" s="291"/>
      <c r="I8" s="291"/>
      <c r="J8" s="290"/>
      <c r="K8" s="289"/>
      <c r="L8" s="288"/>
      <c r="M8" s="288"/>
      <c r="N8" s="287"/>
      <c r="O8" s="289"/>
      <c r="P8" s="288"/>
      <c r="Q8" s="287"/>
      <c r="R8" s="289"/>
      <c r="S8" s="288"/>
      <c r="T8" s="287"/>
    </row>
    <row r="9" spans="1:20" s="253" customFormat="1">
      <c r="A9" s="418">
        <v>1</v>
      </c>
      <c r="B9" s="285" t="s">
        <v>60</v>
      </c>
      <c r="C9" s="282"/>
      <c r="D9" s="282"/>
      <c r="E9" s="281"/>
      <c r="F9" s="286" t="s">
        <v>60</v>
      </c>
      <c r="G9" s="282"/>
      <c r="H9" s="284"/>
      <c r="I9" s="284"/>
      <c r="J9" s="283"/>
      <c r="K9" s="285" t="s">
        <v>60</v>
      </c>
      <c r="L9" s="282"/>
      <c r="M9" s="282"/>
      <c r="N9" s="281"/>
      <c r="O9" s="285" t="s">
        <v>60</v>
      </c>
      <c r="P9" s="282"/>
      <c r="Q9" s="281"/>
      <c r="R9" s="285" t="s">
        <v>60</v>
      </c>
      <c r="S9" s="282"/>
      <c r="T9" s="281"/>
    </row>
    <row r="10" spans="1:20" s="253" customFormat="1" ht="14.25">
      <c r="A10" s="418">
        <v>2</v>
      </c>
      <c r="B10" s="285" t="s">
        <v>1090</v>
      </c>
      <c r="C10" s="282"/>
      <c r="D10" s="282"/>
      <c r="E10" s="281"/>
      <c r="F10" s="286" t="s">
        <v>1089</v>
      </c>
      <c r="G10" s="282"/>
      <c r="H10" s="284"/>
      <c r="I10" s="284"/>
      <c r="J10" s="283"/>
      <c r="K10" s="285" t="s">
        <v>1088</v>
      </c>
      <c r="L10" s="282"/>
      <c r="M10" s="282"/>
      <c r="N10" s="281"/>
      <c r="O10" s="285" t="s">
        <v>1087</v>
      </c>
      <c r="P10" s="282"/>
      <c r="Q10" s="281"/>
      <c r="R10" s="285" t="s">
        <v>115</v>
      </c>
      <c r="S10" s="282"/>
      <c r="T10" s="281"/>
    </row>
    <row r="11" spans="1:20" s="253" customFormat="1">
      <c r="A11" s="418">
        <v>3</v>
      </c>
      <c r="B11" s="422">
        <v>2018</v>
      </c>
      <c r="C11" s="282"/>
      <c r="D11" s="282"/>
      <c r="E11" s="281"/>
      <c r="F11" s="423">
        <f>+B11</f>
        <v>2018</v>
      </c>
      <c r="G11" s="282"/>
      <c r="H11" s="284"/>
      <c r="I11" s="284"/>
      <c r="J11" s="283"/>
      <c r="K11" s="424">
        <f>+B11</f>
        <v>2018</v>
      </c>
      <c r="L11" s="282"/>
      <c r="M11" s="282"/>
      <c r="N11" s="281"/>
      <c r="O11" s="424">
        <f>B11</f>
        <v>2018</v>
      </c>
      <c r="P11" s="282"/>
      <c r="Q11" s="281"/>
      <c r="R11" s="424">
        <f>B11</f>
        <v>2018</v>
      </c>
      <c r="S11" s="282"/>
      <c r="T11" s="281"/>
    </row>
    <row r="12" spans="1:20" s="253" customFormat="1">
      <c r="A12" s="418"/>
      <c r="B12" s="262"/>
      <c r="C12" s="261"/>
      <c r="D12" s="261"/>
      <c r="E12" s="260"/>
      <c r="F12" s="261"/>
      <c r="G12" s="261"/>
      <c r="H12" s="267"/>
      <c r="I12" s="267"/>
      <c r="J12" s="266"/>
      <c r="K12" s="262"/>
      <c r="L12" s="261"/>
      <c r="M12" s="261"/>
      <c r="N12" s="260"/>
      <c r="O12" s="262"/>
      <c r="P12" s="261"/>
      <c r="Q12" s="260"/>
      <c r="R12" s="262"/>
      <c r="S12" s="261"/>
      <c r="T12" s="260"/>
    </row>
    <row r="13" spans="1:20" s="253" customFormat="1">
      <c r="A13" s="418">
        <v>4</v>
      </c>
      <c r="B13" s="262"/>
      <c r="C13" s="261"/>
      <c r="D13" s="261"/>
      <c r="E13" s="260"/>
      <c r="F13" s="263" t="s">
        <v>1086</v>
      </c>
      <c r="G13" s="261"/>
      <c r="H13" s="279" t="s">
        <v>370</v>
      </c>
      <c r="I13" s="279" t="s">
        <v>732</v>
      </c>
      <c r="J13" s="266"/>
      <c r="K13" s="262"/>
      <c r="L13" s="261"/>
      <c r="M13" s="261"/>
      <c r="N13" s="260"/>
      <c r="O13" s="262"/>
      <c r="P13" s="261"/>
      <c r="Q13" s="260"/>
      <c r="R13" s="262"/>
      <c r="S13" s="261"/>
      <c r="T13" s="260"/>
    </row>
    <row r="14" spans="1:20" s="253" customFormat="1">
      <c r="A14" s="418">
        <v>5</v>
      </c>
      <c r="B14" s="262"/>
      <c r="C14" s="273" t="s">
        <v>370</v>
      </c>
      <c r="D14" s="273" t="s">
        <v>732</v>
      </c>
      <c r="E14" s="272" t="s">
        <v>58</v>
      </c>
      <c r="F14" s="261"/>
      <c r="G14" s="280"/>
      <c r="H14" s="279" t="s">
        <v>753</v>
      </c>
      <c r="I14" s="279" t="s">
        <v>753</v>
      </c>
      <c r="J14" s="266"/>
      <c r="K14" s="262"/>
      <c r="L14" s="261"/>
      <c r="M14" s="261"/>
      <c r="N14" s="260"/>
      <c r="O14" s="262"/>
      <c r="P14" s="275" t="s">
        <v>1085</v>
      </c>
      <c r="Q14" s="276"/>
      <c r="R14" s="269" t="s">
        <v>1084</v>
      </c>
      <c r="S14" s="261"/>
      <c r="T14" s="260"/>
    </row>
    <row r="15" spans="1:20" s="253" customFormat="1">
      <c r="A15" s="418">
        <v>6</v>
      </c>
      <c r="B15" s="262"/>
      <c r="C15" s="265"/>
      <c r="D15" s="265"/>
      <c r="E15" s="264"/>
      <c r="F15" s="261"/>
      <c r="G15" s="273" t="s">
        <v>1083</v>
      </c>
      <c r="H15" s="278" t="s">
        <v>1082</v>
      </c>
      <c r="I15" s="278" t="s">
        <v>1082</v>
      </c>
      <c r="J15" s="266"/>
      <c r="K15" s="262"/>
      <c r="L15" s="275" t="s">
        <v>370</v>
      </c>
      <c r="M15" s="275" t="s">
        <v>732</v>
      </c>
      <c r="N15" s="276"/>
      <c r="O15" s="262"/>
      <c r="P15" s="273" t="s">
        <v>1081</v>
      </c>
      <c r="Q15" s="272" t="s">
        <v>1074</v>
      </c>
      <c r="R15" s="262"/>
      <c r="S15" s="261"/>
      <c r="T15" s="260"/>
    </row>
    <row r="16" spans="1:20" s="253" customFormat="1">
      <c r="A16" s="418">
        <v>7</v>
      </c>
      <c r="B16" s="269" t="s">
        <v>1080</v>
      </c>
      <c r="C16" s="425">
        <f>Q17</f>
        <v>0.74299999999999999</v>
      </c>
      <c r="D16" s="425">
        <f>E16-C16</f>
        <v>0.25700000000000001</v>
      </c>
      <c r="E16" s="426">
        <v>1</v>
      </c>
      <c r="F16" s="261"/>
      <c r="G16" s="265"/>
      <c r="H16" s="268"/>
      <c r="I16" s="268"/>
      <c r="J16" s="266"/>
      <c r="K16" s="262"/>
      <c r="L16" s="273" t="s">
        <v>1079</v>
      </c>
      <c r="M16" s="273" t="s">
        <v>1079</v>
      </c>
      <c r="N16" s="272" t="s">
        <v>58</v>
      </c>
      <c r="O16" s="262"/>
      <c r="P16" s="265"/>
      <c r="Q16" s="264"/>
      <c r="R16" s="262"/>
      <c r="S16" s="261"/>
      <c r="T16" s="260"/>
    </row>
    <row r="17" spans="1:21" s="253" customFormat="1">
      <c r="A17" s="418">
        <v>8</v>
      </c>
      <c r="B17" s="269" t="s">
        <v>1078</v>
      </c>
      <c r="C17" s="425">
        <f>H39</f>
        <v>0.73719999999999997</v>
      </c>
      <c r="D17" s="425">
        <f>E17-C17</f>
        <v>0.26280000000000003</v>
      </c>
      <c r="E17" s="426">
        <v>1</v>
      </c>
      <c r="F17" s="261"/>
      <c r="G17" s="427">
        <v>43100</v>
      </c>
      <c r="H17" s="428">
        <v>172</v>
      </c>
      <c r="I17" s="428">
        <v>62</v>
      </c>
      <c r="J17" s="266"/>
      <c r="K17" s="262"/>
      <c r="L17" s="265"/>
      <c r="M17" s="265"/>
      <c r="N17" s="264"/>
      <c r="O17" s="269" t="s">
        <v>370</v>
      </c>
      <c r="P17" s="428">
        <f>+P62</f>
        <v>214995.91666666666</v>
      </c>
      <c r="Q17" s="426">
        <f>ROUND(P17/P21,4)</f>
        <v>0.74299999999999999</v>
      </c>
      <c r="R17" s="262"/>
      <c r="S17" s="277">
        <f>R11</f>
        <v>2018</v>
      </c>
      <c r="T17" s="276"/>
    </row>
    <row r="18" spans="1:21" s="253" customFormat="1">
      <c r="A18" s="418">
        <v>9</v>
      </c>
      <c r="B18" s="269" t="s">
        <v>1077</v>
      </c>
      <c r="C18" s="429">
        <f>L25</f>
        <v>0.77490000000000003</v>
      </c>
      <c r="D18" s="429">
        <f>E18-C18</f>
        <v>0.22509999999999997</v>
      </c>
      <c r="E18" s="430">
        <v>1</v>
      </c>
      <c r="F18" s="261"/>
      <c r="G18" s="427">
        <v>43130</v>
      </c>
      <c r="H18" s="428">
        <v>173</v>
      </c>
      <c r="I18" s="428">
        <v>62</v>
      </c>
      <c r="J18" s="266"/>
      <c r="K18" s="269" t="s">
        <v>1076</v>
      </c>
      <c r="L18" s="253">
        <v>780275999</v>
      </c>
      <c r="M18" s="253">
        <v>226716210</v>
      </c>
      <c r="N18" s="431">
        <f>SUM(L18:M18)</f>
        <v>1006992209</v>
      </c>
      <c r="O18" s="269" t="s">
        <v>732</v>
      </c>
      <c r="P18" s="432">
        <f>+Q62</f>
        <v>74376.666666666672</v>
      </c>
      <c r="Q18" s="430">
        <f>Q21-Q17</f>
        <v>0.25700000000000001</v>
      </c>
      <c r="R18" s="262"/>
      <c r="S18" s="275" t="s">
        <v>1053</v>
      </c>
      <c r="T18" s="274" t="s">
        <v>719</v>
      </c>
    </row>
    <row r="19" spans="1:21" s="253" customFormat="1">
      <c r="A19" s="418">
        <v>10</v>
      </c>
      <c r="B19" s="262"/>
      <c r="C19" s="265"/>
      <c r="D19" s="265"/>
      <c r="E19" s="264"/>
      <c r="F19" s="261"/>
      <c r="G19" s="427">
        <v>43158</v>
      </c>
      <c r="H19" s="428">
        <v>173</v>
      </c>
      <c r="I19" s="428">
        <v>60</v>
      </c>
      <c r="J19" s="266"/>
      <c r="K19" s="262"/>
      <c r="L19" s="267"/>
      <c r="M19" s="267"/>
      <c r="N19" s="266"/>
      <c r="O19" s="262"/>
      <c r="P19" s="268"/>
      <c r="Q19" s="264"/>
      <c r="R19" s="262"/>
      <c r="S19" s="273" t="s">
        <v>41</v>
      </c>
      <c r="T19" s="272" t="s">
        <v>1075</v>
      </c>
    </row>
    <row r="20" spans="1:21">
      <c r="A20" s="296">
        <v>11</v>
      </c>
      <c r="B20" s="262"/>
      <c r="C20" s="261"/>
      <c r="D20" s="261"/>
      <c r="E20" s="260"/>
      <c r="F20" s="261"/>
      <c r="G20" s="427">
        <v>43188</v>
      </c>
      <c r="H20" s="428">
        <v>173</v>
      </c>
      <c r="I20" s="428">
        <v>60</v>
      </c>
      <c r="J20" s="266"/>
      <c r="K20" s="262"/>
      <c r="L20" s="268"/>
      <c r="M20" s="268"/>
      <c r="N20" s="433"/>
      <c r="O20" s="262"/>
      <c r="P20" s="267"/>
      <c r="Q20" s="260"/>
      <c r="R20" s="262"/>
      <c r="S20" s="268"/>
      <c r="T20" s="274"/>
    </row>
    <row r="21" spans="1:21">
      <c r="A21" s="296">
        <v>12</v>
      </c>
      <c r="B21" s="269" t="s">
        <v>113</v>
      </c>
      <c r="C21" s="429">
        <f>ROUND(AVERAGE(C16:C18),4)</f>
        <v>0.75170000000000003</v>
      </c>
      <c r="D21" s="429">
        <f>AVERAGE(D16:D18)</f>
        <v>0.24829999999999999</v>
      </c>
      <c r="E21" s="430">
        <f>AVERAGE(E16:E18)</f>
        <v>1</v>
      </c>
      <c r="F21" s="261"/>
      <c r="G21" s="427">
        <v>43218</v>
      </c>
      <c r="H21" s="428">
        <v>172</v>
      </c>
      <c r="I21" s="428">
        <v>60</v>
      </c>
      <c r="J21" s="266"/>
      <c r="K21" s="262"/>
      <c r="L21" s="267"/>
      <c r="M21" s="267"/>
      <c r="N21" s="266"/>
      <c r="O21" s="269" t="s">
        <v>58</v>
      </c>
      <c r="P21" s="434">
        <f>SUM(P16:P19)</f>
        <v>289372.58333333331</v>
      </c>
      <c r="Q21" s="430">
        <v>1</v>
      </c>
      <c r="R21" s="269" t="s">
        <v>370</v>
      </c>
      <c r="S21" s="428">
        <v>302980258</v>
      </c>
      <c r="T21" s="274">
        <f>ROUND(S21/S25,4)</f>
        <v>0.75539999999999996</v>
      </c>
      <c r="U21" s="271"/>
    </row>
    <row r="22" spans="1:21">
      <c r="A22" s="296">
        <v>13</v>
      </c>
      <c r="B22" s="262"/>
      <c r="C22" s="265"/>
      <c r="D22" s="265"/>
      <c r="E22" s="264"/>
      <c r="F22" s="261"/>
      <c r="G22" s="427">
        <v>43248</v>
      </c>
      <c r="H22" s="428">
        <v>172</v>
      </c>
      <c r="I22" s="428">
        <v>59</v>
      </c>
      <c r="J22" s="266"/>
      <c r="K22" s="262"/>
      <c r="L22" s="265"/>
      <c r="M22" s="265"/>
      <c r="N22" s="264"/>
      <c r="O22" s="262"/>
      <c r="P22" s="268"/>
      <c r="Q22" s="264"/>
      <c r="R22" s="269" t="s">
        <v>732</v>
      </c>
      <c r="S22" s="428">
        <v>98079245</v>
      </c>
      <c r="T22" s="272">
        <f>T25-T21</f>
        <v>0.24460000000000004</v>
      </c>
      <c r="U22" s="271"/>
    </row>
    <row r="23" spans="1:21">
      <c r="A23" s="296">
        <v>14</v>
      </c>
      <c r="B23" s="262"/>
      <c r="C23" s="435"/>
      <c r="D23" s="261"/>
      <c r="E23" s="260"/>
      <c r="F23" s="261"/>
      <c r="G23" s="427">
        <v>43278</v>
      </c>
      <c r="H23" s="428">
        <v>179</v>
      </c>
      <c r="I23" s="428">
        <v>62</v>
      </c>
      <c r="J23" s="266"/>
      <c r="K23" s="262"/>
      <c r="L23" s="261"/>
      <c r="M23" s="261"/>
      <c r="N23" s="260"/>
      <c r="O23" s="262"/>
      <c r="P23" s="261"/>
      <c r="Q23" s="260"/>
      <c r="R23" s="262"/>
      <c r="S23" s="268"/>
      <c r="T23" s="274"/>
    </row>
    <row r="24" spans="1:21">
      <c r="A24" s="296">
        <v>15</v>
      </c>
      <c r="B24" s="262"/>
      <c r="C24" s="261"/>
      <c r="D24" s="261"/>
      <c r="E24" s="260"/>
      <c r="F24" s="261"/>
      <c r="G24" s="427">
        <v>43308</v>
      </c>
      <c r="H24" s="428">
        <v>179</v>
      </c>
      <c r="I24" s="428">
        <v>63</v>
      </c>
      <c r="J24" s="266"/>
      <c r="K24" s="262"/>
      <c r="L24" s="261"/>
      <c r="M24" s="261"/>
      <c r="N24" s="260"/>
      <c r="O24" s="262"/>
      <c r="P24" s="261"/>
      <c r="Q24" s="260"/>
      <c r="R24" s="262"/>
      <c r="S24" s="267"/>
      <c r="T24" s="276"/>
    </row>
    <row r="25" spans="1:21">
      <c r="A25" s="296">
        <v>16</v>
      </c>
      <c r="B25" s="262"/>
      <c r="C25" s="261"/>
      <c r="D25" s="261"/>
      <c r="E25" s="260"/>
      <c r="F25" s="261"/>
      <c r="G25" s="427">
        <v>43338</v>
      </c>
      <c r="H25" s="428">
        <v>177</v>
      </c>
      <c r="I25" s="428">
        <v>63</v>
      </c>
      <c r="J25" s="266"/>
      <c r="K25" s="269" t="s">
        <v>1074</v>
      </c>
      <c r="L25" s="429">
        <f>ROUND(L18/N18,4)</f>
        <v>0.77490000000000003</v>
      </c>
      <c r="M25" s="429">
        <f>N25-L25</f>
        <v>0.22509999999999997</v>
      </c>
      <c r="N25" s="430">
        <v>1</v>
      </c>
      <c r="O25" s="262"/>
      <c r="P25" s="261"/>
      <c r="Q25" s="260"/>
      <c r="R25" s="262"/>
      <c r="S25" s="434">
        <f>SUM(S20:S23)</f>
        <v>401059503</v>
      </c>
      <c r="T25" s="272">
        <v>1</v>
      </c>
    </row>
    <row r="26" spans="1:21">
      <c r="A26" s="296">
        <v>17</v>
      </c>
      <c r="B26" s="262"/>
      <c r="C26" s="261"/>
      <c r="D26" s="261"/>
      <c r="E26" s="260"/>
      <c r="F26" s="261"/>
      <c r="G26" s="427">
        <v>43368</v>
      </c>
      <c r="H26" s="428">
        <v>169</v>
      </c>
      <c r="I26" s="428">
        <v>63</v>
      </c>
      <c r="J26" s="266"/>
      <c r="K26" s="262"/>
      <c r="L26" s="265"/>
      <c r="M26" s="265"/>
      <c r="N26" s="264"/>
      <c r="O26" s="262"/>
      <c r="P26" s="261"/>
      <c r="Q26" s="260"/>
      <c r="R26" s="262"/>
      <c r="S26" s="268"/>
      <c r="T26" s="264"/>
    </row>
    <row r="27" spans="1:21">
      <c r="A27" s="296">
        <v>18</v>
      </c>
      <c r="B27" s="262"/>
      <c r="C27" s="261"/>
      <c r="D27" s="261"/>
      <c r="E27" s="260"/>
      <c r="F27" s="261"/>
      <c r="G27" s="427">
        <v>43398</v>
      </c>
      <c r="H27" s="428">
        <v>170</v>
      </c>
      <c r="I27" s="428">
        <v>63</v>
      </c>
      <c r="J27" s="266"/>
      <c r="K27" s="262"/>
      <c r="L27" s="261"/>
      <c r="M27" s="261"/>
      <c r="N27" s="260"/>
      <c r="O27" s="262"/>
      <c r="P27" s="261"/>
      <c r="Q27" s="260"/>
      <c r="R27" s="262"/>
      <c r="S27" s="267"/>
      <c r="T27" s="260"/>
    </row>
    <row r="28" spans="1:21">
      <c r="A28" s="296">
        <v>19</v>
      </c>
      <c r="B28" s="262"/>
      <c r="C28" s="261"/>
      <c r="D28" s="261"/>
      <c r="E28" s="260"/>
      <c r="F28" s="261"/>
      <c r="G28" s="427">
        <v>43428</v>
      </c>
      <c r="H28" s="428">
        <v>176</v>
      </c>
      <c r="I28" s="428">
        <v>65</v>
      </c>
      <c r="J28" s="266"/>
      <c r="K28" s="262"/>
      <c r="L28" s="270"/>
      <c r="M28" s="270"/>
      <c r="N28" s="260"/>
      <c r="O28" s="262"/>
      <c r="P28" s="261"/>
      <c r="Q28" s="260"/>
      <c r="R28" s="262"/>
      <c r="S28" s="261"/>
      <c r="T28" s="260"/>
    </row>
    <row r="29" spans="1:21">
      <c r="A29" s="296">
        <v>20</v>
      </c>
      <c r="B29" s="269" t="s">
        <v>115</v>
      </c>
      <c r="C29" s="429">
        <f>T21</f>
        <v>0.75539999999999996</v>
      </c>
      <c r="D29" s="429">
        <f>E29-C29</f>
        <v>0.24460000000000004</v>
      </c>
      <c r="E29" s="430">
        <v>1</v>
      </c>
      <c r="F29" s="261"/>
      <c r="G29" s="427">
        <v>43458</v>
      </c>
      <c r="H29" s="432">
        <v>174</v>
      </c>
      <c r="I29" s="432">
        <v>65</v>
      </c>
      <c r="J29" s="266"/>
      <c r="K29" s="269"/>
      <c r="L29" s="261"/>
      <c r="M29" s="261"/>
      <c r="N29" s="260"/>
      <c r="O29" s="262"/>
      <c r="P29" s="261"/>
      <c r="Q29" s="260"/>
      <c r="R29" s="262"/>
      <c r="S29" s="261"/>
      <c r="T29" s="260"/>
    </row>
    <row r="30" spans="1:21">
      <c r="A30" s="296">
        <v>21</v>
      </c>
      <c r="B30" s="262"/>
      <c r="C30" s="265"/>
      <c r="D30" s="265"/>
      <c r="E30" s="264"/>
      <c r="F30" s="261"/>
      <c r="G30" s="261"/>
      <c r="H30" s="268"/>
      <c r="I30" s="268" t="s">
        <v>56</v>
      </c>
      <c r="J30" s="266"/>
      <c r="K30" s="262"/>
      <c r="L30" s="261"/>
      <c r="M30" s="261"/>
      <c r="N30" s="260"/>
      <c r="O30" s="262"/>
      <c r="P30" s="261"/>
      <c r="Q30" s="260"/>
      <c r="R30" s="262"/>
      <c r="S30" s="261"/>
      <c r="T30" s="260"/>
    </row>
    <row r="31" spans="1:21">
      <c r="A31" s="296">
        <v>22</v>
      </c>
      <c r="B31" s="262"/>
      <c r="C31" s="261"/>
      <c r="D31" s="261"/>
      <c r="E31" s="260"/>
      <c r="F31" s="261"/>
      <c r="G31" s="261"/>
      <c r="H31" s="267"/>
      <c r="I31" s="267"/>
      <c r="J31" s="266"/>
      <c r="K31" s="262"/>
      <c r="L31" s="261"/>
      <c r="M31" s="261"/>
      <c r="N31" s="260"/>
      <c r="O31" s="262"/>
      <c r="P31" s="261"/>
      <c r="Q31" s="260"/>
      <c r="R31" s="262"/>
      <c r="S31" s="261"/>
      <c r="T31" s="260"/>
    </row>
    <row r="32" spans="1:21">
      <c r="A32" s="296">
        <v>23</v>
      </c>
      <c r="B32" s="262"/>
      <c r="C32" s="261"/>
      <c r="D32" s="261"/>
      <c r="E32" s="260"/>
      <c r="F32" s="261"/>
      <c r="G32" s="261"/>
      <c r="H32" s="436">
        <f>SUM(H16:H30)</f>
        <v>2259</v>
      </c>
      <c r="I32" s="436">
        <f>SUM(I16:I30)</f>
        <v>807</v>
      </c>
      <c r="J32" s="266"/>
      <c r="K32" s="262"/>
      <c r="L32" s="261"/>
      <c r="M32" s="261"/>
      <c r="N32" s="260"/>
      <c r="O32" s="262"/>
      <c r="P32" s="261"/>
      <c r="Q32" s="260"/>
      <c r="R32" s="262"/>
      <c r="S32" s="261"/>
      <c r="T32" s="260"/>
    </row>
    <row r="33" spans="1:20">
      <c r="A33" s="296">
        <v>24</v>
      </c>
      <c r="B33" s="262"/>
      <c r="C33" s="261"/>
      <c r="D33" s="261"/>
      <c r="E33" s="260"/>
      <c r="F33" s="261"/>
      <c r="G33" s="261"/>
      <c r="H33" s="267" t="s">
        <v>56</v>
      </c>
      <c r="I33" s="267" t="s">
        <v>56</v>
      </c>
      <c r="J33" s="266"/>
      <c r="K33" s="262"/>
      <c r="L33" s="261"/>
      <c r="M33" s="261"/>
      <c r="N33" s="260"/>
      <c r="O33" s="262"/>
      <c r="P33" s="261"/>
      <c r="Q33" s="260"/>
      <c r="R33" s="262"/>
      <c r="S33" s="261"/>
      <c r="T33" s="260"/>
    </row>
    <row r="34" spans="1:20">
      <c r="A34" s="296">
        <v>25</v>
      </c>
      <c r="B34" s="269"/>
      <c r="C34" s="437"/>
      <c r="D34" s="425"/>
      <c r="E34" s="426"/>
      <c r="F34" s="261"/>
      <c r="G34" s="261"/>
      <c r="H34" s="267"/>
      <c r="I34" s="267" t="s">
        <v>56</v>
      </c>
      <c r="J34" s="266"/>
      <c r="K34" s="262"/>
      <c r="L34" s="253"/>
      <c r="M34" s="261"/>
      <c r="N34" s="260"/>
      <c r="O34" s="262"/>
      <c r="P34" s="261"/>
      <c r="Q34" s="260"/>
      <c r="R34" s="262"/>
      <c r="S34" s="261"/>
      <c r="T34" s="260"/>
    </row>
    <row r="35" spans="1:20">
      <c r="A35" s="296">
        <v>26</v>
      </c>
      <c r="B35" s="262"/>
      <c r="C35" s="265"/>
      <c r="D35" s="265"/>
      <c r="E35" s="264"/>
      <c r="F35" s="263" t="s">
        <v>1073</v>
      </c>
      <c r="G35" s="261"/>
      <c r="H35" s="434">
        <f>ROUND((SUM(H18:H28)*2+H17+H29)/24,2)</f>
        <v>173.83</v>
      </c>
      <c r="I35" s="434">
        <f>ROUND((SUM(I18:I28)*2+I17+I29)/24,2)</f>
        <v>61.96</v>
      </c>
      <c r="J35" s="438">
        <f>H35+I35</f>
        <v>235.79000000000002</v>
      </c>
      <c r="K35" s="262"/>
      <c r="L35" s="261"/>
      <c r="M35" s="261"/>
      <c r="N35" s="260"/>
      <c r="O35" s="262"/>
      <c r="P35" s="261"/>
      <c r="Q35" s="260"/>
      <c r="R35" s="262"/>
      <c r="S35" s="261"/>
      <c r="T35" s="260"/>
    </row>
    <row r="36" spans="1:20">
      <c r="A36" s="296">
        <v>27</v>
      </c>
      <c r="B36" s="262"/>
      <c r="C36" s="261"/>
      <c r="D36" s="261"/>
      <c r="E36" s="260"/>
      <c r="F36" s="261"/>
      <c r="G36" s="261"/>
      <c r="H36" s="265"/>
      <c r="I36" s="265" t="s">
        <v>56</v>
      </c>
      <c r="J36" s="264"/>
      <c r="K36" s="262"/>
      <c r="L36" s="261"/>
      <c r="M36" s="261"/>
      <c r="N36" s="260"/>
      <c r="O36" s="262"/>
      <c r="P36" s="261"/>
      <c r="Q36" s="260"/>
      <c r="R36" s="262"/>
      <c r="S36" s="261"/>
      <c r="T36" s="260"/>
    </row>
    <row r="37" spans="1:20">
      <c r="A37" s="296">
        <v>28</v>
      </c>
      <c r="B37" s="262"/>
      <c r="C37" s="261"/>
      <c r="D37" s="261"/>
      <c r="E37" s="260"/>
      <c r="F37" s="261"/>
      <c r="G37" s="261"/>
      <c r="H37" s="261"/>
      <c r="I37" s="261"/>
      <c r="J37" s="260"/>
      <c r="K37" s="262"/>
      <c r="L37" s="261"/>
      <c r="M37" s="261"/>
      <c r="N37" s="260"/>
      <c r="O37" s="262"/>
      <c r="P37" s="261"/>
      <c r="Q37" s="260"/>
      <c r="R37" s="262"/>
      <c r="S37" s="261"/>
      <c r="T37" s="260"/>
    </row>
    <row r="38" spans="1:20">
      <c r="A38" s="296">
        <v>29</v>
      </c>
      <c r="B38" s="262"/>
      <c r="C38" s="261"/>
      <c r="D38" s="261"/>
      <c r="E38" s="260"/>
      <c r="F38" s="261"/>
      <c r="G38" s="261"/>
      <c r="H38" s="261"/>
      <c r="I38" s="261"/>
      <c r="J38" s="260"/>
      <c r="K38" s="262"/>
      <c r="L38" s="261"/>
      <c r="M38" s="261"/>
      <c r="N38" s="260"/>
      <c r="O38" s="262"/>
      <c r="P38" s="261"/>
      <c r="Q38" s="260"/>
      <c r="R38" s="262"/>
      <c r="S38" s="261"/>
      <c r="T38" s="260"/>
    </row>
    <row r="39" spans="1:20">
      <c r="A39" s="296">
        <v>30</v>
      </c>
      <c r="B39" s="262"/>
      <c r="C39" s="261"/>
      <c r="D39" s="261"/>
      <c r="E39" s="260"/>
      <c r="F39" s="261"/>
      <c r="G39" s="263" t="s">
        <v>1072</v>
      </c>
      <c r="H39" s="429">
        <f>ROUND(H35/J35,4)</f>
        <v>0.73719999999999997</v>
      </c>
      <c r="I39" s="429">
        <f>J39-H39</f>
        <v>0.26280000000000003</v>
      </c>
      <c r="J39" s="430">
        <v>1</v>
      </c>
      <c r="K39" s="262"/>
      <c r="L39" s="261"/>
      <c r="M39" s="261"/>
      <c r="N39" s="260"/>
      <c r="O39" s="262"/>
      <c r="P39" s="261"/>
      <c r="Q39" s="260"/>
      <c r="R39" s="262"/>
      <c r="S39" s="261"/>
      <c r="T39" s="260"/>
    </row>
    <row r="40" spans="1:20">
      <c r="A40" s="296">
        <v>31</v>
      </c>
      <c r="B40" s="262"/>
      <c r="C40" s="261"/>
      <c r="D40" s="261"/>
      <c r="E40" s="260"/>
      <c r="F40" s="261"/>
      <c r="G40" s="261"/>
      <c r="H40" s="265"/>
      <c r="I40" s="265"/>
      <c r="J40" s="264"/>
      <c r="K40" s="262"/>
      <c r="L40" s="261"/>
      <c r="M40" s="261"/>
      <c r="N40" s="260"/>
      <c r="O40" s="262"/>
      <c r="P40" s="261"/>
      <c r="Q40" s="260"/>
      <c r="R40" s="262"/>
      <c r="S40" s="261"/>
      <c r="T40" s="260"/>
    </row>
    <row r="41" spans="1:20">
      <c r="A41" s="296">
        <v>32</v>
      </c>
      <c r="B41" s="262"/>
      <c r="C41" s="261"/>
      <c r="D41" s="261"/>
      <c r="E41" s="260"/>
      <c r="F41" s="261"/>
      <c r="G41" s="261"/>
      <c r="H41" s="261"/>
      <c r="I41" s="261"/>
      <c r="J41" s="260"/>
      <c r="K41" s="262"/>
      <c r="L41" s="261"/>
      <c r="M41" s="261"/>
      <c r="N41" s="260"/>
      <c r="O41" s="262"/>
      <c r="P41" s="261"/>
      <c r="Q41" s="260"/>
      <c r="R41" s="262"/>
      <c r="S41" s="261"/>
      <c r="T41" s="260"/>
    </row>
    <row r="42" spans="1:20">
      <c r="A42" s="296">
        <v>33</v>
      </c>
      <c r="B42" s="262"/>
      <c r="C42" s="261"/>
      <c r="D42" s="261"/>
      <c r="E42" s="260"/>
      <c r="F42" s="261"/>
      <c r="G42" s="261"/>
      <c r="H42" s="261"/>
      <c r="I42" s="261"/>
      <c r="J42" s="260"/>
      <c r="K42" s="262"/>
      <c r="L42" s="261"/>
      <c r="M42" s="261"/>
      <c r="N42" s="260"/>
      <c r="O42" s="262"/>
      <c r="P42" s="261"/>
      <c r="Q42" s="260"/>
      <c r="R42" s="262"/>
      <c r="S42" s="261"/>
      <c r="T42" s="260"/>
    </row>
    <row r="43" spans="1:20">
      <c r="A43" s="296">
        <v>34</v>
      </c>
      <c r="B43" s="262"/>
      <c r="C43" s="261"/>
      <c r="D43" s="261"/>
      <c r="E43" s="260"/>
      <c r="F43" s="263" t="s">
        <v>1071</v>
      </c>
      <c r="G43" s="261"/>
      <c r="H43" s="261"/>
      <c r="I43" s="261"/>
      <c r="J43" s="260"/>
      <c r="K43" s="262"/>
      <c r="L43" s="261"/>
      <c r="M43" s="261"/>
      <c r="N43" s="260"/>
      <c r="O43" s="262"/>
      <c r="P43" s="261"/>
      <c r="Q43" s="260"/>
      <c r="R43" s="262"/>
      <c r="S43" s="261"/>
      <c r="T43" s="260"/>
    </row>
    <row r="44" spans="1:20">
      <c r="A44" s="296">
        <v>35</v>
      </c>
      <c r="B44" s="262"/>
      <c r="C44" s="261"/>
      <c r="D44" s="261"/>
      <c r="E44" s="260"/>
      <c r="F44" s="263"/>
      <c r="G44" s="261"/>
      <c r="H44" s="261"/>
      <c r="I44" s="261"/>
      <c r="J44" s="260"/>
      <c r="K44" s="262"/>
      <c r="L44" s="261"/>
      <c r="M44" s="261"/>
      <c r="N44" s="260"/>
      <c r="O44" s="262"/>
      <c r="P44" s="261"/>
      <c r="Q44" s="260"/>
      <c r="R44" s="262"/>
      <c r="S44" s="261"/>
      <c r="T44" s="260"/>
    </row>
    <row r="45" spans="1:20" ht="13.5" thickBot="1">
      <c r="A45" s="296">
        <v>36</v>
      </c>
      <c r="B45" s="258"/>
      <c r="C45" s="257"/>
      <c r="D45" s="257"/>
      <c r="E45" s="256"/>
      <c r="F45" s="259"/>
      <c r="G45" s="257"/>
      <c r="H45" s="257"/>
      <c r="I45" s="257"/>
      <c r="J45" s="256"/>
      <c r="K45" s="258"/>
      <c r="L45" s="257"/>
      <c r="M45" s="257"/>
      <c r="N45" s="256"/>
      <c r="O45" s="258"/>
      <c r="P45" s="257"/>
      <c r="Q45" s="256"/>
      <c r="R45" s="258"/>
      <c r="S45" s="257"/>
      <c r="T45" s="256"/>
    </row>
    <row r="46" spans="1:20">
      <c r="A46" s="296">
        <v>37</v>
      </c>
      <c r="B46" s="253"/>
      <c r="C46" s="253"/>
      <c r="D46" s="253"/>
      <c r="E46" s="253"/>
      <c r="F46" s="253"/>
      <c r="G46" s="253"/>
      <c r="H46" s="253"/>
      <c r="I46" s="253"/>
      <c r="J46" s="253"/>
      <c r="K46" s="253"/>
      <c r="L46" s="253"/>
      <c r="M46" s="253"/>
      <c r="N46" s="253"/>
      <c r="O46" s="253"/>
      <c r="P46" s="253"/>
      <c r="Q46" s="253"/>
      <c r="R46" s="253"/>
      <c r="S46" s="253"/>
      <c r="T46" s="253"/>
    </row>
    <row r="47" spans="1:20">
      <c r="A47" s="296">
        <v>38</v>
      </c>
      <c r="B47" s="253"/>
      <c r="C47" s="253"/>
      <c r="D47" s="253"/>
      <c r="E47" s="253"/>
      <c r="F47" s="253"/>
      <c r="G47" s="253"/>
      <c r="H47" s="253"/>
      <c r="I47" s="253"/>
      <c r="J47" s="253"/>
      <c r="K47" s="253"/>
      <c r="L47" s="253"/>
      <c r="M47" s="253"/>
      <c r="N47" s="253"/>
      <c r="O47" s="253"/>
      <c r="P47" s="253"/>
      <c r="Q47" s="253"/>
      <c r="R47" s="253"/>
      <c r="S47" s="253"/>
      <c r="T47" s="253"/>
    </row>
    <row r="48" spans="1:20" ht="14.25">
      <c r="A48" s="296">
        <v>39</v>
      </c>
      <c r="B48" s="253" t="s">
        <v>1070</v>
      </c>
      <c r="C48" s="253"/>
      <c r="D48" s="253"/>
      <c r="E48" s="253"/>
      <c r="F48" s="253"/>
      <c r="G48" s="253"/>
      <c r="H48" s="253"/>
      <c r="I48" s="253"/>
      <c r="J48" s="253"/>
      <c r="K48" s="253"/>
      <c r="L48" s="253"/>
      <c r="M48" s="253"/>
      <c r="N48" s="253"/>
      <c r="O48" s="253"/>
      <c r="P48" s="253"/>
      <c r="Q48" s="253"/>
      <c r="R48" s="253"/>
      <c r="S48" s="253"/>
      <c r="T48" s="253"/>
    </row>
    <row r="49" spans="1:20" ht="14.25">
      <c r="A49" s="296">
        <v>40</v>
      </c>
      <c r="B49" s="253" t="s">
        <v>1069</v>
      </c>
      <c r="C49" s="253"/>
      <c r="D49" s="253"/>
      <c r="E49" s="253"/>
      <c r="F49" s="253"/>
      <c r="G49" s="253"/>
      <c r="H49" s="253"/>
      <c r="I49" s="253"/>
      <c r="J49" s="253"/>
      <c r="K49" s="253"/>
      <c r="L49" s="253"/>
      <c r="M49" s="253"/>
      <c r="N49" s="253"/>
      <c r="O49" s="439">
        <v>2018</v>
      </c>
      <c r="P49" s="440" t="s">
        <v>1068</v>
      </c>
      <c r="Q49" s="440" t="s">
        <v>1067</v>
      </c>
      <c r="R49" s="440" t="s">
        <v>58</v>
      </c>
      <c r="S49" s="253"/>
      <c r="T49" s="253"/>
    </row>
    <row r="50" spans="1:20" ht="14.25">
      <c r="A50" s="296">
        <v>41</v>
      </c>
      <c r="B50" s="253" t="s">
        <v>1066</v>
      </c>
      <c r="C50" s="253"/>
      <c r="D50" s="253"/>
      <c r="E50" s="253"/>
      <c r="F50" s="253"/>
      <c r="G50" s="253"/>
      <c r="H50" s="253"/>
      <c r="I50" s="253"/>
      <c r="J50" s="253"/>
      <c r="K50" s="253"/>
      <c r="L50" s="253"/>
      <c r="M50" s="255"/>
      <c r="N50" s="255"/>
      <c r="O50" s="253" t="s">
        <v>1065</v>
      </c>
      <c r="P50" s="253">
        <v>214279</v>
      </c>
      <c r="Q50" s="253">
        <v>73776</v>
      </c>
      <c r="R50" s="253">
        <f t="shared" ref="R50:R61" si="0">SUM(P50:Q50)</f>
        <v>288055</v>
      </c>
      <c r="S50" s="253" t="s">
        <v>56</v>
      </c>
      <c r="T50" s="253"/>
    </row>
    <row r="51" spans="1:20">
      <c r="B51" s="253"/>
      <c r="C51" s="253"/>
      <c r="D51" s="253"/>
      <c r="E51" s="253"/>
      <c r="F51" s="253"/>
      <c r="G51" s="253"/>
      <c r="H51" s="253"/>
      <c r="I51" s="253"/>
      <c r="J51" s="253"/>
      <c r="K51" s="253"/>
      <c r="L51" s="253"/>
      <c r="M51" s="255"/>
      <c r="N51" s="255"/>
      <c r="O51" s="253" t="s">
        <v>1064</v>
      </c>
      <c r="P51" s="253">
        <v>214536</v>
      </c>
      <c r="Q51" s="253">
        <v>73971</v>
      </c>
      <c r="R51" s="253">
        <f t="shared" si="0"/>
        <v>288507</v>
      </c>
      <c r="S51" s="253"/>
      <c r="T51" s="253"/>
    </row>
    <row r="52" spans="1:20">
      <c r="B52" s="253"/>
      <c r="C52" s="253"/>
      <c r="D52" s="253"/>
      <c r="E52" s="253"/>
      <c r="F52" s="253"/>
      <c r="G52" s="253"/>
      <c r="H52" s="253"/>
      <c r="I52" s="253"/>
      <c r="J52" s="253"/>
      <c r="K52" s="253"/>
      <c r="L52" s="253"/>
      <c r="M52" s="255"/>
      <c r="N52" s="255"/>
      <c r="O52" s="253" t="s">
        <v>1063</v>
      </c>
      <c r="P52" s="253">
        <v>214618</v>
      </c>
      <c r="Q52" s="253">
        <v>74033</v>
      </c>
      <c r="R52" s="253">
        <f t="shared" si="0"/>
        <v>288651</v>
      </c>
      <c r="S52" s="253"/>
      <c r="T52" s="253"/>
    </row>
    <row r="53" spans="1:20">
      <c r="B53" s="253"/>
      <c r="C53" s="253"/>
      <c r="D53" s="253"/>
      <c r="E53" s="253"/>
      <c r="F53" s="253"/>
      <c r="G53" s="253"/>
      <c r="H53" s="253"/>
      <c r="I53" s="253"/>
      <c r="J53" s="253"/>
      <c r="K53" s="253"/>
      <c r="L53" s="253"/>
      <c r="M53" s="255"/>
      <c r="N53" s="255"/>
      <c r="O53" s="253" t="s">
        <v>1062</v>
      </c>
      <c r="P53" s="253">
        <v>214470</v>
      </c>
      <c r="Q53" s="253">
        <v>74085</v>
      </c>
      <c r="R53" s="253">
        <f t="shared" si="0"/>
        <v>288555</v>
      </c>
      <c r="S53" s="253"/>
      <c r="T53" s="253"/>
    </row>
    <row r="54" spans="1:20">
      <c r="B54" s="253"/>
      <c r="C54" s="253"/>
      <c r="D54" s="253"/>
      <c r="E54" s="253"/>
      <c r="F54" s="253"/>
      <c r="G54" s="253"/>
      <c r="H54" s="253"/>
      <c r="I54" s="253"/>
      <c r="J54" s="253"/>
      <c r="K54" s="253"/>
      <c r="L54" s="253"/>
      <c r="M54" s="255"/>
      <c r="N54" s="255"/>
      <c r="O54" s="253" t="s">
        <v>1061</v>
      </c>
      <c r="P54" s="253">
        <v>214194</v>
      </c>
      <c r="Q54" s="253">
        <v>74048</v>
      </c>
      <c r="R54" s="253">
        <f t="shared" si="0"/>
        <v>288242</v>
      </c>
      <c r="S54" s="253"/>
      <c r="T54" s="253"/>
    </row>
    <row r="55" spans="1:20">
      <c r="B55" s="253"/>
      <c r="C55" s="253"/>
      <c r="D55" s="253"/>
      <c r="E55" s="253"/>
      <c r="F55" s="253"/>
      <c r="G55" s="253"/>
      <c r="H55" s="253"/>
      <c r="I55" s="253"/>
      <c r="J55" s="253"/>
      <c r="K55" s="253"/>
      <c r="L55" s="253"/>
      <c r="M55" s="255"/>
      <c r="N55" s="255"/>
      <c r="O55" s="253" t="s">
        <v>1060</v>
      </c>
      <c r="P55" s="253">
        <v>214055</v>
      </c>
      <c r="Q55" s="253">
        <v>74097</v>
      </c>
      <c r="R55" s="253">
        <f t="shared" si="0"/>
        <v>288152</v>
      </c>
      <c r="S55" s="253"/>
      <c r="T55" s="253"/>
    </row>
    <row r="56" spans="1:20">
      <c r="B56" s="253"/>
      <c r="C56" s="253"/>
      <c r="D56" s="253"/>
      <c r="E56" s="253"/>
      <c r="F56" s="253"/>
      <c r="G56" s="253"/>
      <c r="H56" s="253"/>
      <c r="I56" s="253"/>
      <c r="J56" s="253"/>
      <c r="K56" s="253"/>
      <c r="L56" s="253"/>
      <c r="M56" s="255"/>
      <c r="N56" s="255"/>
      <c r="O56" s="253" t="s">
        <v>1059</v>
      </c>
      <c r="P56" s="253">
        <v>213963</v>
      </c>
      <c r="Q56" s="253">
        <v>74066</v>
      </c>
      <c r="R56" s="253">
        <f t="shared" si="0"/>
        <v>288029</v>
      </c>
      <c r="S56" s="253"/>
      <c r="T56" s="253"/>
    </row>
    <row r="57" spans="1:20">
      <c r="B57" s="253"/>
      <c r="C57" s="253"/>
      <c r="D57" s="253"/>
      <c r="E57" s="253"/>
      <c r="F57" s="253"/>
      <c r="G57" s="253"/>
      <c r="H57" s="253"/>
      <c r="I57" s="253"/>
      <c r="J57" s="253"/>
      <c r="K57" s="253"/>
      <c r="L57" s="253"/>
      <c r="M57" s="255"/>
      <c r="N57" s="255"/>
      <c r="O57" s="253" t="s">
        <v>1058</v>
      </c>
      <c r="P57" s="253">
        <v>214061</v>
      </c>
      <c r="Q57" s="253">
        <v>74072</v>
      </c>
      <c r="R57" s="253">
        <f t="shared" si="0"/>
        <v>288133</v>
      </c>
      <c r="S57" s="253"/>
      <c r="T57" s="253"/>
    </row>
    <row r="58" spans="1:20">
      <c r="B58" s="253"/>
      <c r="C58" s="253"/>
      <c r="D58" s="253"/>
      <c r="E58" s="253"/>
      <c r="F58" s="253"/>
      <c r="G58" s="253"/>
      <c r="H58" s="253"/>
      <c r="I58" s="253"/>
      <c r="J58" s="253"/>
      <c r="K58" s="253"/>
      <c r="L58" s="253"/>
      <c r="M58" s="255"/>
      <c r="N58" s="255"/>
      <c r="O58" s="253" t="s">
        <v>1057</v>
      </c>
      <c r="P58" s="253">
        <v>214655</v>
      </c>
      <c r="Q58" s="253">
        <v>74412</v>
      </c>
      <c r="R58" s="253">
        <f t="shared" si="0"/>
        <v>289067</v>
      </c>
      <c r="S58" s="253"/>
      <c r="T58" s="253"/>
    </row>
    <row r="59" spans="1:20">
      <c r="F59" s="253"/>
      <c r="G59" s="253"/>
      <c r="H59" s="253"/>
      <c r="I59" s="253"/>
      <c r="J59" s="253"/>
      <c r="K59" s="253"/>
      <c r="L59" s="253"/>
      <c r="M59" s="255"/>
      <c r="N59" s="255"/>
      <c r="O59" s="253" t="s">
        <v>1056</v>
      </c>
      <c r="P59" s="253">
        <v>216130</v>
      </c>
      <c r="Q59" s="253">
        <v>74958</v>
      </c>
      <c r="R59" s="253">
        <f t="shared" si="0"/>
        <v>291088</v>
      </c>
      <c r="S59" s="253"/>
      <c r="T59" s="253"/>
    </row>
    <row r="60" spans="1:20">
      <c r="F60" s="253"/>
      <c r="G60" s="253"/>
      <c r="H60" s="253"/>
      <c r="I60" s="253"/>
      <c r="J60" s="253"/>
      <c r="K60" s="253"/>
      <c r="L60" s="253"/>
      <c r="M60" s="255"/>
      <c r="N60" s="255"/>
      <c r="O60" s="253" t="s">
        <v>1055</v>
      </c>
      <c r="P60" s="253">
        <v>217223</v>
      </c>
      <c r="Q60" s="253">
        <v>75393</v>
      </c>
      <c r="R60" s="253">
        <f t="shared" si="0"/>
        <v>292616</v>
      </c>
      <c r="S60" s="253"/>
      <c r="T60" s="253"/>
    </row>
    <row r="61" spans="1:20">
      <c r="F61" s="253"/>
      <c r="G61" s="253"/>
      <c r="H61" s="253"/>
      <c r="I61" s="253"/>
      <c r="J61" s="253"/>
      <c r="K61" s="253"/>
      <c r="L61" s="253"/>
      <c r="M61" s="255"/>
      <c r="N61" s="255"/>
      <c r="O61" s="253" t="s">
        <v>1054</v>
      </c>
      <c r="P61" s="440">
        <v>217767</v>
      </c>
      <c r="Q61" s="440">
        <v>75609</v>
      </c>
      <c r="R61" s="253">
        <f t="shared" si="0"/>
        <v>293376</v>
      </c>
      <c r="S61" s="253"/>
      <c r="T61" s="253"/>
    </row>
    <row r="62" spans="1:20">
      <c r="F62" s="253"/>
      <c r="G62" s="253"/>
      <c r="H62" s="253"/>
      <c r="I62" s="253"/>
      <c r="J62" s="253"/>
      <c r="K62" s="253"/>
      <c r="L62" s="253"/>
      <c r="M62" s="253"/>
      <c r="N62" s="253"/>
      <c r="O62" s="253" t="s">
        <v>1053</v>
      </c>
      <c r="P62" s="253">
        <f>AVERAGE(P50:P61)</f>
        <v>214995.91666666666</v>
      </c>
      <c r="Q62" s="253">
        <f>AVERAGE(Q50:Q61)</f>
        <v>74376.666666666672</v>
      </c>
      <c r="R62" s="253"/>
      <c r="S62" s="253"/>
      <c r="T62" s="253"/>
    </row>
    <row r="63" spans="1:20">
      <c r="F63" s="253"/>
      <c r="G63" s="253"/>
      <c r="H63" s="253"/>
      <c r="I63" s="253"/>
      <c r="J63" s="253"/>
      <c r="K63" s="253"/>
      <c r="L63" s="253"/>
      <c r="M63" s="253"/>
      <c r="N63" s="253"/>
      <c r="O63" s="253"/>
      <c r="P63" s="254"/>
      <c r="Q63" s="254"/>
      <c r="R63" s="253"/>
      <c r="S63" s="253"/>
      <c r="T63" s="253"/>
    </row>
    <row r="64" spans="1:20">
      <c r="F64" s="253"/>
      <c r="G64" s="253"/>
      <c r="H64" s="253"/>
      <c r="I64" s="253"/>
      <c r="J64" s="253"/>
      <c r="K64" s="253"/>
      <c r="L64" s="253"/>
      <c r="M64" s="253"/>
      <c r="N64" s="253"/>
      <c r="O64" s="253"/>
      <c r="P64" s="253"/>
      <c r="Q64" s="253"/>
      <c r="R64" s="253"/>
      <c r="S64" s="253"/>
      <c r="T64" s="253"/>
    </row>
    <row r="65" spans="6:20">
      <c r="F65" s="253"/>
      <c r="G65" s="253"/>
      <c r="H65" s="253"/>
      <c r="I65" s="253"/>
      <c r="J65" s="253"/>
      <c r="K65" s="253"/>
      <c r="L65" s="253"/>
      <c r="M65" s="253"/>
      <c r="N65" s="253"/>
      <c r="O65" s="253"/>
      <c r="P65" s="253"/>
      <c r="Q65" s="253"/>
      <c r="R65" s="253"/>
      <c r="S65" s="253"/>
      <c r="T65" s="253"/>
    </row>
    <row r="66" spans="6:20">
      <c r="F66" s="253"/>
      <c r="G66" s="253"/>
      <c r="H66" s="253"/>
      <c r="I66" s="253"/>
      <c r="J66" s="253"/>
      <c r="K66" s="253"/>
      <c r="L66" s="253"/>
      <c r="M66" s="253"/>
      <c r="N66" s="253"/>
      <c r="O66" s="253"/>
      <c r="P66" s="253"/>
      <c r="Q66" s="253"/>
      <c r="R66" s="253"/>
      <c r="S66" s="253"/>
      <c r="T66" s="253"/>
    </row>
    <row r="67" spans="6:20">
      <c r="F67" s="253"/>
      <c r="G67" s="253"/>
      <c r="H67" s="253"/>
      <c r="I67" s="253"/>
      <c r="J67" s="253"/>
      <c r="K67" s="253"/>
      <c r="L67" s="253"/>
      <c r="M67" s="253"/>
      <c r="N67" s="253"/>
      <c r="O67" s="253"/>
      <c r="P67" s="253"/>
      <c r="Q67" s="253"/>
      <c r="R67" s="253"/>
      <c r="S67" s="253"/>
      <c r="T67" s="253"/>
    </row>
    <row r="68" spans="6:20">
      <c r="F68" s="253"/>
      <c r="G68" s="253"/>
      <c r="H68" s="253"/>
      <c r="I68" s="253"/>
      <c r="J68" s="253"/>
      <c r="K68" s="253"/>
      <c r="L68" s="253"/>
      <c r="M68" s="253"/>
      <c r="N68" s="253"/>
      <c r="O68" s="253"/>
      <c r="P68" s="253"/>
      <c r="Q68" s="253"/>
      <c r="R68" s="253"/>
      <c r="S68" s="253"/>
      <c r="T68" s="253"/>
    </row>
    <row r="69" spans="6:20">
      <c r="F69" s="253"/>
      <c r="G69" s="253"/>
      <c r="H69" s="253"/>
      <c r="I69" s="253"/>
      <c r="J69" s="253"/>
      <c r="K69" s="253"/>
      <c r="L69" s="253"/>
      <c r="M69" s="253"/>
      <c r="N69" s="253"/>
      <c r="O69" s="253"/>
      <c r="P69" s="253"/>
      <c r="Q69" s="253"/>
      <c r="R69" s="253"/>
      <c r="S69" s="253"/>
      <c r="T69" s="253"/>
    </row>
    <row r="70" spans="6:20">
      <c r="F70" s="253"/>
      <c r="G70" s="253"/>
      <c r="H70" s="253"/>
      <c r="I70" s="253"/>
      <c r="J70" s="253"/>
      <c r="K70" s="253"/>
      <c r="L70" s="253"/>
      <c r="M70" s="253"/>
      <c r="N70" s="253"/>
      <c r="O70" s="253"/>
      <c r="P70" s="253"/>
      <c r="Q70" s="253"/>
      <c r="R70" s="253"/>
      <c r="S70" s="253"/>
      <c r="T70" s="253"/>
    </row>
    <row r="71" spans="6:20">
      <c r="F71" s="253"/>
      <c r="G71" s="253"/>
      <c r="H71" s="253"/>
      <c r="I71" s="253"/>
      <c r="J71" s="253"/>
      <c r="K71" s="253"/>
      <c r="L71" s="253"/>
      <c r="M71" s="253"/>
      <c r="N71" s="253"/>
      <c r="O71" s="253"/>
      <c r="P71" s="253"/>
      <c r="Q71" s="253"/>
      <c r="R71" s="253"/>
      <c r="S71" s="253"/>
      <c r="T71" s="253"/>
    </row>
  </sheetData>
  <mergeCells count="5">
    <mergeCell ref="H1:P1"/>
    <mergeCell ref="H2:P2"/>
    <mergeCell ref="H3:P3"/>
    <mergeCell ref="H4:P4"/>
    <mergeCell ref="H5:P5"/>
  </mergeCells>
  <printOptions horizontalCentered="1"/>
  <pageMargins left="0.31" right="0.3" top="1" bottom="1" header="0.5" footer="0.5"/>
  <pageSetup scale="46"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J36"/>
  <sheetViews>
    <sheetView view="pageBreakPreview" zoomScale="60" zoomScaleNormal="100" workbookViewId="0">
      <selection activeCell="A2" sqref="A2:I2"/>
    </sheetView>
  </sheetViews>
  <sheetFormatPr defaultColWidth="9.140625" defaultRowHeight="15.75"/>
  <cols>
    <col min="1" max="16384" width="9.140625" style="3"/>
  </cols>
  <sheetData>
    <row r="1" spans="1:10">
      <c r="A1" s="1029" t="s">
        <v>60</v>
      </c>
      <c r="B1" s="1029"/>
      <c r="C1" s="1029"/>
      <c r="D1" s="1029"/>
      <c r="E1" s="1029"/>
      <c r="F1" s="1029"/>
      <c r="G1" s="1029"/>
      <c r="H1" s="1029"/>
      <c r="I1" s="1029"/>
    </row>
    <row r="2" spans="1:10">
      <c r="A2" s="1029" t="s">
        <v>1854</v>
      </c>
      <c r="B2" s="1029"/>
      <c r="C2" s="1029"/>
      <c r="D2" s="1029"/>
      <c r="E2" s="1029"/>
      <c r="F2" s="1029"/>
      <c r="G2" s="1029"/>
      <c r="H2" s="1029"/>
      <c r="I2" s="1029"/>
    </row>
    <row r="3" spans="1:10">
      <c r="A3" s="1029" t="s">
        <v>1390</v>
      </c>
      <c r="B3" s="1029"/>
      <c r="C3" s="1029"/>
      <c r="D3" s="1029"/>
      <c r="E3" s="1029"/>
      <c r="F3" s="1029"/>
      <c r="G3" s="1029"/>
      <c r="H3" s="1029"/>
      <c r="I3" s="1029"/>
    </row>
    <row r="4" spans="1:10">
      <c r="A4" s="1029"/>
      <c r="B4" s="1029"/>
      <c r="C4" s="1029"/>
      <c r="D4" s="1029"/>
      <c r="E4" s="1029"/>
      <c r="F4" s="1029"/>
      <c r="G4" s="1029"/>
      <c r="H4" s="1029"/>
      <c r="I4" s="1029"/>
    </row>
    <row r="5" spans="1:10">
      <c r="A5" s="1029"/>
      <c r="B5" s="1029"/>
      <c r="C5" s="1029"/>
      <c r="D5" s="1029"/>
      <c r="E5" s="1029"/>
      <c r="F5" s="1029"/>
      <c r="G5" s="1029"/>
      <c r="H5" s="1029"/>
      <c r="I5" s="1029"/>
    </row>
    <row r="10" spans="1:10">
      <c r="G10" s="13"/>
    </row>
    <row r="13" spans="1:10">
      <c r="A13" s="1034" t="s">
        <v>790</v>
      </c>
      <c r="B13" s="1034"/>
      <c r="C13" s="1034"/>
      <c r="D13" s="1034"/>
      <c r="E13" s="1034"/>
      <c r="F13" s="1034"/>
      <c r="G13" s="1034"/>
      <c r="H13" s="1034"/>
      <c r="I13" s="1034"/>
      <c r="J13" s="1034"/>
    </row>
    <row r="36" spans="4:4">
      <c r="D36" s="16"/>
    </row>
  </sheetData>
  <mergeCells count="6">
    <mergeCell ref="A13:J13"/>
    <mergeCell ref="A1:I1"/>
    <mergeCell ref="A2:I2"/>
    <mergeCell ref="A3:I3"/>
    <mergeCell ref="A4:I4"/>
    <mergeCell ref="A5:I5"/>
  </mergeCells>
  <printOptions horizontalCentered="1"/>
  <pageMargins left="0.7" right="0.7" top="0.75" bottom="0.75" header="0.3" footer="0.3"/>
  <pageSetup scale="94" orientation="landscape" r:id="rId1"/>
  <headerFooter scaleWithDoc="0" alignWithMargins="0">
    <oddHeader>&amp;RPage &amp;P of &amp;N</oddHeader>
    <oddFooter>&amp;LElectronic Tab Name:&amp;A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
  <sheetViews>
    <sheetView view="pageBreakPreview" zoomScale="106" zoomScaleNormal="100" zoomScaleSheetLayoutView="106" workbookViewId="0">
      <selection activeCell="A2" sqref="A2:H2"/>
    </sheetView>
  </sheetViews>
  <sheetFormatPr defaultRowHeight="15"/>
  <cols>
    <col min="1" max="1" width="6.7109375" style="598" bestFit="1" customWidth="1"/>
    <col min="2" max="2" width="24.42578125" bestFit="1" customWidth="1"/>
    <col min="3" max="3" width="3.5703125" style="629" customWidth="1"/>
    <col min="4" max="4" width="20.42578125" bestFit="1" customWidth="1"/>
    <col min="5" max="5" width="1.7109375" customWidth="1"/>
  </cols>
  <sheetData>
    <row r="1" spans="1:13" ht="15.75">
      <c r="B1" s="1029" t="s">
        <v>60</v>
      </c>
      <c r="C1" s="1029"/>
      <c r="D1" s="1029"/>
      <c r="E1" s="1029"/>
      <c r="F1" s="1029"/>
      <c r="G1" s="1029"/>
      <c r="H1" s="1029"/>
      <c r="I1" s="2"/>
      <c r="J1" s="2"/>
      <c r="K1" s="2"/>
      <c r="L1" s="2"/>
      <c r="M1" s="2"/>
    </row>
    <row r="2" spans="1:13" ht="15.75">
      <c r="B2" s="1029" t="s">
        <v>1977</v>
      </c>
      <c r="C2" s="1029"/>
      <c r="D2" s="1029"/>
      <c r="E2" s="1029"/>
      <c r="F2" s="1029"/>
      <c r="G2" s="1029"/>
      <c r="H2" s="1029"/>
      <c r="I2" s="2"/>
      <c r="J2" s="2"/>
      <c r="K2" s="2"/>
      <c r="L2" s="2"/>
      <c r="M2" s="2"/>
    </row>
    <row r="3" spans="1:13" ht="15.75">
      <c r="B3" s="1029" t="s">
        <v>1285</v>
      </c>
      <c r="C3" s="1029"/>
      <c r="D3" s="1029"/>
      <c r="E3" s="1029"/>
      <c r="F3" s="1029"/>
      <c r="G3" s="1029"/>
      <c r="H3" s="1029"/>
      <c r="I3" s="2"/>
      <c r="J3" s="2"/>
      <c r="K3" s="2"/>
      <c r="L3" s="2"/>
      <c r="M3" s="2"/>
    </row>
    <row r="4" spans="1:13" ht="15.75">
      <c r="B4" s="1074" t="s">
        <v>1839</v>
      </c>
      <c r="C4" s="1074"/>
      <c r="D4" s="1074"/>
      <c r="E4" s="1074"/>
      <c r="F4" s="1074"/>
      <c r="G4" s="1074"/>
      <c r="H4" s="1074"/>
      <c r="I4" s="628"/>
      <c r="J4" s="628"/>
      <c r="K4" s="628"/>
      <c r="L4" s="628"/>
      <c r="M4" s="628"/>
    </row>
    <row r="5" spans="1:13" ht="15.75">
      <c r="B5" s="1029" t="s">
        <v>1853</v>
      </c>
      <c r="C5" s="1029"/>
      <c r="D5" s="1029"/>
      <c r="E5" s="1029"/>
      <c r="F5" s="1029"/>
      <c r="G5" s="1029"/>
      <c r="H5" s="1029"/>
      <c r="I5" s="2"/>
      <c r="J5" s="2"/>
      <c r="K5" s="2"/>
      <c r="L5" s="2"/>
      <c r="M5" s="2"/>
    </row>
    <row r="8" spans="1:13">
      <c r="A8" s="598" t="s">
        <v>1852</v>
      </c>
    </row>
    <row r="9" spans="1:13" ht="15.75">
      <c r="A9" s="598">
        <v>1</v>
      </c>
      <c r="B9" s="653" t="s">
        <v>1836</v>
      </c>
      <c r="C9" s="653"/>
      <c r="D9" s="811">
        <v>974913.42</v>
      </c>
      <c r="F9" s="3" t="s">
        <v>2465</v>
      </c>
      <c r="G9" s="3"/>
    </row>
    <row r="10" spans="1:13" ht="15.75">
      <c r="A10" s="598">
        <v>2</v>
      </c>
      <c r="B10" s="654" t="s">
        <v>1837</v>
      </c>
      <c r="C10" s="654"/>
      <c r="D10" s="812">
        <v>3879097.62</v>
      </c>
      <c r="F10" s="3" t="s">
        <v>2466</v>
      </c>
      <c r="G10" s="3"/>
    </row>
    <row r="11" spans="1:13" ht="16.5" thickBot="1">
      <c r="A11" s="598">
        <v>3</v>
      </c>
      <c r="B11" s="654" t="s">
        <v>1838</v>
      </c>
      <c r="C11" s="654"/>
      <c r="D11" s="813">
        <f>+D9-D10</f>
        <v>-2904184.2</v>
      </c>
      <c r="F11" s="3" t="s">
        <v>2467</v>
      </c>
      <c r="G11" s="3"/>
    </row>
    <row r="12" spans="1:13" ht="15.75" thickTop="1">
      <c r="B12" s="1"/>
      <c r="C12" s="1"/>
      <c r="D12" s="1"/>
    </row>
  </sheetData>
  <mergeCells count="5">
    <mergeCell ref="B1:H1"/>
    <mergeCell ref="B2:H2"/>
    <mergeCell ref="B3:H3"/>
    <mergeCell ref="B4:H4"/>
    <mergeCell ref="B5:H5"/>
  </mergeCells>
  <pageMargins left="0.7" right="0.7" top="0.75" bottom="0.75" header="0.3" footer="0.3"/>
  <pageSetup scale="94" orientation="portrait" r:id="rId1"/>
  <headerFooter scaleWithDoc="0" alignWithMargins="0">
    <oddHeader>&amp;R&amp;P of &amp;N</oddHeader>
    <oddFooter>&amp;LElectronic Tab Name: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H160"/>
  <sheetViews>
    <sheetView showGridLines="0" view="pageBreakPreview" zoomScale="60" zoomScaleNormal="100" workbookViewId="0">
      <selection activeCell="A2" sqref="A2:C2"/>
    </sheetView>
  </sheetViews>
  <sheetFormatPr defaultColWidth="9.140625" defaultRowHeight="15.75"/>
  <cols>
    <col min="1" max="1" width="9.28515625" style="18" bestFit="1" customWidth="1"/>
    <col min="2" max="2" width="35.42578125" style="16" bestFit="1" customWidth="1"/>
    <col min="3" max="3" width="32.5703125" style="16" bestFit="1" customWidth="1"/>
    <col min="4" max="5" width="14" style="16" bestFit="1" customWidth="1"/>
    <col min="6" max="6" width="14.42578125" style="16" bestFit="1" customWidth="1"/>
    <col min="7" max="7" width="5.85546875" style="16" bestFit="1" customWidth="1"/>
    <col min="8" max="8" width="9.140625" style="16"/>
    <col min="9" max="16384" width="9.140625" style="3"/>
  </cols>
  <sheetData>
    <row r="1" spans="1:7">
      <c r="B1" s="1075" t="s">
        <v>60</v>
      </c>
      <c r="C1" s="1075"/>
      <c r="D1" s="1075"/>
      <c r="E1" s="1075"/>
      <c r="F1" s="1075"/>
      <c r="G1" s="1075"/>
    </row>
    <row r="2" spans="1:7">
      <c r="B2" s="704"/>
      <c r="C2" s="246" t="s">
        <v>2021</v>
      </c>
      <c r="D2" s="246"/>
      <c r="E2" s="246"/>
      <c r="F2" s="246"/>
      <c r="G2" s="246"/>
    </row>
    <row r="3" spans="1:7">
      <c r="B3" s="246"/>
      <c r="C3" s="246" t="s">
        <v>1279</v>
      </c>
      <c r="D3" s="246"/>
      <c r="E3" s="246"/>
      <c r="F3" s="246"/>
      <c r="G3" s="246"/>
    </row>
    <row r="4" spans="1:7">
      <c r="B4" s="1075" t="s">
        <v>81</v>
      </c>
      <c r="C4" s="1075"/>
      <c r="D4" s="1075"/>
      <c r="E4" s="1075"/>
      <c r="F4" s="1075"/>
      <c r="G4" s="1075"/>
    </row>
    <row r="5" spans="1:7">
      <c r="B5" s="1075" t="s">
        <v>1853</v>
      </c>
      <c r="C5" s="1075"/>
      <c r="D5" s="1075"/>
      <c r="E5" s="1075"/>
      <c r="F5" s="1075"/>
      <c r="G5" s="1075"/>
    </row>
    <row r="6" spans="1:7">
      <c r="B6" s="246"/>
      <c r="C6" s="246"/>
      <c r="D6" s="246"/>
      <c r="E6" s="246"/>
      <c r="F6" s="246"/>
      <c r="G6" s="246"/>
    </row>
    <row r="7" spans="1:7">
      <c r="B7" s="223" t="s">
        <v>799</v>
      </c>
      <c r="C7" s="223" t="s">
        <v>797</v>
      </c>
      <c r="D7" s="223" t="s">
        <v>798</v>
      </c>
      <c r="E7" s="223" t="s">
        <v>801</v>
      </c>
      <c r="F7" s="223" t="s">
        <v>802</v>
      </c>
      <c r="G7" s="454" t="s">
        <v>803</v>
      </c>
    </row>
    <row r="8" spans="1:7">
      <c r="B8" s="224"/>
      <c r="C8" s="224"/>
      <c r="D8" s="224"/>
      <c r="E8" s="1076" t="s">
        <v>741</v>
      </c>
      <c r="F8" s="224"/>
      <c r="G8" s="224"/>
    </row>
    <row r="9" spans="1:7">
      <c r="A9" s="442" t="s">
        <v>660</v>
      </c>
      <c r="B9" s="224"/>
      <c r="C9" s="224"/>
      <c r="D9" s="223" t="s">
        <v>740</v>
      </c>
      <c r="E9" s="1077"/>
      <c r="F9" s="223" t="s">
        <v>2040</v>
      </c>
      <c r="G9" s="224"/>
    </row>
    <row r="10" spans="1:7">
      <c r="A10" s="18">
        <v>1</v>
      </c>
      <c r="B10" s="225" t="s">
        <v>2026</v>
      </c>
      <c r="C10" s="225" t="s">
        <v>2027</v>
      </c>
      <c r="D10" s="245">
        <v>800</v>
      </c>
      <c r="E10" s="245"/>
      <c r="F10" s="245">
        <f>+D10</f>
        <v>800</v>
      </c>
      <c r="G10" s="225">
        <v>913</v>
      </c>
    </row>
    <row r="11" spans="1:7">
      <c r="A11" s="18">
        <v>2</v>
      </c>
      <c r="B11" s="225" t="s">
        <v>1292</v>
      </c>
      <c r="C11" s="225" t="s">
        <v>2028</v>
      </c>
      <c r="D11" s="245">
        <v>100</v>
      </c>
      <c r="E11" s="245"/>
      <c r="F11" s="245">
        <f>+D11</f>
        <v>100</v>
      </c>
      <c r="G11" s="225">
        <v>913</v>
      </c>
    </row>
    <row r="12" spans="1:7">
      <c r="A12" s="18">
        <v>3</v>
      </c>
      <c r="B12" s="225" t="s">
        <v>2029</v>
      </c>
      <c r="C12" s="225" t="s">
        <v>2030</v>
      </c>
      <c r="D12" s="245">
        <v>70</v>
      </c>
      <c r="E12" s="245"/>
      <c r="F12" s="245">
        <f>+D12</f>
        <v>70</v>
      </c>
      <c r="G12" s="225">
        <v>913</v>
      </c>
    </row>
    <row r="13" spans="1:7">
      <c r="A13" s="18">
        <v>4</v>
      </c>
      <c r="B13" s="225" t="s">
        <v>2031</v>
      </c>
      <c r="C13" s="225" t="s">
        <v>2032</v>
      </c>
      <c r="D13" s="245">
        <v>250</v>
      </c>
      <c r="E13" s="245"/>
      <c r="F13" s="245"/>
      <c r="G13" s="225">
        <v>913</v>
      </c>
    </row>
    <row r="14" spans="1:7">
      <c r="A14" s="18">
        <v>5</v>
      </c>
      <c r="B14" s="225" t="s">
        <v>2033</v>
      </c>
      <c r="C14" s="225" t="s">
        <v>2034</v>
      </c>
      <c r="D14" s="245">
        <v>100</v>
      </c>
      <c r="E14" s="245"/>
      <c r="F14" s="245"/>
      <c r="G14" s="225">
        <v>913</v>
      </c>
    </row>
    <row r="15" spans="1:7">
      <c r="A15" s="18">
        <v>6</v>
      </c>
      <c r="B15" s="225" t="s">
        <v>738</v>
      </c>
      <c r="C15" s="225" t="s">
        <v>2035</v>
      </c>
      <c r="D15" s="245">
        <v>30.12</v>
      </c>
      <c r="E15" s="245"/>
      <c r="F15" s="245"/>
      <c r="G15" s="225">
        <v>913</v>
      </c>
    </row>
    <row r="16" spans="1:7">
      <c r="A16" s="18">
        <v>7</v>
      </c>
      <c r="B16" s="225" t="s">
        <v>2036</v>
      </c>
      <c r="C16" s="225" t="s">
        <v>2037</v>
      </c>
      <c r="D16" s="245">
        <v>500</v>
      </c>
      <c r="E16" s="245"/>
      <c r="F16" s="245"/>
      <c r="G16" s="225">
        <v>913</v>
      </c>
    </row>
    <row r="17" spans="1:7">
      <c r="A17" s="18">
        <v>8</v>
      </c>
      <c r="B17" s="225" t="s">
        <v>2038</v>
      </c>
      <c r="C17" s="225" t="s">
        <v>739</v>
      </c>
      <c r="D17" s="245">
        <v>575</v>
      </c>
      <c r="E17" s="245">
        <f>+D17*'State Allocation Formulas'!$C$21</f>
        <v>432.22750000000002</v>
      </c>
      <c r="F17" s="245"/>
      <c r="G17" s="225">
        <v>913</v>
      </c>
    </row>
    <row r="18" spans="1:7">
      <c r="A18" s="18">
        <v>9</v>
      </c>
      <c r="B18" s="225" t="s">
        <v>739</v>
      </c>
      <c r="C18" s="225" t="s">
        <v>2025</v>
      </c>
      <c r="D18" s="245">
        <v>575</v>
      </c>
      <c r="E18" s="245"/>
      <c r="F18" s="245">
        <f>+D18</f>
        <v>575</v>
      </c>
      <c r="G18" s="225">
        <v>913</v>
      </c>
    </row>
    <row r="19" spans="1:7">
      <c r="A19" s="18">
        <v>10</v>
      </c>
      <c r="B19" s="225" t="s">
        <v>739</v>
      </c>
      <c r="C19" s="225" t="s">
        <v>2039</v>
      </c>
      <c r="D19" s="245">
        <v>575</v>
      </c>
      <c r="E19" s="245">
        <f>+D19*'State Allocation Formulas'!$C$21</f>
        <v>432.22750000000002</v>
      </c>
      <c r="F19" s="245"/>
      <c r="G19" s="225">
        <v>913</v>
      </c>
    </row>
    <row r="20" spans="1:7">
      <c r="A20" s="18">
        <v>11</v>
      </c>
      <c r="B20" s="225" t="s">
        <v>2038</v>
      </c>
      <c r="C20" s="225" t="s">
        <v>739</v>
      </c>
      <c r="D20" s="245">
        <v>-575</v>
      </c>
      <c r="E20" s="245">
        <f>+D20*'State Allocation Formulas'!$C$21</f>
        <v>-432.22750000000002</v>
      </c>
      <c r="F20" s="245"/>
      <c r="G20" s="225">
        <v>913</v>
      </c>
    </row>
    <row r="21" spans="1:7">
      <c r="B21" s="224"/>
      <c r="C21" s="224"/>
      <c r="D21" s="224"/>
      <c r="E21" s="224"/>
      <c r="F21" s="224"/>
      <c r="G21" s="224"/>
    </row>
    <row r="22" spans="1:7">
      <c r="A22" s="226">
        <v>12</v>
      </c>
      <c r="B22" s="224"/>
      <c r="C22" s="224"/>
      <c r="D22" s="224"/>
      <c r="E22" s="249">
        <f>SUM(E10:E20)</f>
        <v>432.22750000000002</v>
      </c>
      <c r="F22" s="249">
        <f>SUM(F10:F20)</f>
        <v>1545</v>
      </c>
      <c r="G22" s="224"/>
    </row>
    <row r="23" spans="1:7">
      <c r="A23" s="226">
        <v>13</v>
      </c>
      <c r="B23" s="224" t="s">
        <v>671</v>
      </c>
      <c r="C23" s="224"/>
      <c r="D23" s="224"/>
      <c r="E23" s="224"/>
      <c r="F23" s="249">
        <f>+F22+E22</f>
        <v>1977.2275</v>
      </c>
      <c r="G23" s="224"/>
    </row>
    <row r="24" spans="1:7">
      <c r="B24" s="224"/>
      <c r="C24" s="224"/>
      <c r="D24" s="224"/>
      <c r="E24" s="224"/>
      <c r="F24" s="224"/>
      <c r="G24" s="224"/>
    </row>
    <row r="26" spans="1:7">
      <c r="B26" s="223" t="s">
        <v>799</v>
      </c>
      <c r="C26" s="223" t="s">
        <v>797</v>
      </c>
      <c r="D26" s="223" t="s">
        <v>798</v>
      </c>
      <c r="E26" s="223" t="s">
        <v>801</v>
      </c>
      <c r="F26" s="223" t="s">
        <v>802</v>
      </c>
      <c r="G26" s="454" t="s">
        <v>803</v>
      </c>
    </row>
    <row r="27" spans="1:7">
      <c r="A27" s="442" t="s">
        <v>660</v>
      </c>
      <c r="D27" s="223" t="s">
        <v>740</v>
      </c>
      <c r="E27" s="223" t="s">
        <v>741</v>
      </c>
      <c r="F27" s="223" t="s">
        <v>2040</v>
      </c>
    </row>
    <row r="28" spans="1:7">
      <c r="A28" s="18">
        <v>14</v>
      </c>
      <c r="B28" s="225" t="s">
        <v>1292</v>
      </c>
      <c r="C28" s="225">
        <v>43466</v>
      </c>
      <c r="D28" s="245">
        <v>250</v>
      </c>
      <c r="E28" s="245"/>
      <c r="F28" s="245">
        <f>+D28</f>
        <v>250</v>
      </c>
      <c r="G28" s="225">
        <v>930.1</v>
      </c>
    </row>
    <row r="29" spans="1:7">
      <c r="A29" s="18">
        <v>15</v>
      </c>
      <c r="B29" s="225" t="s">
        <v>1292</v>
      </c>
      <c r="C29" s="225">
        <v>43497</v>
      </c>
      <c r="D29" s="245">
        <v>250</v>
      </c>
      <c r="E29" s="245"/>
      <c r="F29" s="245">
        <f t="shared" ref="F29:F39" si="0">+D29</f>
        <v>250</v>
      </c>
      <c r="G29" s="225">
        <v>930.1</v>
      </c>
    </row>
    <row r="30" spans="1:7">
      <c r="A30" s="18">
        <v>16</v>
      </c>
      <c r="B30" s="225" t="s">
        <v>1292</v>
      </c>
      <c r="C30" s="225" t="s">
        <v>2049</v>
      </c>
      <c r="D30" s="245">
        <v>250</v>
      </c>
      <c r="E30" s="245"/>
      <c r="F30" s="245">
        <f t="shared" si="0"/>
        <v>250</v>
      </c>
      <c r="G30" s="225">
        <v>930.1</v>
      </c>
    </row>
    <row r="31" spans="1:7">
      <c r="A31" s="18">
        <v>17</v>
      </c>
      <c r="B31" s="225" t="s">
        <v>669</v>
      </c>
      <c r="C31" s="225" t="s">
        <v>2050</v>
      </c>
      <c r="D31" s="245">
        <v>250</v>
      </c>
      <c r="E31" s="245"/>
      <c r="F31" s="245">
        <f t="shared" si="0"/>
        <v>250</v>
      </c>
      <c r="G31" s="225">
        <v>930.1</v>
      </c>
    </row>
    <row r="32" spans="1:7">
      <c r="A32" s="18">
        <v>18</v>
      </c>
      <c r="B32" s="225" t="s">
        <v>2051</v>
      </c>
      <c r="C32" s="225" t="s">
        <v>2052</v>
      </c>
      <c r="D32" s="245">
        <v>250</v>
      </c>
      <c r="E32" s="245"/>
      <c r="F32" s="245">
        <f t="shared" si="0"/>
        <v>250</v>
      </c>
      <c r="G32" s="225">
        <v>930.1</v>
      </c>
    </row>
    <row r="33" spans="1:7">
      <c r="A33" s="18">
        <v>19</v>
      </c>
      <c r="B33" s="225" t="s">
        <v>670</v>
      </c>
      <c r="C33" s="225" t="s">
        <v>2053</v>
      </c>
      <c r="D33" s="245">
        <v>200</v>
      </c>
      <c r="E33" s="245"/>
      <c r="F33" s="245">
        <f t="shared" si="0"/>
        <v>200</v>
      </c>
      <c r="G33" s="225">
        <v>930.1</v>
      </c>
    </row>
    <row r="34" spans="1:7">
      <c r="A34" s="18">
        <v>20</v>
      </c>
      <c r="B34" s="225" t="s">
        <v>2054</v>
      </c>
      <c r="C34" s="225" t="s">
        <v>2055</v>
      </c>
      <c r="D34" s="245">
        <v>150</v>
      </c>
      <c r="E34" s="245"/>
      <c r="F34" s="245">
        <f t="shared" si="0"/>
        <v>150</v>
      </c>
      <c r="G34" s="225">
        <v>930.1</v>
      </c>
    </row>
    <row r="35" spans="1:7">
      <c r="A35" s="18">
        <v>21</v>
      </c>
      <c r="B35" s="225" t="s">
        <v>1293</v>
      </c>
      <c r="C35" s="225" t="s">
        <v>2056</v>
      </c>
      <c r="D35" s="245">
        <v>250</v>
      </c>
      <c r="E35" s="245"/>
      <c r="F35" s="245">
        <f t="shared" si="0"/>
        <v>250</v>
      </c>
      <c r="G35" s="225">
        <v>930.1</v>
      </c>
    </row>
    <row r="36" spans="1:7">
      <c r="A36" s="18">
        <v>22</v>
      </c>
      <c r="B36" s="225" t="s">
        <v>668</v>
      </c>
      <c r="C36" s="225" t="s">
        <v>2057</v>
      </c>
      <c r="D36" s="245">
        <v>260</v>
      </c>
      <c r="E36" s="245"/>
      <c r="F36" s="245">
        <f t="shared" si="0"/>
        <v>260</v>
      </c>
      <c r="G36" s="225">
        <v>930.1</v>
      </c>
    </row>
    <row r="37" spans="1:7">
      <c r="A37" s="18">
        <v>23</v>
      </c>
      <c r="B37" s="225" t="s">
        <v>1294</v>
      </c>
      <c r="C37" s="225" t="s">
        <v>2058</v>
      </c>
      <c r="D37" s="245">
        <v>200</v>
      </c>
      <c r="E37" s="245"/>
      <c r="F37" s="245">
        <f t="shared" si="0"/>
        <v>200</v>
      </c>
      <c r="G37" s="225">
        <v>930.1</v>
      </c>
    </row>
    <row r="38" spans="1:7">
      <c r="A38" s="18">
        <v>24</v>
      </c>
      <c r="B38" s="225" t="s">
        <v>2059</v>
      </c>
      <c r="C38" s="225" t="s">
        <v>2060</v>
      </c>
      <c r="D38" s="245">
        <v>65</v>
      </c>
      <c r="E38" s="245"/>
      <c r="F38" s="245">
        <f t="shared" si="0"/>
        <v>65</v>
      </c>
      <c r="G38" s="225">
        <v>930.1</v>
      </c>
    </row>
    <row r="39" spans="1:7">
      <c r="A39" s="18">
        <v>25</v>
      </c>
      <c r="B39" s="225" t="s">
        <v>2059</v>
      </c>
      <c r="C39" s="225" t="s">
        <v>2061</v>
      </c>
      <c r="D39" s="245">
        <v>65</v>
      </c>
      <c r="E39" s="245"/>
      <c r="F39" s="245">
        <f t="shared" si="0"/>
        <v>65</v>
      </c>
      <c r="G39" s="225">
        <v>930.1</v>
      </c>
    </row>
    <row r="40" spans="1:7">
      <c r="A40" s="18">
        <v>26</v>
      </c>
      <c r="B40" s="225" t="s">
        <v>1295</v>
      </c>
      <c r="C40" s="225" t="s">
        <v>2062</v>
      </c>
      <c r="D40" s="245">
        <v>975</v>
      </c>
      <c r="E40" s="245"/>
      <c r="F40" s="245"/>
      <c r="G40" s="225">
        <v>930.1</v>
      </c>
    </row>
    <row r="41" spans="1:7">
      <c r="A41" s="18">
        <v>27</v>
      </c>
      <c r="B41" s="225" t="s">
        <v>742</v>
      </c>
      <c r="C41" s="225" t="s">
        <v>1296</v>
      </c>
      <c r="D41" s="245">
        <v>72</v>
      </c>
      <c r="E41" s="245"/>
      <c r="F41" s="245"/>
      <c r="G41" s="225">
        <v>930.1</v>
      </c>
    </row>
    <row r="42" spans="1:7">
      <c r="A42" s="18">
        <v>28</v>
      </c>
      <c r="B42" s="225" t="s">
        <v>742</v>
      </c>
      <c r="C42" s="225" t="s">
        <v>2046</v>
      </c>
      <c r="D42" s="245">
        <v>72</v>
      </c>
      <c r="E42" s="245"/>
      <c r="F42" s="245"/>
      <c r="G42" s="225">
        <v>930.1</v>
      </c>
    </row>
    <row r="43" spans="1:7">
      <c r="A43" s="18">
        <v>29</v>
      </c>
      <c r="B43" s="225" t="s">
        <v>2043</v>
      </c>
      <c r="C43" s="225" t="s">
        <v>2063</v>
      </c>
      <c r="D43" s="245">
        <v>47.77</v>
      </c>
      <c r="E43" s="245"/>
      <c r="F43" s="245"/>
      <c r="G43" s="225">
        <v>930.1</v>
      </c>
    </row>
    <row r="44" spans="1:7">
      <c r="A44" s="18">
        <v>30</v>
      </c>
      <c r="B44" s="225" t="s">
        <v>2043</v>
      </c>
      <c r="C44" s="225" t="s">
        <v>2064</v>
      </c>
      <c r="D44" s="245">
        <v>173.67</v>
      </c>
      <c r="E44" s="245"/>
      <c r="F44" s="245"/>
      <c r="G44" s="225">
        <v>930.1</v>
      </c>
    </row>
    <row r="45" spans="1:7">
      <c r="A45" s="18">
        <v>31</v>
      </c>
      <c r="B45" s="225" t="s">
        <v>742</v>
      </c>
      <c r="C45" s="225" t="s">
        <v>2046</v>
      </c>
      <c r="D45" s="245">
        <v>72</v>
      </c>
      <c r="E45" s="245"/>
      <c r="F45" s="245"/>
      <c r="G45" s="225">
        <v>930.1</v>
      </c>
    </row>
    <row r="46" spans="1:7">
      <c r="A46" s="18">
        <v>32</v>
      </c>
      <c r="B46" s="225" t="s">
        <v>742</v>
      </c>
      <c r="C46" s="225" t="s">
        <v>2041</v>
      </c>
      <c r="D46" s="245">
        <v>73</v>
      </c>
      <c r="E46" s="245"/>
      <c r="F46" s="245"/>
      <c r="G46" s="225">
        <v>930.1</v>
      </c>
    </row>
    <row r="47" spans="1:7">
      <c r="A47" s="18">
        <v>33</v>
      </c>
      <c r="B47" s="225" t="s">
        <v>742</v>
      </c>
      <c r="C47" s="225" t="s">
        <v>2042</v>
      </c>
      <c r="D47" s="245">
        <v>73</v>
      </c>
      <c r="E47" s="245"/>
      <c r="F47" s="245"/>
      <c r="G47" s="225">
        <v>930.1</v>
      </c>
    </row>
    <row r="48" spans="1:7">
      <c r="A48" s="18">
        <v>34</v>
      </c>
      <c r="B48" s="225" t="s">
        <v>2043</v>
      </c>
      <c r="C48" s="225" t="s">
        <v>2044</v>
      </c>
      <c r="D48" s="245">
        <v>125</v>
      </c>
      <c r="E48" s="245"/>
      <c r="F48" s="245"/>
      <c r="G48" s="225">
        <v>930.1</v>
      </c>
    </row>
    <row r="49" spans="1:7">
      <c r="A49" s="18">
        <v>35</v>
      </c>
      <c r="B49" s="225" t="s">
        <v>742</v>
      </c>
      <c r="C49" s="225" t="s">
        <v>2045</v>
      </c>
      <c r="D49" s="245">
        <v>73</v>
      </c>
      <c r="E49" s="245"/>
      <c r="F49" s="245"/>
      <c r="G49" s="225">
        <v>930.1</v>
      </c>
    </row>
    <row r="50" spans="1:7">
      <c r="A50" s="18">
        <v>36</v>
      </c>
      <c r="B50" s="225" t="s">
        <v>742</v>
      </c>
      <c r="C50" s="225" t="s">
        <v>2046</v>
      </c>
      <c r="D50" s="245">
        <v>73</v>
      </c>
      <c r="E50" s="245"/>
      <c r="F50" s="245"/>
      <c r="G50" s="225">
        <v>930.1</v>
      </c>
    </row>
    <row r="51" spans="1:7">
      <c r="A51" s="18">
        <v>37</v>
      </c>
      <c r="B51" s="225" t="s">
        <v>742</v>
      </c>
      <c r="C51" s="225" t="s">
        <v>2046</v>
      </c>
      <c r="D51" s="245">
        <v>73</v>
      </c>
      <c r="E51" s="245"/>
      <c r="F51" s="245"/>
      <c r="G51" s="225">
        <v>930.1</v>
      </c>
    </row>
    <row r="52" spans="1:7">
      <c r="A52" s="18">
        <v>38</v>
      </c>
      <c r="B52" s="225" t="s">
        <v>2065</v>
      </c>
      <c r="C52" s="225" t="s">
        <v>2066</v>
      </c>
      <c r="D52" s="245">
        <v>74.5</v>
      </c>
      <c r="E52" s="245">
        <f>+D52*'State Allocation Formulas'!$C$21</f>
        <v>56.001650000000005</v>
      </c>
      <c r="F52" s="245"/>
      <c r="G52" s="225">
        <v>930.1</v>
      </c>
    </row>
    <row r="53" spans="1:7">
      <c r="A53" s="18">
        <v>39</v>
      </c>
      <c r="B53" s="225" t="s">
        <v>2067</v>
      </c>
      <c r="C53" s="225" t="s">
        <v>2068</v>
      </c>
      <c r="D53" s="245">
        <v>149</v>
      </c>
      <c r="E53" s="245">
        <f>+D53*'State Allocation Formulas'!$C$21</f>
        <v>112.00330000000001</v>
      </c>
      <c r="F53" s="245"/>
      <c r="G53" s="225">
        <v>930.1</v>
      </c>
    </row>
    <row r="54" spans="1:7">
      <c r="A54" s="18">
        <v>40</v>
      </c>
      <c r="B54" s="225" t="s">
        <v>2067</v>
      </c>
      <c r="C54" s="225" t="s">
        <v>2069</v>
      </c>
      <c r="D54" s="245">
        <v>745</v>
      </c>
      <c r="E54" s="245">
        <f>+D54*'State Allocation Formulas'!$C$21</f>
        <v>560.01650000000006</v>
      </c>
      <c r="F54" s="245"/>
      <c r="G54" s="225">
        <v>930.1</v>
      </c>
    </row>
    <row r="55" spans="1:7">
      <c r="A55" s="18">
        <v>41</v>
      </c>
      <c r="B55" s="225" t="s">
        <v>2067</v>
      </c>
      <c r="C55" s="225" t="s">
        <v>2070</v>
      </c>
      <c r="D55" s="245">
        <v>149</v>
      </c>
      <c r="E55" s="245">
        <f>+D55*'State Allocation Formulas'!$C$21</f>
        <v>112.00330000000001</v>
      </c>
      <c r="F55" s="245"/>
      <c r="G55" s="225">
        <v>930.1</v>
      </c>
    </row>
    <row r="56" spans="1:7">
      <c r="A56" s="18">
        <v>42</v>
      </c>
      <c r="B56" s="225" t="s">
        <v>2067</v>
      </c>
      <c r="C56" s="225" t="s">
        <v>2071</v>
      </c>
      <c r="D56" s="245">
        <v>44.7</v>
      </c>
      <c r="E56" s="245">
        <f>+D56*'State Allocation Formulas'!$C$21</f>
        <v>33.600990000000003</v>
      </c>
      <c r="F56" s="245"/>
      <c r="G56" s="225">
        <v>930.1</v>
      </c>
    </row>
    <row r="57" spans="1:7">
      <c r="A57" s="18">
        <v>43</v>
      </c>
      <c r="B57" s="225" t="s">
        <v>2067</v>
      </c>
      <c r="C57" s="225" t="s">
        <v>2072</v>
      </c>
      <c r="D57" s="245">
        <v>149</v>
      </c>
      <c r="E57" s="245">
        <f>+D57*'State Allocation Formulas'!$C$21</f>
        <v>112.00330000000001</v>
      </c>
      <c r="F57" s="245"/>
      <c r="G57" s="225">
        <v>930.1</v>
      </c>
    </row>
    <row r="58" spans="1:7">
      <c r="A58" s="18">
        <v>44</v>
      </c>
      <c r="B58" s="225" t="s">
        <v>2067</v>
      </c>
      <c r="C58" s="225" t="s">
        <v>2073</v>
      </c>
      <c r="D58" s="245">
        <v>2724.09</v>
      </c>
      <c r="E58" s="245">
        <f>+D58*'State Allocation Formulas'!$C$21</f>
        <v>2047.6984530000002</v>
      </c>
      <c r="F58" s="245"/>
      <c r="G58" s="225">
        <v>930.1</v>
      </c>
    </row>
    <row r="59" spans="1:7">
      <c r="A59" s="18">
        <v>45</v>
      </c>
      <c r="B59" s="225" t="s">
        <v>2067</v>
      </c>
      <c r="C59" s="225" t="s">
        <v>2074</v>
      </c>
      <c r="D59" s="245">
        <v>74.5</v>
      </c>
      <c r="E59" s="245">
        <f>+D59*'State Allocation Formulas'!$C$21</f>
        <v>56.001650000000005</v>
      </c>
      <c r="F59" s="245"/>
      <c r="G59" s="225">
        <v>930.1</v>
      </c>
    </row>
    <row r="60" spans="1:7">
      <c r="A60" s="18">
        <v>46</v>
      </c>
      <c r="B60" s="225" t="s">
        <v>2067</v>
      </c>
      <c r="C60" s="225" t="s">
        <v>2074</v>
      </c>
      <c r="D60" s="245">
        <v>74.5</v>
      </c>
      <c r="E60" s="245">
        <f>+D60*'State Allocation Formulas'!$C$21</f>
        <v>56.001650000000005</v>
      </c>
      <c r="F60" s="245"/>
      <c r="G60" s="225">
        <v>930.1</v>
      </c>
    </row>
    <row r="61" spans="1:7">
      <c r="A61" s="18">
        <v>47</v>
      </c>
      <c r="B61" s="225" t="s">
        <v>2067</v>
      </c>
      <c r="C61" s="225" t="s">
        <v>2074</v>
      </c>
      <c r="D61" s="245">
        <v>74.5</v>
      </c>
      <c r="E61" s="245">
        <f>+D61*'State Allocation Formulas'!$C$21</f>
        <v>56.001650000000005</v>
      </c>
      <c r="F61" s="245"/>
      <c r="G61" s="225">
        <v>930.1</v>
      </c>
    </row>
    <row r="62" spans="1:7">
      <c r="A62" s="18">
        <v>48</v>
      </c>
      <c r="B62" s="225" t="s">
        <v>2067</v>
      </c>
      <c r="C62" s="225" t="s">
        <v>2074</v>
      </c>
      <c r="D62" s="245">
        <v>149</v>
      </c>
      <c r="E62" s="245">
        <f>+D62*'State Allocation Formulas'!$C$21</f>
        <v>112.00330000000001</v>
      </c>
      <c r="F62" s="245"/>
      <c r="G62" s="225">
        <v>930.1</v>
      </c>
    </row>
    <row r="63" spans="1:7">
      <c r="A63" s="18">
        <v>49</v>
      </c>
      <c r="B63" s="225" t="s">
        <v>2067</v>
      </c>
      <c r="C63" s="225" t="s">
        <v>2075</v>
      </c>
      <c r="D63" s="245">
        <v>36.5</v>
      </c>
      <c r="E63" s="245">
        <f>+D63*'State Allocation Formulas'!$C$21</f>
        <v>27.437050000000003</v>
      </c>
      <c r="F63" s="245"/>
      <c r="G63" s="225">
        <v>930.1</v>
      </c>
    </row>
    <row r="64" spans="1:7">
      <c r="A64" s="18">
        <v>50</v>
      </c>
      <c r="B64" s="225" t="s">
        <v>2067</v>
      </c>
      <c r="C64" s="225" t="s">
        <v>2076</v>
      </c>
      <c r="D64" s="245">
        <v>219</v>
      </c>
      <c r="E64" s="245">
        <f>+D64*'State Allocation Formulas'!$C$21</f>
        <v>164.6223</v>
      </c>
      <c r="F64" s="245"/>
      <c r="G64" s="225">
        <v>930.1</v>
      </c>
    </row>
    <row r="65" spans="1:7">
      <c r="A65" s="18">
        <v>51</v>
      </c>
      <c r="B65" s="225" t="s">
        <v>2077</v>
      </c>
      <c r="C65" s="225" t="s">
        <v>2078</v>
      </c>
      <c r="D65" s="245">
        <v>148.26</v>
      </c>
      <c r="E65" s="245">
        <f>+D65*'State Allocation Formulas'!$C$21</f>
        <v>111.447042</v>
      </c>
      <c r="F65" s="245"/>
      <c r="G65" s="225">
        <v>930.1</v>
      </c>
    </row>
    <row r="66" spans="1:7">
      <c r="A66" s="18">
        <v>52</v>
      </c>
      <c r="B66" s="225" t="s">
        <v>2079</v>
      </c>
      <c r="C66" s="225" t="s">
        <v>2080</v>
      </c>
      <c r="D66" s="245">
        <v>298</v>
      </c>
      <c r="E66" s="245">
        <f>+D66*'State Allocation Formulas'!$C$21</f>
        <v>224.00660000000002</v>
      </c>
      <c r="F66" s="245"/>
      <c r="G66" s="225">
        <v>930.1</v>
      </c>
    </row>
    <row r="67" spans="1:7">
      <c r="A67" s="18">
        <v>53</v>
      </c>
      <c r="B67" s="225" t="s">
        <v>2081</v>
      </c>
      <c r="C67" s="225" t="s">
        <v>2082</v>
      </c>
      <c r="D67" s="245">
        <v>334.14</v>
      </c>
      <c r="E67" s="245">
        <f>+D67*'State Allocation Formulas'!$C$21</f>
        <v>251.17303799999999</v>
      </c>
      <c r="F67" s="245"/>
      <c r="G67" s="225">
        <v>930.1</v>
      </c>
    </row>
    <row r="68" spans="1:7">
      <c r="A68" s="18">
        <v>54</v>
      </c>
      <c r="B68" s="225" t="s">
        <v>2083</v>
      </c>
      <c r="C68" s="225" t="s">
        <v>2084</v>
      </c>
      <c r="D68" s="245">
        <v>35.020000000000003</v>
      </c>
      <c r="E68" s="245">
        <f>+D68*'State Allocation Formulas'!$C$21</f>
        <v>26.324534000000003</v>
      </c>
      <c r="F68" s="245"/>
      <c r="G68" s="225">
        <v>930.1</v>
      </c>
    </row>
    <row r="69" spans="1:7">
      <c r="A69" s="18">
        <v>55</v>
      </c>
      <c r="B69" s="225" t="s">
        <v>2085</v>
      </c>
      <c r="C69" s="225" t="s">
        <v>2086</v>
      </c>
      <c r="D69" s="245">
        <v>97.59</v>
      </c>
      <c r="E69" s="245">
        <f>+D69*'State Allocation Formulas'!$C$21</f>
        <v>73.35840300000001</v>
      </c>
      <c r="F69" s="245"/>
      <c r="G69" s="225">
        <v>930.1</v>
      </c>
    </row>
    <row r="70" spans="1:7">
      <c r="A70" s="18">
        <v>56</v>
      </c>
      <c r="B70" s="225" t="s">
        <v>2087</v>
      </c>
      <c r="C70" s="225" t="s">
        <v>2088</v>
      </c>
      <c r="D70" s="245">
        <v>47.68</v>
      </c>
      <c r="E70" s="245">
        <f>+D70*'State Allocation Formulas'!$C$21</f>
        <v>35.841056000000002</v>
      </c>
      <c r="F70" s="245"/>
      <c r="G70" s="225">
        <v>930.1</v>
      </c>
    </row>
    <row r="71" spans="1:7">
      <c r="A71" s="18">
        <v>57</v>
      </c>
      <c r="B71" s="225" t="s">
        <v>2089</v>
      </c>
      <c r="C71" s="225" t="s">
        <v>2090</v>
      </c>
      <c r="D71" s="245">
        <v>331.09</v>
      </c>
      <c r="E71" s="245">
        <f>+D71*'State Allocation Formulas'!$C$21</f>
        <v>248.88035299999999</v>
      </c>
      <c r="F71" s="245"/>
      <c r="G71" s="225">
        <v>930.1</v>
      </c>
    </row>
    <row r="72" spans="1:7">
      <c r="A72" s="18">
        <v>58</v>
      </c>
      <c r="B72" s="225" t="s">
        <v>2089</v>
      </c>
      <c r="C72" s="225" t="s">
        <v>2090</v>
      </c>
      <c r="D72" s="245">
        <v>165.55</v>
      </c>
      <c r="E72" s="245">
        <f>+D72*'State Allocation Formulas'!$C$21</f>
        <v>124.44393500000001</v>
      </c>
      <c r="F72" s="245"/>
      <c r="G72" s="225">
        <v>930.1</v>
      </c>
    </row>
    <row r="73" spans="1:7">
      <c r="A73" s="18">
        <v>59</v>
      </c>
      <c r="B73" s="225" t="s">
        <v>2091</v>
      </c>
      <c r="C73" s="225" t="s">
        <v>2086</v>
      </c>
      <c r="D73" s="245">
        <v>351.5</v>
      </c>
      <c r="E73" s="245">
        <f>+D73*'State Allocation Formulas'!$C$21</f>
        <v>264.22255000000001</v>
      </c>
      <c r="F73" s="245"/>
      <c r="G73" s="225">
        <v>930.1</v>
      </c>
    </row>
    <row r="74" spans="1:7">
      <c r="A74" s="18">
        <v>60</v>
      </c>
      <c r="B74" s="225" t="s">
        <v>2092</v>
      </c>
      <c r="C74" s="225" t="s">
        <v>2093</v>
      </c>
      <c r="D74" s="245">
        <v>89.4</v>
      </c>
      <c r="E74" s="245">
        <f>+D74*'State Allocation Formulas'!$C$21</f>
        <v>67.201980000000006</v>
      </c>
      <c r="F74" s="245"/>
      <c r="G74" s="225">
        <v>930.1</v>
      </c>
    </row>
    <row r="75" spans="1:7">
      <c r="A75" s="18">
        <v>61</v>
      </c>
      <c r="B75" s="225" t="s">
        <v>2094</v>
      </c>
      <c r="C75" s="225" t="s">
        <v>2095</v>
      </c>
      <c r="D75" s="245">
        <v>640.70000000000005</v>
      </c>
      <c r="E75" s="245">
        <f>+D75*'State Allocation Formulas'!$C$21</f>
        <v>481.61419000000006</v>
      </c>
      <c r="F75" s="245"/>
      <c r="G75" s="225">
        <v>930.1</v>
      </c>
    </row>
    <row r="76" spans="1:7">
      <c r="A76" s="18">
        <v>62</v>
      </c>
      <c r="B76" s="225" t="s">
        <v>2096</v>
      </c>
      <c r="C76" s="225" t="s">
        <v>2088</v>
      </c>
      <c r="D76" s="245">
        <v>47.68</v>
      </c>
      <c r="E76" s="245">
        <f>+D76*'State Allocation Formulas'!$C$21</f>
        <v>35.841056000000002</v>
      </c>
      <c r="F76" s="245"/>
      <c r="G76" s="225">
        <v>930.1</v>
      </c>
    </row>
    <row r="77" spans="1:7">
      <c r="A77" s="18">
        <v>63</v>
      </c>
      <c r="B77" s="225" t="s">
        <v>2097</v>
      </c>
      <c r="C77" s="225" t="s">
        <v>2098</v>
      </c>
      <c r="D77" s="245">
        <v>36.5</v>
      </c>
      <c r="E77" s="245">
        <f>+D77*'State Allocation Formulas'!$C$21</f>
        <v>27.437050000000003</v>
      </c>
      <c r="F77" s="245"/>
      <c r="G77" s="225">
        <v>930.1</v>
      </c>
    </row>
    <row r="78" spans="1:7">
      <c r="A78" s="18">
        <v>64</v>
      </c>
      <c r="B78" s="225" t="s">
        <v>2099</v>
      </c>
      <c r="C78" s="225" t="s">
        <v>2080</v>
      </c>
      <c r="D78" s="245">
        <v>74.5</v>
      </c>
      <c r="E78" s="245">
        <f>+D78*'State Allocation Formulas'!$C$21</f>
        <v>56.001650000000005</v>
      </c>
      <c r="F78" s="245"/>
      <c r="G78" s="225">
        <v>930.1</v>
      </c>
    </row>
    <row r="79" spans="1:7">
      <c r="A79" s="18">
        <v>65</v>
      </c>
      <c r="B79" s="225" t="s">
        <v>2100</v>
      </c>
      <c r="C79" s="225" t="s">
        <v>2101</v>
      </c>
      <c r="D79" s="245">
        <v>71.52</v>
      </c>
      <c r="E79" s="245">
        <f>+D79*'State Allocation Formulas'!$C$21</f>
        <v>53.761583999999999</v>
      </c>
      <c r="F79" s="245"/>
      <c r="G79" s="225">
        <v>930.1</v>
      </c>
    </row>
    <row r="80" spans="1:7">
      <c r="A80" s="18">
        <v>66</v>
      </c>
      <c r="B80" s="225" t="s">
        <v>2102</v>
      </c>
      <c r="C80" s="225" t="s">
        <v>2103</v>
      </c>
      <c r="D80" s="245">
        <v>372.5</v>
      </c>
      <c r="E80" s="245">
        <f>+D80*'State Allocation Formulas'!$C$21</f>
        <v>280.00825000000003</v>
      </c>
      <c r="F80" s="245"/>
      <c r="G80" s="225">
        <v>930.1</v>
      </c>
    </row>
    <row r="81" spans="1:7">
      <c r="A81" s="18">
        <v>67</v>
      </c>
      <c r="B81" s="225" t="s">
        <v>2104</v>
      </c>
      <c r="C81" s="225" t="s">
        <v>2090</v>
      </c>
      <c r="D81" s="245">
        <v>324.44</v>
      </c>
      <c r="E81" s="245">
        <f>+D81*'State Allocation Formulas'!$C$21</f>
        <v>243.88154800000001</v>
      </c>
      <c r="F81" s="245"/>
      <c r="G81" s="225">
        <v>930.1</v>
      </c>
    </row>
    <row r="82" spans="1:7">
      <c r="A82" s="18">
        <v>68</v>
      </c>
      <c r="B82" s="225" t="s">
        <v>2104</v>
      </c>
      <c r="C82" s="225" t="s">
        <v>2090</v>
      </c>
      <c r="D82" s="245">
        <v>324.44</v>
      </c>
      <c r="E82" s="245">
        <f>+D82*'State Allocation Formulas'!$C$21</f>
        <v>243.88154800000001</v>
      </c>
      <c r="F82" s="245"/>
      <c r="G82" s="225">
        <v>930.1</v>
      </c>
    </row>
    <row r="83" spans="1:7">
      <c r="A83" s="18">
        <v>69</v>
      </c>
      <c r="B83" s="225" t="s">
        <v>2104</v>
      </c>
      <c r="C83" s="225" t="s">
        <v>2090</v>
      </c>
      <c r="D83" s="245">
        <v>324.44</v>
      </c>
      <c r="E83" s="245">
        <f>+D83*'State Allocation Formulas'!$C$21</f>
        <v>243.88154800000001</v>
      </c>
      <c r="F83" s="245"/>
      <c r="G83" s="225">
        <v>930.1</v>
      </c>
    </row>
    <row r="84" spans="1:7">
      <c r="A84" s="18">
        <v>70</v>
      </c>
      <c r="B84" s="225" t="s">
        <v>2104</v>
      </c>
      <c r="C84" s="225" t="s">
        <v>2090</v>
      </c>
      <c r="D84" s="245">
        <v>165.55</v>
      </c>
      <c r="E84" s="245">
        <f>+D84*'State Allocation Formulas'!$C$21</f>
        <v>124.44393500000001</v>
      </c>
      <c r="F84" s="245"/>
      <c r="G84" s="225">
        <v>930.1</v>
      </c>
    </row>
    <row r="85" spans="1:7">
      <c r="A85" s="18">
        <v>71</v>
      </c>
      <c r="B85" s="225" t="s">
        <v>2104</v>
      </c>
      <c r="C85" s="225" t="s">
        <v>2090</v>
      </c>
      <c r="D85" s="245">
        <v>165.56</v>
      </c>
      <c r="E85" s="245">
        <f>+D85*'State Allocation Formulas'!$C$21</f>
        <v>124.451452</v>
      </c>
      <c r="F85" s="245"/>
      <c r="G85" s="225">
        <v>930.1</v>
      </c>
    </row>
    <row r="86" spans="1:7">
      <c r="A86" s="18">
        <v>72</v>
      </c>
      <c r="B86" s="225" t="s">
        <v>2104</v>
      </c>
      <c r="C86" s="225" t="s">
        <v>2090</v>
      </c>
      <c r="D86" s="245">
        <v>632.41999999999996</v>
      </c>
      <c r="E86" s="245">
        <f>+D86*'State Allocation Formulas'!$C$21</f>
        <v>475.39011399999998</v>
      </c>
      <c r="F86" s="245"/>
      <c r="G86" s="225">
        <v>930.1</v>
      </c>
    </row>
    <row r="87" spans="1:7">
      <c r="A87" s="18">
        <v>73</v>
      </c>
      <c r="B87" s="225" t="s">
        <v>2105</v>
      </c>
      <c r="C87" s="225" t="s">
        <v>2106</v>
      </c>
      <c r="D87" s="245">
        <v>111.75</v>
      </c>
      <c r="E87" s="245">
        <f>+D87*'State Allocation Formulas'!$C$21</f>
        <v>84.002475000000004</v>
      </c>
      <c r="F87" s="245"/>
      <c r="G87" s="225">
        <v>930.1</v>
      </c>
    </row>
    <row r="88" spans="1:7">
      <c r="A88" s="18">
        <v>74</v>
      </c>
      <c r="B88" s="225" t="s">
        <v>2107</v>
      </c>
      <c r="C88" s="225" t="s">
        <v>2108</v>
      </c>
      <c r="D88" s="245">
        <v>745</v>
      </c>
      <c r="E88" s="245">
        <f>+D88*'State Allocation Formulas'!$C$21</f>
        <v>560.01650000000006</v>
      </c>
      <c r="F88" s="245"/>
      <c r="G88" s="225">
        <v>930.1</v>
      </c>
    </row>
    <row r="89" spans="1:7">
      <c r="A89" s="18">
        <v>75</v>
      </c>
      <c r="B89" s="225" t="s">
        <v>2109</v>
      </c>
      <c r="C89" s="225" t="s">
        <v>2110</v>
      </c>
      <c r="D89" s="245">
        <v>29.91</v>
      </c>
      <c r="E89" s="245">
        <f>+D89*'State Allocation Formulas'!$C$21</f>
        <v>22.483347000000002</v>
      </c>
      <c r="F89" s="245"/>
      <c r="G89" s="225">
        <v>930.1</v>
      </c>
    </row>
    <row r="90" spans="1:7">
      <c r="A90" s="18">
        <v>76</v>
      </c>
      <c r="B90" s="225" t="s">
        <v>2111</v>
      </c>
      <c r="C90" s="225" t="s">
        <v>2112</v>
      </c>
      <c r="D90" s="245">
        <v>21.83</v>
      </c>
      <c r="E90" s="245">
        <f>+D90*'State Allocation Formulas'!$C$21</f>
        <v>16.409610999999998</v>
      </c>
      <c r="F90" s="245"/>
      <c r="G90" s="225">
        <v>930.1</v>
      </c>
    </row>
    <row r="91" spans="1:7">
      <c r="A91" s="18">
        <v>77</v>
      </c>
      <c r="B91" s="225" t="s">
        <v>2113</v>
      </c>
      <c r="C91" s="225" t="s">
        <v>2088</v>
      </c>
      <c r="D91" s="245">
        <v>47.68</v>
      </c>
      <c r="E91" s="245">
        <f>+D91*'State Allocation Formulas'!$C$21</f>
        <v>35.841056000000002</v>
      </c>
      <c r="F91" s="245"/>
      <c r="G91" s="225">
        <v>930.1</v>
      </c>
    </row>
    <row r="92" spans="1:7">
      <c r="A92" s="18">
        <v>78</v>
      </c>
      <c r="B92" s="225" t="s">
        <v>2114</v>
      </c>
      <c r="C92" s="225" t="s">
        <v>2115</v>
      </c>
      <c r="D92" s="245">
        <v>372.5</v>
      </c>
      <c r="E92" s="245">
        <f>+D92*'State Allocation Formulas'!$C$21</f>
        <v>280.00825000000003</v>
      </c>
      <c r="F92" s="245"/>
      <c r="G92" s="225">
        <v>930.1</v>
      </c>
    </row>
    <row r="93" spans="1:7">
      <c r="A93" s="18">
        <v>79</v>
      </c>
      <c r="B93" s="225" t="s">
        <v>2116</v>
      </c>
      <c r="C93" s="225" t="s">
        <v>2117</v>
      </c>
      <c r="D93" s="245">
        <v>149</v>
      </c>
      <c r="E93" s="245">
        <f>+D93*'State Allocation Formulas'!$C$21</f>
        <v>112.00330000000001</v>
      </c>
      <c r="F93" s="245"/>
      <c r="G93" s="225">
        <v>930.1</v>
      </c>
    </row>
    <row r="94" spans="1:7">
      <c r="A94" s="18">
        <v>80</v>
      </c>
      <c r="B94" s="225" t="s">
        <v>2118</v>
      </c>
      <c r="C94" s="225" t="s">
        <v>2119</v>
      </c>
      <c r="D94" s="245">
        <v>149</v>
      </c>
      <c r="E94" s="245">
        <f>+D94*'State Allocation Formulas'!$C$21</f>
        <v>112.00330000000001</v>
      </c>
      <c r="F94" s="245"/>
      <c r="G94" s="225">
        <v>930.1</v>
      </c>
    </row>
    <row r="95" spans="1:7">
      <c r="A95" s="18">
        <v>81</v>
      </c>
      <c r="B95" s="225" t="s">
        <v>2120</v>
      </c>
      <c r="C95" s="225" t="s">
        <v>2078</v>
      </c>
      <c r="D95" s="245">
        <v>161.66999999999999</v>
      </c>
      <c r="E95" s="245">
        <f>+D95*'State Allocation Formulas'!$C$21</f>
        <v>121.527339</v>
      </c>
      <c r="F95" s="245"/>
      <c r="G95" s="225">
        <v>930.1</v>
      </c>
    </row>
    <row r="96" spans="1:7">
      <c r="A96" s="18">
        <v>82</v>
      </c>
      <c r="B96" s="225" t="s">
        <v>2121</v>
      </c>
      <c r="C96" s="225" t="s">
        <v>2088</v>
      </c>
      <c r="D96" s="245">
        <v>47.68</v>
      </c>
      <c r="E96" s="245">
        <f>+D96*'State Allocation Formulas'!$C$21</f>
        <v>35.841056000000002</v>
      </c>
      <c r="F96" s="245"/>
      <c r="G96" s="225">
        <v>930.1</v>
      </c>
    </row>
    <row r="97" spans="1:7">
      <c r="A97" s="18">
        <v>83</v>
      </c>
      <c r="B97" s="225" t="s">
        <v>2121</v>
      </c>
      <c r="C97" s="225" t="s">
        <v>2122</v>
      </c>
      <c r="D97" s="245">
        <v>73</v>
      </c>
      <c r="E97" s="245">
        <f>+D97*'State Allocation Formulas'!$C$21</f>
        <v>54.874100000000006</v>
      </c>
      <c r="F97" s="245"/>
      <c r="G97" s="225">
        <v>930.1</v>
      </c>
    </row>
    <row r="98" spans="1:7">
      <c r="A98" s="18">
        <v>84</v>
      </c>
      <c r="B98" s="225" t="s">
        <v>2121</v>
      </c>
      <c r="C98" s="225" t="s">
        <v>2123</v>
      </c>
      <c r="D98" s="245">
        <v>219</v>
      </c>
      <c r="E98" s="245">
        <f>+D98*'State Allocation Formulas'!$C$21</f>
        <v>164.6223</v>
      </c>
      <c r="F98" s="245"/>
      <c r="G98" s="225">
        <v>930.1</v>
      </c>
    </row>
    <row r="99" spans="1:7">
      <c r="A99" s="18">
        <v>85</v>
      </c>
      <c r="B99" s="225" t="s">
        <v>2124</v>
      </c>
      <c r="C99" s="225" t="s">
        <v>2124</v>
      </c>
      <c r="D99" s="245">
        <v>745</v>
      </c>
      <c r="E99" s="245">
        <f>+D99*'State Allocation Formulas'!$C$21</f>
        <v>560.01650000000006</v>
      </c>
      <c r="F99" s="245"/>
      <c r="G99" s="225">
        <v>930.1</v>
      </c>
    </row>
    <row r="100" spans="1:7">
      <c r="A100" s="18">
        <v>86</v>
      </c>
      <c r="B100" s="225" t="s">
        <v>2125</v>
      </c>
      <c r="C100" s="225" t="s">
        <v>2086</v>
      </c>
      <c r="D100" s="245">
        <v>164.21</v>
      </c>
      <c r="E100" s="245">
        <f>+D100*'State Allocation Formulas'!$C$21</f>
        <v>123.43665700000001</v>
      </c>
      <c r="F100" s="245"/>
      <c r="G100" s="225">
        <v>930.1</v>
      </c>
    </row>
    <row r="101" spans="1:7">
      <c r="A101" s="18">
        <v>87</v>
      </c>
      <c r="B101" s="225" t="s">
        <v>2126</v>
      </c>
      <c r="C101" s="225" t="s">
        <v>2086</v>
      </c>
      <c r="D101" s="245">
        <v>250.59</v>
      </c>
      <c r="E101" s="245">
        <f>+D101*'State Allocation Formulas'!$C$21</f>
        <v>188.368503</v>
      </c>
      <c r="F101" s="245"/>
      <c r="G101" s="225">
        <v>930.1</v>
      </c>
    </row>
    <row r="102" spans="1:7">
      <c r="A102" s="18">
        <v>88</v>
      </c>
      <c r="B102" s="225" t="s">
        <v>2127</v>
      </c>
      <c r="C102" s="225" t="s">
        <v>2086</v>
      </c>
      <c r="D102" s="245">
        <v>348.74</v>
      </c>
      <c r="E102" s="245">
        <f>+D102*'State Allocation Formulas'!$C$21</f>
        <v>262.14785800000004</v>
      </c>
      <c r="F102" s="245"/>
      <c r="G102" s="225">
        <v>930.1</v>
      </c>
    </row>
    <row r="103" spans="1:7">
      <c r="A103" s="18">
        <v>89</v>
      </c>
      <c r="B103" s="225" t="s">
        <v>2128</v>
      </c>
      <c r="C103" s="225" t="s">
        <v>2129</v>
      </c>
      <c r="D103" s="245">
        <v>37.25</v>
      </c>
      <c r="E103" s="245">
        <f>+D103*'State Allocation Formulas'!$C$21</f>
        <v>28.000825000000003</v>
      </c>
      <c r="F103" s="245"/>
      <c r="G103" s="225">
        <v>930.1</v>
      </c>
    </row>
    <row r="104" spans="1:7">
      <c r="A104" s="18">
        <v>90</v>
      </c>
      <c r="B104" s="225" t="s">
        <v>2130</v>
      </c>
      <c r="C104" s="225" t="s">
        <v>2090</v>
      </c>
      <c r="D104" s="245">
        <v>324.44</v>
      </c>
      <c r="E104" s="245">
        <f>+D104*'State Allocation Formulas'!$C$21</f>
        <v>243.88154800000001</v>
      </c>
      <c r="F104" s="245"/>
      <c r="G104" s="225">
        <v>930.1</v>
      </c>
    </row>
    <row r="105" spans="1:7">
      <c r="A105" s="18">
        <v>91</v>
      </c>
      <c r="B105" s="225" t="s">
        <v>2131</v>
      </c>
      <c r="C105" s="225" t="s">
        <v>2132</v>
      </c>
      <c r="D105" s="245">
        <v>43.8</v>
      </c>
      <c r="E105" s="245">
        <f>+D105*'State Allocation Formulas'!$C$21</f>
        <v>32.924459999999996</v>
      </c>
      <c r="F105" s="245"/>
      <c r="G105" s="225">
        <v>930.1</v>
      </c>
    </row>
    <row r="106" spans="1:7">
      <c r="A106" s="18">
        <v>92</v>
      </c>
      <c r="B106" s="225" t="s">
        <v>2133</v>
      </c>
      <c r="C106" s="225" t="s">
        <v>2134</v>
      </c>
      <c r="D106" s="245">
        <v>36.5</v>
      </c>
      <c r="E106" s="245">
        <f>+D106*'State Allocation Formulas'!$C$21</f>
        <v>27.437050000000003</v>
      </c>
      <c r="F106" s="245"/>
      <c r="G106" s="225">
        <v>930.1</v>
      </c>
    </row>
    <row r="107" spans="1:7">
      <c r="A107" s="18">
        <v>93</v>
      </c>
      <c r="B107" s="225" t="s">
        <v>2135</v>
      </c>
      <c r="C107" s="225" t="s">
        <v>2136</v>
      </c>
      <c r="D107" s="245">
        <v>365</v>
      </c>
      <c r="E107" s="245">
        <f>+D107*'State Allocation Formulas'!$C$21</f>
        <v>274.37049999999999</v>
      </c>
      <c r="F107" s="245"/>
      <c r="G107" s="225">
        <v>930.1</v>
      </c>
    </row>
    <row r="108" spans="1:7">
      <c r="A108" s="18">
        <v>94</v>
      </c>
      <c r="B108" s="225" t="s">
        <v>2137</v>
      </c>
      <c r="C108" s="225" t="s">
        <v>2138</v>
      </c>
      <c r="D108" s="245">
        <v>197.1</v>
      </c>
      <c r="E108" s="245">
        <f>+D108*'State Allocation Formulas'!$C$21</f>
        <v>148.16006999999999</v>
      </c>
      <c r="F108" s="245"/>
      <c r="G108" s="225">
        <v>930.1</v>
      </c>
    </row>
    <row r="109" spans="1:7">
      <c r="A109" s="18">
        <v>95</v>
      </c>
      <c r="B109" s="225" t="s">
        <v>2139</v>
      </c>
      <c r="C109" s="225" t="s">
        <v>2086</v>
      </c>
      <c r="D109" s="245">
        <v>328.06</v>
      </c>
      <c r="E109" s="245">
        <f>+D109*'State Allocation Formulas'!$C$21</f>
        <v>246.60270200000002</v>
      </c>
      <c r="F109" s="245"/>
      <c r="G109" s="225">
        <v>930.1</v>
      </c>
    </row>
    <row r="110" spans="1:7">
      <c r="A110" s="18">
        <v>96</v>
      </c>
      <c r="B110" s="225" t="s">
        <v>2140</v>
      </c>
      <c r="C110" s="225" t="s">
        <v>2086</v>
      </c>
      <c r="D110" s="245">
        <v>639.72</v>
      </c>
      <c r="E110" s="245">
        <f>+D110*'State Allocation Formulas'!$C$21</f>
        <v>480.87752400000005</v>
      </c>
      <c r="F110" s="245"/>
      <c r="G110" s="225">
        <v>930.1</v>
      </c>
    </row>
    <row r="111" spans="1:7">
      <c r="A111" s="18">
        <v>97</v>
      </c>
      <c r="B111" s="225" t="s">
        <v>2141</v>
      </c>
      <c r="C111" s="225" t="s">
        <v>2086</v>
      </c>
      <c r="D111" s="245">
        <v>718.61</v>
      </c>
      <c r="E111" s="245">
        <f>+D111*'State Allocation Formulas'!$C$21</f>
        <v>540.17913700000008</v>
      </c>
      <c r="F111" s="245"/>
      <c r="G111" s="225">
        <v>930.1</v>
      </c>
    </row>
    <row r="112" spans="1:7">
      <c r="A112" s="18">
        <v>98</v>
      </c>
      <c r="B112" s="225" t="s">
        <v>2142</v>
      </c>
      <c r="C112" s="225" t="s">
        <v>2106</v>
      </c>
      <c r="D112" s="245">
        <v>292</v>
      </c>
      <c r="E112" s="245">
        <f>+D112*'State Allocation Formulas'!$C$21</f>
        <v>219.49640000000002</v>
      </c>
      <c r="F112" s="245"/>
      <c r="G112" s="225">
        <v>930.1</v>
      </c>
    </row>
    <row r="113" spans="1:7">
      <c r="A113" s="18">
        <v>99</v>
      </c>
      <c r="B113" s="225" t="s">
        <v>2143</v>
      </c>
      <c r="C113" s="225" t="s">
        <v>2144</v>
      </c>
      <c r="D113" s="245">
        <v>73</v>
      </c>
      <c r="E113" s="245">
        <f>+D113*'State Allocation Formulas'!$C$21</f>
        <v>54.874100000000006</v>
      </c>
      <c r="F113" s="245"/>
      <c r="G113" s="225">
        <v>930.1</v>
      </c>
    </row>
    <row r="114" spans="1:7">
      <c r="A114" s="18">
        <v>100</v>
      </c>
      <c r="B114" s="225" t="s">
        <v>2145</v>
      </c>
      <c r="C114" s="225" t="s">
        <v>2146</v>
      </c>
      <c r="D114" s="245">
        <v>2336</v>
      </c>
      <c r="E114" s="245">
        <f>+D114*'State Allocation Formulas'!$C$21</f>
        <v>1755.9712000000002</v>
      </c>
      <c r="F114" s="245"/>
      <c r="G114" s="225">
        <v>930.1</v>
      </c>
    </row>
    <row r="115" spans="1:7">
      <c r="A115" s="18">
        <v>101</v>
      </c>
      <c r="B115" s="225" t="s">
        <v>2147</v>
      </c>
      <c r="C115" s="225" t="s">
        <v>2148</v>
      </c>
      <c r="D115" s="245">
        <v>0</v>
      </c>
      <c r="E115" s="245">
        <f>+D115*'State Allocation Formulas'!$C$21</f>
        <v>0</v>
      </c>
      <c r="F115" s="245"/>
      <c r="G115" s="225">
        <v>930.1</v>
      </c>
    </row>
    <row r="116" spans="1:7">
      <c r="A116" s="18">
        <v>102</v>
      </c>
      <c r="B116" s="225" t="s">
        <v>2149</v>
      </c>
      <c r="C116" s="225" t="s">
        <v>2106</v>
      </c>
      <c r="D116" s="245">
        <v>547.5</v>
      </c>
      <c r="E116" s="245">
        <f>+D116*'State Allocation Formulas'!$C$21</f>
        <v>411.55575000000005</v>
      </c>
      <c r="F116" s="245"/>
      <c r="G116" s="225">
        <v>930.1</v>
      </c>
    </row>
    <row r="117" spans="1:7">
      <c r="A117" s="18">
        <v>103</v>
      </c>
      <c r="B117" s="225" t="s">
        <v>2149</v>
      </c>
      <c r="C117" s="225" t="s">
        <v>2106</v>
      </c>
      <c r="D117" s="245">
        <v>547.5</v>
      </c>
      <c r="E117" s="245">
        <f>+D117*'State Allocation Formulas'!$C$21</f>
        <v>411.55575000000005</v>
      </c>
      <c r="F117" s="245"/>
      <c r="G117" s="225">
        <v>930.1</v>
      </c>
    </row>
    <row r="118" spans="1:7">
      <c r="A118" s="18">
        <v>104</v>
      </c>
      <c r="B118" s="225" t="s">
        <v>2150</v>
      </c>
      <c r="C118" s="225" t="s">
        <v>2151</v>
      </c>
      <c r="D118" s="245">
        <v>-3.49</v>
      </c>
      <c r="E118" s="245">
        <f>+D118*'State Allocation Formulas'!$C$21</f>
        <v>-2.6234330000000003</v>
      </c>
      <c r="F118" s="245"/>
      <c r="G118" s="225">
        <v>930.1</v>
      </c>
    </row>
    <row r="119" spans="1:7">
      <c r="A119" s="18">
        <v>105</v>
      </c>
      <c r="B119" s="225" t="s">
        <v>2152</v>
      </c>
      <c r="C119" s="225" t="s">
        <v>2151</v>
      </c>
      <c r="D119" s="245">
        <v>-4.5999999999999996</v>
      </c>
      <c r="E119" s="245">
        <f>+D119*'State Allocation Formulas'!$C$21</f>
        <v>-3.4578199999999999</v>
      </c>
      <c r="F119" s="245"/>
      <c r="G119" s="225">
        <v>930.1</v>
      </c>
    </row>
    <row r="120" spans="1:7">
      <c r="A120" s="18">
        <v>106</v>
      </c>
      <c r="B120" s="225" t="s">
        <v>2153</v>
      </c>
      <c r="C120" s="225" t="s">
        <v>2146</v>
      </c>
      <c r="D120" s="245">
        <v>95.63</v>
      </c>
      <c r="E120" s="245">
        <f>+D120*'State Allocation Formulas'!$C$21</f>
        <v>71.885070999999996</v>
      </c>
      <c r="F120" s="245"/>
      <c r="G120" s="225">
        <v>930.1</v>
      </c>
    </row>
    <row r="121" spans="1:7">
      <c r="A121" s="18">
        <v>107</v>
      </c>
      <c r="B121" s="225" t="s">
        <v>2154</v>
      </c>
      <c r="C121" s="225" t="s">
        <v>2080</v>
      </c>
      <c r="D121" s="245">
        <v>18.25</v>
      </c>
      <c r="E121" s="245">
        <f>+D121*'State Allocation Formulas'!$C$21</f>
        <v>13.718525000000001</v>
      </c>
      <c r="F121" s="245"/>
      <c r="G121" s="225">
        <v>930.1</v>
      </c>
    </row>
    <row r="122" spans="1:7">
      <c r="A122" s="18">
        <v>108</v>
      </c>
      <c r="B122" s="225" t="s">
        <v>2155</v>
      </c>
      <c r="C122" s="225" t="s">
        <v>2088</v>
      </c>
      <c r="D122" s="245">
        <v>280.32</v>
      </c>
      <c r="E122" s="245">
        <f>+D122*'State Allocation Formulas'!$C$21</f>
        <v>210.716544</v>
      </c>
      <c r="F122" s="245"/>
      <c r="G122" s="225">
        <v>930.1</v>
      </c>
    </row>
    <row r="123" spans="1:7">
      <c r="A123" s="18">
        <v>109</v>
      </c>
      <c r="B123" s="225" t="s">
        <v>2156</v>
      </c>
      <c r="C123" s="225" t="s">
        <v>2157</v>
      </c>
      <c r="D123" s="245">
        <v>37.81</v>
      </c>
      <c r="E123" s="245">
        <f>+D123*'State Allocation Formulas'!$C$21</f>
        <v>28.421777000000002</v>
      </c>
      <c r="F123" s="245"/>
      <c r="G123" s="225">
        <v>930.1</v>
      </c>
    </row>
    <row r="124" spans="1:7">
      <c r="A124" s="18">
        <v>110</v>
      </c>
      <c r="B124" s="225" t="s">
        <v>2158</v>
      </c>
      <c r="C124" s="225" t="s">
        <v>2101</v>
      </c>
      <c r="D124" s="245">
        <v>70.08</v>
      </c>
      <c r="E124" s="245">
        <f>+D124*'State Allocation Formulas'!$C$21</f>
        <v>52.679136</v>
      </c>
      <c r="F124" s="245"/>
      <c r="G124" s="225">
        <v>930.1</v>
      </c>
    </row>
    <row r="125" spans="1:7">
      <c r="A125" s="18">
        <v>111</v>
      </c>
      <c r="B125" s="225" t="s">
        <v>2159</v>
      </c>
      <c r="C125" s="225" t="s">
        <v>2160</v>
      </c>
      <c r="D125" s="245">
        <v>486.62</v>
      </c>
      <c r="E125" s="245">
        <f>+D125*'State Allocation Formulas'!$C$21</f>
        <v>365.79225400000001</v>
      </c>
      <c r="F125" s="245"/>
      <c r="G125" s="225">
        <v>930.1</v>
      </c>
    </row>
    <row r="126" spans="1:7">
      <c r="A126" s="18">
        <v>112</v>
      </c>
      <c r="B126" s="225" t="s">
        <v>2161</v>
      </c>
      <c r="C126" s="225" t="s">
        <v>2162</v>
      </c>
      <c r="D126" s="245">
        <v>36.5</v>
      </c>
      <c r="E126" s="245">
        <f>+D126*'State Allocation Formulas'!$C$21</f>
        <v>27.437050000000003</v>
      </c>
      <c r="F126" s="245"/>
      <c r="G126" s="225">
        <v>930.1</v>
      </c>
    </row>
    <row r="127" spans="1:7">
      <c r="A127" s="18">
        <v>113</v>
      </c>
      <c r="B127" s="225" t="s">
        <v>2163</v>
      </c>
      <c r="C127" s="225" t="s">
        <v>2164</v>
      </c>
      <c r="D127" s="245">
        <v>51.1</v>
      </c>
      <c r="E127" s="245">
        <f>+D127*'State Allocation Formulas'!$C$21</f>
        <v>38.41187</v>
      </c>
      <c r="F127" s="245"/>
      <c r="G127" s="225">
        <v>930.1</v>
      </c>
    </row>
    <row r="128" spans="1:7">
      <c r="A128" s="18">
        <v>114</v>
      </c>
      <c r="B128" s="225" t="s">
        <v>2165</v>
      </c>
      <c r="C128" s="225" t="s">
        <v>2166</v>
      </c>
      <c r="D128" s="245">
        <v>116.8</v>
      </c>
      <c r="E128" s="245">
        <f>+D128*'State Allocation Formulas'!$C$21</f>
        <v>87.798559999999995</v>
      </c>
      <c r="F128" s="245"/>
      <c r="G128" s="225">
        <v>930.1</v>
      </c>
    </row>
    <row r="129" spans="1:7">
      <c r="A129" s="18">
        <v>115</v>
      </c>
      <c r="B129" s="225" t="s">
        <v>2167</v>
      </c>
      <c r="C129" s="225" t="s">
        <v>2168</v>
      </c>
      <c r="D129" s="245">
        <v>146</v>
      </c>
      <c r="E129" s="245">
        <f>+D129*'State Allocation Formulas'!$C$21</f>
        <v>109.74820000000001</v>
      </c>
      <c r="F129" s="245"/>
      <c r="G129" s="225">
        <v>930.1</v>
      </c>
    </row>
    <row r="130" spans="1:7">
      <c r="A130" s="18">
        <v>116</v>
      </c>
      <c r="B130" s="225" t="s">
        <v>2169</v>
      </c>
      <c r="C130" s="225" t="s">
        <v>2170</v>
      </c>
      <c r="D130" s="245">
        <v>43.8</v>
      </c>
      <c r="E130" s="245">
        <f>+D130*'State Allocation Formulas'!$C$21</f>
        <v>32.924459999999996</v>
      </c>
      <c r="F130" s="245"/>
      <c r="G130" s="225">
        <v>930.1</v>
      </c>
    </row>
    <row r="131" spans="1:7">
      <c r="A131" s="18">
        <v>117</v>
      </c>
      <c r="B131" s="225" t="s">
        <v>2171</v>
      </c>
      <c r="C131" s="225" t="s">
        <v>2172</v>
      </c>
      <c r="D131" s="245">
        <v>730</v>
      </c>
      <c r="E131" s="245">
        <f>+D131*'State Allocation Formulas'!$C$21</f>
        <v>548.74099999999999</v>
      </c>
      <c r="F131" s="245"/>
      <c r="G131" s="225">
        <v>930.1</v>
      </c>
    </row>
    <row r="132" spans="1:7">
      <c r="A132" s="18">
        <v>118</v>
      </c>
      <c r="B132" s="225" t="s">
        <v>2173</v>
      </c>
      <c r="C132" s="225" t="s">
        <v>2174</v>
      </c>
      <c r="D132" s="245">
        <v>2.48</v>
      </c>
      <c r="E132" s="245">
        <f>+D132*'State Allocation Formulas'!$C$21</f>
        <v>1.8642160000000001</v>
      </c>
      <c r="F132" s="245"/>
      <c r="G132" s="225">
        <v>930.1</v>
      </c>
    </row>
    <row r="133" spans="1:7">
      <c r="A133" s="18">
        <v>119</v>
      </c>
      <c r="B133" s="225" t="s">
        <v>2173</v>
      </c>
      <c r="C133" s="225" t="s">
        <v>2174</v>
      </c>
      <c r="D133" s="245">
        <v>2.0299999999999998</v>
      </c>
      <c r="E133" s="245">
        <f>+D133*'State Allocation Formulas'!$C$21</f>
        <v>1.5259509999999998</v>
      </c>
      <c r="F133" s="245"/>
      <c r="G133" s="225">
        <v>930.1</v>
      </c>
    </row>
    <row r="134" spans="1:7">
      <c r="A134" s="18">
        <v>120</v>
      </c>
      <c r="B134" s="225" t="s">
        <v>2173</v>
      </c>
      <c r="C134" s="225" t="s">
        <v>2174</v>
      </c>
      <c r="D134" s="245">
        <v>1.87</v>
      </c>
      <c r="E134" s="245">
        <f>+D134*'State Allocation Formulas'!$C$21</f>
        <v>1.4056790000000001</v>
      </c>
      <c r="F134" s="245"/>
      <c r="G134" s="225">
        <v>930.1</v>
      </c>
    </row>
    <row r="135" spans="1:7">
      <c r="A135" s="18">
        <v>121</v>
      </c>
      <c r="B135" s="225" t="s">
        <v>2175</v>
      </c>
      <c r="C135" s="225" t="s">
        <v>2174</v>
      </c>
      <c r="D135" s="245">
        <v>1.97</v>
      </c>
      <c r="E135" s="245">
        <f>+D135*'State Allocation Formulas'!$C$21</f>
        <v>1.4808490000000001</v>
      </c>
      <c r="F135" s="245"/>
      <c r="G135" s="225">
        <v>930.1</v>
      </c>
    </row>
    <row r="136" spans="1:7">
      <c r="A136" s="18">
        <v>122</v>
      </c>
      <c r="B136" s="225" t="s">
        <v>2176</v>
      </c>
      <c r="C136" s="225" t="s">
        <v>2078</v>
      </c>
      <c r="D136" s="245">
        <v>1324.59</v>
      </c>
      <c r="E136" s="245">
        <f>+D136*'State Allocation Formulas'!$C$21</f>
        <v>995.69430299999999</v>
      </c>
      <c r="F136" s="245"/>
      <c r="G136" s="225">
        <v>930.1</v>
      </c>
    </row>
    <row r="137" spans="1:7">
      <c r="A137" s="18">
        <v>123</v>
      </c>
      <c r="B137" s="225" t="s">
        <v>2177</v>
      </c>
      <c r="C137" s="225" t="s">
        <v>2178</v>
      </c>
      <c r="D137" s="245">
        <v>14.6</v>
      </c>
      <c r="E137" s="245">
        <f>+D137*'State Allocation Formulas'!$C$21</f>
        <v>10.974819999999999</v>
      </c>
      <c r="F137" s="245"/>
      <c r="G137" s="225">
        <v>930.1</v>
      </c>
    </row>
    <row r="138" spans="1:7">
      <c r="A138" s="18">
        <v>124</v>
      </c>
      <c r="B138" s="225" t="s">
        <v>2179</v>
      </c>
      <c r="C138" s="225" t="s">
        <v>2180</v>
      </c>
      <c r="D138" s="245">
        <v>16.97</v>
      </c>
      <c r="E138" s="245">
        <f>+D138*'State Allocation Formulas'!$C$21</f>
        <v>12.756349</v>
      </c>
      <c r="F138" s="245"/>
      <c r="G138" s="225">
        <v>930.1</v>
      </c>
    </row>
    <row r="139" spans="1:7">
      <c r="A139" s="18">
        <v>125</v>
      </c>
      <c r="B139" s="225" t="s">
        <v>2179</v>
      </c>
      <c r="C139" s="225" t="s">
        <v>2180</v>
      </c>
      <c r="D139" s="245">
        <v>3.15</v>
      </c>
      <c r="E139" s="245">
        <f>+D139*'State Allocation Formulas'!$C$21</f>
        <v>2.367855</v>
      </c>
      <c r="F139" s="245"/>
      <c r="G139" s="225">
        <v>930.1</v>
      </c>
    </row>
    <row r="140" spans="1:7">
      <c r="A140" s="18">
        <v>126</v>
      </c>
      <c r="B140" s="225" t="s">
        <v>2181</v>
      </c>
      <c r="C140" s="225" t="s">
        <v>2182</v>
      </c>
      <c r="D140" s="245">
        <v>29.2</v>
      </c>
      <c r="E140" s="245">
        <f>+D140*'State Allocation Formulas'!$C$21</f>
        <v>21.949639999999999</v>
      </c>
      <c r="F140" s="245"/>
      <c r="G140" s="225">
        <v>930.1</v>
      </c>
    </row>
    <row r="141" spans="1:7">
      <c r="A141" s="18">
        <v>127</v>
      </c>
      <c r="B141" s="225" t="s">
        <v>2183</v>
      </c>
      <c r="C141" s="225" t="s">
        <v>2184</v>
      </c>
      <c r="D141" s="245">
        <v>245.28</v>
      </c>
      <c r="E141" s="245">
        <f>+D141*'State Allocation Formulas'!$C$21</f>
        <v>184.37697600000001</v>
      </c>
      <c r="F141" s="245"/>
      <c r="G141" s="225">
        <v>930.1</v>
      </c>
    </row>
    <row r="142" spans="1:7">
      <c r="A142" s="18">
        <v>128</v>
      </c>
      <c r="B142" s="225" t="s">
        <v>2185</v>
      </c>
      <c r="C142" s="225" t="s">
        <v>2180</v>
      </c>
      <c r="D142" s="245">
        <v>100.86</v>
      </c>
      <c r="E142" s="245">
        <f>+D142*'State Allocation Formulas'!$C$21</f>
        <v>75.816462000000001</v>
      </c>
      <c r="F142" s="245"/>
      <c r="G142" s="225">
        <v>930.1</v>
      </c>
    </row>
    <row r="143" spans="1:7">
      <c r="A143" s="18">
        <v>129</v>
      </c>
      <c r="B143" s="225" t="s">
        <v>2186</v>
      </c>
      <c r="C143" s="225" t="s">
        <v>2187</v>
      </c>
      <c r="D143" s="245">
        <v>327.04000000000002</v>
      </c>
      <c r="E143" s="245">
        <f>+D143*'State Allocation Formulas'!$C$21</f>
        <v>245.83596800000004</v>
      </c>
      <c r="F143" s="245"/>
      <c r="G143" s="225">
        <v>930.1</v>
      </c>
    </row>
    <row r="144" spans="1:7">
      <c r="A144" s="18">
        <v>130</v>
      </c>
      <c r="B144" s="225" t="s">
        <v>2188</v>
      </c>
      <c r="C144" s="225" t="s">
        <v>2180</v>
      </c>
      <c r="D144" s="245">
        <v>49.46</v>
      </c>
      <c r="E144" s="245">
        <f>+D144*'State Allocation Formulas'!$C$21</f>
        <v>37.179082000000001</v>
      </c>
      <c r="F144" s="245"/>
      <c r="G144" s="225">
        <v>930.1</v>
      </c>
    </row>
    <row r="145" spans="1:7">
      <c r="A145" s="18">
        <v>131</v>
      </c>
      <c r="B145" s="225" t="s">
        <v>2189</v>
      </c>
      <c r="C145" s="225" t="s">
        <v>2190</v>
      </c>
      <c r="D145" s="245">
        <v>146</v>
      </c>
      <c r="E145" s="245">
        <f>+D145*'State Allocation Formulas'!$C$21</f>
        <v>109.74820000000001</v>
      </c>
      <c r="F145" s="245"/>
      <c r="G145" s="225">
        <v>930.1</v>
      </c>
    </row>
    <row r="146" spans="1:7">
      <c r="A146" s="18">
        <v>132</v>
      </c>
      <c r="B146" s="225" t="s">
        <v>2191</v>
      </c>
      <c r="C146" s="225" t="s">
        <v>2192</v>
      </c>
      <c r="D146" s="245">
        <v>730</v>
      </c>
      <c r="E146" s="245">
        <f>+D146*'State Allocation Formulas'!$C$21</f>
        <v>548.74099999999999</v>
      </c>
      <c r="F146" s="245"/>
      <c r="G146" s="225">
        <v>930.1</v>
      </c>
    </row>
    <row r="147" spans="1:7">
      <c r="A147" s="18">
        <v>133</v>
      </c>
      <c r="B147" s="225" t="s">
        <v>2193</v>
      </c>
      <c r="C147" s="225" t="s">
        <v>2194</v>
      </c>
      <c r="D147" s="245">
        <v>378.83</v>
      </c>
      <c r="E147" s="245">
        <f>+D147*'State Allocation Formulas'!$C$21</f>
        <v>284.76651099999998</v>
      </c>
      <c r="F147" s="245"/>
      <c r="G147" s="225">
        <v>930.1</v>
      </c>
    </row>
    <row r="148" spans="1:7">
      <c r="A148" s="18">
        <v>134</v>
      </c>
      <c r="B148" s="225" t="s">
        <v>2195</v>
      </c>
      <c r="C148" s="225" t="s">
        <v>2196</v>
      </c>
      <c r="D148" s="245">
        <v>2920</v>
      </c>
      <c r="E148" s="245">
        <f>+D148*'State Allocation Formulas'!$C$21</f>
        <v>2194.9639999999999</v>
      </c>
      <c r="F148" s="245"/>
      <c r="G148" s="225">
        <v>930.1</v>
      </c>
    </row>
    <row r="149" spans="1:7">
      <c r="A149" s="18">
        <v>135</v>
      </c>
      <c r="B149" s="225" t="s">
        <v>2197</v>
      </c>
      <c r="C149" s="225" t="s">
        <v>2090</v>
      </c>
      <c r="D149" s="245">
        <v>324.44</v>
      </c>
      <c r="E149" s="245">
        <f>+D149*'State Allocation Formulas'!$C$21</f>
        <v>243.88154800000001</v>
      </c>
      <c r="F149" s="245"/>
      <c r="G149" s="225">
        <v>930.1</v>
      </c>
    </row>
    <row r="150" spans="1:7">
      <c r="A150" s="18">
        <v>136</v>
      </c>
      <c r="B150" s="225" t="s">
        <v>2198</v>
      </c>
      <c r="C150" s="225" t="s">
        <v>2086</v>
      </c>
      <c r="D150" s="245">
        <v>410.27</v>
      </c>
      <c r="E150" s="245">
        <f>+D150*'State Allocation Formulas'!$C$21</f>
        <v>308.39995900000002</v>
      </c>
      <c r="F150" s="245"/>
      <c r="G150" s="225">
        <v>930.1</v>
      </c>
    </row>
    <row r="151" spans="1:7">
      <c r="A151" s="18">
        <v>137</v>
      </c>
      <c r="B151" s="225" t="s">
        <v>2198</v>
      </c>
      <c r="C151" s="225" t="s">
        <v>2086</v>
      </c>
      <c r="D151" s="245">
        <v>717.05</v>
      </c>
      <c r="E151" s="245">
        <f>+D151*'State Allocation Formulas'!$C$21</f>
        <v>539.006485</v>
      </c>
      <c r="F151" s="245"/>
      <c r="G151" s="225">
        <v>930.1</v>
      </c>
    </row>
    <row r="152" spans="1:7">
      <c r="A152" s="18">
        <v>138</v>
      </c>
      <c r="B152" s="225" t="s">
        <v>2199</v>
      </c>
      <c r="C152" s="225" t="s">
        <v>2086</v>
      </c>
      <c r="D152" s="245">
        <v>109.35</v>
      </c>
      <c r="E152" s="245">
        <f>+D152*'State Allocation Formulas'!$C$21</f>
        <v>82.198395000000005</v>
      </c>
      <c r="F152" s="245"/>
      <c r="G152" s="225">
        <v>930.1</v>
      </c>
    </row>
    <row r="153" spans="1:7">
      <c r="A153" s="18">
        <v>139</v>
      </c>
      <c r="B153" s="225" t="s">
        <v>2199</v>
      </c>
      <c r="C153" s="225" t="s">
        <v>2086</v>
      </c>
      <c r="D153" s="245">
        <v>416.91</v>
      </c>
      <c r="E153" s="245">
        <f>+D153*'State Allocation Formulas'!$C$21</f>
        <v>313.39124700000002</v>
      </c>
      <c r="F153" s="245"/>
      <c r="G153" s="225">
        <v>930.1</v>
      </c>
    </row>
    <row r="154" spans="1:7">
      <c r="A154" s="18">
        <v>140</v>
      </c>
      <c r="B154" s="225" t="s">
        <v>2200</v>
      </c>
      <c r="C154" s="225" t="s">
        <v>2086</v>
      </c>
      <c r="D154" s="245">
        <v>175.75</v>
      </c>
      <c r="E154" s="245">
        <f>+D154*'State Allocation Formulas'!$C$21</f>
        <v>132.11127500000001</v>
      </c>
      <c r="F154" s="245"/>
      <c r="G154" s="225">
        <v>930.1</v>
      </c>
    </row>
    <row r="155" spans="1:7">
      <c r="A155" s="18">
        <v>141</v>
      </c>
      <c r="B155" s="225" t="s">
        <v>2201</v>
      </c>
      <c r="C155" s="225" t="s">
        <v>2202</v>
      </c>
      <c r="D155" s="245">
        <v>146</v>
      </c>
      <c r="E155" s="245">
        <f>+D155*'State Allocation Formulas'!$C$21</f>
        <v>109.74820000000001</v>
      </c>
      <c r="F155" s="245"/>
      <c r="G155" s="225">
        <v>930.1</v>
      </c>
    </row>
    <row r="156" spans="1:7">
      <c r="A156" s="18">
        <v>142</v>
      </c>
      <c r="B156" s="225" t="s">
        <v>2203</v>
      </c>
      <c r="C156" s="225" t="s">
        <v>2086</v>
      </c>
      <c r="D156" s="245">
        <v>314</v>
      </c>
      <c r="E156" s="245">
        <f>+D156*'State Allocation Formulas'!$C$21</f>
        <v>236.03380000000001</v>
      </c>
      <c r="F156" s="245"/>
      <c r="G156" s="225">
        <v>930.1</v>
      </c>
    </row>
    <row r="157" spans="1:7">
      <c r="A157" s="18">
        <v>143</v>
      </c>
      <c r="B157" s="225" t="s">
        <v>2047</v>
      </c>
      <c r="C157" s="225" t="s">
        <v>2048</v>
      </c>
      <c r="D157" s="245">
        <v>84.71</v>
      </c>
      <c r="E157" s="245">
        <f>+D157*'State Allocation Formulas'!$C$21</f>
        <v>63.676507000000001</v>
      </c>
      <c r="F157" s="245"/>
      <c r="G157" s="225">
        <v>930.1</v>
      </c>
    </row>
    <row r="159" spans="1:7">
      <c r="A159" s="226">
        <v>144</v>
      </c>
      <c r="E159" s="378">
        <f>SUM(E28:E157)</f>
        <v>23274.466148000007</v>
      </c>
      <c r="F159" s="378">
        <f>SUM(F28:F157)</f>
        <v>2440</v>
      </c>
    </row>
    <row r="160" spans="1:7">
      <c r="A160" s="226">
        <v>145</v>
      </c>
      <c r="B160" s="16" t="s">
        <v>672</v>
      </c>
      <c r="F160" s="378">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4"/>
  <sheetViews>
    <sheetView view="pageBreakPreview" topLeftCell="A14" zoomScale="118" zoomScaleNormal="100" zoomScaleSheetLayoutView="118" workbookViewId="0">
      <selection activeCell="A2" sqref="A2:I2"/>
    </sheetView>
  </sheetViews>
  <sheetFormatPr defaultRowHeight="15"/>
  <cols>
    <col min="1" max="1" width="9.28515625" style="629" bestFit="1" customWidth="1"/>
    <col min="8" max="8" width="19.85546875" bestFit="1" customWidth="1"/>
    <col min="12" max="12" width="14.28515625" bestFit="1" customWidth="1"/>
    <col min="15" max="15" width="10.140625" bestFit="1" customWidth="1"/>
  </cols>
  <sheetData>
    <row r="1" spans="1:16" ht="15.75">
      <c r="B1" s="3"/>
      <c r="C1" s="1034"/>
      <c r="D1" s="1034"/>
      <c r="E1" s="1034"/>
      <c r="F1" s="1034"/>
      <c r="G1" s="1034"/>
      <c r="H1" s="1034"/>
      <c r="I1" s="3"/>
      <c r="J1" s="3"/>
      <c r="K1" s="3"/>
      <c r="L1" s="3"/>
      <c r="M1" s="3"/>
    </row>
    <row r="2" spans="1:16" ht="15.75">
      <c r="A2" s="1029" t="s">
        <v>60</v>
      </c>
      <c r="B2" s="1029"/>
      <c r="C2" s="1029"/>
      <c r="D2" s="1029"/>
      <c r="E2" s="1029"/>
      <c r="F2" s="1029"/>
      <c r="G2" s="1029"/>
      <c r="H2" s="1029"/>
      <c r="I2" s="1029"/>
      <c r="J2" s="2"/>
      <c r="K2" s="2"/>
      <c r="L2" s="2"/>
      <c r="M2" s="2"/>
    </row>
    <row r="3" spans="1:16" ht="15.75">
      <c r="A3" s="1029" t="s">
        <v>1854</v>
      </c>
      <c r="B3" s="1029"/>
      <c r="C3" s="1029"/>
      <c r="D3" s="1029"/>
      <c r="E3" s="1029"/>
      <c r="F3" s="1029"/>
      <c r="G3" s="1029"/>
      <c r="H3" s="1029"/>
      <c r="I3" s="1029"/>
      <c r="J3" s="2"/>
      <c r="K3" s="2"/>
      <c r="L3" s="2"/>
      <c r="M3" s="2"/>
    </row>
    <row r="4" spans="1:16" ht="15.75">
      <c r="A4" s="1029" t="s">
        <v>1280</v>
      </c>
      <c r="B4" s="1029"/>
      <c r="C4" s="1029"/>
      <c r="D4" s="1029"/>
      <c r="E4" s="1029"/>
      <c r="F4" s="1029"/>
      <c r="G4" s="1029"/>
      <c r="H4" s="1029"/>
      <c r="I4" s="1029"/>
      <c r="J4" s="2"/>
      <c r="K4" s="2"/>
      <c r="L4" s="2"/>
      <c r="M4" s="2"/>
    </row>
    <row r="5" spans="1:16" ht="15.75">
      <c r="A5" s="1074" t="s">
        <v>1849</v>
      </c>
      <c r="B5" s="1074"/>
      <c r="C5" s="1074"/>
      <c r="D5" s="1074"/>
      <c r="E5" s="1074"/>
      <c r="F5" s="1074"/>
      <c r="G5" s="1074"/>
      <c r="H5" s="1074"/>
      <c r="I5" s="1074"/>
      <c r="J5" s="628"/>
      <c r="K5" s="628"/>
      <c r="L5" s="628"/>
      <c r="M5" s="628"/>
    </row>
    <row r="6" spans="1:16" ht="15.75">
      <c r="A6" s="1029" t="s">
        <v>1853</v>
      </c>
      <c r="B6" s="1029"/>
      <c r="C6" s="1029"/>
      <c r="D6" s="1029"/>
      <c r="E6" s="1029"/>
      <c r="F6" s="1029"/>
      <c r="G6" s="1029"/>
      <c r="H6" s="1029"/>
      <c r="I6" s="1029"/>
      <c r="J6" s="2"/>
      <c r="K6" s="2"/>
      <c r="L6" s="2"/>
      <c r="M6" s="2"/>
    </row>
    <row r="7" spans="1:16" s="629" customFormat="1" ht="15.75">
      <c r="B7" s="3"/>
      <c r="C7" s="648"/>
      <c r="D7" s="648"/>
      <c r="E7" s="648"/>
      <c r="F7" s="648"/>
      <c r="G7" s="648"/>
      <c r="H7" s="648"/>
      <c r="I7" s="648"/>
      <c r="J7" s="648"/>
      <c r="K7" s="648"/>
      <c r="L7" s="648"/>
      <c r="M7" s="648"/>
    </row>
    <row r="8" spans="1:16">
      <c r="C8" s="652"/>
      <c r="D8" s="652"/>
      <c r="E8" s="652"/>
      <c r="F8" s="652"/>
      <c r="G8" s="629"/>
      <c r="H8" s="629"/>
      <c r="I8" s="629"/>
      <c r="J8" s="629"/>
    </row>
    <row r="9" spans="1:16" ht="15.75">
      <c r="A9" s="442" t="s">
        <v>660</v>
      </c>
      <c r="B9" s="3"/>
      <c r="C9" s="3"/>
      <c r="D9" s="3"/>
      <c r="E9" s="3"/>
      <c r="F9" s="3"/>
      <c r="G9" s="3"/>
      <c r="H9" s="3"/>
      <c r="I9" s="3"/>
      <c r="J9" s="3"/>
      <c r="K9" s="3"/>
      <c r="L9" s="3"/>
      <c r="M9" s="3"/>
      <c r="N9" s="3"/>
      <c r="O9" s="3"/>
      <c r="P9" s="3"/>
    </row>
    <row r="10" spans="1:16" ht="27" customHeight="1">
      <c r="A10" s="18">
        <v>1</v>
      </c>
      <c r="B10" s="1078" t="s">
        <v>1851</v>
      </c>
      <c r="C10" s="1078"/>
      <c r="D10" s="1078"/>
      <c r="E10" s="1078"/>
      <c r="F10" s="1078"/>
      <c r="G10" s="1078"/>
      <c r="H10" s="3"/>
      <c r="I10" s="3"/>
      <c r="J10" s="3"/>
      <c r="K10" s="3"/>
      <c r="L10" s="3"/>
      <c r="M10" s="3"/>
      <c r="N10" s="3"/>
      <c r="O10" s="3"/>
      <c r="P10" s="3"/>
    </row>
    <row r="11" spans="1:16" ht="15.75">
      <c r="A11" s="18">
        <v>2</v>
      </c>
      <c r="B11" s="3"/>
      <c r="C11" s="1079" t="s">
        <v>2468</v>
      </c>
      <c r="D11" s="1079"/>
      <c r="E11" s="1079"/>
      <c r="F11" s="1079"/>
      <c r="G11" s="1079"/>
      <c r="H11" s="775">
        <v>109752998.33</v>
      </c>
      <c r="I11" s="3"/>
      <c r="J11" s="3"/>
      <c r="K11" s="3"/>
      <c r="M11" s="3"/>
      <c r="N11" s="3"/>
      <c r="O11" s="3"/>
      <c r="P11" s="3"/>
    </row>
    <row r="12" spans="1:16" ht="15.75">
      <c r="A12" s="18">
        <v>3</v>
      </c>
      <c r="B12" s="3"/>
      <c r="C12" s="3"/>
      <c r="D12" s="3"/>
      <c r="E12" s="3"/>
      <c r="F12" s="3"/>
      <c r="G12" s="3"/>
      <c r="H12" s="776"/>
      <c r="I12" s="3"/>
      <c r="J12" s="3"/>
      <c r="K12" s="3"/>
      <c r="M12" s="3"/>
      <c r="N12" s="3"/>
      <c r="O12" s="3"/>
      <c r="P12" s="3"/>
    </row>
    <row r="13" spans="1:16" ht="15.75">
      <c r="A13" s="18">
        <v>4</v>
      </c>
      <c r="B13" s="3" t="s">
        <v>1850</v>
      </c>
      <c r="C13" s="3"/>
      <c r="D13" s="3"/>
      <c r="E13" s="3"/>
      <c r="F13" s="3"/>
      <c r="G13" s="3"/>
      <c r="H13" s="776"/>
      <c r="I13" s="3"/>
      <c r="J13" s="3"/>
      <c r="K13" s="3"/>
      <c r="M13" s="3"/>
      <c r="N13" s="3"/>
      <c r="O13" s="3"/>
      <c r="P13" s="3"/>
    </row>
    <row r="14" spans="1:16" ht="16.5" thickBot="1">
      <c r="A14" s="18">
        <v>5</v>
      </c>
      <c r="B14" s="3"/>
      <c r="C14" s="3" t="s">
        <v>2472</v>
      </c>
      <c r="D14" s="3"/>
      <c r="E14" s="3"/>
      <c r="F14" s="3"/>
      <c r="G14" s="3"/>
      <c r="H14" s="777">
        <v>-98705687.879999995</v>
      </c>
      <c r="I14" s="3"/>
      <c r="J14" s="3"/>
      <c r="K14" s="3"/>
      <c r="M14" s="3"/>
      <c r="N14" s="3"/>
      <c r="O14" s="3"/>
      <c r="P14" s="3"/>
    </row>
    <row r="15" spans="1:16" ht="15.75">
      <c r="A15" s="18">
        <v>6</v>
      </c>
      <c r="B15" s="3"/>
      <c r="C15" s="3"/>
      <c r="D15" s="3"/>
      <c r="E15" s="3"/>
      <c r="F15" s="3"/>
      <c r="G15" s="3"/>
      <c r="H15" s="776"/>
      <c r="I15" s="3"/>
      <c r="J15" s="3"/>
      <c r="K15" s="3"/>
      <c r="M15" s="3"/>
      <c r="N15" s="3"/>
      <c r="O15" s="3"/>
      <c r="P15" s="3"/>
    </row>
    <row r="16" spans="1:16" ht="15.75">
      <c r="A16" s="18">
        <v>7</v>
      </c>
      <c r="B16" s="3" t="s">
        <v>1834</v>
      </c>
      <c r="C16" s="3"/>
      <c r="D16" s="3"/>
      <c r="E16" s="3"/>
      <c r="F16" s="3"/>
      <c r="G16" s="3"/>
      <c r="H16" s="776">
        <f>+H11+H14</f>
        <v>11047310.450000003</v>
      </c>
      <c r="I16" s="3"/>
      <c r="J16" s="3"/>
      <c r="K16" s="3"/>
      <c r="M16" s="3"/>
      <c r="N16" s="3"/>
      <c r="O16" s="3"/>
      <c r="P16" s="3"/>
    </row>
    <row r="17" spans="1:16" ht="15.75">
      <c r="A17" s="18">
        <v>8</v>
      </c>
      <c r="B17" s="3"/>
      <c r="C17" s="3"/>
      <c r="D17" s="3"/>
      <c r="E17" s="3"/>
      <c r="F17" s="3"/>
      <c r="G17" s="3"/>
      <c r="H17" s="776"/>
      <c r="I17" s="3"/>
      <c r="J17" s="3"/>
      <c r="K17" s="3"/>
      <c r="M17" s="3"/>
      <c r="N17" s="3"/>
      <c r="O17" s="3"/>
      <c r="P17" s="3"/>
    </row>
    <row r="18" spans="1:16" ht="15.75">
      <c r="A18" s="18">
        <v>9</v>
      </c>
      <c r="B18" s="3" t="s">
        <v>2382</v>
      </c>
      <c r="C18" s="3"/>
      <c r="D18" s="3"/>
      <c r="E18" s="3"/>
      <c r="F18" s="3"/>
      <c r="G18" s="3"/>
      <c r="H18" s="776"/>
      <c r="I18" s="3"/>
      <c r="J18" s="3"/>
      <c r="K18" s="3"/>
      <c r="M18" s="3"/>
      <c r="N18" s="3"/>
      <c r="O18" s="3"/>
      <c r="P18" s="3"/>
    </row>
    <row r="19" spans="1:16" ht="16.5" thickBot="1">
      <c r="A19" s="18">
        <v>10</v>
      </c>
      <c r="B19" s="3"/>
      <c r="C19" s="3" t="s">
        <v>2469</v>
      </c>
      <c r="D19" s="3"/>
      <c r="E19" s="3"/>
      <c r="F19" s="3"/>
      <c r="G19" s="3"/>
      <c r="H19" s="777">
        <v>4221975.1100000003</v>
      </c>
      <c r="I19" s="3"/>
      <c r="J19" s="3"/>
      <c r="K19" s="3"/>
      <c r="M19" s="3"/>
      <c r="N19" s="3"/>
      <c r="O19" s="3"/>
      <c r="P19" s="3"/>
    </row>
    <row r="20" spans="1:16" ht="15.75">
      <c r="A20" s="18">
        <v>11</v>
      </c>
      <c r="B20" s="3"/>
      <c r="C20" s="3"/>
      <c r="D20" s="3"/>
      <c r="E20" s="3"/>
      <c r="F20" s="3"/>
      <c r="G20" s="3"/>
      <c r="H20" s="776"/>
      <c r="I20" s="3"/>
      <c r="J20" s="3"/>
      <c r="K20" s="3"/>
      <c r="M20" s="3"/>
      <c r="N20" s="3"/>
      <c r="O20" s="3"/>
      <c r="P20" s="3"/>
    </row>
    <row r="21" spans="1:16" ht="15.75">
      <c r="A21" s="18">
        <v>12</v>
      </c>
      <c r="B21" s="3" t="s">
        <v>95</v>
      </c>
      <c r="C21" s="3"/>
      <c r="D21" s="3"/>
      <c r="E21" s="3"/>
      <c r="F21" s="3"/>
      <c r="G21" s="3"/>
      <c r="H21" s="776">
        <f>+H16+H19</f>
        <v>15269285.560000002</v>
      </c>
      <c r="I21" s="3"/>
      <c r="J21" s="3"/>
      <c r="K21" s="3"/>
      <c r="M21" s="3"/>
      <c r="N21" s="3"/>
      <c r="O21" s="3"/>
      <c r="P21" s="3"/>
    </row>
    <row r="22" spans="1:16" ht="15.75">
      <c r="A22" s="18">
        <v>13</v>
      </c>
      <c r="B22" s="3" t="s">
        <v>2383</v>
      </c>
      <c r="C22" s="3"/>
      <c r="D22" s="3"/>
      <c r="E22" s="3"/>
      <c r="F22" s="3"/>
      <c r="G22" s="3"/>
      <c r="H22" s="776"/>
      <c r="I22" s="3"/>
      <c r="J22" s="3"/>
      <c r="K22" s="3"/>
      <c r="M22" s="3"/>
      <c r="N22" s="3"/>
      <c r="O22" s="3"/>
      <c r="P22" s="3"/>
    </row>
    <row r="23" spans="1:16" ht="15.75">
      <c r="A23" s="18">
        <v>14</v>
      </c>
      <c r="C23" s="3" t="s">
        <v>2470</v>
      </c>
      <c r="D23" s="3"/>
      <c r="E23" s="3"/>
      <c r="F23" s="3"/>
      <c r="G23" s="3"/>
      <c r="H23" s="796">
        <v>-338287.4</v>
      </c>
      <c r="I23" s="3"/>
      <c r="J23" s="3"/>
      <c r="K23" s="3"/>
      <c r="M23" s="3"/>
      <c r="N23" s="3"/>
      <c r="O23" s="3"/>
      <c r="P23" s="3"/>
    </row>
    <row r="24" spans="1:16" ht="15.75">
      <c r="A24" s="18">
        <v>15</v>
      </c>
      <c r="B24" s="3" t="s">
        <v>2464</v>
      </c>
      <c r="C24" s="3"/>
      <c r="D24" s="3"/>
      <c r="E24" s="3"/>
      <c r="F24" s="3"/>
      <c r="G24" s="3"/>
      <c r="H24" s="776"/>
      <c r="I24" s="3"/>
      <c r="J24" s="3"/>
      <c r="K24" s="3"/>
      <c r="M24" s="3"/>
      <c r="N24" s="3"/>
      <c r="O24" s="3"/>
      <c r="P24" s="3"/>
    </row>
    <row r="25" spans="1:16" s="629" customFormat="1" ht="16.5" thickBot="1">
      <c r="A25" s="18"/>
      <c r="B25" s="3"/>
      <c r="C25" s="3" t="s">
        <v>2471</v>
      </c>
      <c r="D25" s="3"/>
      <c r="E25" s="3"/>
      <c r="F25" s="3"/>
      <c r="G25" s="3"/>
      <c r="H25" s="814">
        <v>-8222.34</v>
      </c>
      <c r="I25" s="3"/>
      <c r="J25" s="3"/>
      <c r="K25" s="3"/>
      <c r="M25" s="3"/>
      <c r="N25" s="3"/>
      <c r="O25" s="3"/>
      <c r="P25" s="3"/>
    </row>
    <row r="26" spans="1:16" s="629" customFormat="1" ht="15.75">
      <c r="A26" s="18"/>
      <c r="B26" s="3"/>
      <c r="C26" s="3"/>
      <c r="D26" s="3"/>
      <c r="E26" s="3"/>
      <c r="F26" s="3"/>
      <c r="G26" s="3"/>
      <c r="H26" s="250"/>
      <c r="I26" s="3"/>
      <c r="J26" s="3"/>
      <c r="K26" s="3"/>
      <c r="M26" s="3"/>
      <c r="N26" s="3"/>
      <c r="O26" s="3"/>
      <c r="P26" s="3"/>
    </row>
    <row r="27" spans="1:16" ht="16.5" thickBot="1">
      <c r="A27" s="18">
        <v>16</v>
      </c>
      <c r="B27" s="3" t="s">
        <v>2216</v>
      </c>
      <c r="C27" s="3"/>
      <c r="D27" s="3"/>
      <c r="E27" s="3"/>
      <c r="F27" s="3"/>
      <c r="G27" s="3"/>
      <c r="H27" s="815">
        <f>+H21+H23+H25</f>
        <v>14922775.820000002</v>
      </c>
      <c r="I27" s="3"/>
      <c r="J27" s="3"/>
      <c r="K27" s="3"/>
      <c r="M27" s="3"/>
      <c r="N27" s="3"/>
      <c r="O27" s="3"/>
      <c r="P27" s="3"/>
    </row>
    <row r="28" spans="1:16" ht="16.5" thickTop="1">
      <c r="A28" s="18"/>
      <c r="B28" s="3"/>
      <c r="C28" s="3"/>
      <c r="D28" s="3"/>
      <c r="E28" s="3"/>
      <c r="F28" s="3"/>
      <c r="G28" s="3"/>
      <c r="H28" s="3"/>
      <c r="I28" s="3"/>
      <c r="J28" s="3"/>
      <c r="K28" s="3"/>
      <c r="L28" s="142"/>
      <c r="M28" s="3"/>
      <c r="N28" s="3"/>
      <c r="O28" s="3"/>
      <c r="P28" s="3"/>
    </row>
    <row r="29" spans="1:16" ht="15.75">
      <c r="A29" s="3"/>
      <c r="B29" s="3"/>
      <c r="C29" s="3"/>
      <c r="D29" s="3"/>
      <c r="E29" s="3"/>
      <c r="F29" s="3"/>
      <c r="G29" s="3"/>
      <c r="H29" s="3"/>
      <c r="I29" s="3"/>
      <c r="J29" s="3"/>
      <c r="K29" s="3"/>
      <c r="L29" s="142"/>
      <c r="M29" s="3"/>
      <c r="N29" s="3"/>
      <c r="O29" s="3"/>
      <c r="P29" s="3"/>
    </row>
    <row r="30" spans="1:16" ht="15.75">
      <c r="A30" s="3"/>
      <c r="B30" s="3"/>
      <c r="C30" s="3"/>
      <c r="D30" s="3"/>
      <c r="E30" s="3"/>
      <c r="F30" s="3"/>
      <c r="G30" s="3"/>
      <c r="H30" s="3"/>
      <c r="I30" s="3"/>
      <c r="J30" s="3"/>
      <c r="K30" s="3"/>
      <c r="L30" s="3"/>
      <c r="M30" s="3"/>
      <c r="N30" s="3"/>
      <c r="O30" s="3"/>
      <c r="P30" s="3"/>
    </row>
    <row r="31" spans="1:16" ht="15.75">
      <c r="A31" s="3"/>
      <c r="B31" s="3"/>
      <c r="C31" s="3"/>
      <c r="D31" s="3"/>
      <c r="E31" s="3"/>
      <c r="F31" s="3"/>
      <c r="G31" s="3"/>
      <c r="H31" s="3"/>
      <c r="I31" s="3"/>
      <c r="J31" s="3"/>
      <c r="K31" s="3"/>
      <c r="L31" s="3"/>
      <c r="M31" s="3"/>
      <c r="N31" s="3"/>
      <c r="O31" s="3"/>
      <c r="P31" s="3"/>
    </row>
    <row r="32" spans="1:16" ht="15.75">
      <c r="A32" s="3"/>
      <c r="B32" s="3"/>
      <c r="C32" s="3"/>
      <c r="D32" s="3"/>
      <c r="E32" s="3"/>
      <c r="F32" s="3"/>
      <c r="G32" s="3"/>
      <c r="H32" s="3"/>
      <c r="I32" s="3"/>
      <c r="J32" s="3"/>
      <c r="K32" s="3"/>
      <c r="L32" s="3"/>
      <c r="M32" s="3"/>
      <c r="N32" s="3"/>
      <c r="O32" s="3"/>
      <c r="P32" s="3"/>
    </row>
    <row r="33" spans="1:16" ht="15.75">
      <c r="A33" s="3"/>
      <c r="B33" s="3"/>
      <c r="C33" s="3"/>
      <c r="D33" s="3"/>
      <c r="E33" s="3"/>
      <c r="F33" s="3"/>
      <c r="G33" s="3"/>
      <c r="H33" s="3"/>
      <c r="I33" s="3"/>
      <c r="J33" s="3"/>
      <c r="K33" s="3"/>
      <c r="L33" s="3"/>
      <c r="M33" s="3"/>
      <c r="N33" s="3"/>
      <c r="O33" s="3"/>
      <c r="P33" s="3"/>
    </row>
    <row r="34" spans="1:16" ht="15.75">
      <c r="A34" s="3"/>
      <c r="B34" s="3"/>
      <c r="C34" s="3"/>
      <c r="D34" s="3"/>
      <c r="E34" s="3"/>
      <c r="F34" s="3"/>
      <c r="G34" s="3"/>
      <c r="H34" s="3"/>
      <c r="I34" s="3"/>
      <c r="J34" s="3"/>
      <c r="K34" s="3"/>
      <c r="L34" s="3"/>
      <c r="M34" s="3"/>
      <c r="N34" s="3"/>
      <c r="O34" s="3"/>
      <c r="P34" s="3"/>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
  <sheetViews>
    <sheetView view="pageBreakPreview" zoomScale="112" zoomScaleNormal="100" zoomScaleSheetLayoutView="112" workbookViewId="0">
      <selection activeCell="A2" sqref="A2:F2"/>
    </sheetView>
  </sheetViews>
  <sheetFormatPr defaultRowHeight="15"/>
  <cols>
    <col min="4" max="4" width="15" customWidth="1"/>
    <col min="5" max="5" width="2.5703125" style="629" customWidth="1"/>
    <col min="6" max="6" width="14.28515625" bestFit="1" customWidth="1"/>
    <col min="7" max="7" width="1.5703125" style="629" customWidth="1"/>
    <col min="8" max="8" width="12.5703125" bestFit="1" customWidth="1"/>
  </cols>
  <sheetData>
    <row r="1" spans="1:13" ht="15.75">
      <c r="A1" s="1029" t="s">
        <v>60</v>
      </c>
      <c r="B1" s="1029"/>
      <c r="C1" s="1029"/>
      <c r="D1" s="1029"/>
      <c r="E1" s="1029"/>
      <c r="F1" s="1029"/>
      <c r="G1" s="2"/>
      <c r="H1" s="2"/>
      <c r="I1" s="2"/>
      <c r="J1" s="2"/>
      <c r="K1" s="2"/>
      <c r="L1" s="2"/>
      <c r="M1" s="2"/>
    </row>
    <row r="2" spans="1:13" ht="15.75">
      <c r="A2" s="1029" t="s">
        <v>1854</v>
      </c>
      <c r="B2" s="1029"/>
      <c r="C2" s="1029"/>
      <c r="D2" s="1029"/>
      <c r="E2" s="1029"/>
      <c r="F2" s="1029"/>
      <c r="G2" s="2"/>
      <c r="H2" s="2"/>
      <c r="I2" s="2"/>
      <c r="J2" s="2"/>
      <c r="K2" s="2"/>
      <c r="L2" s="2"/>
      <c r="M2" s="2"/>
    </row>
    <row r="3" spans="1:13" ht="15.75">
      <c r="A3" s="1029" t="s">
        <v>1281</v>
      </c>
      <c r="B3" s="1029"/>
      <c r="C3" s="1029"/>
      <c r="D3" s="1029"/>
      <c r="E3" s="1029"/>
      <c r="F3" s="1029"/>
      <c r="G3" s="2"/>
      <c r="H3" s="2"/>
      <c r="I3" s="2"/>
      <c r="J3" s="2"/>
      <c r="K3" s="2"/>
      <c r="L3" s="2"/>
      <c r="M3" s="2"/>
    </row>
    <row r="4" spans="1:13" ht="15.75">
      <c r="A4" s="1074" t="s">
        <v>1840</v>
      </c>
      <c r="B4" s="1074"/>
      <c r="C4" s="1074"/>
      <c r="D4" s="1074"/>
      <c r="E4" s="1074"/>
      <c r="F4" s="1074"/>
      <c r="G4" s="628"/>
      <c r="H4" s="628"/>
      <c r="I4" s="628"/>
      <c r="J4" s="628"/>
      <c r="K4" s="628"/>
      <c r="L4" s="628"/>
      <c r="M4" s="628"/>
    </row>
    <row r="5" spans="1:13" ht="15.75">
      <c r="A5" s="1029" t="s">
        <v>1853</v>
      </c>
      <c r="B5" s="1029"/>
      <c r="C5" s="1029"/>
      <c r="D5" s="1029"/>
      <c r="E5" s="1029"/>
      <c r="F5" s="1029"/>
      <c r="G5" s="2"/>
      <c r="H5" s="2"/>
      <c r="I5" s="2"/>
      <c r="J5" s="2"/>
      <c r="K5" s="2"/>
      <c r="L5" s="2"/>
      <c r="M5" s="2"/>
    </row>
    <row r="8" spans="1:13">
      <c r="A8" s="1080" t="s">
        <v>1840</v>
      </c>
      <c r="B8" s="1080"/>
      <c r="C8" s="1080"/>
      <c r="D8" s="1080"/>
    </row>
    <row r="9" spans="1:13" s="629" customFormat="1">
      <c r="A9" s="795"/>
      <c r="B9" s="795" t="s">
        <v>2473</v>
      </c>
      <c r="C9" s="753"/>
      <c r="D9" s="753"/>
      <c r="E9" s="397"/>
      <c r="F9" s="758">
        <v>-134104.12</v>
      </c>
    </row>
    <row r="10" spans="1:13" s="629" customFormat="1">
      <c r="A10" s="795"/>
      <c r="B10" t="s">
        <v>2474</v>
      </c>
      <c r="C10" s="753"/>
      <c r="D10" s="753"/>
      <c r="E10" s="397"/>
      <c r="F10" s="758">
        <v>1057398.73</v>
      </c>
    </row>
    <row r="11" spans="1:13" ht="15.75" thickBot="1">
      <c r="C11" s="397"/>
      <c r="D11" s="397"/>
      <c r="E11" s="753"/>
      <c r="F11" s="817">
        <f>+F9+F10</f>
        <v>923294.61</v>
      </c>
      <c r="G11" s="655"/>
    </row>
    <row r="12" spans="1:13" ht="15.7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58"/>
  <sheetViews>
    <sheetView view="pageBreakPreview" topLeftCell="B10" zoomScale="90" zoomScaleNormal="100" zoomScaleSheetLayoutView="90" workbookViewId="0">
      <selection activeCell="S11" sqref="S11"/>
    </sheetView>
  </sheetViews>
  <sheetFormatPr defaultColWidth="9.140625" defaultRowHeight="15"/>
  <cols>
    <col min="1" max="1" width="38.85546875" style="397" bestFit="1" customWidth="1"/>
    <col min="2" max="2" width="16.140625" style="397" bestFit="1" customWidth="1"/>
    <col min="3" max="3" width="16.85546875" style="397" bestFit="1" customWidth="1"/>
    <col min="4" max="4" width="19.28515625" style="599" bestFit="1" customWidth="1"/>
    <col min="5" max="5" width="16.140625" style="397" bestFit="1" customWidth="1"/>
    <col min="6" max="6" width="13.85546875" style="397" bestFit="1" customWidth="1"/>
    <col min="7" max="7" width="12.85546875" style="397" bestFit="1" customWidth="1"/>
    <col min="8" max="8" width="14.5703125" style="397" bestFit="1" customWidth="1"/>
    <col min="9" max="9" width="11.42578125" style="397" bestFit="1" customWidth="1"/>
    <col min="10" max="10" width="12.85546875" style="397" bestFit="1" customWidth="1"/>
    <col min="11" max="11" width="14.5703125" style="397" bestFit="1" customWidth="1"/>
    <col min="12" max="12" width="15" style="397" bestFit="1" customWidth="1"/>
    <col min="13" max="13" width="9.140625" style="397"/>
    <col min="14" max="14" width="35.7109375" style="397" bestFit="1" customWidth="1"/>
    <col min="15" max="15" width="10.28515625" style="397" bestFit="1" customWidth="1"/>
    <col min="16" max="16384" width="9.140625" style="397"/>
  </cols>
  <sheetData>
    <row r="1" spans="1:19" ht="15.75">
      <c r="A1" s="1029" t="s">
        <v>60</v>
      </c>
      <c r="B1" s="1029"/>
      <c r="C1" s="1029"/>
      <c r="D1" s="1029"/>
      <c r="E1" s="1029"/>
      <c r="F1" s="1029"/>
      <c r="G1" s="1029"/>
      <c r="H1" s="1029"/>
      <c r="I1" s="1029"/>
      <c r="J1" s="1029"/>
      <c r="K1" s="1029"/>
      <c r="L1" s="1029"/>
      <c r="M1" s="1029"/>
    </row>
    <row r="2" spans="1:19" ht="15.75">
      <c r="A2" s="1029" t="s">
        <v>1854</v>
      </c>
      <c r="B2" s="1029"/>
      <c r="C2" s="1029"/>
      <c r="D2" s="1029"/>
      <c r="E2" s="1029"/>
      <c r="F2" s="1029"/>
      <c r="G2" s="1029"/>
      <c r="H2" s="1029"/>
      <c r="I2" s="1029"/>
      <c r="J2" s="1029"/>
      <c r="K2" s="1029"/>
      <c r="L2" s="1029"/>
      <c r="M2" s="1029"/>
    </row>
    <row r="3" spans="1:19" ht="15.75">
      <c r="A3" s="1029" t="s">
        <v>1383</v>
      </c>
      <c r="B3" s="1029"/>
      <c r="C3" s="1029"/>
      <c r="D3" s="1029"/>
      <c r="E3" s="1029"/>
      <c r="F3" s="1029"/>
      <c r="G3" s="1029"/>
      <c r="H3" s="1029"/>
      <c r="I3" s="1029"/>
      <c r="J3" s="1029"/>
      <c r="K3" s="1029"/>
      <c r="L3" s="1029"/>
      <c r="M3" s="1029"/>
    </row>
    <row r="4" spans="1:19" ht="15.75">
      <c r="A4" s="1074" t="s">
        <v>1848</v>
      </c>
      <c r="B4" s="1074"/>
      <c r="C4" s="1074"/>
      <c r="D4" s="1074"/>
      <c r="E4" s="1074"/>
      <c r="F4" s="1074"/>
      <c r="G4" s="1074"/>
      <c r="H4" s="1074"/>
      <c r="I4" s="1074"/>
      <c r="J4" s="1074"/>
      <c r="K4" s="1074"/>
      <c r="L4" s="1074"/>
      <c r="M4" s="1074"/>
    </row>
    <row r="5" spans="1:19" ht="15.75">
      <c r="A5" s="1029" t="s">
        <v>1853</v>
      </c>
      <c r="B5" s="1029"/>
      <c r="C5" s="1029"/>
      <c r="D5" s="1029"/>
      <c r="E5" s="1029"/>
      <c r="F5" s="1029"/>
      <c r="G5" s="1029"/>
      <c r="H5" s="1029"/>
      <c r="I5" s="1029"/>
      <c r="J5" s="1029"/>
      <c r="K5" s="1029"/>
      <c r="L5" s="1029"/>
      <c r="M5" s="1029"/>
    </row>
    <row r="6" spans="1:19">
      <c r="C6" s="739"/>
      <c r="D6" s="397"/>
      <c r="E6" s="739"/>
      <c r="F6" s="739"/>
      <c r="G6" s="740"/>
      <c r="I6" s="599"/>
      <c r="J6" s="599"/>
    </row>
    <row r="7" spans="1:19">
      <c r="A7" s="741" t="s">
        <v>2344</v>
      </c>
      <c r="B7" s="601"/>
      <c r="C7" s="739"/>
      <c r="D7" s="600"/>
      <c r="E7" s="739"/>
      <c r="F7" s="739"/>
      <c r="G7" s="740"/>
      <c r="I7" s="599"/>
      <c r="J7" s="599"/>
    </row>
    <row r="8" spans="1:19">
      <c r="A8" s="741" t="s">
        <v>2345</v>
      </c>
      <c r="B8" s="742"/>
      <c r="C8" s="739"/>
      <c r="D8" s="600"/>
      <c r="E8" s="739"/>
      <c r="F8" s="743" t="s">
        <v>2346</v>
      </c>
      <c r="G8" s="740"/>
      <c r="I8" s="599"/>
      <c r="J8" s="599"/>
    </row>
    <row r="9" spans="1:19">
      <c r="A9" s="741"/>
      <c r="B9" s="744">
        <v>43831</v>
      </c>
      <c r="C9" s="739"/>
      <c r="D9" s="742" t="s">
        <v>2346</v>
      </c>
      <c r="E9" s="739"/>
      <c r="F9" s="743" t="s">
        <v>2347</v>
      </c>
      <c r="G9" s="740"/>
      <c r="I9" s="743" t="s">
        <v>1113</v>
      </c>
      <c r="J9" s="743" t="s">
        <v>2348</v>
      </c>
      <c r="K9" s="743" t="s">
        <v>2349</v>
      </c>
    </row>
    <row r="10" spans="1:19">
      <c r="A10" s="743" t="s">
        <v>2350</v>
      </c>
      <c r="B10" s="742" t="s">
        <v>2351</v>
      </c>
      <c r="C10" s="743" t="s">
        <v>1113</v>
      </c>
      <c r="D10" s="742" t="s">
        <v>2352</v>
      </c>
      <c r="E10" s="743" t="s">
        <v>2348</v>
      </c>
      <c r="F10" s="743" t="s">
        <v>2348</v>
      </c>
      <c r="G10" s="743" t="s">
        <v>2353</v>
      </c>
      <c r="H10" s="743" t="s">
        <v>2354</v>
      </c>
      <c r="I10" s="743" t="s">
        <v>2355</v>
      </c>
      <c r="J10" s="743" t="s">
        <v>2355</v>
      </c>
      <c r="K10" s="743" t="s">
        <v>2356</v>
      </c>
    </row>
    <row r="11" spans="1:19">
      <c r="A11" s="745" t="s">
        <v>77</v>
      </c>
      <c r="B11" s="746" t="s">
        <v>2357</v>
      </c>
      <c r="C11" s="745" t="s">
        <v>2358</v>
      </c>
      <c r="D11" s="746" t="s">
        <v>2350</v>
      </c>
      <c r="E11" s="745" t="s">
        <v>2358</v>
      </c>
      <c r="F11" s="745" t="s">
        <v>2358</v>
      </c>
      <c r="G11" s="745" t="s">
        <v>1834</v>
      </c>
      <c r="H11" s="745" t="s">
        <v>1834</v>
      </c>
      <c r="I11" s="745" t="s">
        <v>2359</v>
      </c>
      <c r="J11" s="745" t="s">
        <v>2360</v>
      </c>
      <c r="K11" s="745" t="s">
        <v>62</v>
      </c>
      <c r="L11" s="745" t="s">
        <v>2361</v>
      </c>
      <c r="O11" s="798" t="s">
        <v>2479</v>
      </c>
      <c r="P11" s="798" t="s">
        <v>2480</v>
      </c>
      <c r="R11" s="798" t="s">
        <v>2476</v>
      </c>
    </row>
    <row r="12" spans="1:19">
      <c r="A12" s="747" t="s">
        <v>2362</v>
      </c>
      <c r="B12" s="748">
        <v>114308.06999999998</v>
      </c>
      <c r="C12" s="749">
        <v>0</v>
      </c>
      <c r="D12" s="748">
        <v>0</v>
      </c>
      <c r="E12" s="749">
        <v>0</v>
      </c>
      <c r="F12" s="750">
        <f>IF(E12=0%, D12, (B12+K12)*E12/12)</f>
        <v>0</v>
      </c>
      <c r="G12" s="751">
        <v>0</v>
      </c>
      <c r="H12" s="602">
        <v>0</v>
      </c>
      <c r="I12" s="599"/>
      <c r="J12" s="599"/>
      <c r="L12" s="752">
        <f>F12*12</f>
        <v>0</v>
      </c>
      <c r="N12" s="397" t="s">
        <v>2362</v>
      </c>
      <c r="O12" s="797">
        <v>0</v>
      </c>
      <c r="P12" s="797" t="str">
        <f>IF(O12=E12, "Y", "N")</f>
        <v>Y</v>
      </c>
      <c r="Q12" s="397" t="str">
        <f>IF(R12=O12, "Y", "N")</f>
        <v>Y</v>
      </c>
      <c r="R12" s="797">
        <v>0</v>
      </c>
      <c r="S12" s="818" t="str">
        <f>+LEFT(N12,3)</f>
        <v>301</v>
      </c>
    </row>
    <row r="13" spans="1:19">
      <c r="A13" s="747" t="s">
        <v>1457</v>
      </c>
      <c r="B13" s="748">
        <v>138157.95000000001</v>
      </c>
      <c r="C13" s="749">
        <v>0</v>
      </c>
      <c r="D13" s="748">
        <v>0</v>
      </c>
      <c r="E13" s="749">
        <v>0</v>
      </c>
      <c r="F13" s="750">
        <f>IF(E13=0%, D13, (B13+K13)*E13/12)</f>
        <v>0</v>
      </c>
      <c r="G13" s="751">
        <v>0</v>
      </c>
      <c r="H13" s="602">
        <v>0</v>
      </c>
      <c r="I13" s="599"/>
      <c r="J13" s="599"/>
      <c r="L13" s="752">
        <f t="shared" ref="L13:L53" si="0">F13*12</f>
        <v>0</v>
      </c>
      <c r="N13" s="397" t="s">
        <v>1457</v>
      </c>
      <c r="O13" s="797">
        <v>0</v>
      </c>
      <c r="P13" s="797" t="str">
        <f t="shared" ref="P13:P53" si="1">IF(O13=E13, "Y", "N")</f>
        <v>Y</v>
      </c>
      <c r="Q13" s="397" t="str">
        <f t="shared" ref="Q13:Q53" si="2">IF(R13=O13, "Y", "N")</f>
        <v>Y</v>
      </c>
      <c r="R13" s="797">
        <v>0</v>
      </c>
      <c r="S13" s="818" t="str">
        <f t="shared" ref="S13:S53" si="3">+LEFT(N13,3)</f>
        <v>302</v>
      </c>
    </row>
    <row r="14" spans="1:19">
      <c r="A14" s="747" t="s">
        <v>1458</v>
      </c>
      <c r="B14" s="748">
        <v>33240966.090000004</v>
      </c>
      <c r="C14" s="749">
        <v>0</v>
      </c>
      <c r="D14" s="748">
        <v>219439.28</v>
      </c>
      <c r="E14" s="749">
        <v>0</v>
      </c>
      <c r="F14" s="750">
        <f>IF(E14=0%, D14, (B14+K14)*E14/12)</f>
        <v>219439.28</v>
      </c>
      <c r="G14" s="751">
        <f>+F14-D14</f>
        <v>0</v>
      </c>
      <c r="H14" s="602">
        <v>0</v>
      </c>
      <c r="I14" s="599"/>
      <c r="J14" s="599"/>
      <c r="L14" s="752">
        <f t="shared" si="0"/>
        <v>2633271.36</v>
      </c>
      <c r="N14" s="397" t="s">
        <v>1458</v>
      </c>
      <c r="O14" s="797">
        <v>0</v>
      </c>
      <c r="P14" s="797" t="str">
        <f t="shared" si="1"/>
        <v>Y</v>
      </c>
      <c r="Q14" s="397" t="str">
        <f t="shared" si="2"/>
        <v>Y</v>
      </c>
      <c r="R14" s="797">
        <v>0</v>
      </c>
      <c r="S14" s="818" t="str">
        <f t="shared" si="3"/>
        <v>303</v>
      </c>
    </row>
    <row r="15" spans="1:19">
      <c r="A15" s="747" t="s">
        <v>1459</v>
      </c>
      <c r="B15" s="748">
        <v>211404.97</v>
      </c>
      <c r="C15" s="749">
        <v>0</v>
      </c>
      <c r="D15" s="748">
        <v>0</v>
      </c>
      <c r="E15" s="749">
        <v>0</v>
      </c>
      <c r="F15" s="750">
        <f t="shared" ref="F15:F33" si="4">IF(E15=0%, D15, (B15+K15)*E15/12)</f>
        <v>0</v>
      </c>
      <c r="G15" s="751">
        <f t="shared" ref="G15:G53" si="5">+F15-D15</f>
        <v>0</v>
      </c>
      <c r="H15" s="602">
        <v>0</v>
      </c>
      <c r="I15" s="599"/>
      <c r="J15" s="599"/>
      <c r="L15" s="752">
        <f t="shared" si="0"/>
        <v>0</v>
      </c>
      <c r="N15" s="397" t="s">
        <v>1459</v>
      </c>
      <c r="O15" s="797">
        <v>0</v>
      </c>
      <c r="P15" s="797" t="str">
        <f t="shared" si="1"/>
        <v>Y</v>
      </c>
      <c r="Q15" s="397" t="str">
        <f t="shared" si="2"/>
        <v>Y</v>
      </c>
      <c r="R15" s="797">
        <v>0</v>
      </c>
      <c r="S15" s="818" t="str">
        <f t="shared" si="3"/>
        <v>365</v>
      </c>
    </row>
    <row r="16" spans="1:19">
      <c r="A16" s="747" t="s">
        <v>1460</v>
      </c>
      <c r="B16" s="748">
        <v>1018396.75</v>
      </c>
      <c r="C16" s="749">
        <v>1.5800000000000002E-2</v>
      </c>
      <c r="D16" s="748">
        <v>1340.8899999999999</v>
      </c>
      <c r="E16" s="749">
        <v>6.5000000000000006E-3</v>
      </c>
      <c r="F16" s="750">
        <f t="shared" si="4"/>
        <v>551.63157291666664</v>
      </c>
      <c r="G16" s="751">
        <f t="shared" si="5"/>
        <v>-789.25842708333323</v>
      </c>
      <c r="H16" s="602">
        <f>+G16*12</f>
        <v>-9471.1011249999992</v>
      </c>
      <c r="I16" s="599"/>
      <c r="J16" s="599"/>
      <c r="L16" s="752">
        <f t="shared" si="0"/>
        <v>6619.5788749999992</v>
      </c>
      <c r="N16" s="397" t="s">
        <v>1460</v>
      </c>
      <c r="O16" s="797">
        <v>6.5000000000000006E-3</v>
      </c>
      <c r="P16" s="797" t="str">
        <f t="shared" si="1"/>
        <v>Y</v>
      </c>
      <c r="Q16" s="397" t="str">
        <f t="shared" si="2"/>
        <v>Y</v>
      </c>
      <c r="R16" s="797">
        <v>6.4999999999999997E-3</v>
      </c>
      <c r="S16" s="818" t="str">
        <f t="shared" si="3"/>
        <v>365</v>
      </c>
    </row>
    <row r="17" spans="1:19">
      <c r="A17" s="747" t="s">
        <v>1461</v>
      </c>
      <c r="B17" s="748">
        <v>15900055.620000001</v>
      </c>
      <c r="C17" s="749">
        <v>1.8200000000000001E-2</v>
      </c>
      <c r="D17" s="748">
        <v>24115.08</v>
      </c>
      <c r="E17" s="749">
        <v>1.4999999999999999E-2</v>
      </c>
      <c r="F17" s="750">
        <f t="shared" si="4"/>
        <v>19875.069525000003</v>
      </c>
      <c r="G17" s="751">
        <f t="shared" si="5"/>
        <v>-4240.0104749999991</v>
      </c>
      <c r="H17" s="602">
        <f t="shared" ref="H17:H53" si="6">+G17*12</f>
        <v>-50880.12569999999</v>
      </c>
      <c r="I17" s="599"/>
      <c r="J17" s="599"/>
      <c r="L17" s="752">
        <f t="shared" si="0"/>
        <v>238500.83430000005</v>
      </c>
      <c r="N17" s="397" t="s">
        <v>1461</v>
      </c>
      <c r="O17" s="797">
        <v>1.4999999999999999E-2</v>
      </c>
      <c r="P17" s="797" t="str">
        <f t="shared" si="1"/>
        <v>Y</v>
      </c>
      <c r="Q17" s="397" t="str">
        <f t="shared" si="2"/>
        <v>Y</v>
      </c>
      <c r="R17" s="797">
        <v>1.4999999999999999E-2</v>
      </c>
      <c r="S17" s="818" t="str">
        <f t="shared" si="3"/>
        <v>367</v>
      </c>
    </row>
    <row r="18" spans="1:19">
      <c r="A18" s="747" t="s">
        <v>1462</v>
      </c>
      <c r="B18" s="748">
        <v>144661.09999999998</v>
      </c>
      <c r="C18" s="749">
        <v>4.1000000000000003E-3</v>
      </c>
      <c r="D18" s="748">
        <v>49.43</v>
      </c>
      <c r="E18" s="749">
        <v>4.5999999999999999E-2</v>
      </c>
      <c r="F18" s="750">
        <f t="shared" si="4"/>
        <v>554.53421666666657</v>
      </c>
      <c r="G18" s="751">
        <f t="shared" si="5"/>
        <v>505.10421666666656</v>
      </c>
      <c r="H18" s="602">
        <f t="shared" si="6"/>
        <v>6061.2505999999985</v>
      </c>
      <c r="I18" s="599"/>
      <c r="J18" s="599"/>
      <c r="L18" s="752">
        <f t="shared" si="0"/>
        <v>6654.4105999999992</v>
      </c>
      <c r="N18" s="397" t="s">
        <v>1462</v>
      </c>
      <c r="O18" s="797">
        <v>4.5999999999999999E-2</v>
      </c>
      <c r="P18" s="797" t="str">
        <f t="shared" si="1"/>
        <v>Y</v>
      </c>
      <c r="Q18" s="397" t="str">
        <f t="shared" si="2"/>
        <v>Y</v>
      </c>
      <c r="R18" s="797">
        <v>4.5999999999999999E-2</v>
      </c>
      <c r="S18" s="818" t="str">
        <f t="shared" si="3"/>
        <v>369</v>
      </c>
    </row>
    <row r="19" spans="1:19">
      <c r="A19" s="747" t="s">
        <v>1464</v>
      </c>
      <c r="B19" s="748">
        <v>388301.94999999995</v>
      </c>
      <c r="C19" s="749">
        <v>0</v>
      </c>
      <c r="D19" s="748">
        <v>0</v>
      </c>
      <c r="E19" s="749">
        <v>0</v>
      </c>
      <c r="F19" s="750"/>
      <c r="G19" s="751">
        <f t="shared" si="5"/>
        <v>0</v>
      </c>
      <c r="H19" s="602">
        <f t="shared" si="6"/>
        <v>0</v>
      </c>
      <c r="I19" s="599"/>
      <c r="J19" s="599"/>
      <c r="K19" s="599"/>
      <c r="L19" s="752">
        <f t="shared" si="0"/>
        <v>0</v>
      </c>
      <c r="N19" s="397" t="s">
        <v>1464</v>
      </c>
      <c r="O19" s="797">
        <v>0</v>
      </c>
      <c r="P19" s="797" t="str">
        <f t="shared" si="1"/>
        <v>Y</v>
      </c>
      <c r="Q19" s="397" t="str">
        <f t="shared" si="2"/>
        <v>Y</v>
      </c>
      <c r="R19" s="797">
        <v>0</v>
      </c>
      <c r="S19" s="818" t="str">
        <f t="shared" si="3"/>
        <v>374</v>
      </c>
    </row>
    <row r="20" spans="1:19">
      <c r="A20" s="747" t="s">
        <v>1463</v>
      </c>
      <c r="B20" s="748">
        <v>1922322.92</v>
      </c>
      <c r="C20" s="749">
        <v>1.8800000000000001E-2</v>
      </c>
      <c r="D20" s="748">
        <v>3011.6400000000003</v>
      </c>
      <c r="E20" s="749">
        <v>1.6399999999999998E-2</v>
      </c>
      <c r="F20" s="750">
        <f t="shared" si="4"/>
        <v>2627.174657333333</v>
      </c>
      <c r="G20" s="751">
        <f t="shared" si="5"/>
        <v>-384.46534266666731</v>
      </c>
      <c r="H20" s="602">
        <f t="shared" si="6"/>
        <v>-4613.5841120000077</v>
      </c>
      <c r="I20" s="599"/>
      <c r="J20" s="599"/>
      <c r="K20" s="753"/>
      <c r="L20" s="752">
        <f t="shared" si="0"/>
        <v>31526.095887999996</v>
      </c>
      <c r="N20" s="397" t="s">
        <v>1463</v>
      </c>
      <c r="O20" s="797">
        <v>1.6399999999999998E-2</v>
      </c>
      <c r="P20" s="797" t="str">
        <f t="shared" si="1"/>
        <v>Y</v>
      </c>
      <c r="Q20" s="397" t="str">
        <f t="shared" si="2"/>
        <v>Y</v>
      </c>
      <c r="R20" s="797">
        <v>1.6400000000000001E-2</v>
      </c>
      <c r="S20" s="818" t="str">
        <f t="shared" si="3"/>
        <v>374</v>
      </c>
    </row>
    <row r="21" spans="1:19">
      <c r="A21" s="747" t="s">
        <v>1465</v>
      </c>
      <c r="B21" s="748">
        <v>1019863.1399999999</v>
      </c>
      <c r="C21" s="749">
        <v>1.2200000000000001E-2</v>
      </c>
      <c r="D21" s="748">
        <v>1036.3500000000001</v>
      </c>
      <c r="E21" s="833">
        <v>8.3999999999999995E-3</v>
      </c>
      <c r="F21" s="837">
        <f t="shared" si="4"/>
        <v>713.90419799999984</v>
      </c>
      <c r="G21" s="838">
        <f t="shared" si="5"/>
        <v>-322.4458020000003</v>
      </c>
      <c r="H21" s="839">
        <f t="shared" si="6"/>
        <v>-3869.3496240000036</v>
      </c>
      <c r="I21" s="599"/>
      <c r="J21" s="599"/>
      <c r="K21" s="599"/>
      <c r="L21" s="840">
        <f t="shared" si="0"/>
        <v>8566.8503759999985</v>
      </c>
      <c r="N21" s="397" t="s">
        <v>1465</v>
      </c>
      <c r="O21" s="797">
        <v>8.3999999999999995E-3</v>
      </c>
      <c r="P21" s="797" t="str">
        <f t="shared" si="1"/>
        <v>Y</v>
      </c>
      <c r="Q21" s="397" t="str">
        <f t="shared" si="2"/>
        <v>N</v>
      </c>
      <c r="R21" s="797">
        <v>7.1999999999999998E-3</v>
      </c>
      <c r="S21" s="818" t="str">
        <f t="shared" si="3"/>
        <v>375</v>
      </c>
    </row>
    <row r="22" spans="1:19">
      <c r="A22" s="747" t="s">
        <v>1466</v>
      </c>
      <c r="B22" s="748">
        <v>159069534.16</v>
      </c>
      <c r="C22" s="749">
        <v>1.2500000000000001E-2</v>
      </c>
      <c r="D22" s="748">
        <v>165697.43</v>
      </c>
      <c r="E22" s="833">
        <v>1.52E-2</v>
      </c>
      <c r="F22" s="837">
        <f t="shared" si="4"/>
        <v>201488.07660266667</v>
      </c>
      <c r="G22" s="838">
        <f t="shared" si="5"/>
        <v>35790.646602666675</v>
      </c>
      <c r="H22" s="839">
        <f t="shared" si="6"/>
        <v>429487.7592320001</v>
      </c>
      <c r="I22" s="599"/>
      <c r="J22" s="599"/>
      <c r="K22" s="599"/>
      <c r="L22" s="840">
        <f t="shared" si="0"/>
        <v>2417856.9192320001</v>
      </c>
      <c r="N22" s="397" t="s">
        <v>1466</v>
      </c>
      <c r="O22" s="797">
        <v>1.52E-2</v>
      </c>
      <c r="P22" s="797" t="str">
        <f t="shared" si="1"/>
        <v>Y</v>
      </c>
      <c r="Q22" s="397" t="str">
        <f t="shared" si="2"/>
        <v>N</v>
      </c>
      <c r="R22" s="797">
        <v>1.3899999999999999E-2</v>
      </c>
      <c r="S22" s="818" t="str">
        <f t="shared" si="3"/>
        <v>376</v>
      </c>
    </row>
    <row r="23" spans="1:19">
      <c r="A23" s="747" t="s">
        <v>1467</v>
      </c>
      <c r="B23" s="748">
        <v>151836907.29000002</v>
      </c>
      <c r="C23" s="749">
        <v>4.1300000000000003E-2</v>
      </c>
      <c r="D23" s="748">
        <v>522572.02</v>
      </c>
      <c r="E23" s="833">
        <v>2.81E-2</v>
      </c>
      <c r="F23" s="837">
        <f t="shared" si="4"/>
        <v>355551.42457075004</v>
      </c>
      <c r="G23" s="838">
        <f t="shared" si="5"/>
        <v>-167020.59542924998</v>
      </c>
      <c r="H23" s="839">
        <f t="shared" si="6"/>
        <v>-2004247.1451509998</v>
      </c>
      <c r="I23" s="599"/>
      <c r="J23" s="599"/>
      <c r="K23" s="599"/>
      <c r="L23" s="840">
        <f t="shared" si="0"/>
        <v>4266617.0948490007</v>
      </c>
      <c r="N23" s="397" t="s">
        <v>1467</v>
      </c>
      <c r="O23" s="797">
        <v>2.81E-2</v>
      </c>
      <c r="P23" s="797" t="str">
        <f t="shared" si="1"/>
        <v>Y</v>
      </c>
      <c r="Q23" s="397" t="str">
        <f t="shared" si="2"/>
        <v>N</v>
      </c>
      <c r="R23" s="797">
        <v>3.15E-2</v>
      </c>
      <c r="S23" s="818" t="str">
        <f t="shared" si="3"/>
        <v>376</v>
      </c>
    </row>
    <row r="24" spans="1:19">
      <c r="A24" s="747" t="s">
        <v>1468</v>
      </c>
      <c r="B24" s="748">
        <v>118986847.07000001</v>
      </c>
      <c r="C24" s="749">
        <v>2.1999999999999999E-2</v>
      </c>
      <c r="D24" s="748">
        <v>218142.55000000002</v>
      </c>
      <c r="E24" s="833">
        <v>3.56E-2</v>
      </c>
      <c r="F24" s="837">
        <f t="shared" si="4"/>
        <v>352994.31297433336</v>
      </c>
      <c r="G24" s="838">
        <f t="shared" si="5"/>
        <v>134851.76297433334</v>
      </c>
      <c r="H24" s="839">
        <f t="shared" si="6"/>
        <v>1618221.1556919999</v>
      </c>
      <c r="I24" s="599"/>
      <c r="J24" s="599"/>
      <c r="K24" s="599"/>
      <c r="L24" s="840">
        <f t="shared" si="0"/>
        <v>4235931.7556920005</v>
      </c>
      <c r="N24" s="397" t="s">
        <v>1468</v>
      </c>
      <c r="O24" s="797">
        <v>3.56E-2</v>
      </c>
      <c r="P24" s="797" t="str">
        <f t="shared" si="1"/>
        <v>Y</v>
      </c>
      <c r="Q24" s="397" t="str">
        <f t="shared" si="2"/>
        <v>N</v>
      </c>
      <c r="R24" s="797">
        <v>2.9499999999999998E-2</v>
      </c>
      <c r="S24" s="818" t="str">
        <f t="shared" si="3"/>
        <v>376</v>
      </c>
    </row>
    <row r="25" spans="1:19">
      <c r="A25" s="747" t="s">
        <v>1491</v>
      </c>
      <c r="B25" s="748">
        <v>2097766.77</v>
      </c>
      <c r="C25" s="749">
        <v>1.78E-2</v>
      </c>
      <c r="D25" s="748">
        <v>3111.69</v>
      </c>
      <c r="E25" s="749">
        <v>1.72E-2</v>
      </c>
      <c r="F25" s="750">
        <f t="shared" si="4"/>
        <v>3006.7990370000002</v>
      </c>
      <c r="G25" s="751">
        <f t="shared" si="5"/>
        <v>-104.89096299999983</v>
      </c>
      <c r="H25" s="602">
        <f t="shared" si="6"/>
        <v>-1258.6915559999979</v>
      </c>
      <c r="I25" s="599"/>
      <c r="J25" s="599"/>
      <c r="K25" s="599"/>
      <c r="L25" s="752">
        <f t="shared" si="0"/>
        <v>36081.588444000001</v>
      </c>
      <c r="N25" s="397" t="s">
        <v>1491</v>
      </c>
      <c r="O25" s="797">
        <v>1.72E-2</v>
      </c>
      <c r="P25" s="797" t="str">
        <f t="shared" si="1"/>
        <v>Y</v>
      </c>
      <c r="Q25" s="397" t="str">
        <f t="shared" si="2"/>
        <v>Y</v>
      </c>
      <c r="R25" s="797">
        <v>1.72E-2</v>
      </c>
      <c r="S25" s="818" t="str">
        <f t="shared" si="3"/>
        <v>377</v>
      </c>
    </row>
    <row r="26" spans="1:19">
      <c r="A26" s="747" t="s">
        <v>2363</v>
      </c>
      <c r="B26" s="748">
        <v>25599862.800000001</v>
      </c>
      <c r="C26" s="749">
        <v>1.9199999999999998E-2</v>
      </c>
      <c r="D26" s="748">
        <v>40959.78</v>
      </c>
      <c r="E26" s="749">
        <v>1.9699999999999999E-2</v>
      </c>
      <c r="F26" s="750">
        <f t="shared" si="4"/>
        <v>42026.441429999999</v>
      </c>
      <c r="G26" s="751">
        <f t="shared" si="5"/>
        <v>1066.6614300000001</v>
      </c>
      <c r="H26" s="602">
        <f t="shared" si="6"/>
        <v>12799.937160000001</v>
      </c>
      <c r="I26" s="599"/>
      <c r="J26" s="599"/>
      <c r="K26" s="599"/>
      <c r="L26" s="752">
        <f t="shared" si="0"/>
        <v>504317.29715999996</v>
      </c>
      <c r="N26" s="397" t="s">
        <v>2363</v>
      </c>
      <c r="O26" s="797">
        <v>1.9699999999999999E-2</v>
      </c>
      <c r="P26" s="797" t="str">
        <f t="shared" si="1"/>
        <v>Y</v>
      </c>
      <c r="Q26" s="397" t="str">
        <f t="shared" si="2"/>
        <v>Y</v>
      </c>
      <c r="R26" s="797">
        <v>1.9699999999999999E-2</v>
      </c>
      <c r="S26" s="818" t="str">
        <f t="shared" si="3"/>
        <v>378</v>
      </c>
    </row>
    <row r="27" spans="1:19">
      <c r="A27" s="747" t="s">
        <v>1469</v>
      </c>
      <c r="B27" s="748">
        <v>146616703.03999999</v>
      </c>
      <c r="C27" s="749">
        <v>3.8800000000000001E-2</v>
      </c>
      <c r="D27" s="748">
        <v>474060.68</v>
      </c>
      <c r="E27" s="833">
        <v>3.3599999999999998E-2</v>
      </c>
      <c r="F27" s="837">
        <f t="shared" si="4"/>
        <v>410526.76851199992</v>
      </c>
      <c r="G27" s="838">
        <f t="shared" si="5"/>
        <v>-63533.911488000071</v>
      </c>
      <c r="H27" s="839">
        <f t="shared" si="6"/>
        <v>-762406.93785600085</v>
      </c>
      <c r="I27" s="599"/>
      <c r="J27" s="599"/>
      <c r="K27" s="599"/>
      <c r="L27" s="840">
        <f t="shared" si="0"/>
        <v>4926321.2221439993</v>
      </c>
      <c r="N27" s="397" t="s">
        <v>1469</v>
      </c>
      <c r="O27" s="797">
        <v>3.3599999999999998E-2</v>
      </c>
      <c r="P27" s="797" t="str">
        <f t="shared" si="1"/>
        <v>Y</v>
      </c>
      <c r="Q27" s="397" t="str">
        <f t="shared" si="2"/>
        <v>N</v>
      </c>
      <c r="R27" s="797">
        <v>4.2599999999999999E-2</v>
      </c>
      <c r="S27" s="818" t="str">
        <f t="shared" si="3"/>
        <v>380</v>
      </c>
    </row>
    <row r="28" spans="1:19">
      <c r="A28" s="747" t="s">
        <v>1470</v>
      </c>
      <c r="B28" s="748">
        <v>62126401.860000007</v>
      </c>
      <c r="C28" s="749">
        <v>3.3299999999999996E-2</v>
      </c>
      <c r="D28" s="748">
        <v>172400.76</v>
      </c>
      <c r="E28" s="749">
        <v>3.4700000000000002E-2</v>
      </c>
      <c r="F28" s="750">
        <f t="shared" si="4"/>
        <v>179648.84537850003</v>
      </c>
      <c r="G28" s="751">
        <f t="shared" si="5"/>
        <v>7248.0853785000218</v>
      </c>
      <c r="H28" s="602">
        <f t="shared" si="6"/>
        <v>86977.024542000261</v>
      </c>
      <c r="I28" s="599"/>
      <c r="J28" s="599"/>
      <c r="L28" s="752">
        <f t="shared" si="0"/>
        <v>2155786.1445420003</v>
      </c>
      <c r="N28" s="397" t="s">
        <v>1470</v>
      </c>
      <c r="O28" s="797">
        <v>3.4700000000000002E-2</v>
      </c>
      <c r="P28" s="797" t="str">
        <f t="shared" si="1"/>
        <v>Y</v>
      </c>
      <c r="Q28" s="397" t="str">
        <f t="shared" si="2"/>
        <v>Y</v>
      </c>
      <c r="R28" s="797">
        <v>3.4700000000000002E-2</v>
      </c>
      <c r="S28" s="818" t="str">
        <f t="shared" si="3"/>
        <v>380</v>
      </c>
    </row>
    <row r="29" spans="1:19">
      <c r="A29" s="747" t="s">
        <v>1471</v>
      </c>
      <c r="B29" s="748">
        <v>16022598.870000001</v>
      </c>
      <c r="C29" s="749">
        <v>6.8900000000000003E-2</v>
      </c>
      <c r="D29" s="748">
        <v>91835.459999999992</v>
      </c>
      <c r="E29" s="833">
        <v>2.6099999999999998E-2</v>
      </c>
      <c r="F29" s="837">
        <f t="shared" si="4"/>
        <v>34849.152542249998</v>
      </c>
      <c r="G29" s="838">
        <f t="shared" si="5"/>
        <v>-56986.307457749994</v>
      </c>
      <c r="H29" s="839">
        <f t="shared" si="6"/>
        <v>-683835.68949299993</v>
      </c>
      <c r="I29" s="599"/>
      <c r="J29" s="599"/>
      <c r="L29" s="840">
        <f t="shared" si="0"/>
        <v>418189.83050699998</v>
      </c>
      <c r="N29" s="397" t="s">
        <v>1471</v>
      </c>
      <c r="O29" s="797">
        <v>2.6099999999999998E-2</v>
      </c>
      <c r="P29" s="797" t="str">
        <f t="shared" si="1"/>
        <v>Y</v>
      </c>
      <c r="Q29" s="397" t="str">
        <f t="shared" si="2"/>
        <v>N</v>
      </c>
      <c r="R29" s="797">
        <v>2.7199999999999998E-2</v>
      </c>
      <c r="S29" s="818" t="str">
        <f t="shared" si="3"/>
        <v>381</v>
      </c>
    </row>
    <row r="30" spans="1:19">
      <c r="A30" s="747" t="s">
        <v>1472</v>
      </c>
      <c r="B30" s="748">
        <v>32273846.380000003</v>
      </c>
      <c r="C30" s="749">
        <v>2.2700000000000001E-2</v>
      </c>
      <c r="D30" s="748">
        <v>60944.54</v>
      </c>
      <c r="E30" s="833">
        <v>2.6099999999999998E-2</v>
      </c>
      <c r="F30" s="837">
        <f t="shared" si="4"/>
        <v>70195.6158765</v>
      </c>
      <c r="G30" s="838">
        <f t="shared" si="5"/>
        <v>9251.0758764999991</v>
      </c>
      <c r="H30" s="839">
        <f t="shared" si="6"/>
        <v>111012.91051799999</v>
      </c>
      <c r="I30" s="599"/>
      <c r="J30" s="599"/>
      <c r="L30" s="840">
        <f t="shared" si="0"/>
        <v>842347.390518</v>
      </c>
      <c r="N30" s="397" t="s">
        <v>1472</v>
      </c>
      <c r="O30" s="797">
        <v>2.6099999999999998E-2</v>
      </c>
      <c r="P30" s="797" t="str">
        <f t="shared" si="1"/>
        <v>Y</v>
      </c>
      <c r="Q30" s="397" t="str">
        <f t="shared" si="2"/>
        <v>N</v>
      </c>
      <c r="R30" s="797">
        <v>2.7199999999999998E-2</v>
      </c>
      <c r="S30" s="818" t="str">
        <f t="shared" si="3"/>
        <v>381</v>
      </c>
    </row>
    <row r="31" spans="1:19">
      <c r="A31" s="747" t="s">
        <v>1473</v>
      </c>
      <c r="B31" s="748">
        <v>24129820.09</v>
      </c>
      <c r="C31" s="749">
        <v>1.8599999999999998E-2</v>
      </c>
      <c r="D31" s="748">
        <v>37401.22</v>
      </c>
      <c r="E31" s="833">
        <v>2.6099999999999998E-2</v>
      </c>
      <c r="F31" s="837">
        <f t="shared" si="4"/>
        <v>52482.358695750001</v>
      </c>
      <c r="G31" s="838">
        <f t="shared" si="5"/>
        <v>15081.13869575</v>
      </c>
      <c r="H31" s="839">
        <f t="shared" si="6"/>
        <v>180973.664349</v>
      </c>
      <c r="I31" s="599"/>
      <c r="J31" s="599"/>
      <c r="L31" s="840">
        <f t="shared" si="0"/>
        <v>629788.30434899998</v>
      </c>
      <c r="N31" s="397" t="s">
        <v>1473</v>
      </c>
      <c r="O31" s="797">
        <v>2.6099999999999998E-2</v>
      </c>
      <c r="P31" s="797" t="str">
        <f t="shared" si="1"/>
        <v>Y</v>
      </c>
      <c r="Q31" s="397" t="str">
        <f t="shared" si="2"/>
        <v>N</v>
      </c>
      <c r="R31" s="797">
        <v>2.7199999999999998E-2</v>
      </c>
      <c r="S31" s="818" t="str">
        <f t="shared" si="3"/>
        <v>382</v>
      </c>
    </row>
    <row r="32" spans="1:19">
      <c r="A32" s="747" t="s">
        <v>1474</v>
      </c>
      <c r="B32" s="748">
        <v>8559185.1400000006</v>
      </c>
      <c r="C32" s="749">
        <v>2.3199999999999998E-2</v>
      </c>
      <c r="D32" s="748">
        <v>16518.809999999998</v>
      </c>
      <c r="E32" s="833">
        <v>2.1600000000000001E-2</v>
      </c>
      <c r="F32" s="837">
        <f t="shared" si="4"/>
        <v>15406.533252000001</v>
      </c>
      <c r="G32" s="838">
        <f t="shared" si="5"/>
        <v>-1112.2767479999966</v>
      </c>
      <c r="H32" s="839">
        <f t="shared" si="6"/>
        <v>-13347.320975999959</v>
      </c>
      <c r="I32" s="599"/>
      <c r="J32" s="599"/>
      <c r="L32" s="840">
        <f t="shared" si="0"/>
        <v>184878.39902400001</v>
      </c>
      <c r="N32" s="397" t="s">
        <v>1474</v>
      </c>
      <c r="O32" s="797">
        <v>2.1600000000000001E-2</v>
      </c>
      <c r="P32" s="797" t="str">
        <f t="shared" si="1"/>
        <v>Y</v>
      </c>
      <c r="Q32" s="397" t="str">
        <f t="shared" si="2"/>
        <v>N</v>
      </c>
      <c r="R32" s="797">
        <v>2.4199999999999999E-2</v>
      </c>
      <c r="S32" s="818" t="str">
        <f t="shared" si="3"/>
        <v>383</v>
      </c>
    </row>
    <row r="33" spans="1:19">
      <c r="A33" s="747" t="s">
        <v>1475</v>
      </c>
      <c r="B33" s="748">
        <v>9718288.5999999996</v>
      </c>
      <c r="C33" s="749">
        <v>2.18E-2</v>
      </c>
      <c r="D33" s="748">
        <v>17654.89</v>
      </c>
      <c r="E33" s="833">
        <v>1.7000000000000001E-2</v>
      </c>
      <c r="F33" s="837">
        <f t="shared" si="4"/>
        <v>13767.575516666666</v>
      </c>
      <c r="G33" s="838">
        <f t="shared" si="5"/>
        <v>-3887.3144833333336</v>
      </c>
      <c r="H33" s="839">
        <f t="shared" si="6"/>
        <v>-46647.773800000003</v>
      </c>
      <c r="I33" s="599"/>
      <c r="J33" s="599"/>
      <c r="L33" s="840">
        <f t="shared" si="0"/>
        <v>165210.9062</v>
      </c>
      <c r="N33" s="397" t="s">
        <v>1475</v>
      </c>
      <c r="O33" s="797">
        <v>1.7000000000000001E-2</v>
      </c>
      <c r="P33" s="797" t="str">
        <f t="shared" si="1"/>
        <v>Y</v>
      </c>
      <c r="Q33" s="397" t="str">
        <f t="shared" si="2"/>
        <v>N</v>
      </c>
      <c r="R33" s="797">
        <v>1.8700000000000001E-2</v>
      </c>
      <c r="S33" s="818" t="str">
        <f t="shared" si="3"/>
        <v>385</v>
      </c>
    </row>
    <row r="34" spans="1:19">
      <c r="A34" s="747" t="s">
        <v>1476</v>
      </c>
      <c r="B34" s="748">
        <v>3267535.24</v>
      </c>
      <c r="C34" s="749">
        <v>0</v>
      </c>
      <c r="D34" s="748">
        <v>0</v>
      </c>
      <c r="E34" s="749">
        <v>0</v>
      </c>
      <c r="F34" s="750"/>
      <c r="G34" s="751">
        <f t="shared" si="5"/>
        <v>0</v>
      </c>
      <c r="H34" s="602">
        <f t="shared" si="6"/>
        <v>0</v>
      </c>
      <c r="I34" s="599"/>
      <c r="J34" s="599"/>
      <c r="L34" s="752">
        <f t="shared" si="0"/>
        <v>0</v>
      </c>
      <c r="N34" s="397" t="s">
        <v>1476</v>
      </c>
      <c r="O34" s="797">
        <v>0</v>
      </c>
      <c r="P34" s="797" t="str">
        <f t="shared" si="1"/>
        <v>Y</v>
      </c>
      <c r="Q34" s="397" t="str">
        <f t="shared" si="2"/>
        <v>Y</v>
      </c>
      <c r="R34" s="797">
        <v>0</v>
      </c>
      <c r="S34" s="818" t="str">
        <f t="shared" si="3"/>
        <v>389</v>
      </c>
    </row>
    <row r="35" spans="1:19">
      <c r="A35" s="747" t="s">
        <v>1477</v>
      </c>
      <c r="B35" s="748">
        <v>7933.28</v>
      </c>
      <c r="C35" s="749">
        <v>0</v>
      </c>
      <c r="D35" s="748">
        <v>0</v>
      </c>
      <c r="E35" s="749">
        <v>0</v>
      </c>
      <c r="F35" s="750"/>
      <c r="G35" s="751">
        <f t="shared" si="5"/>
        <v>0</v>
      </c>
      <c r="H35" s="602">
        <f t="shared" si="6"/>
        <v>0</v>
      </c>
      <c r="L35" s="752">
        <f t="shared" si="0"/>
        <v>0</v>
      </c>
      <c r="N35" s="397" t="s">
        <v>1477</v>
      </c>
      <c r="O35" s="797">
        <v>0</v>
      </c>
      <c r="P35" s="797" t="str">
        <f t="shared" si="1"/>
        <v>Y</v>
      </c>
      <c r="Q35" s="397" t="str">
        <f t="shared" si="2"/>
        <v>Y</v>
      </c>
      <c r="R35" s="797">
        <v>0</v>
      </c>
      <c r="S35" s="818" t="str">
        <f t="shared" si="3"/>
        <v>390</v>
      </c>
    </row>
    <row r="36" spans="1:19">
      <c r="A36" s="747" t="s">
        <v>1478</v>
      </c>
      <c r="B36" s="748">
        <v>16960355.690000001</v>
      </c>
      <c r="C36" s="749">
        <v>1.24E-2</v>
      </c>
      <c r="D36" s="748">
        <v>17518.289999999997</v>
      </c>
      <c r="E36" s="749">
        <v>1.44E-2</v>
      </c>
      <c r="F36" s="750">
        <f>IF(E36=0%, D36, (B36+K38)*E36/12)</f>
        <v>20352.426828</v>
      </c>
      <c r="G36" s="751">
        <f t="shared" si="5"/>
        <v>2834.1368280000024</v>
      </c>
      <c r="H36" s="602">
        <f t="shared" si="6"/>
        <v>34009.641936000029</v>
      </c>
      <c r="L36" s="752">
        <f t="shared" si="0"/>
        <v>244229.12193600001</v>
      </c>
      <c r="N36" s="397" t="s">
        <v>1478</v>
      </c>
      <c r="O36" s="797">
        <v>1.44E-2</v>
      </c>
      <c r="P36" s="797" t="str">
        <f t="shared" si="1"/>
        <v>Y</v>
      </c>
      <c r="Q36" s="397" t="str">
        <f t="shared" si="2"/>
        <v>Y</v>
      </c>
      <c r="R36" s="797">
        <v>1.44E-2</v>
      </c>
      <c r="S36" s="818" t="str">
        <f t="shared" si="3"/>
        <v>390</v>
      </c>
    </row>
    <row r="37" spans="1:19">
      <c r="A37" s="747" t="s">
        <v>1481</v>
      </c>
      <c r="B37" s="748">
        <v>2626882.3000000003</v>
      </c>
      <c r="C37" s="749">
        <v>0.16239999999999999</v>
      </c>
      <c r="D37" s="748">
        <v>35493.72</v>
      </c>
      <c r="E37" s="749">
        <v>0.44020000000000004</v>
      </c>
      <c r="F37" s="750">
        <f>(B37+K37)*(E37/12)</f>
        <v>52243.020371666687</v>
      </c>
      <c r="G37" s="751">
        <f t="shared" si="5"/>
        <v>16749.300371666686</v>
      </c>
      <c r="H37" s="602">
        <f t="shared" si="6"/>
        <v>200991.60446000024</v>
      </c>
      <c r="I37" s="599">
        <v>11</v>
      </c>
      <c r="J37" s="599">
        <v>5</v>
      </c>
      <c r="K37" s="748">
        <v>-1202720</v>
      </c>
      <c r="L37" s="752">
        <f t="shared" si="0"/>
        <v>626916.24446000019</v>
      </c>
      <c r="N37" s="397" t="s">
        <v>1481</v>
      </c>
      <c r="O37" s="797">
        <v>0.44020000000000004</v>
      </c>
      <c r="P37" s="797" t="str">
        <f t="shared" si="1"/>
        <v>Y</v>
      </c>
      <c r="Q37" s="397" t="str">
        <f t="shared" si="2"/>
        <v>Y</v>
      </c>
      <c r="R37" s="797">
        <v>0.44019999999999998</v>
      </c>
      <c r="S37" s="818" t="str">
        <f t="shared" si="3"/>
        <v>391</v>
      </c>
    </row>
    <row r="38" spans="1:19">
      <c r="A38" s="747" t="s">
        <v>1479</v>
      </c>
      <c r="B38" s="748">
        <v>233771.36000000004</v>
      </c>
      <c r="C38" s="749">
        <v>0.17369999999999999</v>
      </c>
      <c r="D38" s="748">
        <v>3381.09</v>
      </c>
      <c r="E38" s="749">
        <v>0.26369999999999999</v>
      </c>
      <c r="F38" s="750">
        <f>(B38+K38)*(E38/12)</f>
        <v>5137.1256360000007</v>
      </c>
      <c r="G38" s="751">
        <f t="shared" si="5"/>
        <v>1756.0356360000005</v>
      </c>
      <c r="H38" s="602">
        <f t="shared" si="6"/>
        <v>21072.427632000006</v>
      </c>
      <c r="I38" s="599">
        <v>15</v>
      </c>
      <c r="J38" s="599">
        <v>15</v>
      </c>
      <c r="K38" s="748">
        <v>0</v>
      </c>
      <c r="L38" s="752">
        <f t="shared" si="0"/>
        <v>61645.507632000008</v>
      </c>
      <c r="N38" s="397" t="s">
        <v>1479</v>
      </c>
      <c r="O38" s="797">
        <v>0.26369999999999999</v>
      </c>
      <c r="P38" s="797" t="str">
        <f t="shared" si="1"/>
        <v>Y</v>
      </c>
      <c r="Q38" s="397" t="str">
        <f t="shared" si="2"/>
        <v>Y</v>
      </c>
      <c r="R38" s="797">
        <v>0.26369999999999999</v>
      </c>
      <c r="S38" s="818" t="str">
        <f t="shared" si="3"/>
        <v>391</v>
      </c>
    </row>
    <row r="39" spans="1:19">
      <c r="A39" s="747" t="s">
        <v>1480</v>
      </c>
      <c r="B39" s="748">
        <v>1410564.77</v>
      </c>
      <c r="C39" s="749">
        <v>4.9799999999999997E-2</v>
      </c>
      <c r="D39" s="748">
        <v>5847.45</v>
      </c>
      <c r="E39" s="749">
        <v>0.19</v>
      </c>
      <c r="F39" s="750">
        <f t="shared" ref="F39:F49" si="7">(B39+K39)*(E39/12)</f>
        <v>19900.232508333334</v>
      </c>
      <c r="G39" s="751">
        <f t="shared" si="5"/>
        <v>14052.782508333334</v>
      </c>
      <c r="H39" s="602">
        <f t="shared" si="6"/>
        <v>168633.39010000002</v>
      </c>
      <c r="I39" s="599">
        <v>25</v>
      </c>
      <c r="J39" s="599">
        <v>15</v>
      </c>
      <c r="K39" s="748">
        <v>-153707.98000000001</v>
      </c>
      <c r="L39" s="752">
        <f t="shared" si="0"/>
        <v>238802.79010000001</v>
      </c>
      <c r="N39" s="397" t="s">
        <v>1480</v>
      </c>
      <c r="O39" s="797">
        <v>0.19</v>
      </c>
      <c r="P39" s="797" t="str">
        <f t="shared" si="1"/>
        <v>Y</v>
      </c>
      <c r="Q39" s="397" t="str">
        <f t="shared" si="2"/>
        <v>Y</v>
      </c>
      <c r="R39" s="797">
        <v>0.19</v>
      </c>
      <c r="S39" s="818" t="str">
        <f t="shared" si="3"/>
        <v>391</v>
      </c>
    </row>
    <row r="40" spans="1:19">
      <c r="A40" s="747" t="s">
        <v>2364</v>
      </c>
      <c r="B40" s="748">
        <v>2250897.6999999997</v>
      </c>
      <c r="C40" s="749">
        <v>0</v>
      </c>
      <c r="D40" s="748">
        <v>0</v>
      </c>
      <c r="E40" s="749">
        <v>0</v>
      </c>
      <c r="F40" s="750">
        <f t="shared" si="7"/>
        <v>0</v>
      </c>
      <c r="G40" s="751">
        <f t="shared" si="5"/>
        <v>0</v>
      </c>
      <c r="H40" s="602">
        <f t="shared" si="6"/>
        <v>0</v>
      </c>
      <c r="I40" s="599"/>
      <c r="J40" s="599"/>
      <c r="K40" s="748"/>
      <c r="L40" s="752">
        <f t="shared" si="0"/>
        <v>0</v>
      </c>
      <c r="N40" s="397" t="s">
        <v>2364</v>
      </c>
      <c r="O40" s="797">
        <v>0</v>
      </c>
      <c r="P40" s="797" t="str">
        <f t="shared" si="1"/>
        <v>Y</v>
      </c>
      <c r="Q40" s="397" t="str">
        <f t="shared" si="2"/>
        <v>Y</v>
      </c>
      <c r="R40" s="797">
        <v>0</v>
      </c>
      <c r="S40" s="818" t="str">
        <f t="shared" si="3"/>
        <v>391</v>
      </c>
    </row>
    <row r="41" spans="1:19">
      <c r="A41" s="747" t="s">
        <v>2365</v>
      </c>
      <c r="B41" s="748">
        <v>209355.96000000002</v>
      </c>
      <c r="C41" s="749">
        <v>3.15E-2</v>
      </c>
      <c r="D41" s="748">
        <v>549.54</v>
      </c>
      <c r="E41" s="749">
        <v>2.69E-2</v>
      </c>
      <c r="F41" s="750">
        <f t="shared" si="7"/>
        <v>469.30627700000002</v>
      </c>
      <c r="G41" s="751">
        <f t="shared" si="5"/>
        <v>-80.233722999999941</v>
      </c>
      <c r="H41" s="602">
        <f t="shared" si="6"/>
        <v>-962.80467599999929</v>
      </c>
      <c r="L41" s="752">
        <f t="shared" si="0"/>
        <v>5631.6753239999998</v>
      </c>
      <c r="N41" s="397" t="s">
        <v>2365</v>
      </c>
      <c r="O41" s="797">
        <v>2.69E-2</v>
      </c>
      <c r="P41" s="797" t="str">
        <f t="shared" si="1"/>
        <v>Y</v>
      </c>
      <c r="Q41" s="397" t="str">
        <f t="shared" si="2"/>
        <v>Y</v>
      </c>
      <c r="R41" s="797">
        <v>2.69E-2</v>
      </c>
      <c r="S41" s="818" t="str">
        <f t="shared" si="3"/>
        <v>392</v>
      </c>
    </row>
    <row r="42" spans="1:19">
      <c r="A42" s="747" t="s">
        <v>2366</v>
      </c>
      <c r="B42" s="748">
        <v>13232526.48</v>
      </c>
      <c r="C42" s="749">
        <v>6.1499999999999999E-2</v>
      </c>
      <c r="D42" s="748">
        <v>67803.55</v>
      </c>
      <c r="E42" s="749">
        <v>5.8899999999999994E-2</v>
      </c>
      <c r="F42" s="750">
        <f t="shared" si="7"/>
        <v>64949.650805999998</v>
      </c>
      <c r="G42" s="751">
        <f t="shared" si="5"/>
        <v>-2853.8991940000051</v>
      </c>
      <c r="H42" s="602">
        <f t="shared" si="6"/>
        <v>-34246.790328000061</v>
      </c>
      <c r="L42" s="752">
        <f t="shared" si="0"/>
        <v>779395.809672</v>
      </c>
      <c r="N42" s="397" t="s">
        <v>2366</v>
      </c>
      <c r="O42" s="797">
        <v>5.8899999999999994E-2</v>
      </c>
      <c r="P42" s="797" t="str">
        <f t="shared" si="1"/>
        <v>Y</v>
      </c>
      <c r="Q42" s="397" t="str">
        <f t="shared" si="2"/>
        <v>Y</v>
      </c>
      <c r="R42" s="797">
        <v>5.8900000000000001E-2</v>
      </c>
      <c r="S42" s="818" t="str">
        <f t="shared" si="3"/>
        <v>392</v>
      </c>
    </row>
    <row r="43" spans="1:19">
      <c r="A43" s="747" t="s">
        <v>1482</v>
      </c>
      <c r="B43" s="748">
        <v>63199.69</v>
      </c>
      <c r="C43" s="749">
        <v>5.3400000000000003E-2</v>
      </c>
      <c r="D43" s="748">
        <v>280.95</v>
      </c>
      <c r="E43" s="749">
        <v>8.4000000000000005E-2</v>
      </c>
      <c r="F43" s="750">
        <f t="shared" si="7"/>
        <v>442.39783</v>
      </c>
      <c r="G43" s="751">
        <f t="shared" si="5"/>
        <v>161.44783000000001</v>
      </c>
      <c r="H43" s="602">
        <f t="shared" si="6"/>
        <v>1937.3739600000001</v>
      </c>
      <c r="I43" s="599">
        <v>33</v>
      </c>
      <c r="J43" s="599">
        <v>30</v>
      </c>
      <c r="K43" s="748">
        <v>0</v>
      </c>
      <c r="L43" s="752">
        <f t="shared" si="0"/>
        <v>5308.7739600000004</v>
      </c>
      <c r="N43" s="397" t="s">
        <v>1482</v>
      </c>
      <c r="O43" s="797">
        <v>8.4000000000000005E-2</v>
      </c>
      <c r="P43" s="797" t="str">
        <f t="shared" si="1"/>
        <v>Y</v>
      </c>
      <c r="Q43" s="397" t="str">
        <f t="shared" si="2"/>
        <v>Y</v>
      </c>
      <c r="R43" s="797">
        <v>8.4000000000000005E-2</v>
      </c>
      <c r="S43" s="818" t="str">
        <f t="shared" si="3"/>
        <v>393</v>
      </c>
    </row>
    <row r="44" spans="1:19">
      <c r="A44" s="747" t="s">
        <v>1483</v>
      </c>
      <c r="B44" s="748">
        <v>7034460.8100000005</v>
      </c>
      <c r="C44" s="749">
        <v>3.56E-2</v>
      </c>
      <c r="D44" s="748">
        <v>20859.3</v>
      </c>
      <c r="E44" s="749">
        <v>0.1066</v>
      </c>
      <c r="F44" s="750">
        <f t="shared" si="7"/>
        <v>53716.40855966667</v>
      </c>
      <c r="G44" s="751">
        <f t="shared" si="5"/>
        <v>32857.108559666667</v>
      </c>
      <c r="H44" s="602">
        <f t="shared" si="6"/>
        <v>394285.30271600001</v>
      </c>
      <c r="I44" s="599">
        <v>31</v>
      </c>
      <c r="J44" s="599">
        <v>20</v>
      </c>
      <c r="K44" s="748">
        <v>-987585.55</v>
      </c>
      <c r="L44" s="752">
        <f t="shared" si="0"/>
        <v>644596.9027160001</v>
      </c>
      <c r="N44" s="397" t="s">
        <v>1483</v>
      </c>
      <c r="O44" s="797">
        <v>0.1066</v>
      </c>
      <c r="P44" s="797" t="str">
        <f t="shared" si="1"/>
        <v>Y</v>
      </c>
      <c r="Q44" s="397" t="str">
        <f t="shared" si="2"/>
        <v>Y</v>
      </c>
      <c r="R44" s="797">
        <v>0.1066</v>
      </c>
      <c r="S44" s="818" t="str">
        <f t="shared" si="3"/>
        <v>394</v>
      </c>
    </row>
    <row r="45" spans="1:19">
      <c r="A45" s="747" t="s">
        <v>1492</v>
      </c>
      <c r="B45" s="748">
        <v>131231.01999999999</v>
      </c>
      <c r="C45" s="749">
        <v>1.84E-2</v>
      </c>
      <c r="D45" s="748">
        <v>201.22</v>
      </c>
      <c r="E45" s="749">
        <v>1.52E-2</v>
      </c>
      <c r="F45" s="750">
        <f t="shared" si="7"/>
        <v>166.22595866666666</v>
      </c>
      <c r="G45" s="751">
        <f t="shared" si="5"/>
        <v>-34.994041333333342</v>
      </c>
      <c r="H45" s="602">
        <f t="shared" si="6"/>
        <v>-419.92849600000011</v>
      </c>
      <c r="I45" s="599"/>
      <c r="J45" s="599"/>
      <c r="K45" s="748"/>
      <c r="L45" s="752">
        <f t="shared" si="0"/>
        <v>1994.7115039999999</v>
      </c>
      <c r="N45" s="397" t="s">
        <v>1492</v>
      </c>
      <c r="O45" s="797">
        <v>1.52E-2</v>
      </c>
      <c r="P45" s="797" t="str">
        <f t="shared" si="1"/>
        <v>Y</v>
      </c>
      <c r="Q45" s="397" t="str">
        <f t="shared" si="2"/>
        <v>Y</v>
      </c>
      <c r="R45" s="797">
        <v>1.52E-2</v>
      </c>
      <c r="S45" s="818" t="str">
        <f t="shared" si="3"/>
        <v>394</v>
      </c>
    </row>
    <row r="46" spans="1:19">
      <c r="A46" s="747" t="s">
        <v>1484</v>
      </c>
      <c r="B46" s="748">
        <v>68747.38</v>
      </c>
      <c r="C46" s="749">
        <v>4.5999999999999999E-2</v>
      </c>
      <c r="D46" s="748">
        <v>263.14</v>
      </c>
      <c r="E46" s="749">
        <v>0.14550000000000002</v>
      </c>
      <c r="F46" s="750">
        <f t="shared" si="7"/>
        <v>461.94176625000017</v>
      </c>
      <c r="G46" s="751">
        <f t="shared" si="5"/>
        <v>198.80176625000018</v>
      </c>
      <c r="H46" s="602">
        <f t="shared" si="6"/>
        <v>2385.6211950000024</v>
      </c>
      <c r="I46" s="599">
        <v>25</v>
      </c>
      <c r="J46" s="599">
        <v>20</v>
      </c>
      <c r="K46" s="748">
        <v>-30649.09</v>
      </c>
      <c r="L46" s="752">
        <f t="shared" si="0"/>
        <v>5543.3011950000018</v>
      </c>
      <c r="N46" s="397" t="s">
        <v>1484</v>
      </c>
      <c r="O46" s="797">
        <v>0.14550000000000002</v>
      </c>
      <c r="P46" s="797" t="str">
        <f t="shared" si="1"/>
        <v>Y</v>
      </c>
      <c r="Q46" s="397" t="str">
        <f t="shared" si="2"/>
        <v>Y</v>
      </c>
      <c r="R46" s="797">
        <v>0.14549999999999999</v>
      </c>
      <c r="S46" s="818" t="str">
        <f t="shared" si="3"/>
        <v>395</v>
      </c>
    </row>
    <row r="47" spans="1:19">
      <c r="A47" s="747" t="s">
        <v>2367</v>
      </c>
      <c r="B47" s="748">
        <v>2028370.8599999999</v>
      </c>
      <c r="C47" s="749">
        <v>5.1799999999999999E-2</v>
      </c>
      <c r="D47" s="748">
        <v>8756.2900000000009</v>
      </c>
      <c r="E47" s="749">
        <v>9.6300000000000011E-2</v>
      </c>
      <c r="F47" s="750">
        <f t="shared" si="7"/>
        <v>16277.676151500002</v>
      </c>
      <c r="G47" s="751">
        <f t="shared" si="5"/>
        <v>7521.3861515000008</v>
      </c>
      <c r="H47" s="602">
        <f t="shared" si="6"/>
        <v>90256.633818000002</v>
      </c>
      <c r="L47" s="752">
        <f t="shared" si="0"/>
        <v>195332.11381800001</v>
      </c>
      <c r="N47" s="397" t="s">
        <v>2367</v>
      </c>
      <c r="O47" s="797">
        <v>9.6300000000000011E-2</v>
      </c>
      <c r="P47" s="797" t="str">
        <f t="shared" si="1"/>
        <v>Y</v>
      </c>
      <c r="Q47" s="397" t="str">
        <f t="shared" si="2"/>
        <v>Y</v>
      </c>
      <c r="R47" s="797">
        <v>9.6299999999999997E-2</v>
      </c>
      <c r="S47" s="818" t="str">
        <f t="shared" si="3"/>
        <v>396</v>
      </c>
    </row>
    <row r="48" spans="1:19">
      <c r="A48" s="747" t="s">
        <v>2368</v>
      </c>
      <c r="B48" s="748">
        <v>553326.53</v>
      </c>
      <c r="C48" s="749">
        <v>3.1199999999999999E-2</v>
      </c>
      <c r="D48" s="748">
        <v>1438.65</v>
      </c>
      <c r="E48" s="833">
        <v>2.6099999999999998E-2</v>
      </c>
      <c r="F48" s="837">
        <f t="shared" si="7"/>
        <v>1203.4852027499999</v>
      </c>
      <c r="G48" s="838">
        <f t="shared" si="5"/>
        <v>-235.16479725000022</v>
      </c>
      <c r="H48" s="839">
        <f t="shared" si="6"/>
        <v>-2821.9775670000026</v>
      </c>
      <c r="L48" s="840">
        <f t="shared" si="0"/>
        <v>14441.822432999998</v>
      </c>
      <c r="N48" s="397" t="s">
        <v>2368</v>
      </c>
      <c r="O48" s="797">
        <v>2.6099999999999998E-2</v>
      </c>
      <c r="P48" s="797" t="str">
        <f t="shared" si="1"/>
        <v>Y</v>
      </c>
      <c r="Q48" s="397" t="str">
        <f t="shared" si="2"/>
        <v>N</v>
      </c>
      <c r="R48" s="797">
        <v>2.9700000000000001E-2</v>
      </c>
      <c r="S48" s="818" t="str">
        <f t="shared" si="3"/>
        <v>396</v>
      </c>
    </row>
    <row r="49" spans="1:19">
      <c r="A49" s="747" t="s">
        <v>1485</v>
      </c>
      <c r="B49" s="748">
        <v>194717.3</v>
      </c>
      <c r="C49" s="749">
        <v>4.5600000000000002E-2</v>
      </c>
      <c r="D49" s="748">
        <v>739.93</v>
      </c>
      <c r="E49" s="749">
        <v>5.3499999999999999E-2</v>
      </c>
      <c r="F49" s="750">
        <f t="shared" si="7"/>
        <v>543.53106541666659</v>
      </c>
      <c r="G49" s="751">
        <f t="shared" si="5"/>
        <v>-196.39893458333336</v>
      </c>
      <c r="H49" s="602">
        <f t="shared" si="6"/>
        <v>-2356.7872150000003</v>
      </c>
      <c r="I49" s="599" t="s">
        <v>2369</v>
      </c>
      <c r="J49" s="599">
        <v>15</v>
      </c>
      <c r="K49" s="748">
        <v>-72803.789999999994</v>
      </c>
      <c r="L49" s="752">
        <f t="shared" si="0"/>
        <v>6522.3727849999996</v>
      </c>
      <c r="N49" s="397" t="s">
        <v>1485</v>
      </c>
      <c r="O49" s="797">
        <v>5.3499999999999999E-2</v>
      </c>
      <c r="P49" s="797" t="str">
        <f t="shared" si="1"/>
        <v>Y</v>
      </c>
      <c r="Q49" s="397" t="str">
        <f t="shared" si="2"/>
        <v>Y</v>
      </c>
      <c r="R49" s="797">
        <v>5.3499999999999999E-2</v>
      </c>
      <c r="S49" s="818" t="str">
        <f t="shared" si="3"/>
        <v>397</v>
      </c>
    </row>
    <row r="50" spans="1:19">
      <c r="A50" s="747" t="s">
        <v>1486</v>
      </c>
      <c r="B50" s="748">
        <v>939552.66999999993</v>
      </c>
      <c r="C50" s="749">
        <v>9.3700000000000006E-2</v>
      </c>
      <c r="D50" s="748">
        <v>7336.1600000000008</v>
      </c>
      <c r="E50" s="749">
        <v>6.9900000000000004E-2</v>
      </c>
      <c r="F50" s="750">
        <f>(B50+K50)*(E50/12)</f>
        <v>5472.89430275</v>
      </c>
      <c r="G50" s="751">
        <f t="shared" si="5"/>
        <v>-1863.2656972500008</v>
      </c>
      <c r="H50" s="602">
        <f t="shared" si="6"/>
        <v>-22359.18836700001</v>
      </c>
      <c r="I50" s="599">
        <v>12</v>
      </c>
      <c r="J50" s="599">
        <v>15</v>
      </c>
      <c r="K50" s="748">
        <v>0</v>
      </c>
      <c r="L50" s="752">
        <f t="shared" si="0"/>
        <v>65674.731633000003</v>
      </c>
      <c r="N50" s="397" t="s">
        <v>1486</v>
      </c>
      <c r="O50" s="797">
        <v>6.9900000000000004E-2</v>
      </c>
      <c r="P50" s="797" t="str">
        <f t="shared" si="1"/>
        <v>Y</v>
      </c>
      <c r="Q50" s="397" t="str">
        <f t="shared" si="2"/>
        <v>Y</v>
      </c>
      <c r="R50" s="797">
        <v>6.9900000000000004E-2</v>
      </c>
      <c r="S50" s="818" t="str">
        <f t="shared" si="3"/>
        <v>397</v>
      </c>
    </row>
    <row r="51" spans="1:19">
      <c r="A51" s="747" t="s">
        <v>1487</v>
      </c>
      <c r="B51" s="748">
        <v>4114182.71</v>
      </c>
      <c r="C51" s="749">
        <v>1.2999999999999999E-3</v>
      </c>
      <c r="D51" s="748">
        <v>445.54999999999995</v>
      </c>
      <c r="E51" s="749">
        <v>5.5300000000000002E-2</v>
      </c>
      <c r="F51" s="750">
        <f>(B51+K51)*(E51/12)</f>
        <v>10602.882227583334</v>
      </c>
      <c r="G51" s="751">
        <f t="shared" si="5"/>
        <v>10157.332227583334</v>
      </c>
      <c r="H51" s="602">
        <f t="shared" si="6"/>
        <v>121887.98673100001</v>
      </c>
      <c r="I51" s="599" t="s">
        <v>2369</v>
      </c>
      <c r="J51" s="599">
        <v>15</v>
      </c>
      <c r="K51" s="748">
        <v>-1813376.44</v>
      </c>
      <c r="L51" s="752">
        <f t="shared" si="0"/>
        <v>127234.586731</v>
      </c>
      <c r="N51" s="397" t="s">
        <v>1487</v>
      </c>
      <c r="O51" s="797">
        <v>5.5300000000000002E-2</v>
      </c>
      <c r="P51" s="797" t="str">
        <f t="shared" si="1"/>
        <v>Y</v>
      </c>
      <c r="Q51" s="397" t="str">
        <f t="shared" si="2"/>
        <v>Y</v>
      </c>
      <c r="R51" s="797">
        <v>5.5300000000000002E-2</v>
      </c>
      <c r="S51" s="818" t="str">
        <f t="shared" si="3"/>
        <v>397</v>
      </c>
    </row>
    <row r="52" spans="1:19">
      <c r="A52" s="747" t="s">
        <v>1488</v>
      </c>
      <c r="B52" s="748">
        <v>422419.49999999994</v>
      </c>
      <c r="C52" s="749">
        <v>9.1800000000000007E-2</v>
      </c>
      <c r="D52" s="748">
        <v>3230.27</v>
      </c>
      <c r="E52" s="749">
        <v>0.2162</v>
      </c>
      <c r="F52" s="750">
        <f>(B52+K52)*(E52/12)</f>
        <v>7610.5913249999994</v>
      </c>
      <c r="G52" s="751">
        <f t="shared" si="5"/>
        <v>4380.321324999999</v>
      </c>
      <c r="H52" s="602">
        <f t="shared" si="6"/>
        <v>52563.855899999988</v>
      </c>
      <c r="I52" s="599" t="s">
        <v>2369</v>
      </c>
      <c r="J52" s="599">
        <v>15</v>
      </c>
      <c r="K52" s="748">
        <v>0</v>
      </c>
      <c r="L52" s="752">
        <f t="shared" si="0"/>
        <v>91327.095899999986</v>
      </c>
      <c r="N52" s="397" t="s">
        <v>1488</v>
      </c>
      <c r="O52" s="797">
        <v>0.2162</v>
      </c>
      <c r="P52" s="797" t="str">
        <f t="shared" si="1"/>
        <v>Y</v>
      </c>
      <c r="Q52" s="397" t="str">
        <f t="shared" si="2"/>
        <v>Y</v>
      </c>
      <c r="R52" s="797">
        <v>0.2162</v>
      </c>
      <c r="S52" s="818" t="str">
        <f t="shared" si="3"/>
        <v>397</v>
      </c>
    </row>
    <row r="53" spans="1:19">
      <c r="A53" s="747" t="s">
        <v>1489</v>
      </c>
      <c r="B53" s="748">
        <v>58988.85</v>
      </c>
      <c r="C53" s="749">
        <v>0.1051</v>
      </c>
      <c r="D53" s="748">
        <v>516.02</v>
      </c>
      <c r="E53" s="749">
        <v>4.3499999999999997E-2</v>
      </c>
      <c r="F53" s="750">
        <f>(B53+K53)*(E53/12)</f>
        <v>213.83458124999999</v>
      </c>
      <c r="G53" s="751">
        <f t="shared" si="5"/>
        <v>-302.18541875</v>
      </c>
      <c r="H53" s="602">
        <f t="shared" si="6"/>
        <v>-3626.2250249999997</v>
      </c>
      <c r="L53" s="752">
        <f t="shared" si="0"/>
        <v>2566.014975</v>
      </c>
      <c r="N53" s="397" t="s">
        <v>1489</v>
      </c>
      <c r="O53" s="797">
        <v>4.3499999999999997E-2</v>
      </c>
      <c r="P53" s="797" t="str">
        <f t="shared" si="1"/>
        <v>Y</v>
      </c>
      <c r="Q53" s="397" t="str">
        <f t="shared" si="2"/>
        <v>Y</v>
      </c>
      <c r="R53" s="797">
        <v>4.3499999999999997E-2</v>
      </c>
      <c r="S53" s="818" t="str">
        <f t="shared" si="3"/>
        <v>398</v>
      </c>
    </row>
    <row r="54" spans="1:19">
      <c r="A54" s="741" t="s">
        <v>2370</v>
      </c>
      <c r="B54" s="754">
        <f>SUM(B12:B53)</f>
        <v>866945220.73000002</v>
      </c>
      <c r="C54" s="755"/>
      <c r="D54" s="756">
        <f>SUM(D12:D53)</f>
        <v>2244953.62</v>
      </c>
      <c r="E54" s="756"/>
      <c r="F54" s="836">
        <f>SUM(F12:F53)</f>
        <v>2235469.1299561667</v>
      </c>
      <c r="G54" s="836">
        <f>SUM(G12:G53)</f>
        <v>-9484.4900438333443</v>
      </c>
      <c r="H54" s="836">
        <f>SUM(H12:H53)</f>
        <v>-113813.88052600026</v>
      </c>
      <c r="I54" s="599"/>
      <c r="J54" s="599"/>
      <c r="L54" s="836">
        <f>F54*12</f>
        <v>26825629.559473999</v>
      </c>
    </row>
    <row r="55" spans="1:19">
      <c r="A55" s="757"/>
      <c r="B55" s="748"/>
      <c r="C55" s="739"/>
      <c r="D55" s="603" t="s">
        <v>2371</v>
      </c>
      <c r="E55" s="834">
        <f>+(D54+G54)</f>
        <v>2235469.1299561667</v>
      </c>
      <c r="F55" s="739"/>
      <c r="G55" s="740"/>
      <c r="I55" s="599"/>
      <c r="J55" s="599"/>
    </row>
    <row r="56" spans="1:19">
      <c r="C56" s="739"/>
      <c r="D56" s="599" t="s">
        <v>2361</v>
      </c>
      <c r="E56" s="834">
        <f>+E55*12</f>
        <v>26825629.559473999</v>
      </c>
      <c r="F56" s="739"/>
      <c r="G56" s="740"/>
      <c r="I56" s="599"/>
      <c r="J56" s="599"/>
      <c r="L56" s="602"/>
    </row>
    <row r="57" spans="1:19">
      <c r="C57" s="739"/>
      <c r="D57" s="599" t="s">
        <v>2372</v>
      </c>
      <c r="E57" s="758">
        <f>+' ROO Summary Sheet'!E27</f>
        <v>24915117.609999999</v>
      </c>
      <c r="F57" s="739"/>
      <c r="G57" s="740"/>
      <c r="I57" s="599"/>
      <c r="J57" s="599"/>
    </row>
    <row r="58" spans="1:19">
      <c r="C58" s="739"/>
      <c r="D58" s="599" t="s">
        <v>2373</v>
      </c>
      <c r="E58" s="835">
        <f>+E56-E57</f>
        <v>1910511.9494739994</v>
      </c>
      <c r="F58" s="739"/>
      <c r="G58" s="740"/>
      <c r="I58" s="599"/>
      <c r="J58" s="599"/>
    </row>
  </sheetData>
  <mergeCells count="5">
    <mergeCell ref="A1:M1"/>
    <mergeCell ref="A2:M2"/>
    <mergeCell ref="A3:M3"/>
    <mergeCell ref="A4:M4"/>
    <mergeCell ref="A5:M5"/>
  </mergeCell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Q121"/>
  <sheetViews>
    <sheetView view="pageBreakPreview" topLeftCell="A4" zoomScale="80" zoomScaleNormal="100" zoomScaleSheetLayoutView="80" workbookViewId="0">
      <pane xSplit="3" topLeftCell="D1" activePane="topRight" state="frozen"/>
      <selection activeCell="A2" sqref="A2:C2"/>
      <selection pane="topRight" activeCell="O11" sqref="O11"/>
    </sheetView>
  </sheetViews>
  <sheetFormatPr defaultColWidth="9.140625" defaultRowHeight="15.75"/>
  <cols>
    <col min="1" max="1" width="10.140625" style="5" customWidth="1"/>
    <col min="2" max="2" width="43.7109375" style="3" bestFit="1" customWidth="1"/>
    <col min="3" max="3" width="9.5703125" style="3" bestFit="1" customWidth="1"/>
    <col min="4" max="4" width="16.140625" style="3" bestFit="1" customWidth="1"/>
    <col min="5" max="5" width="12.7109375" style="3" bestFit="1" customWidth="1"/>
    <col min="6" max="6" width="19" style="3" bestFit="1" customWidth="1"/>
    <col min="7" max="7" width="8.140625" style="3" bestFit="1" customWidth="1"/>
    <col min="8" max="8" width="17.5703125" style="3" customWidth="1"/>
    <col min="9" max="9" width="19" style="3" customWidth="1"/>
    <col min="10" max="10" width="13.28515625" style="3" customWidth="1"/>
    <col min="11" max="11" width="19.5703125" style="3" customWidth="1"/>
    <col min="12" max="12" width="18.42578125" style="3" customWidth="1"/>
    <col min="13" max="13" width="8.85546875" style="3" bestFit="1" customWidth="1"/>
    <col min="14" max="14" width="19" style="3" bestFit="1" customWidth="1"/>
    <col min="15" max="15" width="17.85546875" style="3" bestFit="1" customWidth="1"/>
    <col min="16" max="16" width="17.85546875" style="3" customWidth="1"/>
    <col min="17" max="17" width="22.140625" style="3" bestFit="1" customWidth="1"/>
    <col min="18" max="16384" width="9.140625" style="3"/>
  </cols>
  <sheetData>
    <row r="1" spans="1:17">
      <c r="C1" s="195"/>
      <c r="D1" s="195"/>
      <c r="E1" s="1029" t="s">
        <v>60</v>
      </c>
      <c r="F1" s="1029"/>
      <c r="G1" s="1029"/>
      <c r="H1" s="1029"/>
      <c r="I1" s="1029"/>
      <c r="J1" s="1029"/>
      <c r="K1" s="1029"/>
      <c r="L1" s="1029"/>
      <c r="N1" s="195"/>
      <c r="O1" s="195"/>
      <c r="P1" s="195"/>
      <c r="Q1" s="195"/>
    </row>
    <row r="2" spans="1:17">
      <c r="C2" s="235"/>
      <c r="D2" s="235"/>
      <c r="E2" s="1029" t="s">
        <v>1854</v>
      </c>
      <c r="F2" s="1029"/>
      <c r="G2" s="1029"/>
      <c r="H2" s="1029"/>
      <c r="I2" s="1029"/>
      <c r="J2" s="1029"/>
      <c r="K2" s="1029"/>
      <c r="L2" s="1029"/>
      <c r="N2" s="235"/>
      <c r="O2" s="235"/>
      <c r="P2" s="235"/>
      <c r="Q2" s="235"/>
    </row>
    <row r="3" spans="1:17">
      <c r="C3" s="235"/>
      <c r="D3" s="235"/>
      <c r="E3" s="1029" t="s">
        <v>1297</v>
      </c>
      <c r="F3" s="1029"/>
      <c r="G3" s="1029"/>
      <c r="H3" s="1029"/>
      <c r="I3" s="1029"/>
      <c r="J3" s="1029"/>
      <c r="K3" s="1029"/>
      <c r="L3" s="1029"/>
      <c r="N3" s="235"/>
      <c r="O3" s="235"/>
      <c r="P3" s="235"/>
      <c r="Q3" s="235"/>
    </row>
    <row r="4" spans="1:17">
      <c r="C4" s="235"/>
      <c r="D4" s="235"/>
      <c r="E4" s="1029" t="s">
        <v>1846</v>
      </c>
      <c r="F4" s="1029"/>
      <c r="G4" s="1029"/>
      <c r="H4" s="1029"/>
      <c r="I4" s="1029"/>
      <c r="J4" s="1029"/>
      <c r="K4" s="1029"/>
      <c r="L4" s="1029"/>
      <c r="N4" s="235"/>
      <c r="O4" s="235"/>
      <c r="P4" s="235"/>
      <c r="Q4" s="235"/>
    </row>
    <row r="5" spans="1:17">
      <c r="C5" s="236"/>
      <c r="D5" s="236"/>
      <c r="E5" s="1029" t="s">
        <v>1853</v>
      </c>
      <c r="F5" s="1029"/>
      <c r="G5" s="1029"/>
      <c r="H5" s="1029"/>
      <c r="I5" s="1029"/>
      <c r="J5" s="1029"/>
      <c r="K5" s="1029"/>
      <c r="L5" s="1029"/>
      <c r="N5" s="237"/>
      <c r="O5" s="237"/>
      <c r="P5" s="237"/>
      <c r="Q5" s="237"/>
    </row>
    <row r="6" spans="1:17">
      <c r="C6" s="236"/>
      <c r="D6" s="236"/>
      <c r="E6" s="236"/>
      <c r="F6" s="452"/>
      <c r="G6" s="452"/>
      <c r="H6" s="452"/>
      <c r="I6" s="452"/>
      <c r="J6" s="452"/>
      <c r="K6" s="452"/>
      <c r="L6" s="452"/>
      <c r="M6" s="22"/>
      <c r="N6" s="237"/>
      <c r="O6" s="237"/>
      <c r="P6" s="237"/>
      <c r="Q6" s="237"/>
    </row>
    <row r="7" spans="1:17" s="5" customFormat="1">
      <c r="B7" s="18" t="s">
        <v>799</v>
      </c>
      <c r="C7" s="18" t="s">
        <v>797</v>
      </c>
      <c r="D7" s="18" t="s">
        <v>798</v>
      </c>
      <c r="E7" s="18" t="s">
        <v>801</v>
      </c>
      <c r="F7" s="18" t="s">
        <v>802</v>
      </c>
      <c r="G7" s="18" t="s">
        <v>803</v>
      </c>
      <c r="H7" s="18" t="s">
        <v>804</v>
      </c>
      <c r="I7" s="238" t="s">
        <v>805</v>
      </c>
      <c r="J7" s="238" t="s">
        <v>806</v>
      </c>
      <c r="K7" s="238" t="s">
        <v>807</v>
      </c>
      <c r="L7" s="238" t="s">
        <v>808</v>
      </c>
      <c r="M7" s="238" t="s">
        <v>809</v>
      </c>
      <c r="N7" s="238" t="s">
        <v>810</v>
      </c>
      <c r="O7" s="238" t="s">
        <v>811</v>
      </c>
      <c r="P7" s="238" t="s">
        <v>812</v>
      </c>
      <c r="Q7" s="238" t="s">
        <v>1276</v>
      </c>
    </row>
    <row r="8" spans="1:17">
      <c r="B8" s="16"/>
      <c r="C8" s="16"/>
      <c r="D8" s="16" t="s">
        <v>682</v>
      </c>
      <c r="E8" s="16" t="s">
        <v>683</v>
      </c>
      <c r="F8" s="16" t="s">
        <v>684</v>
      </c>
      <c r="G8" s="18"/>
      <c r="H8" s="16" t="s">
        <v>685</v>
      </c>
      <c r="I8" s="16"/>
      <c r="J8" s="16"/>
      <c r="K8" s="16"/>
      <c r="L8" s="16"/>
      <c r="M8" s="16"/>
      <c r="N8" s="16"/>
      <c r="O8" s="16"/>
      <c r="P8" s="16" t="s">
        <v>58</v>
      </c>
      <c r="Q8" s="16" t="s">
        <v>58</v>
      </c>
    </row>
    <row r="9" spans="1:17">
      <c r="B9" s="16"/>
      <c r="C9" s="16" t="s">
        <v>82</v>
      </c>
      <c r="D9" s="18" t="s">
        <v>2204</v>
      </c>
      <c r="E9" s="16" t="s">
        <v>70</v>
      </c>
      <c r="F9" s="16" t="s">
        <v>1097</v>
      </c>
      <c r="G9" s="18" t="s">
        <v>1098</v>
      </c>
      <c r="H9" s="16" t="s">
        <v>2211</v>
      </c>
      <c r="I9" s="16" t="s">
        <v>105</v>
      </c>
      <c r="J9" s="16" t="s">
        <v>1278</v>
      </c>
      <c r="K9" s="16" t="s">
        <v>1278</v>
      </c>
      <c r="L9" s="16" t="s">
        <v>2205</v>
      </c>
      <c r="M9" s="16"/>
      <c r="N9" s="16" t="s">
        <v>2206</v>
      </c>
      <c r="O9" s="16" t="s">
        <v>2206</v>
      </c>
      <c r="P9" s="16" t="s">
        <v>1277</v>
      </c>
      <c r="Q9" s="16" t="s">
        <v>1276</v>
      </c>
    </row>
    <row r="10" spans="1:17">
      <c r="A10" s="9" t="s">
        <v>795</v>
      </c>
      <c r="B10" s="16"/>
      <c r="C10" s="16" t="s">
        <v>686</v>
      </c>
      <c r="D10" s="16" t="s">
        <v>687</v>
      </c>
      <c r="E10" s="16" t="s">
        <v>688</v>
      </c>
      <c r="F10" s="16" t="s">
        <v>689</v>
      </c>
      <c r="G10" s="16"/>
      <c r="H10" s="16" t="s">
        <v>690</v>
      </c>
      <c r="I10" s="16"/>
      <c r="J10" s="16" t="s">
        <v>1099</v>
      </c>
      <c r="K10" s="16" t="s">
        <v>70</v>
      </c>
      <c r="L10" s="16" t="s">
        <v>108</v>
      </c>
      <c r="M10" s="16"/>
      <c r="N10" s="16" t="s">
        <v>70</v>
      </c>
      <c r="O10" s="16" t="s">
        <v>108</v>
      </c>
      <c r="P10" s="16" t="s">
        <v>62</v>
      </c>
      <c r="Q10" s="16" t="s">
        <v>62</v>
      </c>
    </row>
    <row r="11" spans="1:17">
      <c r="A11" s="5">
        <v>1</v>
      </c>
      <c r="B11" s="16" t="s">
        <v>691</v>
      </c>
      <c r="C11" s="16"/>
      <c r="D11" s="370">
        <v>9796448.2300000004</v>
      </c>
      <c r="E11" s="16" t="s">
        <v>2207</v>
      </c>
      <c r="F11" s="370">
        <v>0</v>
      </c>
      <c r="G11" s="239">
        <v>0.04</v>
      </c>
      <c r="H11" s="370">
        <f>+F11*G11</f>
        <v>0</v>
      </c>
      <c r="I11" s="370">
        <f>+D11+H11</f>
        <v>9796448.2300000004</v>
      </c>
      <c r="J11" s="239">
        <v>0.02</v>
      </c>
      <c r="K11" s="370">
        <f>+I11*J11</f>
        <v>195928.96460000001</v>
      </c>
      <c r="L11" s="370">
        <f>+I11+K11</f>
        <v>9992377.194600001</v>
      </c>
      <c r="M11" s="239">
        <v>0</v>
      </c>
      <c r="N11" s="371">
        <f>+L11*M11</f>
        <v>0</v>
      </c>
      <c r="O11" s="371">
        <f>+L11+N11</f>
        <v>9992377.194600001</v>
      </c>
      <c r="P11" s="371">
        <f>+H11</f>
        <v>0</v>
      </c>
      <c r="Q11" s="370">
        <f>+N11+K11</f>
        <v>195928.96460000001</v>
      </c>
    </row>
    <row r="12" spans="1:17">
      <c r="A12" s="5">
        <v>2</v>
      </c>
      <c r="B12" s="16"/>
      <c r="C12" s="16"/>
      <c r="D12" s="370"/>
      <c r="E12" s="16"/>
      <c r="F12" s="370"/>
      <c r="G12" s="239"/>
      <c r="H12" s="370"/>
      <c r="I12" s="370"/>
      <c r="J12" s="239"/>
      <c r="K12" s="370"/>
      <c r="L12" s="370"/>
      <c r="M12" s="239"/>
      <c r="N12" s="371"/>
      <c r="O12" s="16"/>
      <c r="P12" s="16"/>
      <c r="Q12" s="16"/>
    </row>
    <row r="13" spans="1:17" ht="16.5" thickBot="1">
      <c r="A13" s="5">
        <v>3</v>
      </c>
      <c r="B13" s="16" t="s">
        <v>692</v>
      </c>
      <c r="C13" s="16"/>
      <c r="D13" s="372">
        <v>10155364.93</v>
      </c>
      <c r="E13" s="733" t="s">
        <v>2208</v>
      </c>
      <c r="F13" s="372">
        <f>+F66</f>
        <v>2685444.8200000008</v>
      </c>
      <c r="G13" s="373">
        <v>0.03</v>
      </c>
      <c r="H13" s="372">
        <f>+F13*G13</f>
        <v>80563.344600000026</v>
      </c>
      <c r="I13" s="372">
        <f>+D13+H13</f>
        <v>10235928.274599999</v>
      </c>
      <c r="J13" s="373">
        <v>0.03</v>
      </c>
      <c r="K13" s="372">
        <f>+I13*J13</f>
        <v>307077.84823799995</v>
      </c>
      <c r="L13" s="372">
        <f>+I13+K13</f>
        <v>10543006.122838</v>
      </c>
      <c r="M13" s="373">
        <v>0</v>
      </c>
      <c r="N13" s="374">
        <f>+L13*M13</f>
        <v>0</v>
      </c>
      <c r="O13" s="374">
        <f>+L13+N13</f>
        <v>10543006.122838</v>
      </c>
      <c r="P13" s="374">
        <f>+H13</f>
        <v>80563.344600000026</v>
      </c>
      <c r="Q13" s="372">
        <f>+N13+K13</f>
        <v>307077.84823799995</v>
      </c>
    </row>
    <row r="14" spans="1:17">
      <c r="A14" s="5">
        <v>4</v>
      </c>
      <c r="B14" s="16"/>
      <c r="C14" s="16"/>
      <c r="D14" s="370"/>
      <c r="E14" s="16"/>
      <c r="F14" s="370"/>
      <c r="G14" s="239"/>
      <c r="H14" s="370"/>
      <c r="I14" s="370"/>
      <c r="J14" s="239"/>
      <c r="K14" s="370"/>
      <c r="L14" s="370"/>
      <c r="M14" s="239"/>
      <c r="N14" s="371"/>
      <c r="O14" s="16"/>
      <c r="P14" s="16"/>
      <c r="Q14" s="16"/>
    </row>
    <row r="15" spans="1:17" ht="16.5" thickBot="1">
      <c r="A15" s="5">
        <v>5</v>
      </c>
      <c r="B15" s="16"/>
      <c r="C15" s="16"/>
      <c r="D15" s="370">
        <f>+D13+D11</f>
        <v>19951813.16</v>
      </c>
      <c r="E15" s="16"/>
      <c r="F15" s="370">
        <f>+F13+F11</f>
        <v>2685444.8200000008</v>
      </c>
      <c r="G15" s="239"/>
      <c r="H15" s="375">
        <f>+H11+H13</f>
        <v>80563.344600000026</v>
      </c>
      <c r="I15" s="370">
        <f>+I11+I13</f>
        <v>20032376.5046</v>
      </c>
      <c r="J15" s="239"/>
      <c r="K15" s="375">
        <f>+K11+K13</f>
        <v>503006.81283799995</v>
      </c>
      <c r="L15" s="370">
        <f>+L11+L13</f>
        <v>20535383.317437999</v>
      </c>
      <c r="M15" s="16"/>
      <c r="N15" s="375">
        <f>+N11+N13</f>
        <v>0</v>
      </c>
      <c r="O15" s="16"/>
      <c r="P15" s="376">
        <f>+P11+P13</f>
        <v>80563.344600000026</v>
      </c>
      <c r="Q15" s="376">
        <f>+Q11+Q13</f>
        <v>503006.81283799995</v>
      </c>
    </row>
    <row r="16" spans="1:17" ht="16.5" thickTop="1">
      <c r="A16" s="5">
        <v>6</v>
      </c>
      <c r="B16" s="16"/>
      <c r="C16" s="16"/>
      <c r="D16" s="370"/>
      <c r="E16" s="16"/>
      <c r="F16" s="370"/>
      <c r="G16" s="239"/>
      <c r="H16" s="375"/>
      <c r="I16" s="370"/>
      <c r="J16" s="239"/>
      <c r="K16" s="375"/>
      <c r="L16" s="370"/>
      <c r="M16" s="16"/>
      <c r="N16" s="375"/>
      <c r="O16" s="16"/>
      <c r="P16" s="16"/>
      <c r="Q16" s="377"/>
    </row>
    <row r="17" spans="1:17">
      <c r="A17" s="5">
        <v>7</v>
      </c>
      <c r="B17" s="16" t="s">
        <v>714</v>
      </c>
      <c r="C17" s="16"/>
      <c r="D17" s="370"/>
      <c r="E17" s="16"/>
      <c r="F17" s="370"/>
      <c r="G17" s="239"/>
      <c r="H17" s="375"/>
      <c r="I17" s="370"/>
      <c r="J17" s="239"/>
      <c r="K17" s="375"/>
      <c r="L17" s="370"/>
      <c r="M17" s="16"/>
      <c r="N17" s="375"/>
      <c r="O17" s="239">
        <v>7.6499999999999999E-2</v>
      </c>
      <c r="P17" s="377">
        <f>+P15*O17</f>
        <v>6163.0958619000021</v>
      </c>
      <c r="Q17" s="377">
        <f>+Q15*O17</f>
        <v>38480.021182106997</v>
      </c>
    </row>
    <row r="18" spans="1:17">
      <c r="A18" s="5">
        <v>8</v>
      </c>
      <c r="B18" s="16"/>
      <c r="C18" s="16"/>
      <c r="D18" s="370"/>
      <c r="E18" s="16"/>
      <c r="F18" s="16"/>
      <c r="G18" s="239"/>
      <c r="H18" s="16"/>
      <c r="I18" s="16"/>
      <c r="J18" s="16"/>
      <c r="K18" s="370"/>
      <c r="L18" s="370"/>
      <c r="M18" s="16"/>
      <c r="N18" s="371"/>
      <c r="O18" s="16"/>
      <c r="P18" s="16"/>
      <c r="Q18" s="16"/>
    </row>
    <row r="19" spans="1:17">
      <c r="A19" s="5">
        <v>9</v>
      </c>
      <c r="B19" s="16" t="s">
        <v>691</v>
      </c>
      <c r="C19" s="16"/>
      <c r="D19" s="16"/>
      <c r="E19" s="16"/>
      <c r="F19" s="16"/>
      <c r="G19" s="16"/>
      <c r="H19" s="16"/>
      <c r="I19" s="16"/>
      <c r="J19" s="16"/>
      <c r="K19" s="16"/>
      <c r="L19" s="16"/>
      <c r="M19" s="16"/>
      <c r="N19" s="16"/>
      <c r="O19" s="16"/>
      <c r="P19" s="16"/>
      <c r="Q19" s="16"/>
    </row>
    <row r="20" spans="1:17" s="16" customFormat="1">
      <c r="A20" s="18">
        <v>10</v>
      </c>
      <c r="B20" s="16" t="s">
        <v>1314</v>
      </c>
      <c r="C20" s="734" t="s">
        <v>693</v>
      </c>
      <c r="D20" s="378">
        <v>162147.76999999999</v>
      </c>
      <c r="G20" s="239"/>
      <c r="H20" s="370">
        <f t="shared" ref="H20:H41" si="0">+F20*G20</f>
        <v>0</v>
      </c>
      <c r="I20" s="370">
        <f t="shared" ref="I20:I41" si="1">+D20+H20</f>
        <v>162147.76999999999</v>
      </c>
      <c r="J20" s="239">
        <v>0.02</v>
      </c>
      <c r="K20" s="370">
        <f>+I20*J20</f>
        <v>3242.9553999999998</v>
      </c>
      <c r="L20" s="370">
        <f>+I20+K20</f>
        <v>165390.7254</v>
      </c>
      <c r="M20" s="239"/>
      <c r="N20" s="371">
        <f t="shared" ref="N20:N41" si="2">+L20*M20</f>
        <v>0</v>
      </c>
      <c r="O20" s="370">
        <f>+N20+L20</f>
        <v>165390.7254</v>
      </c>
      <c r="P20" s="370">
        <f>+H20</f>
        <v>0</v>
      </c>
      <c r="Q20" s="370">
        <f>+N20+K20</f>
        <v>3242.9553999999998</v>
      </c>
    </row>
    <row r="21" spans="1:17" s="16" customFormat="1">
      <c r="A21" s="5">
        <v>11</v>
      </c>
      <c r="B21" s="16" t="s">
        <v>2215</v>
      </c>
      <c r="C21" s="734">
        <v>28410</v>
      </c>
      <c r="D21" s="378">
        <v>631.48</v>
      </c>
      <c r="G21" s="239"/>
      <c r="H21" s="370">
        <f t="shared" si="0"/>
        <v>0</v>
      </c>
      <c r="I21" s="370">
        <f t="shared" si="1"/>
        <v>631.48</v>
      </c>
      <c r="J21" s="239">
        <v>0.02</v>
      </c>
      <c r="K21" s="370">
        <f>+I21*J21</f>
        <v>12.6296</v>
      </c>
      <c r="L21" s="370">
        <f t="shared" ref="L21:L41" si="3">+I21+K21</f>
        <v>644.1096</v>
      </c>
      <c r="M21" s="239"/>
      <c r="N21" s="371">
        <f t="shared" si="2"/>
        <v>0</v>
      </c>
      <c r="O21" s="370">
        <f t="shared" ref="O21:O41" si="4">+N21+L21</f>
        <v>644.1096</v>
      </c>
      <c r="P21" s="370">
        <f t="shared" ref="P21:P41" si="5">+H21</f>
        <v>0</v>
      </c>
      <c r="Q21" s="370">
        <f t="shared" ref="Q21:Q41" si="6">+N21+K21</f>
        <v>12.6296</v>
      </c>
    </row>
    <row r="22" spans="1:17" s="16" customFormat="1">
      <c r="A22" s="5">
        <v>12</v>
      </c>
      <c r="B22" s="16" t="s">
        <v>1313</v>
      </c>
      <c r="C22" s="734" t="s">
        <v>694</v>
      </c>
      <c r="D22" s="378">
        <v>1680934.36</v>
      </c>
      <c r="G22" s="239"/>
      <c r="H22" s="370">
        <f t="shared" si="0"/>
        <v>0</v>
      </c>
      <c r="I22" s="370">
        <f t="shared" si="1"/>
        <v>1680934.36</v>
      </c>
      <c r="J22" s="239">
        <v>0.02</v>
      </c>
      <c r="K22" s="370">
        <f t="shared" ref="K22:K24" si="7">+I22*J22</f>
        <v>33618.6872</v>
      </c>
      <c r="L22" s="370">
        <f t="shared" si="3"/>
        <v>1714553.0472000001</v>
      </c>
      <c r="M22" s="239"/>
      <c r="N22" s="371">
        <f t="shared" si="2"/>
        <v>0</v>
      </c>
      <c r="O22" s="370">
        <f t="shared" si="4"/>
        <v>1714553.0472000001</v>
      </c>
      <c r="P22" s="370">
        <f t="shared" si="5"/>
        <v>0</v>
      </c>
      <c r="Q22" s="370">
        <f t="shared" si="6"/>
        <v>33618.6872</v>
      </c>
    </row>
    <row r="23" spans="1:17" s="16" customFormat="1">
      <c r="A23" s="18">
        <v>13</v>
      </c>
      <c r="B23" s="16" t="s">
        <v>193</v>
      </c>
      <c r="C23" s="734" t="s">
        <v>695</v>
      </c>
      <c r="D23" s="378">
        <v>206774.76</v>
      </c>
      <c r="G23" s="239"/>
      <c r="H23" s="370">
        <f t="shared" si="0"/>
        <v>0</v>
      </c>
      <c r="I23" s="370">
        <f t="shared" si="1"/>
        <v>206774.76</v>
      </c>
      <c r="J23" s="239">
        <v>0.02</v>
      </c>
      <c r="K23" s="370">
        <f t="shared" si="7"/>
        <v>4135.4952000000003</v>
      </c>
      <c r="L23" s="370">
        <f t="shared" si="3"/>
        <v>210910.25520000001</v>
      </c>
      <c r="M23" s="239"/>
      <c r="N23" s="371">
        <f t="shared" si="2"/>
        <v>0</v>
      </c>
      <c r="O23" s="370">
        <f t="shared" si="4"/>
        <v>210910.25520000001</v>
      </c>
      <c r="P23" s="370">
        <f t="shared" si="5"/>
        <v>0</v>
      </c>
      <c r="Q23" s="370">
        <f t="shared" si="6"/>
        <v>4135.4952000000003</v>
      </c>
    </row>
    <row r="24" spans="1:17" s="16" customFormat="1">
      <c r="A24" s="5">
        <v>14</v>
      </c>
      <c r="B24" s="16" t="s">
        <v>1306</v>
      </c>
      <c r="C24" s="734" t="s">
        <v>696</v>
      </c>
      <c r="D24" s="378">
        <v>353792.99</v>
      </c>
      <c r="G24" s="239"/>
      <c r="H24" s="370">
        <f t="shared" si="0"/>
        <v>0</v>
      </c>
      <c r="I24" s="370">
        <f t="shared" si="1"/>
        <v>353792.99</v>
      </c>
      <c r="J24" s="239">
        <v>0.02</v>
      </c>
      <c r="K24" s="370">
        <f t="shared" si="7"/>
        <v>7075.8598000000002</v>
      </c>
      <c r="L24" s="370">
        <f t="shared" si="3"/>
        <v>360868.84979999997</v>
      </c>
      <c r="M24" s="239"/>
      <c r="N24" s="371">
        <f t="shared" si="2"/>
        <v>0</v>
      </c>
      <c r="O24" s="370">
        <f t="shared" si="4"/>
        <v>360868.84979999997</v>
      </c>
      <c r="P24" s="370">
        <f t="shared" si="5"/>
        <v>0</v>
      </c>
      <c r="Q24" s="370">
        <f t="shared" si="6"/>
        <v>7075.8598000000002</v>
      </c>
    </row>
    <row r="25" spans="1:17" s="16" customFormat="1">
      <c r="A25" s="5">
        <v>15</v>
      </c>
      <c r="B25" s="16" t="s">
        <v>1319</v>
      </c>
      <c r="C25" s="734">
        <v>28750</v>
      </c>
      <c r="D25" s="378">
        <v>367.8</v>
      </c>
      <c r="G25" s="239"/>
      <c r="H25" s="370">
        <f t="shared" si="0"/>
        <v>0</v>
      </c>
      <c r="I25" s="370">
        <f t="shared" si="1"/>
        <v>367.8</v>
      </c>
      <c r="J25" s="239">
        <v>0.02</v>
      </c>
      <c r="K25" s="370">
        <f>+I25*J25</f>
        <v>7.3560000000000008</v>
      </c>
      <c r="L25" s="370">
        <f t="shared" si="3"/>
        <v>375.15600000000001</v>
      </c>
      <c r="M25" s="239"/>
      <c r="N25" s="371">
        <f t="shared" si="2"/>
        <v>0</v>
      </c>
      <c r="O25" s="370">
        <f t="shared" si="4"/>
        <v>375.15600000000001</v>
      </c>
      <c r="P25" s="370">
        <f t="shared" si="5"/>
        <v>0</v>
      </c>
      <c r="Q25" s="370">
        <f t="shared" si="6"/>
        <v>7.3560000000000008</v>
      </c>
    </row>
    <row r="26" spans="1:17" s="16" customFormat="1">
      <c r="A26" s="18">
        <v>16</v>
      </c>
      <c r="B26" s="16" t="s">
        <v>1307</v>
      </c>
      <c r="C26" s="734" t="s">
        <v>699</v>
      </c>
      <c r="D26" s="378">
        <v>415608.43</v>
      </c>
      <c r="G26" s="239"/>
      <c r="H26" s="370">
        <f t="shared" si="0"/>
        <v>0</v>
      </c>
      <c r="I26" s="370">
        <f t="shared" si="1"/>
        <v>415608.43</v>
      </c>
      <c r="J26" s="239">
        <v>0.02</v>
      </c>
      <c r="K26" s="370">
        <f t="shared" ref="K26:K41" si="8">+I26*J26</f>
        <v>8312.1686000000009</v>
      </c>
      <c r="L26" s="370">
        <f t="shared" si="3"/>
        <v>423920.59859999997</v>
      </c>
      <c r="M26" s="239"/>
      <c r="N26" s="371">
        <f t="shared" si="2"/>
        <v>0</v>
      </c>
      <c r="O26" s="370">
        <f t="shared" si="4"/>
        <v>423920.59859999997</v>
      </c>
      <c r="P26" s="370">
        <f t="shared" si="5"/>
        <v>0</v>
      </c>
      <c r="Q26" s="370">
        <f t="shared" si="6"/>
        <v>8312.1686000000009</v>
      </c>
    </row>
    <row r="27" spans="1:17" s="16" customFormat="1">
      <c r="A27" s="5">
        <v>17</v>
      </c>
      <c r="B27" s="16" t="s">
        <v>1315</v>
      </c>
      <c r="C27" s="734">
        <v>28850</v>
      </c>
      <c r="D27" s="378">
        <v>899501.76</v>
      </c>
      <c r="G27" s="239"/>
      <c r="H27" s="370">
        <f t="shared" si="0"/>
        <v>0</v>
      </c>
      <c r="I27" s="370">
        <f t="shared" si="1"/>
        <v>899501.76</v>
      </c>
      <c r="J27" s="239">
        <v>0.02</v>
      </c>
      <c r="K27" s="370">
        <f t="shared" si="8"/>
        <v>17990.035200000002</v>
      </c>
      <c r="L27" s="370">
        <f t="shared" si="3"/>
        <v>917491.79520000005</v>
      </c>
      <c r="M27" s="239"/>
      <c r="N27" s="371">
        <f t="shared" si="2"/>
        <v>0</v>
      </c>
      <c r="O27" s="370">
        <f t="shared" si="4"/>
        <v>917491.79520000005</v>
      </c>
      <c r="P27" s="370">
        <f t="shared" si="5"/>
        <v>0</v>
      </c>
      <c r="Q27" s="370">
        <f t="shared" si="6"/>
        <v>17990.035200000002</v>
      </c>
    </row>
    <row r="28" spans="1:17" s="16" customFormat="1">
      <c r="A28" s="5">
        <v>18</v>
      </c>
      <c r="B28" s="16" t="s">
        <v>1308</v>
      </c>
      <c r="C28" s="734" t="s">
        <v>700</v>
      </c>
      <c r="D28" s="378">
        <v>4395.5</v>
      </c>
      <c r="G28" s="239"/>
      <c r="H28" s="370">
        <f t="shared" si="0"/>
        <v>0</v>
      </c>
      <c r="I28" s="370">
        <f t="shared" si="1"/>
        <v>4395.5</v>
      </c>
      <c r="J28" s="239">
        <v>0.02</v>
      </c>
      <c r="K28" s="370">
        <f t="shared" si="8"/>
        <v>87.91</v>
      </c>
      <c r="L28" s="370">
        <f t="shared" si="3"/>
        <v>4483.41</v>
      </c>
      <c r="M28" s="239"/>
      <c r="N28" s="371">
        <f t="shared" si="2"/>
        <v>0</v>
      </c>
      <c r="O28" s="370">
        <f t="shared" si="4"/>
        <v>4483.41</v>
      </c>
      <c r="P28" s="370">
        <f t="shared" si="5"/>
        <v>0</v>
      </c>
      <c r="Q28" s="370">
        <f t="shared" si="6"/>
        <v>87.91</v>
      </c>
    </row>
    <row r="29" spans="1:17" s="16" customFormat="1">
      <c r="A29" s="18">
        <v>19</v>
      </c>
      <c r="B29" s="16" t="s">
        <v>2214</v>
      </c>
      <c r="C29" s="734" t="s">
        <v>2209</v>
      </c>
      <c r="D29" s="378">
        <v>3604.92</v>
      </c>
      <c r="G29" s="239"/>
      <c r="H29" s="370">
        <f t="shared" si="0"/>
        <v>0</v>
      </c>
      <c r="I29" s="370">
        <f t="shared" si="1"/>
        <v>3604.92</v>
      </c>
      <c r="J29" s="239">
        <v>0.02</v>
      </c>
      <c r="K29" s="370">
        <f t="shared" si="8"/>
        <v>72.098399999999998</v>
      </c>
      <c r="L29" s="370">
        <f t="shared" si="3"/>
        <v>3677.0183999999999</v>
      </c>
      <c r="M29" s="239"/>
      <c r="N29" s="371">
        <f t="shared" si="2"/>
        <v>0</v>
      </c>
      <c r="O29" s="370">
        <f t="shared" si="4"/>
        <v>3677.0183999999999</v>
      </c>
      <c r="P29" s="370">
        <f t="shared" si="5"/>
        <v>0</v>
      </c>
      <c r="Q29" s="370">
        <f t="shared" si="6"/>
        <v>72.098399999999998</v>
      </c>
    </row>
    <row r="30" spans="1:17" s="16" customFormat="1">
      <c r="A30" s="5">
        <v>20</v>
      </c>
      <c r="B30" s="16" t="s">
        <v>1309</v>
      </c>
      <c r="C30" s="734">
        <v>28890</v>
      </c>
      <c r="D30" s="378">
        <v>1386.53</v>
      </c>
      <c r="G30" s="239"/>
      <c r="H30" s="370">
        <f t="shared" si="0"/>
        <v>0</v>
      </c>
      <c r="I30" s="370">
        <f t="shared" si="1"/>
        <v>1386.53</v>
      </c>
      <c r="J30" s="239">
        <v>0.02</v>
      </c>
      <c r="K30" s="370">
        <f t="shared" si="8"/>
        <v>27.730599999999999</v>
      </c>
      <c r="L30" s="370">
        <f t="shared" si="3"/>
        <v>1414.2606000000001</v>
      </c>
      <c r="M30" s="239"/>
      <c r="N30" s="371">
        <f t="shared" si="2"/>
        <v>0</v>
      </c>
      <c r="O30" s="370">
        <f t="shared" si="4"/>
        <v>1414.2606000000001</v>
      </c>
      <c r="P30" s="370">
        <f t="shared" si="5"/>
        <v>0</v>
      </c>
      <c r="Q30" s="370">
        <f t="shared" si="6"/>
        <v>27.730599999999999</v>
      </c>
    </row>
    <row r="31" spans="1:17" s="16" customFormat="1">
      <c r="A31" s="5">
        <v>21</v>
      </c>
      <c r="B31" s="16" t="s">
        <v>1323</v>
      </c>
      <c r="C31" s="734" t="s">
        <v>703</v>
      </c>
      <c r="D31" s="378">
        <v>51071.97</v>
      </c>
      <c r="G31" s="239"/>
      <c r="H31" s="370">
        <f t="shared" si="0"/>
        <v>0</v>
      </c>
      <c r="I31" s="370">
        <f t="shared" si="1"/>
        <v>51071.97</v>
      </c>
      <c r="J31" s="239">
        <v>0.02</v>
      </c>
      <c r="K31" s="370">
        <f t="shared" si="8"/>
        <v>1021.4394000000001</v>
      </c>
      <c r="L31" s="370">
        <f t="shared" si="3"/>
        <v>52093.409400000004</v>
      </c>
      <c r="M31" s="239"/>
      <c r="N31" s="371">
        <f t="shared" si="2"/>
        <v>0</v>
      </c>
      <c r="O31" s="370">
        <f t="shared" si="4"/>
        <v>52093.409400000004</v>
      </c>
      <c r="P31" s="370">
        <f t="shared" si="5"/>
        <v>0</v>
      </c>
      <c r="Q31" s="370">
        <f t="shared" si="6"/>
        <v>1021.4394000000001</v>
      </c>
    </row>
    <row r="32" spans="1:17" s="16" customFormat="1">
      <c r="A32" s="18">
        <v>22</v>
      </c>
      <c r="B32" s="16" t="s">
        <v>1318</v>
      </c>
      <c r="C32" s="734">
        <v>28940</v>
      </c>
      <c r="D32" s="378">
        <v>18930.04</v>
      </c>
      <c r="G32" s="239"/>
      <c r="H32" s="370">
        <f t="shared" si="0"/>
        <v>0</v>
      </c>
      <c r="I32" s="370">
        <f t="shared" si="1"/>
        <v>18930.04</v>
      </c>
      <c r="J32" s="239">
        <v>0.02</v>
      </c>
      <c r="K32" s="370">
        <f t="shared" si="8"/>
        <v>378.60080000000005</v>
      </c>
      <c r="L32" s="370">
        <f t="shared" si="3"/>
        <v>19308.640800000001</v>
      </c>
      <c r="M32" s="239"/>
      <c r="N32" s="371">
        <f t="shared" si="2"/>
        <v>0</v>
      </c>
      <c r="O32" s="370">
        <f t="shared" si="4"/>
        <v>19308.640800000001</v>
      </c>
      <c r="P32" s="370">
        <f t="shared" si="5"/>
        <v>0</v>
      </c>
      <c r="Q32" s="370">
        <f t="shared" si="6"/>
        <v>378.60080000000005</v>
      </c>
    </row>
    <row r="33" spans="1:17" s="16" customFormat="1">
      <c r="A33" s="5">
        <v>23</v>
      </c>
      <c r="B33" s="16" t="s">
        <v>1316</v>
      </c>
      <c r="C33" s="734">
        <v>29010</v>
      </c>
      <c r="D33" s="378">
        <v>93952.320000000007</v>
      </c>
      <c r="G33" s="239"/>
      <c r="H33" s="370">
        <f t="shared" si="0"/>
        <v>0</v>
      </c>
      <c r="I33" s="370">
        <f t="shared" si="1"/>
        <v>93952.320000000007</v>
      </c>
      <c r="J33" s="239">
        <v>0.02</v>
      </c>
      <c r="K33" s="370">
        <f t="shared" si="8"/>
        <v>1879.0464000000002</v>
      </c>
      <c r="L33" s="370">
        <f t="shared" si="3"/>
        <v>95831.366400000014</v>
      </c>
      <c r="M33" s="239"/>
      <c r="N33" s="371">
        <f t="shared" si="2"/>
        <v>0</v>
      </c>
      <c r="O33" s="370">
        <f t="shared" si="4"/>
        <v>95831.366400000014</v>
      </c>
      <c r="P33" s="370">
        <f t="shared" si="5"/>
        <v>0</v>
      </c>
      <c r="Q33" s="370">
        <f t="shared" si="6"/>
        <v>1879.0464000000002</v>
      </c>
    </row>
    <row r="34" spans="1:17" s="16" customFormat="1">
      <c r="A34" s="5">
        <v>24</v>
      </c>
      <c r="B34" s="16" t="s">
        <v>1310</v>
      </c>
      <c r="C34" s="734">
        <v>29020</v>
      </c>
      <c r="D34" s="378">
        <v>91331.83</v>
      </c>
      <c r="G34" s="239"/>
      <c r="H34" s="370">
        <f t="shared" si="0"/>
        <v>0</v>
      </c>
      <c r="I34" s="370">
        <f t="shared" si="1"/>
        <v>91331.83</v>
      </c>
      <c r="J34" s="239">
        <v>0.02</v>
      </c>
      <c r="K34" s="370">
        <f t="shared" si="8"/>
        <v>1826.6366</v>
      </c>
      <c r="L34" s="370">
        <f t="shared" si="3"/>
        <v>93158.4666</v>
      </c>
      <c r="M34" s="239"/>
      <c r="N34" s="371">
        <f t="shared" si="2"/>
        <v>0</v>
      </c>
      <c r="O34" s="370">
        <f t="shared" si="4"/>
        <v>93158.4666</v>
      </c>
      <c r="P34" s="370">
        <f t="shared" si="5"/>
        <v>0</v>
      </c>
      <c r="Q34" s="370">
        <f t="shared" si="6"/>
        <v>1826.6366</v>
      </c>
    </row>
    <row r="35" spans="1:17" s="16" customFormat="1">
      <c r="A35" s="18">
        <v>25</v>
      </c>
      <c r="B35" s="16" t="s">
        <v>1311</v>
      </c>
      <c r="C35" s="734" t="s">
        <v>706</v>
      </c>
      <c r="D35" s="735">
        <v>2313680.7000000002</v>
      </c>
      <c r="G35" s="239"/>
      <c r="H35" s="370">
        <f t="shared" si="0"/>
        <v>0</v>
      </c>
      <c r="I35" s="370">
        <f t="shared" si="1"/>
        <v>2313680.7000000002</v>
      </c>
      <c r="J35" s="239">
        <v>0.02</v>
      </c>
      <c r="K35" s="370">
        <f t="shared" si="8"/>
        <v>46273.614000000001</v>
      </c>
      <c r="L35" s="370">
        <f t="shared" si="3"/>
        <v>2359954.3140000002</v>
      </c>
      <c r="M35" s="239"/>
      <c r="N35" s="371">
        <f t="shared" si="2"/>
        <v>0</v>
      </c>
      <c r="O35" s="370">
        <f t="shared" si="4"/>
        <v>2359954.3140000002</v>
      </c>
      <c r="P35" s="370">
        <f t="shared" si="5"/>
        <v>0</v>
      </c>
      <c r="Q35" s="370">
        <f t="shared" si="6"/>
        <v>46273.614000000001</v>
      </c>
    </row>
    <row r="36" spans="1:17" s="16" customFormat="1">
      <c r="A36" s="5">
        <v>26</v>
      </c>
      <c r="B36" s="16" t="s">
        <v>1326</v>
      </c>
      <c r="C36" s="734">
        <v>29080</v>
      </c>
      <c r="D36" s="735">
        <v>461845.34</v>
      </c>
      <c r="G36" s="239"/>
      <c r="H36" s="370">
        <f t="shared" si="0"/>
        <v>0</v>
      </c>
      <c r="I36" s="370">
        <f t="shared" si="1"/>
        <v>461845.34</v>
      </c>
      <c r="J36" s="239">
        <v>0.02</v>
      </c>
      <c r="K36" s="370">
        <f t="shared" si="8"/>
        <v>9236.9068000000007</v>
      </c>
      <c r="L36" s="370">
        <f t="shared" si="3"/>
        <v>471082.24680000002</v>
      </c>
      <c r="M36" s="239"/>
      <c r="N36" s="371">
        <f t="shared" si="2"/>
        <v>0</v>
      </c>
      <c r="O36" s="370">
        <f t="shared" si="4"/>
        <v>471082.24680000002</v>
      </c>
      <c r="P36" s="370">
        <f t="shared" si="5"/>
        <v>0</v>
      </c>
      <c r="Q36" s="370">
        <f t="shared" si="6"/>
        <v>9236.9068000000007</v>
      </c>
    </row>
    <row r="37" spans="1:17" s="16" customFormat="1">
      <c r="A37" s="5">
        <v>27</v>
      </c>
      <c r="B37" s="16" t="s">
        <v>1324</v>
      </c>
      <c r="C37" s="734">
        <v>29100</v>
      </c>
      <c r="D37" s="735">
        <v>237878.66</v>
      </c>
      <c r="G37" s="239"/>
      <c r="H37" s="370">
        <f t="shared" si="0"/>
        <v>0</v>
      </c>
      <c r="I37" s="370">
        <f t="shared" si="1"/>
        <v>237878.66</v>
      </c>
      <c r="J37" s="239">
        <v>0.02</v>
      </c>
      <c r="K37" s="370">
        <f t="shared" si="8"/>
        <v>4757.5731999999998</v>
      </c>
      <c r="L37" s="370">
        <f t="shared" si="3"/>
        <v>242636.23320000002</v>
      </c>
      <c r="M37" s="239"/>
      <c r="N37" s="371">
        <f t="shared" si="2"/>
        <v>0</v>
      </c>
      <c r="O37" s="370">
        <f t="shared" si="4"/>
        <v>242636.23320000002</v>
      </c>
      <c r="P37" s="370">
        <f t="shared" si="5"/>
        <v>0</v>
      </c>
      <c r="Q37" s="370">
        <f t="shared" si="6"/>
        <v>4757.5731999999998</v>
      </c>
    </row>
    <row r="38" spans="1:17" s="16" customFormat="1">
      <c r="A38" s="18">
        <v>28</v>
      </c>
      <c r="B38" s="16" t="s">
        <v>2213</v>
      </c>
      <c r="C38" s="734">
        <v>29120</v>
      </c>
      <c r="D38" s="735">
        <v>2672</v>
      </c>
      <c r="G38" s="239"/>
      <c r="H38" s="370">
        <f t="shared" si="0"/>
        <v>0</v>
      </c>
      <c r="I38" s="370">
        <f t="shared" si="1"/>
        <v>2672</v>
      </c>
      <c r="J38" s="239">
        <v>0.02</v>
      </c>
      <c r="K38" s="370">
        <f t="shared" si="8"/>
        <v>53.44</v>
      </c>
      <c r="L38" s="370">
        <f t="shared" si="3"/>
        <v>2725.44</v>
      </c>
      <c r="M38" s="239"/>
      <c r="N38" s="371">
        <f t="shared" si="2"/>
        <v>0</v>
      </c>
      <c r="O38" s="370">
        <f t="shared" si="4"/>
        <v>2725.44</v>
      </c>
      <c r="P38" s="370">
        <f t="shared" si="5"/>
        <v>0</v>
      </c>
      <c r="Q38" s="370">
        <f t="shared" si="6"/>
        <v>53.44</v>
      </c>
    </row>
    <row r="39" spans="1:17" s="16" customFormat="1">
      <c r="A39" s="5">
        <v>29</v>
      </c>
      <c r="B39" s="16" t="s">
        <v>1312</v>
      </c>
      <c r="C39" s="734" t="s">
        <v>707</v>
      </c>
      <c r="D39" s="735">
        <v>2791420.733</v>
      </c>
      <c r="G39" s="239"/>
      <c r="H39" s="370">
        <f t="shared" si="0"/>
        <v>0</v>
      </c>
      <c r="I39" s="370">
        <f t="shared" si="1"/>
        <v>2791420.733</v>
      </c>
      <c r="J39" s="239">
        <v>0.02</v>
      </c>
      <c r="K39" s="370">
        <f t="shared" si="8"/>
        <v>55828.414660000002</v>
      </c>
      <c r="L39" s="370">
        <f t="shared" si="3"/>
        <v>2847249.1476599998</v>
      </c>
      <c r="M39" s="239"/>
      <c r="N39" s="371">
        <f t="shared" si="2"/>
        <v>0</v>
      </c>
      <c r="O39" s="370">
        <f t="shared" si="4"/>
        <v>2847249.1476599998</v>
      </c>
      <c r="P39" s="370">
        <f t="shared" si="5"/>
        <v>0</v>
      </c>
      <c r="Q39" s="370">
        <f t="shared" si="6"/>
        <v>55828.414660000002</v>
      </c>
    </row>
    <row r="40" spans="1:17" s="16" customFormat="1">
      <c r="A40" s="5">
        <v>30</v>
      </c>
      <c r="B40" s="16" t="s">
        <v>2212</v>
      </c>
      <c r="C40" s="734">
        <v>29210</v>
      </c>
      <c r="D40" s="735">
        <v>371.45</v>
      </c>
      <c r="G40" s="239"/>
      <c r="H40" s="370">
        <f t="shared" si="0"/>
        <v>0</v>
      </c>
      <c r="I40" s="370">
        <f t="shared" si="1"/>
        <v>371.45</v>
      </c>
      <c r="J40" s="239">
        <v>0.02</v>
      </c>
      <c r="K40" s="370">
        <f t="shared" si="8"/>
        <v>7.4290000000000003</v>
      </c>
      <c r="L40" s="370">
        <f t="shared" si="3"/>
        <v>378.87899999999996</v>
      </c>
      <c r="M40" s="239"/>
      <c r="N40" s="371">
        <f t="shared" si="2"/>
        <v>0</v>
      </c>
      <c r="O40" s="370">
        <f t="shared" si="4"/>
        <v>378.87899999999996</v>
      </c>
      <c r="P40" s="370">
        <f t="shared" si="5"/>
        <v>0</v>
      </c>
      <c r="Q40" s="370">
        <f t="shared" si="6"/>
        <v>7.4290000000000003</v>
      </c>
    </row>
    <row r="41" spans="1:17">
      <c r="A41" s="18">
        <v>31</v>
      </c>
      <c r="B41" s="16" t="s">
        <v>1327</v>
      </c>
      <c r="C41" s="734">
        <v>29260</v>
      </c>
      <c r="D41" s="413">
        <v>4146.87</v>
      </c>
      <c r="E41" s="16"/>
      <c r="F41" s="16"/>
      <c r="G41" s="239"/>
      <c r="H41" s="370">
        <f t="shared" si="0"/>
        <v>0</v>
      </c>
      <c r="I41" s="381">
        <f t="shared" si="1"/>
        <v>4146.87</v>
      </c>
      <c r="J41" s="239">
        <v>0.02</v>
      </c>
      <c r="K41" s="370">
        <f t="shared" si="8"/>
        <v>82.937399999999997</v>
      </c>
      <c r="L41" s="370">
        <f t="shared" si="3"/>
        <v>4229.8073999999997</v>
      </c>
      <c r="M41" s="239"/>
      <c r="N41" s="371">
        <f t="shared" si="2"/>
        <v>0</v>
      </c>
      <c r="O41" s="370">
        <f t="shared" si="4"/>
        <v>4229.8073999999997</v>
      </c>
      <c r="P41" s="370">
        <f t="shared" si="5"/>
        <v>0</v>
      </c>
      <c r="Q41" s="370">
        <f t="shared" si="6"/>
        <v>82.937399999999997</v>
      </c>
    </row>
    <row r="42" spans="1:17">
      <c r="A42" s="5">
        <v>32</v>
      </c>
      <c r="B42" s="16"/>
      <c r="C42" s="16"/>
      <c r="D42" s="379">
        <f>SUM(D20:D41)</f>
        <v>9796448.2129999977</v>
      </c>
      <c r="E42" s="16"/>
      <c r="F42" s="379">
        <f>SUM(F20:F41)</f>
        <v>0</v>
      </c>
      <c r="G42" s="16"/>
      <c r="H42" s="379">
        <f>SUM(H20:H41)</f>
        <v>0</v>
      </c>
      <c r="I42" s="379">
        <f>SUM(I20:I41)</f>
        <v>9796448.2129999977</v>
      </c>
      <c r="J42" s="16"/>
      <c r="K42" s="379">
        <f>SUM(K20:K41)</f>
        <v>195928.96426000004</v>
      </c>
      <c r="L42" s="379">
        <f>SUM(L20:L41)</f>
        <v>9992377.1772600021</v>
      </c>
      <c r="M42" s="16"/>
      <c r="N42" s="379">
        <f>SUM(N20:N41)</f>
        <v>0</v>
      </c>
      <c r="O42" s="379">
        <f>SUM(O20:O41)</f>
        <v>9992377.1772600021</v>
      </c>
      <c r="P42" s="379">
        <f>SUM(P20:P41)</f>
        <v>0</v>
      </c>
      <c r="Q42" s="379">
        <f>SUM(Q20:Q41)</f>
        <v>195928.96426000004</v>
      </c>
    </row>
    <row r="43" spans="1:17">
      <c r="A43" s="5" t="s">
        <v>795</v>
      </c>
      <c r="B43" s="16" t="s">
        <v>692</v>
      </c>
      <c r="C43" s="16"/>
      <c r="D43" s="16"/>
      <c r="E43" s="16"/>
      <c r="F43" s="16"/>
      <c r="G43" s="16"/>
      <c r="H43" s="16"/>
      <c r="I43" s="16"/>
      <c r="J43" s="16"/>
      <c r="K43" s="16"/>
      <c r="L43" s="16"/>
      <c r="M43" s="16"/>
      <c r="N43" s="16"/>
      <c r="O43" s="16"/>
      <c r="P43" s="16"/>
      <c r="Q43" s="16"/>
    </row>
    <row r="44" spans="1:17" s="16" customFormat="1">
      <c r="A44" s="18">
        <v>33</v>
      </c>
      <c r="B44" s="16" t="s">
        <v>1313</v>
      </c>
      <c r="C44" s="736">
        <v>28700</v>
      </c>
      <c r="D44" s="379">
        <v>1287.03</v>
      </c>
      <c r="F44" s="16">
        <v>0</v>
      </c>
      <c r="G44" s="239">
        <v>0.03</v>
      </c>
      <c r="H44" s="370">
        <f t="shared" ref="H44:H49" si="9">+F44*G44</f>
        <v>0</v>
      </c>
      <c r="I44" s="370">
        <f t="shared" ref="I44" si="10">+D44+H44</f>
        <v>1287.03</v>
      </c>
      <c r="J44" s="239">
        <v>0.03</v>
      </c>
      <c r="K44" s="370">
        <f t="shared" ref="K44" si="11">+I44*J44</f>
        <v>38.610900000000001</v>
      </c>
      <c r="L44" s="370">
        <f t="shared" ref="L44" si="12">+I44+K44</f>
        <v>1325.6408999999999</v>
      </c>
      <c r="M44" s="239"/>
      <c r="N44" s="371">
        <f t="shared" ref="N44" si="13">+L44*M44</f>
        <v>0</v>
      </c>
      <c r="O44" s="371">
        <f>+L44+N44</f>
        <v>1325.6408999999999</v>
      </c>
      <c r="P44" s="370">
        <f t="shared" ref="P44" si="14">+H44</f>
        <v>0</v>
      </c>
      <c r="Q44" s="370">
        <f>+N44+K44</f>
        <v>38.610900000000001</v>
      </c>
    </row>
    <row r="45" spans="1:17" s="16" customFormat="1">
      <c r="A45" s="18">
        <v>34</v>
      </c>
      <c r="B45" s="16" t="s">
        <v>193</v>
      </c>
      <c r="C45" s="736" t="s">
        <v>695</v>
      </c>
      <c r="D45" s="378">
        <v>48252.92</v>
      </c>
      <c r="F45" s="249">
        <v>19377.68</v>
      </c>
      <c r="G45" s="239">
        <v>0.03</v>
      </c>
      <c r="H45" s="370">
        <f t="shared" si="9"/>
        <v>581.33039999999994</v>
      </c>
      <c r="I45" s="370">
        <f t="shared" ref="I45:I65" si="15">+D45+H45</f>
        <v>48834.250399999997</v>
      </c>
      <c r="J45" s="239">
        <v>0.03</v>
      </c>
      <c r="K45" s="370">
        <f t="shared" ref="K45:K65" si="16">+I45*J45</f>
        <v>1465.0275119999999</v>
      </c>
      <c r="L45" s="370">
        <f t="shared" ref="L45:L64" si="17">+I45+K45</f>
        <v>50299.277911999998</v>
      </c>
      <c r="M45" s="239"/>
      <c r="N45" s="371">
        <f t="shared" ref="N45:N64" si="18">+L45*M45</f>
        <v>0</v>
      </c>
      <c r="O45" s="371">
        <f>+L45+N45</f>
        <v>50299.277911999998</v>
      </c>
      <c r="P45" s="370">
        <f t="shared" ref="P45:P65" si="19">+H45</f>
        <v>581.33039999999994</v>
      </c>
      <c r="Q45" s="370">
        <f>+N45+K45</f>
        <v>1465.0275119999999</v>
      </c>
    </row>
    <row r="46" spans="1:17" s="16" customFormat="1">
      <c r="A46" s="18">
        <v>35</v>
      </c>
      <c r="B46" s="16" t="s">
        <v>1329</v>
      </c>
      <c r="C46" s="736" t="s">
        <v>708</v>
      </c>
      <c r="D46" s="378">
        <v>21804.45</v>
      </c>
      <c r="F46" s="249">
        <v>4790.26</v>
      </c>
      <c r="G46" s="239">
        <v>0.03</v>
      </c>
      <c r="H46" s="370">
        <f t="shared" si="9"/>
        <v>143.70779999999999</v>
      </c>
      <c r="I46" s="370">
        <f t="shared" si="15"/>
        <v>21948.157800000001</v>
      </c>
      <c r="J46" s="239">
        <v>0.03</v>
      </c>
      <c r="K46" s="370">
        <f t="shared" si="16"/>
        <v>658.44473400000004</v>
      </c>
      <c r="L46" s="370">
        <f t="shared" si="17"/>
        <v>22606.602534000001</v>
      </c>
      <c r="M46" s="239"/>
      <c r="N46" s="371">
        <f t="shared" si="18"/>
        <v>0</v>
      </c>
      <c r="O46" s="371">
        <f t="shared" ref="O46:O61" si="20">+L46+N46</f>
        <v>22606.602534000001</v>
      </c>
      <c r="P46" s="370">
        <f t="shared" si="19"/>
        <v>143.70779999999999</v>
      </c>
      <c r="Q46" s="370">
        <f t="shared" ref="Q46:Q65" si="21">+N46+K46</f>
        <v>658.44473400000004</v>
      </c>
    </row>
    <row r="47" spans="1:17" s="16" customFormat="1">
      <c r="A47" s="18">
        <v>36</v>
      </c>
      <c r="B47" s="16" t="str">
        <f>+B24</f>
        <v>Routine Main/Service Operation</v>
      </c>
      <c r="C47" s="736" t="s">
        <v>696</v>
      </c>
      <c r="D47" s="378">
        <v>2108300.17</v>
      </c>
      <c r="F47" s="249">
        <v>519275.66</v>
      </c>
      <c r="G47" s="239">
        <v>0.03</v>
      </c>
      <c r="H47" s="370">
        <f t="shared" si="9"/>
        <v>15578.269799999998</v>
      </c>
      <c r="I47" s="370">
        <f t="shared" si="15"/>
        <v>2123878.4397999998</v>
      </c>
      <c r="J47" s="239">
        <v>0.03</v>
      </c>
      <c r="K47" s="370">
        <f t="shared" si="16"/>
        <v>63716.353193999996</v>
      </c>
      <c r="L47" s="370">
        <f t="shared" si="17"/>
        <v>2187594.792994</v>
      </c>
      <c r="M47" s="239"/>
      <c r="N47" s="371">
        <f t="shared" si="18"/>
        <v>0</v>
      </c>
      <c r="O47" s="371">
        <f t="shared" si="20"/>
        <v>2187594.792994</v>
      </c>
      <c r="P47" s="370">
        <f t="shared" si="19"/>
        <v>15578.269799999998</v>
      </c>
      <c r="Q47" s="370">
        <f t="shared" si="21"/>
        <v>63716.353193999996</v>
      </c>
    </row>
    <row r="48" spans="1:17" s="16" customFormat="1">
      <c r="A48" s="18">
        <v>37</v>
      </c>
      <c r="B48" s="16" t="s">
        <v>1319</v>
      </c>
      <c r="C48" s="736" t="s">
        <v>709</v>
      </c>
      <c r="D48" s="378">
        <v>166198.94</v>
      </c>
      <c r="F48" s="249">
        <v>50169.81</v>
      </c>
      <c r="G48" s="239">
        <v>0.03</v>
      </c>
      <c r="H48" s="370">
        <f t="shared" si="9"/>
        <v>1505.0943</v>
      </c>
      <c r="I48" s="370">
        <f t="shared" si="15"/>
        <v>167704.0343</v>
      </c>
      <c r="J48" s="239">
        <v>0.03</v>
      </c>
      <c r="K48" s="370">
        <f t="shared" si="16"/>
        <v>5031.1210289999999</v>
      </c>
      <c r="L48" s="370">
        <f t="shared" si="17"/>
        <v>172735.155329</v>
      </c>
      <c r="M48" s="239"/>
      <c r="N48" s="371">
        <f t="shared" si="18"/>
        <v>0</v>
      </c>
      <c r="O48" s="371">
        <f t="shared" si="20"/>
        <v>172735.155329</v>
      </c>
      <c r="P48" s="370">
        <f t="shared" si="19"/>
        <v>1505.0943</v>
      </c>
      <c r="Q48" s="370">
        <f t="shared" si="21"/>
        <v>5031.1210289999999</v>
      </c>
    </row>
    <row r="49" spans="1:17" s="16" customFormat="1">
      <c r="A49" s="18">
        <v>38</v>
      </c>
      <c r="B49" s="16" t="s">
        <v>1320</v>
      </c>
      <c r="C49" s="736" t="s">
        <v>710</v>
      </c>
      <c r="D49" s="378">
        <v>87276.54</v>
      </c>
      <c r="F49" s="249">
        <v>23467.43</v>
      </c>
      <c r="G49" s="239">
        <v>0.03</v>
      </c>
      <c r="H49" s="370">
        <f t="shared" si="9"/>
        <v>704.02289999999994</v>
      </c>
      <c r="I49" s="370">
        <f t="shared" si="15"/>
        <v>87980.56289999999</v>
      </c>
      <c r="J49" s="239">
        <v>0.03</v>
      </c>
      <c r="K49" s="370">
        <f t="shared" si="16"/>
        <v>2639.4168869999994</v>
      </c>
      <c r="L49" s="370">
        <f t="shared" si="17"/>
        <v>90619.979786999989</v>
      </c>
      <c r="M49" s="239"/>
      <c r="N49" s="371">
        <f t="shared" si="18"/>
        <v>0</v>
      </c>
      <c r="O49" s="371">
        <f t="shared" si="20"/>
        <v>90619.979786999989</v>
      </c>
      <c r="P49" s="370">
        <f t="shared" si="19"/>
        <v>704.02289999999994</v>
      </c>
      <c r="Q49" s="370">
        <f t="shared" si="21"/>
        <v>2639.4168869999994</v>
      </c>
    </row>
    <row r="50" spans="1:17" s="16" customFormat="1">
      <c r="A50" s="18">
        <v>39</v>
      </c>
      <c r="B50" s="16" t="s">
        <v>1321</v>
      </c>
      <c r="C50" s="736" t="s">
        <v>697</v>
      </c>
      <c r="D50" s="378">
        <v>915293.16</v>
      </c>
      <c r="F50" s="249">
        <v>229776.52</v>
      </c>
      <c r="G50" s="239">
        <v>0.03</v>
      </c>
      <c r="H50" s="370">
        <f t="shared" ref="H50:H65" si="22">+F50*G50</f>
        <v>6893.2955999999995</v>
      </c>
      <c r="I50" s="370">
        <f t="shared" si="15"/>
        <v>922186.45559999999</v>
      </c>
      <c r="J50" s="239">
        <v>0.03</v>
      </c>
      <c r="K50" s="370">
        <f t="shared" si="16"/>
        <v>27665.593667999998</v>
      </c>
      <c r="L50" s="370">
        <f t="shared" si="17"/>
        <v>949852.04926799994</v>
      </c>
      <c r="M50" s="239"/>
      <c r="N50" s="371">
        <f t="shared" si="18"/>
        <v>0</v>
      </c>
      <c r="O50" s="371">
        <f t="shared" si="20"/>
        <v>949852.04926799994</v>
      </c>
      <c r="P50" s="370">
        <f t="shared" si="19"/>
        <v>6893.2955999999995</v>
      </c>
      <c r="Q50" s="370">
        <f t="shared" si="21"/>
        <v>27665.593667999998</v>
      </c>
    </row>
    <row r="51" spans="1:17" s="16" customFormat="1">
      <c r="A51" s="18">
        <v>40</v>
      </c>
      <c r="B51" s="16" t="s">
        <v>1322</v>
      </c>
      <c r="C51" s="736" t="s">
        <v>698</v>
      </c>
      <c r="D51" s="378">
        <v>615370.34</v>
      </c>
      <c r="F51" s="249">
        <v>179612.83</v>
      </c>
      <c r="G51" s="239">
        <v>0.03</v>
      </c>
      <c r="H51" s="370">
        <f t="shared" si="22"/>
        <v>5388.3848999999991</v>
      </c>
      <c r="I51" s="370">
        <f t="shared" si="15"/>
        <v>620758.72489999991</v>
      </c>
      <c r="J51" s="239">
        <v>0.03</v>
      </c>
      <c r="K51" s="370">
        <f t="shared" si="16"/>
        <v>18622.761746999997</v>
      </c>
      <c r="L51" s="370">
        <f t="shared" si="17"/>
        <v>639381.48664699995</v>
      </c>
      <c r="M51" s="239"/>
      <c r="N51" s="371">
        <f t="shared" si="18"/>
        <v>0</v>
      </c>
      <c r="O51" s="371">
        <f t="shared" si="20"/>
        <v>639381.48664699995</v>
      </c>
      <c r="P51" s="370">
        <f t="shared" si="19"/>
        <v>5388.3848999999991</v>
      </c>
      <c r="Q51" s="370">
        <f t="shared" si="21"/>
        <v>18622.761746999997</v>
      </c>
    </row>
    <row r="52" spans="1:17" s="16" customFormat="1">
      <c r="A52" s="18">
        <v>41</v>
      </c>
      <c r="B52" s="16" t="s">
        <v>1307</v>
      </c>
      <c r="C52" s="736" t="s">
        <v>699</v>
      </c>
      <c r="D52" s="378">
        <v>2535799.42</v>
      </c>
      <c r="F52" s="249">
        <v>706560.89</v>
      </c>
      <c r="G52" s="239">
        <v>0.03</v>
      </c>
      <c r="H52" s="370">
        <f t="shared" si="22"/>
        <v>21196.826700000001</v>
      </c>
      <c r="I52" s="370">
        <f t="shared" si="15"/>
        <v>2556996.2467</v>
      </c>
      <c r="J52" s="239">
        <v>0.03</v>
      </c>
      <c r="K52" s="370">
        <f t="shared" si="16"/>
        <v>76709.887401</v>
      </c>
      <c r="L52" s="370">
        <f t="shared" si="17"/>
        <v>2633706.1341010001</v>
      </c>
      <c r="M52" s="239"/>
      <c r="N52" s="371">
        <f t="shared" si="18"/>
        <v>0</v>
      </c>
      <c r="O52" s="371">
        <f t="shared" si="20"/>
        <v>2633706.1341010001</v>
      </c>
      <c r="P52" s="370">
        <f t="shared" si="19"/>
        <v>21196.826700000001</v>
      </c>
      <c r="Q52" s="370">
        <f t="shared" si="21"/>
        <v>76709.887401</v>
      </c>
    </row>
    <row r="53" spans="1:17" s="16" customFormat="1">
      <c r="A53" s="18">
        <v>42</v>
      </c>
      <c r="B53" s="16" t="str">
        <f>+B28</f>
        <v>Mains-Maintenance</v>
      </c>
      <c r="C53" s="736" t="s">
        <v>700</v>
      </c>
      <c r="D53" s="378">
        <v>525265.23</v>
      </c>
      <c r="F53" s="249">
        <v>126660.95</v>
      </c>
      <c r="G53" s="239">
        <v>0.03</v>
      </c>
      <c r="H53" s="370">
        <f t="shared" si="22"/>
        <v>3799.8284999999996</v>
      </c>
      <c r="I53" s="370">
        <f t="shared" si="15"/>
        <v>529065.05849999993</v>
      </c>
      <c r="J53" s="239">
        <v>0.03</v>
      </c>
      <c r="K53" s="370">
        <f t="shared" si="16"/>
        <v>15871.951754999996</v>
      </c>
      <c r="L53" s="370">
        <f t="shared" si="17"/>
        <v>544937.01025499997</v>
      </c>
      <c r="M53" s="239"/>
      <c r="N53" s="371">
        <f t="shared" si="18"/>
        <v>0</v>
      </c>
      <c r="O53" s="371">
        <f t="shared" si="20"/>
        <v>544937.01025499997</v>
      </c>
      <c r="P53" s="370">
        <f t="shared" si="19"/>
        <v>3799.8284999999996</v>
      </c>
      <c r="Q53" s="370">
        <f t="shared" si="21"/>
        <v>15871.951754999996</v>
      </c>
    </row>
    <row r="54" spans="1:17" s="16" customFormat="1">
      <c r="A54" s="18">
        <v>43</v>
      </c>
      <c r="B54" s="16" t="s">
        <v>1328</v>
      </c>
      <c r="C54" s="736" t="s">
        <v>711</v>
      </c>
      <c r="D54" s="378">
        <v>56815.88</v>
      </c>
      <c r="F54" s="249">
        <v>13653.52</v>
      </c>
      <c r="G54" s="239">
        <v>0.03</v>
      </c>
      <c r="H54" s="370">
        <f t="shared" si="22"/>
        <v>409.60559999999998</v>
      </c>
      <c r="I54" s="370">
        <f t="shared" si="15"/>
        <v>57225.4856</v>
      </c>
      <c r="J54" s="239">
        <v>0.03</v>
      </c>
      <c r="K54" s="370">
        <f t="shared" si="16"/>
        <v>1716.7645679999998</v>
      </c>
      <c r="L54" s="370">
        <f t="shared" si="17"/>
        <v>58942.250167999999</v>
      </c>
      <c r="M54" s="239"/>
      <c r="N54" s="371">
        <f t="shared" si="18"/>
        <v>0</v>
      </c>
      <c r="O54" s="371">
        <f t="shared" si="20"/>
        <v>58942.250167999999</v>
      </c>
      <c r="P54" s="370">
        <f t="shared" si="19"/>
        <v>409.60559999999998</v>
      </c>
      <c r="Q54" s="370">
        <f t="shared" si="21"/>
        <v>1716.7645679999998</v>
      </c>
    </row>
    <row r="55" spans="1:17" s="16" customFormat="1">
      <c r="A55" s="18">
        <v>44</v>
      </c>
      <c r="B55" s="16" t="str">
        <f>+B30</f>
        <v>Station &amp; Odorizer Station</v>
      </c>
      <c r="C55" s="736" t="s">
        <v>701</v>
      </c>
      <c r="D55" s="378">
        <v>235823.44</v>
      </c>
      <c r="F55" s="249">
        <v>71401.27</v>
      </c>
      <c r="G55" s="239">
        <v>0.03</v>
      </c>
      <c r="H55" s="370">
        <f t="shared" si="22"/>
        <v>2142.0381000000002</v>
      </c>
      <c r="I55" s="370">
        <f t="shared" si="15"/>
        <v>237965.47810000001</v>
      </c>
      <c r="J55" s="239">
        <v>0.03</v>
      </c>
      <c r="K55" s="370">
        <f t="shared" si="16"/>
        <v>7138.9643429999996</v>
      </c>
      <c r="L55" s="370">
        <f t="shared" si="17"/>
        <v>245104.44244300001</v>
      </c>
      <c r="M55" s="239"/>
      <c r="N55" s="371">
        <f t="shared" si="18"/>
        <v>0</v>
      </c>
      <c r="O55" s="371">
        <f t="shared" si="20"/>
        <v>245104.44244300001</v>
      </c>
      <c r="P55" s="370">
        <f t="shared" si="19"/>
        <v>2142.0381000000002</v>
      </c>
      <c r="Q55" s="370">
        <f t="shared" si="21"/>
        <v>7138.9643429999996</v>
      </c>
    </row>
    <row r="56" spans="1:17" s="16" customFormat="1">
      <c r="A56" s="18">
        <v>45</v>
      </c>
      <c r="B56" s="16" t="s">
        <v>1325</v>
      </c>
      <c r="C56" s="736" t="s">
        <v>702</v>
      </c>
      <c r="D56" s="378">
        <v>25640.68</v>
      </c>
      <c r="F56" s="249">
        <v>3020.59</v>
      </c>
      <c r="G56" s="239">
        <v>0.03</v>
      </c>
      <c r="H56" s="370">
        <f t="shared" si="22"/>
        <v>90.617699999999999</v>
      </c>
      <c r="I56" s="370">
        <f t="shared" si="15"/>
        <v>25731.297699999999</v>
      </c>
      <c r="J56" s="239">
        <v>0.03</v>
      </c>
      <c r="K56" s="370">
        <f t="shared" si="16"/>
        <v>771.93893099999991</v>
      </c>
      <c r="L56" s="370">
        <f t="shared" si="17"/>
        <v>26503.236631</v>
      </c>
      <c r="M56" s="239"/>
      <c r="N56" s="371">
        <f t="shared" si="18"/>
        <v>0</v>
      </c>
      <c r="O56" s="371">
        <f t="shared" si="20"/>
        <v>26503.236631</v>
      </c>
      <c r="P56" s="370">
        <f t="shared" si="19"/>
        <v>90.617699999999999</v>
      </c>
      <c r="Q56" s="370">
        <f t="shared" si="21"/>
        <v>771.93893099999991</v>
      </c>
    </row>
    <row r="57" spans="1:17" s="16" customFormat="1">
      <c r="A57" s="18">
        <v>46</v>
      </c>
      <c r="B57" s="16" t="str">
        <f>+B31</f>
        <v>Service</v>
      </c>
      <c r="C57" s="736" t="s">
        <v>703</v>
      </c>
      <c r="D57" s="378">
        <v>793387.64</v>
      </c>
      <c r="F57" s="249">
        <v>204008.03</v>
      </c>
      <c r="G57" s="239">
        <v>0.03</v>
      </c>
      <c r="H57" s="370">
        <f t="shared" si="22"/>
        <v>6120.2408999999998</v>
      </c>
      <c r="I57" s="370">
        <f t="shared" si="15"/>
        <v>799507.88089999999</v>
      </c>
      <c r="J57" s="239">
        <v>0.03</v>
      </c>
      <c r="K57" s="370">
        <f t="shared" si="16"/>
        <v>23985.236427</v>
      </c>
      <c r="L57" s="370">
        <f t="shared" si="17"/>
        <v>823493.11732700001</v>
      </c>
      <c r="M57" s="239"/>
      <c r="N57" s="371">
        <f t="shared" si="18"/>
        <v>0</v>
      </c>
      <c r="O57" s="371">
        <f t="shared" si="20"/>
        <v>823493.11732700001</v>
      </c>
      <c r="P57" s="370">
        <f t="shared" si="19"/>
        <v>6120.2408999999998</v>
      </c>
      <c r="Q57" s="370">
        <f t="shared" si="21"/>
        <v>23985.236427</v>
      </c>
    </row>
    <row r="58" spans="1:17" s="16" customFormat="1">
      <c r="A58" s="18">
        <v>47</v>
      </c>
      <c r="B58" s="16" t="s">
        <v>1317</v>
      </c>
      <c r="C58" s="736" t="s">
        <v>704</v>
      </c>
      <c r="D58" s="378">
        <v>689855.71</v>
      </c>
      <c r="F58" s="249">
        <v>170799.2</v>
      </c>
      <c r="G58" s="239">
        <v>0.03</v>
      </c>
      <c r="H58" s="370">
        <f t="shared" si="22"/>
        <v>5123.9760000000006</v>
      </c>
      <c r="I58" s="370">
        <f t="shared" si="15"/>
        <v>694979.68599999999</v>
      </c>
      <c r="J58" s="239">
        <v>0.03</v>
      </c>
      <c r="K58" s="370">
        <f t="shared" si="16"/>
        <v>20849.390579999999</v>
      </c>
      <c r="L58" s="370">
        <f t="shared" si="17"/>
        <v>715829.07657999999</v>
      </c>
      <c r="M58" s="239"/>
      <c r="N58" s="371">
        <f t="shared" si="18"/>
        <v>0</v>
      </c>
      <c r="O58" s="371">
        <f t="shared" si="20"/>
        <v>715829.07657999999</v>
      </c>
      <c r="P58" s="370">
        <f t="shared" si="19"/>
        <v>5123.9760000000006</v>
      </c>
      <c r="Q58" s="370">
        <f t="shared" si="21"/>
        <v>20849.390579999999</v>
      </c>
    </row>
    <row r="59" spans="1:17" s="16" customFormat="1">
      <c r="A59" s="18">
        <v>48</v>
      </c>
      <c r="B59" s="16" t="str">
        <f>+B32</f>
        <v>Maintenance of Other</v>
      </c>
      <c r="C59" s="736" t="s">
        <v>712</v>
      </c>
      <c r="D59" s="378">
        <v>857430.33</v>
      </c>
      <c r="F59" s="249">
        <v>249586.68</v>
      </c>
      <c r="G59" s="239">
        <v>0.03</v>
      </c>
      <c r="H59" s="370">
        <f t="shared" si="22"/>
        <v>7487.6003999999994</v>
      </c>
      <c r="I59" s="370">
        <f t="shared" si="15"/>
        <v>864917.93039999995</v>
      </c>
      <c r="J59" s="239">
        <v>0.03</v>
      </c>
      <c r="K59" s="370">
        <f t="shared" si="16"/>
        <v>25947.537911999996</v>
      </c>
      <c r="L59" s="370">
        <f t="shared" si="17"/>
        <v>890865.46831199992</v>
      </c>
      <c r="M59" s="239"/>
      <c r="N59" s="371">
        <f t="shared" si="18"/>
        <v>0</v>
      </c>
      <c r="O59" s="371">
        <f t="shared" si="20"/>
        <v>890865.46831199992</v>
      </c>
      <c r="P59" s="370">
        <f t="shared" si="19"/>
        <v>7487.6003999999994</v>
      </c>
      <c r="Q59" s="370">
        <f t="shared" si="21"/>
        <v>25947.537911999996</v>
      </c>
    </row>
    <row r="60" spans="1:17" s="16" customFormat="1">
      <c r="A60" s="18">
        <v>49</v>
      </c>
      <c r="B60" s="16" t="str">
        <f>+B34</f>
        <v>Routine Meter Reading</v>
      </c>
      <c r="C60" s="736" t="s">
        <v>705</v>
      </c>
      <c r="D60" s="378">
        <v>346337.29</v>
      </c>
      <c r="F60" s="249">
        <v>89063.33</v>
      </c>
      <c r="G60" s="239">
        <v>0.03</v>
      </c>
      <c r="H60" s="370">
        <f t="shared" si="22"/>
        <v>2671.8998999999999</v>
      </c>
      <c r="I60" s="370">
        <f t="shared" si="15"/>
        <v>349009.1899</v>
      </c>
      <c r="J60" s="239">
        <v>0.03</v>
      </c>
      <c r="K60" s="370">
        <f t="shared" si="16"/>
        <v>10470.275696999999</v>
      </c>
      <c r="L60" s="370">
        <f t="shared" si="17"/>
        <v>359479.46559699997</v>
      </c>
      <c r="M60" s="239"/>
      <c r="N60" s="371">
        <f t="shared" si="18"/>
        <v>0</v>
      </c>
      <c r="O60" s="371">
        <f t="shared" si="20"/>
        <v>359479.46559699997</v>
      </c>
      <c r="P60" s="370">
        <f t="shared" si="19"/>
        <v>2671.8998999999999</v>
      </c>
      <c r="Q60" s="370">
        <f t="shared" si="21"/>
        <v>10470.275696999999</v>
      </c>
    </row>
    <row r="61" spans="1:17" s="16" customFormat="1">
      <c r="A61" s="18">
        <v>50</v>
      </c>
      <c r="B61" s="16" t="str">
        <f>+B35</f>
        <v>Customer Collection</v>
      </c>
      <c r="C61" s="736" t="s">
        <v>706</v>
      </c>
      <c r="D61" s="378">
        <v>98505.75</v>
      </c>
      <c r="F61" s="249">
        <v>22918.49</v>
      </c>
      <c r="G61" s="239">
        <v>0.03</v>
      </c>
      <c r="H61" s="370">
        <f>+F61*G61</f>
        <v>687.55470000000003</v>
      </c>
      <c r="I61" s="370">
        <f t="shared" si="15"/>
        <v>99193.304699999993</v>
      </c>
      <c r="J61" s="239">
        <v>0.03</v>
      </c>
      <c r="K61" s="370">
        <f t="shared" si="16"/>
        <v>2975.7991409999995</v>
      </c>
      <c r="L61" s="370">
        <f t="shared" si="17"/>
        <v>102169.10384099999</v>
      </c>
      <c r="M61" s="239"/>
      <c r="N61" s="371">
        <f t="shared" si="18"/>
        <v>0</v>
      </c>
      <c r="O61" s="371">
        <f t="shared" si="20"/>
        <v>102169.10384099999</v>
      </c>
      <c r="P61" s="370">
        <f t="shared" si="19"/>
        <v>687.55470000000003</v>
      </c>
      <c r="Q61" s="370">
        <f t="shared" si="21"/>
        <v>2975.7991409999995</v>
      </c>
    </row>
    <row r="62" spans="1:17" s="16" customFormat="1">
      <c r="A62" s="18">
        <v>51</v>
      </c>
      <c r="B62" s="16" t="str">
        <f>+B39</f>
        <v>Administration &amp; General</v>
      </c>
      <c r="C62" s="736" t="s">
        <v>707</v>
      </c>
      <c r="D62" s="378">
        <v>691.57</v>
      </c>
      <c r="F62" s="249">
        <v>0</v>
      </c>
      <c r="G62" s="239">
        <v>0.03</v>
      </c>
      <c r="H62" s="370">
        <f t="shared" si="22"/>
        <v>0</v>
      </c>
      <c r="I62" s="370">
        <f t="shared" si="15"/>
        <v>691.57</v>
      </c>
      <c r="J62" s="239">
        <v>0.03</v>
      </c>
      <c r="K62" s="370">
        <f t="shared" si="16"/>
        <v>20.7471</v>
      </c>
      <c r="L62" s="370">
        <f t="shared" si="17"/>
        <v>712.3171000000001</v>
      </c>
      <c r="M62" s="239"/>
      <c r="N62" s="371">
        <f t="shared" si="18"/>
        <v>0</v>
      </c>
      <c r="O62" s="371">
        <f>+L62+N62</f>
        <v>712.3171000000001</v>
      </c>
      <c r="P62" s="370">
        <f>+H62</f>
        <v>0</v>
      </c>
      <c r="Q62" s="370">
        <f t="shared" si="21"/>
        <v>20.7471</v>
      </c>
    </row>
    <row r="63" spans="1:17" s="16" customFormat="1">
      <c r="A63" s="18">
        <v>52</v>
      </c>
      <c r="B63" s="16" t="s">
        <v>2212</v>
      </c>
      <c r="C63" s="736">
        <v>29210</v>
      </c>
      <c r="D63" s="378">
        <v>361.65</v>
      </c>
      <c r="F63" s="249">
        <v>0</v>
      </c>
      <c r="G63" s="239">
        <v>0.03</v>
      </c>
      <c r="H63" s="370">
        <f t="shared" si="22"/>
        <v>0</v>
      </c>
      <c r="I63" s="370">
        <f t="shared" si="15"/>
        <v>361.65</v>
      </c>
      <c r="J63" s="239">
        <v>0.03</v>
      </c>
      <c r="K63" s="370">
        <f t="shared" si="16"/>
        <v>10.849499999999999</v>
      </c>
      <c r="L63" s="370">
        <f t="shared" si="17"/>
        <v>372.49949999999995</v>
      </c>
      <c r="M63" s="239"/>
      <c r="N63" s="371">
        <f t="shared" si="18"/>
        <v>0</v>
      </c>
      <c r="O63" s="371">
        <f>+L63+N63</f>
        <v>372.49949999999995</v>
      </c>
      <c r="P63" s="370">
        <f t="shared" si="19"/>
        <v>0</v>
      </c>
      <c r="Q63" s="370">
        <f t="shared" si="21"/>
        <v>10.849499999999999</v>
      </c>
    </row>
    <row r="64" spans="1:17">
      <c r="A64" s="18">
        <v>53</v>
      </c>
      <c r="B64" s="16" t="str">
        <f>+B41</f>
        <v>Employee Pensions and Benefits</v>
      </c>
      <c r="C64" s="736">
        <v>29260</v>
      </c>
      <c r="D64" s="378">
        <v>23110.23</v>
      </c>
      <c r="E64" s="16"/>
      <c r="F64" s="249">
        <v>0</v>
      </c>
      <c r="G64" s="239">
        <v>0.03</v>
      </c>
      <c r="H64" s="370">
        <f t="shared" si="22"/>
        <v>0</v>
      </c>
      <c r="I64" s="370">
        <f t="shared" si="15"/>
        <v>23110.23</v>
      </c>
      <c r="J64" s="239">
        <v>0.03</v>
      </c>
      <c r="K64" s="370">
        <f t="shared" si="16"/>
        <v>693.30689999999993</v>
      </c>
      <c r="L64" s="370">
        <f t="shared" si="17"/>
        <v>23803.536899999999</v>
      </c>
      <c r="M64" s="239"/>
      <c r="N64" s="371">
        <f t="shared" si="18"/>
        <v>0</v>
      </c>
      <c r="O64" s="371">
        <f>+L64+N64</f>
        <v>23803.536899999999</v>
      </c>
      <c r="P64" s="370">
        <f t="shared" si="19"/>
        <v>0</v>
      </c>
      <c r="Q64" s="370">
        <f t="shared" si="21"/>
        <v>693.30689999999993</v>
      </c>
    </row>
    <row r="65" spans="1:17">
      <c r="A65" s="18">
        <v>54</v>
      </c>
      <c r="B65" s="16" t="s">
        <v>281</v>
      </c>
      <c r="C65" s="736" t="s">
        <v>713</v>
      </c>
      <c r="D65" s="413">
        <v>2556.56</v>
      </c>
      <c r="E65" s="244"/>
      <c r="F65" s="380">
        <v>1301.68</v>
      </c>
      <c r="G65" s="239">
        <v>0.03</v>
      </c>
      <c r="H65" s="381">
        <f t="shared" si="22"/>
        <v>39.050400000000003</v>
      </c>
      <c r="I65" s="381">
        <f t="shared" si="15"/>
        <v>2595.6104</v>
      </c>
      <c r="J65" s="239">
        <v>0.03</v>
      </c>
      <c r="K65" s="381">
        <f t="shared" si="16"/>
        <v>77.868312000000003</v>
      </c>
      <c r="L65" s="381">
        <f>+I65+K65</f>
        <v>2673.4787120000001</v>
      </c>
      <c r="M65" s="239"/>
      <c r="N65" s="382">
        <f>+L65*M65</f>
        <v>0</v>
      </c>
      <c r="O65" s="382">
        <f>+L65+N65</f>
        <v>2673.4787120000001</v>
      </c>
      <c r="P65" s="381">
        <f t="shared" si="19"/>
        <v>39.050400000000003</v>
      </c>
      <c r="Q65" s="381">
        <f t="shared" si="21"/>
        <v>77.868312000000003</v>
      </c>
    </row>
    <row r="66" spans="1:17">
      <c r="A66" s="18">
        <v>55</v>
      </c>
      <c r="B66" s="16"/>
      <c r="C66" s="16"/>
      <c r="D66" s="379">
        <f>SUM(D44:D65)</f>
        <v>10155364.93</v>
      </c>
      <c r="E66" s="16"/>
      <c r="F66" s="379">
        <f>SUM(F44:F65)</f>
        <v>2685444.8200000008</v>
      </c>
      <c r="G66" s="16"/>
      <c r="H66" s="379">
        <f>SUM(H44:H65)</f>
        <v>80563.344599999982</v>
      </c>
      <c r="I66" s="379">
        <f>SUM(I44:I65)</f>
        <v>10235928.274600001</v>
      </c>
      <c r="J66" s="16"/>
      <c r="K66" s="379">
        <f>SUM(K44:K65)</f>
        <v>307077.84823800001</v>
      </c>
      <c r="L66" s="379">
        <f>SUM(L44:L65)</f>
        <v>10543006.122838002</v>
      </c>
      <c r="M66" s="16"/>
      <c r="N66" s="379">
        <f>SUM(N44:N65)</f>
        <v>0</v>
      </c>
      <c r="O66" s="379">
        <f>SUM(O44:O65)</f>
        <v>10543006.122838002</v>
      </c>
      <c r="P66" s="379">
        <f>SUM(P44:P65)</f>
        <v>80563.344599999982</v>
      </c>
      <c r="Q66" s="379">
        <f>SUM(Q44:Q65)</f>
        <v>307077.84823800001</v>
      </c>
    </row>
    <row r="67" spans="1:17">
      <c r="C67" s="16"/>
      <c r="D67" s="16"/>
      <c r="E67" s="16"/>
      <c r="F67" s="16"/>
      <c r="G67" s="16"/>
      <c r="H67" s="16"/>
      <c r="I67" s="16"/>
      <c r="J67" s="16"/>
      <c r="K67" s="16"/>
      <c r="L67" s="16"/>
      <c r="M67" s="16"/>
      <c r="N67" s="16"/>
      <c r="O67" s="16"/>
      <c r="P67" s="16"/>
      <c r="Q67" s="16"/>
    </row>
    <row r="69" spans="1:17" ht="16.5" thickBot="1">
      <c r="A69" s="18"/>
      <c r="B69" s="16"/>
      <c r="C69" s="16"/>
      <c r="D69" s="16"/>
      <c r="E69" s="16"/>
      <c r="F69" s="16"/>
      <c r="G69" s="16"/>
      <c r="H69" s="16"/>
    </row>
    <row r="70" spans="1:17">
      <c r="A70" s="18"/>
      <c r="B70" s="1081" t="s">
        <v>2210</v>
      </c>
      <c r="C70" s="1082"/>
      <c r="D70" s="1082"/>
      <c r="E70" s="1083"/>
      <c r="F70" s="16"/>
      <c r="G70" s="16"/>
      <c r="H70" s="16"/>
    </row>
    <row r="71" spans="1:17">
      <c r="A71" s="18"/>
      <c r="B71" s="1084"/>
      <c r="C71" s="1085"/>
      <c r="D71" s="1085"/>
      <c r="E71" s="1086"/>
      <c r="F71" s="16"/>
      <c r="G71" s="16"/>
      <c r="H71" s="16"/>
    </row>
    <row r="72" spans="1:17">
      <c r="A72" s="18"/>
      <c r="B72" s="1084"/>
      <c r="C72" s="1085"/>
      <c r="D72" s="1085"/>
      <c r="E72" s="1086"/>
      <c r="F72" s="16"/>
      <c r="G72" s="16"/>
      <c r="H72" s="16"/>
    </row>
    <row r="73" spans="1:17" ht="16.5" thickBot="1">
      <c r="A73" s="18"/>
      <c r="B73" s="1087"/>
      <c r="C73" s="1088"/>
      <c r="D73" s="1088"/>
      <c r="E73" s="1089"/>
      <c r="F73" s="16"/>
      <c r="G73" s="16"/>
      <c r="H73" s="16"/>
    </row>
    <row r="74" spans="1:17">
      <c r="A74" s="442" t="s">
        <v>660</v>
      </c>
      <c r="B74" s="16"/>
      <c r="C74" s="16"/>
      <c r="D74" s="16"/>
      <c r="E74" s="16"/>
      <c r="F74" s="16"/>
      <c r="G74" s="16"/>
      <c r="H74" s="16"/>
    </row>
    <row r="75" spans="1:17">
      <c r="A75" s="18">
        <v>56</v>
      </c>
      <c r="B75" s="732" t="s">
        <v>2217</v>
      </c>
      <c r="C75" s="16"/>
      <c r="D75" s="16"/>
      <c r="E75" s="16"/>
      <c r="F75" s="411">
        <v>87053.82</v>
      </c>
      <c r="G75" s="16"/>
      <c r="H75" s="16"/>
      <c r="J75" s="239"/>
      <c r="K75" s="383">
        <f>+F75*J75</f>
        <v>0</v>
      </c>
      <c r="L75" s="383">
        <f>+F75+K75</f>
        <v>87053.82</v>
      </c>
      <c r="M75" s="239"/>
      <c r="N75" s="411">
        <f>+L75*M75</f>
        <v>0</v>
      </c>
      <c r="O75" s="383">
        <f>+L75+N75</f>
        <v>87053.82</v>
      </c>
      <c r="P75" s="143">
        <f t="shared" ref="P75:P110" si="23">+H75</f>
        <v>0</v>
      </c>
      <c r="Q75" s="143">
        <f t="shared" ref="Q75:Q110" si="24">+N75+K75</f>
        <v>0</v>
      </c>
    </row>
    <row r="76" spans="1:17">
      <c r="A76" s="18">
        <v>57</v>
      </c>
      <c r="B76" s="732" t="s">
        <v>2218</v>
      </c>
      <c r="C76" s="16"/>
      <c r="D76" s="16"/>
      <c r="E76" s="16"/>
      <c r="F76" s="411">
        <v>17105.599999999999</v>
      </c>
      <c r="G76" s="16"/>
      <c r="H76" s="16"/>
      <c r="J76" s="239"/>
      <c r="K76" s="383">
        <f>+F76*J76</f>
        <v>0</v>
      </c>
      <c r="L76" s="383">
        <f t="shared" ref="L76:L110" si="25">+F76+K76</f>
        <v>17105.599999999999</v>
      </c>
      <c r="M76" s="239"/>
      <c r="N76" s="411">
        <f t="shared" ref="N76:N110" si="26">+L76*M76</f>
        <v>0</v>
      </c>
      <c r="O76" s="383">
        <f t="shared" ref="O76:O110" si="27">+L76+N76</f>
        <v>17105.599999999999</v>
      </c>
      <c r="P76" s="143">
        <f t="shared" si="23"/>
        <v>0</v>
      </c>
      <c r="Q76" s="143">
        <f t="shared" si="24"/>
        <v>0</v>
      </c>
    </row>
    <row r="77" spans="1:17">
      <c r="A77" s="18">
        <v>58</v>
      </c>
      <c r="B77" s="732" t="s">
        <v>746</v>
      </c>
      <c r="C77" s="16"/>
      <c r="D77" s="16"/>
      <c r="E77" s="16"/>
      <c r="F77" s="411">
        <v>1790432.89</v>
      </c>
      <c r="G77" s="16"/>
      <c r="H77" s="16"/>
      <c r="J77" s="239"/>
      <c r="K77" s="383">
        <f t="shared" ref="K77:K110" si="28">+F77*J77</f>
        <v>0</v>
      </c>
      <c r="L77" s="383">
        <f t="shared" si="25"/>
        <v>1790432.89</v>
      </c>
      <c r="M77" s="239"/>
      <c r="N77" s="411">
        <f t="shared" si="26"/>
        <v>0</v>
      </c>
      <c r="O77" s="383">
        <f t="shared" si="27"/>
        <v>1790432.89</v>
      </c>
      <c r="P77" s="143">
        <f t="shared" si="23"/>
        <v>0</v>
      </c>
      <c r="Q77" s="143">
        <f t="shared" si="24"/>
        <v>0</v>
      </c>
    </row>
    <row r="78" spans="1:17">
      <c r="A78" s="18">
        <v>59</v>
      </c>
      <c r="B78" s="732" t="s">
        <v>1359</v>
      </c>
      <c r="C78" s="16"/>
      <c r="D78" s="16"/>
      <c r="E78" s="16"/>
      <c r="F78" s="411">
        <v>63503.67</v>
      </c>
      <c r="G78" s="16"/>
      <c r="H78" s="16"/>
      <c r="J78" s="239"/>
      <c r="K78" s="383">
        <f t="shared" si="28"/>
        <v>0</v>
      </c>
      <c r="L78" s="383">
        <f t="shared" si="25"/>
        <v>63503.67</v>
      </c>
      <c r="M78" s="239"/>
      <c r="N78" s="411">
        <f t="shared" si="26"/>
        <v>0</v>
      </c>
      <c r="O78" s="383">
        <f t="shared" si="27"/>
        <v>63503.67</v>
      </c>
      <c r="P78" s="143">
        <f t="shared" si="23"/>
        <v>0</v>
      </c>
      <c r="Q78" s="143">
        <f t="shared" si="24"/>
        <v>0</v>
      </c>
    </row>
    <row r="79" spans="1:17">
      <c r="A79" s="18">
        <v>60</v>
      </c>
      <c r="B79" s="732" t="s">
        <v>1360</v>
      </c>
      <c r="C79" s="16"/>
      <c r="D79" s="16"/>
      <c r="E79" s="16"/>
      <c r="F79" s="411">
        <v>46296.31</v>
      </c>
      <c r="G79" s="16"/>
      <c r="H79" s="16"/>
      <c r="J79" s="239"/>
      <c r="K79" s="383">
        <f t="shared" si="28"/>
        <v>0</v>
      </c>
      <c r="L79" s="383">
        <f t="shared" si="25"/>
        <v>46296.31</v>
      </c>
      <c r="M79" s="239"/>
      <c r="N79" s="411">
        <f t="shared" si="26"/>
        <v>0</v>
      </c>
      <c r="O79" s="383">
        <f t="shared" si="27"/>
        <v>46296.31</v>
      </c>
      <c r="P79" s="143">
        <f t="shared" si="23"/>
        <v>0</v>
      </c>
      <c r="Q79" s="143">
        <f t="shared" si="24"/>
        <v>0</v>
      </c>
    </row>
    <row r="80" spans="1:17">
      <c r="A80" s="18">
        <v>61</v>
      </c>
      <c r="B80" s="732" t="s">
        <v>2219</v>
      </c>
      <c r="C80" s="16"/>
      <c r="D80" s="16"/>
      <c r="E80" s="16"/>
      <c r="F80" s="411">
        <v>44262.68</v>
      </c>
      <c r="G80" s="16"/>
      <c r="H80" s="16"/>
      <c r="J80" s="239"/>
      <c r="K80" s="383">
        <f t="shared" si="28"/>
        <v>0</v>
      </c>
      <c r="L80" s="383">
        <f t="shared" si="25"/>
        <v>44262.68</v>
      </c>
      <c r="M80" s="239"/>
      <c r="N80" s="411">
        <f t="shared" si="26"/>
        <v>0</v>
      </c>
      <c r="O80" s="383">
        <f t="shared" si="27"/>
        <v>44262.68</v>
      </c>
      <c r="P80" s="143">
        <f t="shared" si="23"/>
        <v>0</v>
      </c>
      <c r="Q80" s="143">
        <f t="shared" si="24"/>
        <v>0</v>
      </c>
    </row>
    <row r="81" spans="1:17">
      <c r="A81" s="18">
        <v>62</v>
      </c>
      <c r="B81" s="732" t="s">
        <v>2220</v>
      </c>
      <c r="C81" s="16"/>
      <c r="D81" s="16"/>
      <c r="E81" s="16"/>
      <c r="F81" s="411">
        <v>178815.01</v>
      </c>
      <c r="G81" s="16"/>
      <c r="H81" s="16"/>
      <c r="J81" s="239"/>
      <c r="K81" s="383">
        <f t="shared" si="28"/>
        <v>0</v>
      </c>
      <c r="L81" s="383">
        <f t="shared" si="25"/>
        <v>178815.01</v>
      </c>
      <c r="M81" s="239"/>
      <c r="N81" s="411">
        <f t="shared" si="26"/>
        <v>0</v>
      </c>
      <c r="O81" s="383">
        <f t="shared" si="27"/>
        <v>178815.01</v>
      </c>
      <c r="P81" s="143">
        <f t="shared" si="23"/>
        <v>0</v>
      </c>
      <c r="Q81" s="143">
        <f t="shared" si="24"/>
        <v>0</v>
      </c>
    </row>
    <row r="82" spans="1:17">
      <c r="A82" s="18">
        <v>63</v>
      </c>
      <c r="B82" s="732" t="s">
        <v>2221</v>
      </c>
      <c r="C82" s="16"/>
      <c r="D82" s="16"/>
      <c r="E82" s="16"/>
      <c r="F82" s="411">
        <v>164017.69</v>
      </c>
      <c r="G82" s="16"/>
      <c r="H82" s="16"/>
      <c r="J82" s="239"/>
      <c r="K82" s="383">
        <f t="shared" si="28"/>
        <v>0</v>
      </c>
      <c r="L82" s="383">
        <f t="shared" si="25"/>
        <v>164017.69</v>
      </c>
      <c r="M82" s="239"/>
      <c r="N82" s="411">
        <f t="shared" si="26"/>
        <v>0</v>
      </c>
      <c r="O82" s="383">
        <f t="shared" si="27"/>
        <v>164017.69</v>
      </c>
      <c r="P82" s="143">
        <f t="shared" si="23"/>
        <v>0</v>
      </c>
      <c r="Q82" s="143">
        <f t="shared" si="24"/>
        <v>0</v>
      </c>
    </row>
    <row r="83" spans="1:17">
      <c r="A83" s="18">
        <v>64</v>
      </c>
      <c r="B83" s="732" t="s">
        <v>2222</v>
      </c>
      <c r="C83" s="16"/>
      <c r="D83" s="16"/>
      <c r="E83" s="16"/>
      <c r="F83" s="411">
        <v>50438.05</v>
      </c>
      <c r="G83" s="16"/>
      <c r="H83" s="16"/>
      <c r="J83" s="239"/>
      <c r="K83" s="383">
        <f t="shared" si="28"/>
        <v>0</v>
      </c>
      <c r="L83" s="383">
        <f t="shared" si="25"/>
        <v>50438.05</v>
      </c>
      <c r="M83" s="239"/>
      <c r="N83" s="411">
        <f t="shared" si="26"/>
        <v>0</v>
      </c>
      <c r="O83" s="383">
        <f t="shared" si="27"/>
        <v>50438.05</v>
      </c>
      <c r="P83" s="143">
        <f t="shared" si="23"/>
        <v>0</v>
      </c>
      <c r="Q83" s="143">
        <f t="shared" si="24"/>
        <v>0</v>
      </c>
    </row>
    <row r="84" spans="1:17">
      <c r="A84" s="18">
        <v>65</v>
      </c>
      <c r="B84" s="732" t="s">
        <v>2223</v>
      </c>
      <c r="C84" s="16"/>
      <c r="D84" s="16"/>
      <c r="E84" s="16"/>
      <c r="F84" s="411">
        <v>152593.38</v>
      </c>
      <c r="G84" s="16"/>
      <c r="H84" s="16"/>
      <c r="J84" s="239"/>
      <c r="K84" s="383">
        <f t="shared" si="28"/>
        <v>0</v>
      </c>
      <c r="L84" s="383">
        <f t="shared" si="25"/>
        <v>152593.38</v>
      </c>
      <c r="M84" s="239"/>
      <c r="N84" s="411">
        <f t="shared" si="26"/>
        <v>0</v>
      </c>
      <c r="O84" s="383">
        <f t="shared" si="27"/>
        <v>152593.38</v>
      </c>
      <c r="P84" s="143">
        <f t="shared" si="23"/>
        <v>0</v>
      </c>
      <c r="Q84" s="143">
        <f t="shared" si="24"/>
        <v>0</v>
      </c>
    </row>
    <row r="85" spans="1:17">
      <c r="A85" s="18">
        <v>66</v>
      </c>
      <c r="B85" s="732" t="s">
        <v>1361</v>
      </c>
      <c r="C85" s="16"/>
      <c r="D85" s="16"/>
      <c r="E85" s="16"/>
      <c r="F85" s="411">
        <v>57821.919999999998</v>
      </c>
      <c r="G85" s="16"/>
      <c r="H85" s="16"/>
      <c r="J85" s="239"/>
      <c r="K85" s="383">
        <f t="shared" si="28"/>
        <v>0</v>
      </c>
      <c r="L85" s="383">
        <f t="shared" si="25"/>
        <v>57821.919999999998</v>
      </c>
      <c r="M85" s="239"/>
      <c r="N85" s="411">
        <f t="shared" si="26"/>
        <v>0</v>
      </c>
      <c r="O85" s="383">
        <f t="shared" si="27"/>
        <v>57821.919999999998</v>
      </c>
      <c r="P85" s="143">
        <f t="shared" si="23"/>
        <v>0</v>
      </c>
      <c r="Q85" s="143">
        <f t="shared" si="24"/>
        <v>0</v>
      </c>
    </row>
    <row r="86" spans="1:17">
      <c r="A86" s="18">
        <v>67</v>
      </c>
      <c r="B86" s="732" t="s">
        <v>2224</v>
      </c>
      <c r="C86" s="16"/>
      <c r="D86" s="16"/>
      <c r="E86" s="16"/>
      <c r="F86" s="411">
        <v>219071.45</v>
      </c>
      <c r="G86" s="16"/>
      <c r="H86" s="16"/>
      <c r="J86" s="239"/>
      <c r="K86" s="383">
        <f t="shared" si="28"/>
        <v>0</v>
      </c>
      <c r="L86" s="383">
        <f t="shared" si="25"/>
        <v>219071.45</v>
      </c>
      <c r="M86" s="239"/>
      <c r="N86" s="411">
        <f t="shared" si="26"/>
        <v>0</v>
      </c>
      <c r="O86" s="383">
        <f t="shared" si="27"/>
        <v>219071.45</v>
      </c>
      <c r="P86" s="143">
        <f t="shared" si="23"/>
        <v>0</v>
      </c>
      <c r="Q86" s="143">
        <f t="shared" si="24"/>
        <v>0</v>
      </c>
    </row>
    <row r="87" spans="1:17">
      <c r="A87" s="18">
        <v>68</v>
      </c>
      <c r="B87" s="732" t="s">
        <v>2225</v>
      </c>
      <c r="C87" s="16"/>
      <c r="D87" s="16"/>
      <c r="E87" s="16"/>
      <c r="F87" s="411">
        <v>51766.03</v>
      </c>
      <c r="G87" s="16"/>
      <c r="H87" s="16"/>
      <c r="J87" s="239"/>
      <c r="K87" s="383">
        <f t="shared" si="28"/>
        <v>0</v>
      </c>
      <c r="L87" s="383">
        <f t="shared" si="25"/>
        <v>51766.03</v>
      </c>
      <c r="M87" s="239"/>
      <c r="N87" s="411">
        <f t="shared" si="26"/>
        <v>0</v>
      </c>
      <c r="O87" s="383">
        <f t="shared" si="27"/>
        <v>51766.03</v>
      </c>
      <c r="P87" s="143">
        <f t="shared" si="23"/>
        <v>0</v>
      </c>
      <c r="Q87" s="143">
        <f t="shared" si="24"/>
        <v>0</v>
      </c>
    </row>
    <row r="88" spans="1:17">
      <c r="A88" s="18">
        <v>69</v>
      </c>
      <c r="B88" s="732" t="s">
        <v>1362</v>
      </c>
      <c r="C88" s="16"/>
      <c r="D88" s="16"/>
      <c r="E88" s="16"/>
      <c r="F88" s="411">
        <v>1.13686837721616E-13</v>
      </c>
      <c r="G88" s="16"/>
      <c r="H88" s="16"/>
      <c r="J88" s="239"/>
      <c r="K88" s="383">
        <f t="shared" si="28"/>
        <v>0</v>
      </c>
      <c r="L88" s="383">
        <f t="shared" si="25"/>
        <v>1.13686837721616E-13</v>
      </c>
      <c r="M88" s="239"/>
      <c r="N88" s="411">
        <f t="shared" si="26"/>
        <v>0</v>
      </c>
      <c r="O88" s="383">
        <f t="shared" si="27"/>
        <v>1.13686837721616E-13</v>
      </c>
      <c r="P88" s="143">
        <f t="shared" si="23"/>
        <v>0</v>
      </c>
      <c r="Q88" s="143">
        <f t="shared" si="24"/>
        <v>0</v>
      </c>
    </row>
    <row r="89" spans="1:17">
      <c r="A89" s="18">
        <v>70</v>
      </c>
      <c r="B89" s="732" t="s">
        <v>2226</v>
      </c>
      <c r="C89" s="16"/>
      <c r="D89" s="16"/>
      <c r="E89" s="16"/>
      <c r="F89" s="411">
        <v>186138.97</v>
      </c>
      <c r="G89" s="16"/>
      <c r="H89" s="16"/>
      <c r="J89" s="239"/>
      <c r="K89" s="383">
        <f t="shared" si="28"/>
        <v>0</v>
      </c>
      <c r="L89" s="383">
        <f t="shared" si="25"/>
        <v>186138.97</v>
      </c>
      <c r="M89" s="239"/>
      <c r="N89" s="411">
        <f t="shared" si="26"/>
        <v>0</v>
      </c>
      <c r="O89" s="383">
        <f t="shared" si="27"/>
        <v>186138.97</v>
      </c>
      <c r="P89" s="143">
        <f t="shared" si="23"/>
        <v>0</v>
      </c>
      <c r="Q89" s="143">
        <f t="shared" si="24"/>
        <v>0</v>
      </c>
    </row>
    <row r="90" spans="1:17">
      <c r="A90" s="18">
        <v>71</v>
      </c>
      <c r="B90" s="732" t="s">
        <v>2227</v>
      </c>
      <c r="C90" s="16"/>
      <c r="D90" s="16"/>
      <c r="E90" s="16"/>
      <c r="F90" s="411">
        <v>3655.78</v>
      </c>
      <c r="G90" s="16"/>
      <c r="H90" s="16"/>
      <c r="J90" s="239"/>
      <c r="K90" s="250">
        <f t="shared" si="28"/>
        <v>0</v>
      </c>
      <c r="L90" s="250">
        <f t="shared" si="25"/>
        <v>3655.78</v>
      </c>
      <c r="M90" s="239"/>
      <c r="N90" s="411">
        <f t="shared" si="26"/>
        <v>0</v>
      </c>
      <c r="O90" s="250">
        <f t="shared" si="27"/>
        <v>3655.78</v>
      </c>
      <c r="P90" s="143">
        <f t="shared" si="23"/>
        <v>0</v>
      </c>
      <c r="Q90" s="412">
        <f t="shared" si="24"/>
        <v>0</v>
      </c>
    </row>
    <row r="91" spans="1:17">
      <c r="A91" s="18">
        <v>72</v>
      </c>
      <c r="B91" s="732" t="s">
        <v>2228</v>
      </c>
      <c r="C91" s="16"/>
      <c r="D91" s="16"/>
      <c r="E91" s="16"/>
      <c r="F91" s="411">
        <v>65210.96</v>
      </c>
      <c r="G91" s="16"/>
      <c r="H91" s="16"/>
      <c r="J91" s="239"/>
      <c r="K91" s="383">
        <f t="shared" si="28"/>
        <v>0</v>
      </c>
      <c r="L91" s="383">
        <f t="shared" si="25"/>
        <v>65210.96</v>
      </c>
      <c r="M91" s="239"/>
      <c r="N91" s="411">
        <f t="shared" si="26"/>
        <v>0</v>
      </c>
      <c r="O91" s="383">
        <f t="shared" si="27"/>
        <v>65210.96</v>
      </c>
      <c r="P91" s="143">
        <f t="shared" si="23"/>
        <v>0</v>
      </c>
      <c r="Q91" s="143">
        <f t="shared" si="24"/>
        <v>0</v>
      </c>
    </row>
    <row r="92" spans="1:17">
      <c r="A92" s="18">
        <v>73</v>
      </c>
      <c r="B92" s="732" t="s">
        <v>2229</v>
      </c>
      <c r="C92" s="16"/>
      <c r="D92" s="16"/>
      <c r="E92" s="16"/>
      <c r="F92" s="411">
        <v>956.7</v>
      </c>
      <c r="G92" s="16"/>
      <c r="H92" s="16"/>
      <c r="J92" s="239"/>
      <c r="K92" s="383">
        <f t="shared" si="28"/>
        <v>0</v>
      </c>
      <c r="L92" s="383">
        <f t="shared" si="25"/>
        <v>956.7</v>
      </c>
      <c r="M92" s="239"/>
      <c r="N92" s="411">
        <f t="shared" si="26"/>
        <v>0</v>
      </c>
      <c r="O92" s="383">
        <f t="shared" si="27"/>
        <v>956.7</v>
      </c>
      <c r="P92" s="143">
        <f t="shared" si="23"/>
        <v>0</v>
      </c>
      <c r="Q92" s="143">
        <f t="shared" si="24"/>
        <v>0</v>
      </c>
    </row>
    <row r="93" spans="1:17">
      <c r="A93" s="18">
        <v>74</v>
      </c>
      <c r="B93" s="732" t="s">
        <v>2230</v>
      </c>
      <c r="C93" s="16"/>
      <c r="D93" s="16"/>
      <c r="E93" s="16"/>
      <c r="F93" s="411">
        <v>124549.92</v>
      </c>
      <c r="G93" s="16"/>
      <c r="H93" s="16"/>
      <c r="J93" s="239"/>
      <c r="K93" s="383">
        <f t="shared" si="28"/>
        <v>0</v>
      </c>
      <c r="L93" s="383">
        <f t="shared" si="25"/>
        <v>124549.92</v>
      </c>
      <c r="M93" s="239"/>
      <c r="N93" s="411">
        <f t="shared" si="26"/>
        <v>0</v>
      </c>
      <c r="O93" s="383">
        <f t="shared" si="27"/>
        <v>124549.92</v>
      </c>
      <c r="P93" s="143">
        <f t="shared" si="23"/>
        <v>0</v>
      </c>
      <c r="Q93" s="143">
        <f t="shared" si="24"/>
        <v>0</v>
      </c>
    </row>
    <row r="94" spans="1:17">
      <c r="A94" s="18">
        <v>75</v>
      </c>
      <c r="B94" s="732" t="s">
        <v>2231</v>
      </c>
      <c r="C94" s="16"/>
      <c r="D94" s="16"/>
      <c r="E94" s="16"/>
      <c r="F94" s="411">
        <v>141164.45000000001</v>
      </c>
      <c r="G94" s="16"/>
      <c r="H94" s="16"/>
      <c r="J94" s="239"/>
      <c r="K94" s="383">
        <f t="shared" si="28"/>
        <v>0</v>
      </c>
      <c r="L94" s="383">
        <f t="shared" si="25"/>
        <v>141164.45000000001</v>
      </c>
      <c r="M94" s="239"/>
      <c r="N94" s="411">
        <f t="shared" si="26"/>
        <v>0</v>
      </c>
      <c r="O94" s="383">
        <f t="shared" si="27"/>
        <v>141164.45000000001</v>
      </c>
      <c r="P94" s="143">
        <f t="shared" si="23"/>
        <v>0</v>
      </c>
      <c r="Q94" s="143">
        <f t="shared" si="24"/>
        <v>0</v>
      </c>
    </row>
    <row r="95" spans="1:17">
      <c r="A95" s="18">
        <v>76</v>
      </c>
      <c r="B95" s="732" t="s">
        <v>747</v>
      </c>
      <c r="C95" s="16"/>
      <c r="D95" s="16"/>
      <c r="E95" s="16"/>
      <c r="F95" s="411">
        <v>159195.79999999999</v>
      </c>
      <c r="G95" s="16"/>
      <c r="H95" s="16"/>
      <c r="J95" s="239"/>
      <c r="K95" s="383">
        <f t="shared" si="28"/>
        <v>0</v>
      </c>
      <c r="L95" s="383">
        <f t="shared" si="25"/>
        <v>159195.79999999999</v>
      </c>
      <c r="M95" s="239"/>
      <c r="N95" s="411">
        <f t="shared" si="26"/>
        <v>0</v>
      </c>
      <c r="O95" s="383">
        <f t="shared" si="27"/>
        <v>159195.79999999999</v>
      </c>
      <c r="P95" s="143">
        <f t="shared" si="23"/>
        <v>0</v>
      </c>
      <c r="Q95" s="143">
        <f t="shared" si="24"/>
        <v>0</v>
      </c>
    </row>
    <row r="96" spans="1:17">
      <c r="A96" s="18">
        <v>77</v>
      </c>
      <c r="B96" s="732" t="s">
        <v>2232</v>
      </c>
      <c r="C96" s="16"/>
      <c r="D96" s="16"/>
      <c r="E96" s="16"/>
      <c r="F96" s="411">
        <v>85072.95</v>
      </c>
      <c r="G96" s="16"/>
      <c r="H96" s="16"/>
      <c r="J96" s="239"/>
      <c r="K96" s="383">
        <f t="shared" si="28"/>
        <v>0</v>
      </c>
      <c r="L96" s="383">
        <f t="shared" si="25"/>
        <v>85072.95</v>
      </c>
      <c r="M96" s="239"/>
      <c r="N96" s="411">
        <f t="shared" si="26"/>
        <v>0</v>
      </c>
      <c r="O96" s="383">
        <f t="shared" si="27"/>
        <v>85072.95</v>
      </c>
      <c r="P96" s="143">
        <f t="shared" si="23"/>
        <v>0</v>
      </c>
      <c r="Q96" s="143">
        <f t="shared" si="24"/>
        <v>0</v>
      </c>
    </row>
    <row r="97" spans="1:17">
      <c r="A97" s="18">
        <v>78</v>
      </c>
      <c r="B97" s="732" t="s">
        <v>2233</v>
      </c>
      <c r="C97" s="16"/>
      <c r="D97" s="16"/>
      <c r="E97" s="16"/>
      <c r="F97" s="411">
        <v>875917.72</v>
      </c>
      <c r="G97" s="16"/>
      <c r="H97" s="16"/>
      <c r="J97" s="239"/>
      <c r="K97" s="383">
        <f t="shared" si="28"/>
        <v>0</v>
      </c>
      <c r="L97" s="383">
        <f t="shared" si="25"/>
        <v>875917.72</v>
      </c>
      <c r="M97" s="239"/>
      <c r="N97" s="411">
        <f t="shared" si="26"/>
        <v>0</v>
      </c>
      <c r="O97" s="383">
        <f t="shared" si="27"/>
        <v>875917.72</v>
      </c>
      <c r="P97" s="143">
        <f t="shared" si="23"/>
        <v>0</v>
      </c>
      <c r="Q97" s="143">
        <f t="shared" si="24"/>
        <v>0</v>
      </c>
    </row>
    <row r="98" spans="1:17">
      <c r="A98" s="18">
        <v>79</v>
      </c>
      <c r="B98" s="732" t="s">
        <v>2234</v>
      </c>
      <c r="C98" s="16"/>
      <c r="D98" s="16"/>
      <c r="E98" s="16"/>
      <c r="F98" s="411">
        <v>287512.96999999997</v>
      </c>
      <c r="G98" s="16"/>
      <c r="H98" s="16"/>
      <c r="J98" s="239"/>
      <c r="K98" s="383">
        <f t="shared" si="28"/>
        <v>0</v>
      </c>
      <c r="L98" s="383">
        <f t="shared" si="25"/>
        <v>287512.96999999997</v>
      </c>
      <c r="M98" s="239"/>
      <c r="N98" s="411">
        <f t="shared" si="26"/>
        <v>0</v>
      </c>
      <c r="O98" s="383">
        <f t="shared" si="27"/>
        <v>287512.96999999997</v>
      </c>
      <c r="P98" s="143">
        <f t="shared" si="23"/>
        <v>0</v>
      </c>
      <c r="Q98" s="143">
        <f t="shared" si="24"/>
        <v>0</v>
      </c>
    </row>
    <row r="99" spans="1:17">
      <c r="A99" s="18">
        <v>80</v>
      </c>
      <c r="B99" s="732" t="s">
        <v>748</v>
      </c>
      <c r="C99" s="16"/>
      <c r="D99" s="16"/>
      <c r="E99" s="16"/>
      <c r="F99" s="411">
        <v>203880.66</v>
      </c>
      <c r="G99" s="16"/>
      <c r="H99" s="16"/>
      <c r="J99" s="239"/>
      <c r="K99" s="383">
        <f t="shared" si="28"/>
        <v>0</v>
      </c>
      <c r="L99" s="383">
        <f t="shared" si="25"/>
        <v>203880.66</v>
      </c>
      <c r="M99" s="239"/>
      <c r="N99" s="411">
        <f t="shared" si="26"/>
        <v>0</v>
      </c>
      <c r="O99" s="383">
        <f t="shared" si="27"/>
        <v>203880.66</v>
      </c>
      <c r="P99" s="143">
        <f t="shared" si="23"/>
        <v>0</v>
      </c>
      <c r="Q99" s="143">
        <f t="shared" si="24"/>
        <v>0</v>
      </c>
    </row>
    <row r="100" spans="1:17">
      <c r="A100" s="18">
        <v>81</v>
      </c>
      <c r="B100" s="732" t="s">
        <v>1363</v>
      </c>
      <c r="C100" s="16"/>
      <c r="D100" s="16"/>
      <c r="E100" s="16"/>
      <c r="F100" s="411">
        <v>17020.080000000002</v>
      </c>
      <c r="G100" s="16"/>
      <c r="H100" s="16"/>
      <c r="J100" s="239"/>
      <c r="K100" s="383">
        <f t="shared" si="28"/>
        <v>0</v>
      </c>
      <c r="L100" s="383">
        <f t="shared" si="25"/>
        <v>17020.080000000002</v>
      </c>
      <c r="M100" s="239"/>
      <c r="N100" s="411">
        <f t="shared" si="26"/>
        <v>0</v>
      </c>
      <c r="O100" s="383">
        <f t="shared" si="27"/>
        <v>17020.080000000002</v>
      </c>
      <c r="P100" s="143">
        <f t="shared" si="23"/>
        <v>0</v>
      </c>
      <c r="Q100" s="143">
        <f t="shared" si="24"/>
        <v>0</v>
      </c>
    </row>
    <row r="101" spans="1:17">
      <c r="A101" s="18">
        <v>82</v>
      </c>
      <c r="B101" s="732" t="s">
        <v>2235</v>
      </c>
      <c r="C101" s="16"/>
      <c r="D101" s="16"/>
      <c r="E101" s="16"/>
      <c r="F101" s="411">
        <v>35070.400000000001</v>
      </c>
      <c r="G101" s="16"/>
      <c r="H101" s="16"/>
      <c r="J101" s="239"/>
      <c r="K101" s="383">
        <f t="shared" si="28"/>
        <v>0</v>
      </c>
      <c r="L101" s="383">
        <f t="shared" si="25"/>
        <v>35070.400000000001</v>
      </c>
      <c r="M101" s="239"/>
      <c r="N101" s="411">
        <f t="shared" si="26"/>
        <v>0</v>
      </c>
      <c r="O101" s="383">
        <f t="shared" si="27"/>
        <v>35070.400000000001</v>
      </c>
      <c r="P101" s="143">
        <f t="shared" si="23"/>
        <v>0</v>
      </c>
      <c r="Q101" s="143">
        <f t="shared" si="24"/>
        <v>0</v>
      </c>
    </row>
    <row r="102" spans="1:17">
      <c r="A102" s="18">
        <v>83</v>
      </c>
      <c r="B102" s="732" t="s">
        <v>749</v>
      </c>
      <c r="C102" s="16"/>
      <c r="D102" s="16"/>
      <c r="E102" s="16"/>
      <c r="F102" s="411">
        <v>787.94</v>
      </c>
      <c r="G102" s="16"/>
      <c r="H102" s="16"/>
      <c r="J102" s="239"/>
      <c r="K102" s="383">
        <f t="shared" si="28"/>
        <v>0</v>
      </c>
      <c r="L102" s="383">
        <f t="shared" si="25"/>
        <v>787.94</v>
      </c>
      <c r="M102" s="239"/>
      <c r="N102" s="411">
        <f t="shared" si="26"/>
        <v>0</v>
      </c>
      <c r="O102" s="383">
        <f t="shared" si="27"/>
        <v>787.94</v>
      </c>
      <c r="P102" s="143">
        <f t="shared" si="23"/>
        <v>0</v>
      </c>
      <c r="Q102" s="143">
        <f t="shared" si="24"/>
        <v>0</v>
      </c>
    </row>
    <row r="103" spans="1:17">
      <c r="A103" s="18">
        <v>84</v>
      </c>
      <c r="B103" s="732" t="s">
        <v>750</v>
      </c>
      <c r="C103" s="16"/>
      <c r="D103" s="16"/>
      <c r="E103" s="16"/>
      <c r="F103" s="411">
        <v>66933.38</v>
      </c>
      <c r="G103" s="16"/>
      <c r="H103" s="16"/>
      <c r="J103" s="239"/>
      <c r="K103" s="383">
        <f t="shared" si="28"/>
        <v>0</v>
      </c>
      <c r="L103" s="383">
        <f t="shared" si="25"/>
        <v>66933.38</v>
      </c>
      <c r="M103" s="239"/>
      <c r="N103" s="411">
        <f t="shared" si="26"/>
        <v>0</v>
      </c>
      <c r="O103" s="383">
        <f t="shared" si="27"/>
        <v>66933.38</v>
      </c>
      <c r="P103" s="143">
        <f t="shared" si="23"/>
        <v>0</v>
      </c>
      <c r="Q103" s="143">
        <f t="shared" si="24"/>
        <v>0</v>
      </c>
    </row>
    <row r="104" spans="1:17">
      <c r="A104" s="18">
        <v>85</v>
      </c>
      <c r="B104" s="732" t="s">
        <v>2236</v>
      </c>
      <c r="C104" s="16"/>
      <c r="D104" s="16"/>
      <c r="E104" s="16"/>
      <c r="F104" s="411">
        <v>73862.3</v>
      </c>
      <c r="G104" s="16"/>
      <c r="H104" s="16"/>
      <c r="J104" s="239"/>
      <c r="K104" s="383">
        <f t="shared" si="28"/>
        <v>0</v>
      </c>
      <c r="L104" s="383">
        <f t="shared" si="25"/>
        <v>73862.3</v>
      </c>
      <c r="M104" s="239"/>
      <c r="N104" s="411">
        <f t="shared" si="26"/>
        <v>0</v>
      </c>
      <c r="O104" s="383">
        <f t="shared" si="27"/>
        <v>73862.3</v>
      </c>
      <c r="P104" s="143">
        <f t="shared" si="23"/>
        <v>0</v>
      </c>
      <c r="Q104" s="143">
        <f t="shared" si="24"/>
        <v>0</v>
      </c>
    </row>
    <row r="105" spans="1:17">
      <c r="A105" s="18">
        <v>86</v>
      </c>
      <c r="B105" s="732" t="s">
        <v>2237</v>
      </c>
      <c r="C105" s="16"/>
      <c r="D105" s="16"/>
      <c r="E105" s="16"/>
      <c r="F105" s="411">
        <v>69084.19</v>
      </c>
      <c r="G105" s="16"/>
      <c r="H105" s="16"/>
      <c r="J105" s="239"/>
      <c r="K105" s="383">
        <f t="shared" si="28"/>
        <v>0</v>
      </c>
      <c r="L105" s="383">
        <f t="shared" si="25"/>
        <v>69084.19</v>
      </c>
      <c r="M105" s="239"/>
      <c r="N105" s="411">
        <f t="shared" si="26"/>
        <v>0</v>
      </c>
      <c r="O105" s="383">
        <f t="shared" si="27"/>
        <v>69084.19</v>
      </c>
      <c r="P105" s="143">
        <f t="shared" si="23"/>
        <v>0</v>
      </c>
      <c r="Q105" s="143">
        <f t="shared" si="24"/>
        <v>0</v>
      </c>
    </row>
    <row r="106" spans="1:17">
      <c r="A106" s="18">
        <v>87</v>
      </c>
      <c r="B106" s="732" t="s">
        <v>2238</v>
      </c>
      <c r="C106" s="16"/>
      <c r="D106" s="16"/>
      <c r="E106" s="16"/>
      <c r="F106" s="411">
        <v>72895.600000000006</v>
      </c>
      <c r="G106" s="16"/>
      <c r="H106" s="16"/>
      <c r="J106" s="239"/>
      <c r="K106" s="383">
        <f t="shared" si="28"/>
        <v>0</v>
      </c>
      <c r="L106" s="383">
        <f t="shared" si="25"/>
        <v>72895.600000000006</v>
      </c>
      <c r="M106" s="239"/>
      <c r="N106" s="411">
        <f t="shared" si="26"/>
        <v>0</v>
      </c>
      <c r="O106" s="383">
        <f t="shared" si="27"/>
        <v>72895.600000000006</v>
      </c>
      <c r="P106" s="143">
        <f t="shared" si="23"/>
        <v>0</v>
      </c>
      <c r="Q106" s="143">
        <f t="shared" si="24"/>
        <v>0</v>
      </c>
    </row>
    <row r="107" spans="1:17">
      <c r="A107" s="18">
        <v>88</v>
      </c>
      <c r="B107" s="732" t="s">
        <v>2239</v>
      </c>
      <c r="C107" s="16"/>
      <c r="D107" s="16"/>
      <c r="E107" s="16"/>
      <c r="F107" s="411">
        <v>108215.66</v>
      </c>
      <c r="G107" s="16"/>
      <c r="H107" s="16"/>
      <c r="J107" s="239"/>
      <c r="K107" s="383">
        <f t="shared" si="28"/>
        <v>0</v>
      </c>
      <c r="L107" s="383">
        <f t="shared" si="25"/>
        <v>108215.66</v>
      </c>
      <c r="M107" s="239"/>
      <c r="N107" s="411">
        <f t="shared" si="26"/>
        <v>0</v>
      </c>
      <c r="O107" s="383">
        <f t="shared" si="27"/>
        <v>108215.66</v>
      </c>
      <c r="P107" s="143">
        <f t="shared" si="23"/>
        <v>0</v>
      </c>
      <c r="Q107" s="143">
        <f t="shared" si="24"/>
        <v>0</v>
      </c>
    </row>
    <row r="108" spans="1:17">
      <c r="A108" s="18">
        <v>89</v>
      </c>
      <c r="B108" s="732" t="s">
        <v>1364</v>
      </c>
      <c r="C108" s="16"/>
      <c r="D108" s="16"/>
      <c r="E108" s="16"/>
      <c r="F108" s="411">
        <v>234155.51999999999</v>
      </c>
      <c r="G108" s="16"/>
      <c r="H108" s="16"/>
      <c r="J108" s="239"/>
      <c r="K108" s="383">
        <f t="shared" si="28"/>
        <v>0</v>
      </c>
      <c r="L108" s="383">
        <f t="shared" si="25"/>
        <v>234155.51999999999</v>
      </c>
      <c r="M108" s="239"/>
      <c r="N108" s="411">
        <f t="shared" si="26"/>
        <v>0</v>
      </c>
      <c r="O108" s="383">
        <f t="shared" si="27"/>
        <v>234155.51999999999</v>
      </c>
      <c r="P108" s="143">
        <f t="shared" si="23"/>
        <v>0</v>
      </c>
      <c r="Q108" s="143">
        <f t="shared" si="24"/>
        <v>0</v>
      </c>
    </row>
    <row r="109" spans="1:17">
      <c r="A109" s="18">
        <v>90</v>
      </c>
      <c r="B109" s="732" t="s">
        <v>2240</v>
      </c>
      <c r="C109" s="16"/>
      <c r="D109" s="16"/>
      <c r="E109" s="16"/>
      <c r="F109" s="411">
        <v>97059.16</v>
      </c>
      <c r="G109" s="16"/>
      <c r="H109" s="16"/>
      <c r="J109" s="239"/>
      <c r="K109" s="383">
        <f t="shared" si="28"/>
        <v>0</v>
      </c>
      <c r="L109" s="383">
        <f t="shared" si="25"/>
        <v>97059.16</v>
      </c>
      <c r="M109" s="239"/>
      <c r="N109" s="411">
        <f t="shared" si="26"/>
        <v>0</v>
      </c>
      <c r="O109" s="383">
        <f t="shared" si="27"/>
        <v>97059.16</v>
      </c>
      <c r="P109" s="143">
        <f t="shared" si="23"/>
        <v>0</v>
      </c>
      <c r="Q109" s="143">
        <f t="shared" si="24"/>
        <v>0</v>
      </c>
    </row>
    <row r="110" spans="1:17">
      <c r="A110" s="18">
        <v>91</v>
      </c>
      <c r="B110" s="732" t="s">
        <v>2241</v>
      </c>
      <c r="C110" s="16"/>
      <c r="D110" s="16"/>
      <c r="E110" s="16"/>
      <c r="F110" s="411">
        <v>676.53</v>
      </c>
      <c r="G110" s="16"/>
      <c r="H110" s="16"/>
      <c r="J110" s="239"/>
      <c r="K110" s="383">
        <f t="shared" si="28"/>
        <v>0</v>
      </c>
      <c r="L110" s="383">
        <f t="shared" si="25"/>
        <v>676.53</v>
      </c>
      <c r="M110" s="239"/>
      <c r="N110" s="411">
        <f t="shared" si="26"/>
        <v>0</v>
      </c>
      <c r="O110" s="383">
        <f t="shared" si="27"/>
        <v>676.53</v>
      </c>
      <c r="P110" s="143">
        <f t="shared" si="23"/>
        <v>0</v>
      </c>
      <c r="Q110" s="143">
        <f t="shared" si="24"/>
        <v>0</v>
      </c>
    </row>
    <row r="111" spans="1:17">
      <c r="A111" s="18">
        <v>92</v>
      </c>
      <c r="B111" s="16"/>
      <c r="C111" s="16"/>
      <c r="D111" s="16"/>
      <c r="E111" s="16"/>
      <c r="F111" s="384">
        <f>SUM(F75:F110)</f>
        <v>5832196.1399999997</v>
      </c>
      <c r="G111" s="16"/>
      <c r="H111" s="16"/>
      <c r="J111" s="16"/>
      <c r="K111" s="384">
        <f>SUM(K75:K110)</f>
        <v>0</v>
      </c>
      <c r="L111" s="384">
        <f>SUM(L75:L110)</f>
        <v>5832196.1399999997</v>
      </c>
      <c r="M111" s="16"/>
      <c r="N111" s="384">
        <f>SUM(N75:N110)</f>
        <v>0</v>
      </c>
      <c r="O111" s="384">
        <f>SUM(O75:O110)</f>
        <v>5832196.1399999997</v>
      </c>
      <c r="P111" s="240">
        <f>SUM(P75:P110)</f>
        <v>0</v>
      </c>
      <c r="Q111" s="240">
        <f>SUM(Q75:Q110)</f>
        <v>0</v>
      </c>
    </row>
    <row r="112" spans="1:17">
      <c r="A112" s="18"/>
      <c r="B112" s="16"/>
      <c r="C112" s="16"/>
      <c r="D112" s="16"/>
      <c r="E112" s="16"/>
      <c r="F112" s="16"/>
      <c r="G112" s="16"/>
      <c r="H112" s="16"/>
      <c r="J112" s="16"/>
      <c r="K112" s="383"/>
      <c r="L112" s="16"/>
      <c r="M112" s="16"/>
      <c r="N112" s="16"/>
      <c r="O112" s="16"/>
    </row>
    <row r="113" spans="1:15">
      <c r="A113" s="385" t="s">
        <v>775</v>
      </c>
      <c r="B113" s="16"/>
      <c r="C113" s="16"/>
      <c r="D113" s="16"/>
      <c r="E113" s="16"/>
      <c r="F113" s="16"/>
      <c r="G113" s="16"/>
      <c r="H113" s="16"/>
      <c r="J113" s="16"/>
      <c r="K113" s="16"/>
      <c r="L113" s="16"/>
      <c r="M113" s="16"/>
      <c r="N113" s="16"/>
      <c r="O113" s="16"/>
    </row>
    <row r="114" spans="1:15">
      <c r="A114" s="385" t="s">
        <v>1096</v>
      </c>
      <c r="B114" s="16"/>
      <c r="C114" s="16"/>
      <c r="D114" s="16"/>
      <c r="E114" s="16"/>
      <c r="F114" s="16"/>
      <c r="G114" s="16"/>
      <c r="H114" s="16"/>
      <c r="J114" s="16"/>
      <c r="K114" s="16"/>
      <c r="L114" s="16"/>
      <c r="M114" s="16"/>
      <c r="N114" s="16"/>
      <c r="O114" s="16"/>
    </row>
    <row r="115" spans="1:15">
      <c r="A115" s="385" t="s">
        <v>1305</v>
      </c>
      <c r="B115" s="16"/>
      <c r="C115" s="16"/>
      <c r="D115" s="16"/>
      <c r="E115" s="16"/>
      <c r="F115" s="16"/>
      <c r="G115" s="16"/>
      <c r="H115" s="16"/>
      <c r="I115" s="16"/>
      <c r="J115" s="16"/>
      <c r="K115" s="16"/>
      <c r="L115" s="16"/>
      <c r="M115" s="16"/>
      <c r="N115" s="16"/>
      <c r="O115" s="16"/>
    </row>
    <row r="116" spans="1:15">
      <c r="A116" s="18"/>
      <c r="B116" s="16"/>
      <c r="C116" s="16"/>
      <c r="D116" s="16"/>
      <c r="E116" s="16"/>
      <c r="F116" s="16"/>
      <c r="G116" s="16"/>
      <c r="H116" s="16"/>
      <c r="I116" s="16"/>
    </row>
    <row r="117" spans="1:15">
      <c r="A117" s="18"/>
      <c r="B117" s="16"/>
      <c r="C117" s="16"/>
      <c r="D117" s="16"/>
      <c r="E117" s="16"/>
      <c r="F117" s="16"/>
      <c r="G117" s="16"/>
      <c r="H117" s="16"/>
      <c r="I117" s="16"/>
    </row>
    <row r="118" spans="1:15">
      <c r="A118" s="18"/>
      <c r="B118" s="16"/>
      <c r="C118" s="16"/>
      <c r="D118" s="16"/>
      <c r="E118" s="16"/>
      <c r="F118" s="16"/>
      <c r="G118" s="16"/>
      <c r="H118" s="16"/>
    </row>
    <row r="119" spans="1:15">
      <c r="A119" s="18"/>
      <c r="B119" s="16"/>
      <c r="C119" s="16"/>
      <c r="D119" s="16"/>
      <c r="E119" s="16"/>
      <c r="F119" s="16"/>
      <c r="G119" s="16"/>
      <c r="H119" s="16"/>
    </row>
    <row r="120" spans="1:15">
      <c r="A120" s="18"/>
      <c r="B120" s="16"/>
      <c r="C120" s="16"/>
      <c r="D120" s="16"/>
      <c r="E120" s="16"/>
      <c r="F120" s="16"/>
      <c r="G120" s="16"/>
      <c r="H120" s="16"/>
    </row>
    <row r="121" spans="1:15">
      <c r="A121" s="18"/>
      <c r="B121" s="16"/>
      <c r="C121" s="16"/>
      <c r="D121" s="16"/>
      <c r="E121" s="16"/>
      <c r="F121" s="16"/>
      <c r="G121" s="16"/>
      <c r="H121" s="16"/>
    </row>
  </sheetData>
  <mergeCells count="6">
    <mergeCell ref="B70:E73"/>
    <mergeCell ref="E1:L1"/>
    <mergeCell ref="E2:L2"/>
    <mergeCell ref="E3:L3"/>
    <mergeCell ref="E4:L4"/>
    <mergeCell ref="E5:L5"/>
  </mergeCell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F30"/>
  <sheetViews>
    <sheetView view="pageBreakPreview" topLeftCell="A7" zoomScale="85" zoomScaleNormal="100" zoomScaleSheetLayoutView="85" workbookViewId="0">
      <selection activeCell="F26" sqref="F26"/>
    </sheetView>
  </sheetViews>
  <sheetFormatPr defaultRowHeight="15"/>
  <cols>
    <col min="1" max="1" width="36.85546875" bestFit="1" customWidth="1"/>
    <col min="2" max="2" width="27.140625" customWidth="1"/>
    <col min="3" max="3" width="14.28515625" bestFit="1" customWidth="1"/>
    <col min="4" max="4" width="15.28515625" customWidth="1"/>
    <col min="6" max="6" width="15.5703125" bestFit="1" customWidth="1"/>
  </cols>
  <sheetData>
    <row r="1" spans="1:6" ht="15.75">
      <c r="A1" s="1029" t="s">
        <v>60</v>
      </c>
      <c r="B1" s="1029"/>
      <c r="C1" s="1029"/>
      <c r="D1" s="2"/>
      <c r="E1" s="2"/>
      <c r="F1" s="2"/>
    </row>
    <row r="2" spans="1:6" ht="15.75">
      <c r="A2" s="1029" t="s">
        <v>1854</v>
      </c>
      <c r="B2" s="1029"/>
      <c r="C2" s="1029"/>
      <c r="D2" s="2"/>
      <c r="E2" s="2"/>
      <c r="F2" s="2"/>
    </row>
    <row r="3" spans="1:6" ht="15.75">
      <c r="A3" s="1029" t="s">
        <v>1298</v>
      </c>
      <c r="B3" s="1029"/>
      <c r="C3" s="1029"/>
      <c r="D3" s="2"/>
      <c r="E3" s="2"/>
      <c r="F3" s="2"/>
    </row>
    <row r="4" spans="1:6" ht="15.75">
      <c r="A4" s="1029" t="s">
        <v>2557</v>
      </c>
      <c r="B4" s="1029"/>
      <c r="C4" s="1029"/>
      <c r="D4" s="2"/>
      <c r="E4" s="2"/>
      <c r="F4" s="2"/>
    </row>
    <row r="5" spans="1:6" ht="15.75">
      <c r="A5" s="1029" t="s">
        <v>1853</v>
      </c>
      <c r="B5" s="1029"/>
      <c r="C5" s="1029"/>
      <c r="D5" s="2"/>
      <c r="E5" s="2"/>
      <c r="F5" s="2"/>
    </row>
    <row r="10" spans="1:6">
      <c r="B10" t="s">
        <v>1367</v>
      </c>
      <c r="C10" s="414">
        <f>+B23</f>
        <v>389056.37</v>
      </c>
    </row>
    <row r="11" spans="1:6">
      <c r="B11" t="s">
        <v>1368</v>
      </c>
      <c r="C11" s="414">
        <f>+B24</f>
        <v>692843.03</v>
      </c>
    </row>
    <row r="12" spans="1:6">
      <c r="B12" t="s">
        <v>1369</v>
      </c>
      <c r="C12" s="414">
        <f>+B22</f>
        <v>35135.07</v>
      </c>
    </row>
    <row r="13" spans="1:6">
      <c r="B13" t="s">
        <v>1370</v>
      </c>
      <c r="C13" s="414">
        <f>+B20+B21</f>
        <v>860349.55</v>
      </c>
    </row>
    <row r="14" spans="1:6">
      <c r="B14" t="s">
        <v>1371</v>
      </c>
      <c r="C14" s="414">
        <f>+B18+B19</f>
        <v>1085270.29</v>
      </c>
    </row>
    <row r="15" spans="1:6" ht="15.75" thickBot="1">
      <c r="C15" s="415">
        <f>SUM(C10:C14)</f>
        <v>3062654.31</v>
      </c>
    </row>
    <row r="16" spans="1:6" ht="15.75" thickTop="1"/>
    <row r="18" spans="1:6">
      <c r="A18" t="s">
        <v>1372</v>
      </c>
      <c r="B18" s="414">
        <v>722274.82</v>
      </c>
    </row>
    <row r="19" spans="1:6">
      <c r="A19" t="s">
        <v>1373</v>
      </c>
      <c r="B19" s="414">
        <v>362995.47</v>
      </c>
    </row>
    <row r="20" spans="1:6">
      <c r="A20" t="s">
        <v>1374</v>
      </c>
      <c r="B20" s="414">
        <v>473325.53</v>
      </c>
    </row>
    <row r="21" spans="1:6">
      <c r="A21" t="s">
        <v>1375</v>
      </c>
      <c r="B21" s="414">
        <v>387024.02</v>
      </c>
      <c r="D21" s="1016" t="s">
        <v>2649</v>
      </c>
      <c r="E21" s="1016"/>
      <c r="F21" s="1016" t="s">
        <v>2650</v>
      </c>
    </row>
    <row r="22" spans="1:6">
      <c r="A22" t="s">
        <v>1376</v>
      </c>
      <c r="B22" s="414">
        <v>35135.07</v>
      </c>
      <c r="D22" s="1016"/>
      <c r="E22" s="1016"/>
      <c r="F22" s="1016"/>
    </row>
    <row r="23" spans="1:6">
      <c r="A23" t="s">
        <v>1377</v>
      </c>
      <c r="B23" s="414">
        <v>389056.37</v>
      </c>
      <c r="D23" s="1017">
        <v>202425</v>
      </c>
      <c r="E23" s="1017"/>
      <c r="F23" s="1017">
        <f>+D23-B23</f>
        <v>-186631.37</v>
      </c>
    </row>
    <row r="24" spans="1:6">
      <c r="A24" t="s">
        <v>1378</v>
      </c>
      <c r="B24" s="414">
        <v>692843.03</v>
      </c>
      <c r="D24" s="1017">
        <v>430034</v>
      </c>
      <c r="E24" s="1017"/>
      <c r="F24" s="1017">
        <f t="shared" ref="F24" si="0">+D24-B24</f>
        <v>-262809.03000000003</v>
      </c>
    </row>
    <row r="25" spans="1:6" ht="15.75" thickBot="1">
      <c r="B25" s="416">
        <f>SUM(B18:B24)</f>
        <v>3062654.3100000005</v>
      </c>
      <c r="D25" s="1017">
        <f>+SUM(D23:D24)</f>
        <v>632459</v>
      </c>
      <c r="E25" s="1017"/>
      <c r="F25" s="1017">
        <f>+SUM(F23:F24)</f>
        <v>-449440.4</v>
      </c>
    </row>
    <row r="26" spans="1:6" ht="15.75" thickTop="1"/>
    <row r="27" spans="1:6">
      <c r="A27" t="s">
        <v>2556</v>
      </c>
      <c r="B27" s="417">
        <f>+B18+B20+B22+B19+B21-F25</f>
        <v>2430195.31</v>
      </c>
    </row>
    <row r="30" spans="1:6">
      <c r="A30" t="s">
        <v>1380</v>
      </c>
      <c r="B30" s="417">
        <f>-B27</f>
        <v>-2430195.31</v>
      </c>
    </row>
  </sheetData>
  <mergeCells count="5">
    <mergeCell ref="A1:C1"/>
    <mergeCell ref="A2:C2"/>
    <mergeCell ref="A3:C3"/>
    <mergeCell ref="A4:C4"/>
    <mergeCell ref="A5:C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M21"/>
  <sheetViews>
    <sheetView view="pageBreakPreview" zoomScale="60" zoomScaleNormal="100" workbookViewId="0">
      <selection activeCell="A2" sqref="A2:H2"/>
    </sheetView>
  </sheetViews>
  <sheetFormatPr defaultColWidth="9.140625" defaultRowHeight="15.75"/>
  <cols>
    <col min="1" max="1" width="9.28515625" style="455" bestFit="1" customWidth="1"/>
    <col min="2" max="2" width="13.5703125" style="456" bestFit="1" customWidth="1"/>
    <col min="3" max="3" width="10.85546875" style="456" bestFit="1" customWidth="1"/>
    <col min="4" max="4" width="12" style="456" bestFit="1" customWidth="1"/>
    <col min="5" max="5" width="15.42578125" style="456" bestFit="1" customWidth="1"/>
    <col min="6" max="6" width="11.5703125" style="456" bestFit="1" customWidth="1"/>
    <col min="7" max="7" width="9.28515625" style="456" bestFit="1" customWidth="1"/>
    <col min="8" max="8" width="12.7109375" style="455" bestFit="1" customWidth="1"/>
    <col min="9" max="9" width="9.140625" style="456"/>
    <col min="10" max="16384" width="9.140625" style="71"/>
  </cols>
  <sheetData>
    <row r="1" spans="1:13">
      <c r="A1" s="1029" t="s">
        <v>60</v>
      </c>
      <c r="B1" s="1029"/>
      <c r="C1" s="1029"/>
      <c r="D1" s="1029"/>
      <c r="E1" s="1029"/>
      <c r="F1" s="1029"/>
      <c r="G1" s="1029"/>
      <c r="H1" s="1029"/>
      <c r="I1" s="2"/>
      <c r="J1" s="2"/>
      <c r="K1" s="227"/>
      <c r="L1" s="227"/>
      <c r="M1" s="227"/>
    </row>
    <row r="2" spans="1:13">
      <c r="A2" s="1029" t="s">
        <v>1283</v>
      </c>
      <c r="B2" s="1029"/>
      <c r="C2" s="1029"/>
      <c r="D2" s="1029"/>
      <c r="E2" s="1029"/>
      <c r="F2" s="1029"/>
      <c r="G2" s="1029"/>
      <c r="H2" s="1029"/>
      <c r="I2" s="2"/>
      <c r="J2" s="2"/>
      <c r="K2" s="227"/>
      <c r="L2" s="227"/>
      <c r="M2" s="227"/>
    </row>
    <row r="3" spans="1:13">
      <c r="A3" s="1029" t="s">
        <v>1299</v>
      </c>
      <c r="B3" s="1029"/>
      <c r="C3" s="1029"/>
      <c r="D3" s="1029"/>
      <c r="E3" s="1029"/>
      <c r="F3" s="1029"/>
      <c r="G3" s="1029"/>
      <c r="H3" s="1029"/>
      <c r="I3" s="2"/>
      <c r="J3" s="2"/>
      <c r="K3" s="227"/>
      <c r="L3" s="227"/>
      <c r="M3" s="227"/>
    </row>
    <row r="4" spans="1:13">
      <c r="A4" s="1029" t="s">
        <v>84</v>
      </c>
      <c r="B4" s="1029"/>
      <c r="C4" s="1029"/>
      <c r="D4" s="1029"/>
      <c r="E4" s="1029"/>
      <c r="F4" s="1029"/>
      <c r="G4" s="1029"/>
      <c r="H4" s="1029"/>
      <c r="I4" s="2"/>
      <c r="J4" s="2"/>
      <c r="K4" s="227"/>
      <c r="L4" s="227"/>
      <c r="M4" s="227"/>
    </row>
    <row r="5" spans="1:13">
      <c r="A5" s="1029" t="s">
        <v>1853</v>
      </c>
      <c r="B5" s="1029"/>
      <c r="C5" s="1029"/>
      <c r="D5" s="1029"/>
      <c r="E5" s="1029"/>
      <c r="F5" s="1029"/>
      <c r="G5" s="1029"/>
      <c r="H5" s="1029"/>
      <c r="I5" s="2"/>
      <c r="J5" s="2"/>
      <c r="K5" s="227"/>
      <c r="L5" s="227"/>
      <c r="M5" s="227"/>
    </row>
    <row r="6" spans="1:13">
      <c r="K6" s="227"/>
      <c r="L6" s="227"/>
      <c r="M6" s="227"/>
    </row>
    <row r="7" spans="1:13">
      <c r="K7" s="227"/>
      <c r="L7" s="227"/>
      <c r="M7" s="227"/>
    </row>
    <row r="8" spans="1:13">
      <c r="K8" s="227"/>
      <c r="L8" s="227"/>
      <c r="M8" s="227"/>
    </row>
    <row r="9" spans="1:13" s="228" customFormat="1">
      <c r="A9" s="455"/>
      <c r="B9" s="455" t="s">
        <v>799</v>
      </c>
      <c r="C9" s="455" t="s">
        <v>797</v>
      </c>
      <c r="D9" s="455" t="s">
        <v>798</v>
      </c>
      <c r="E9" s="455" t="s">
        <v>801</v>
      </c>
      <c r="F9" s="455" t="s">
        <v>802</v>
      </c>
      <c r="G9" s="455" t="s">
        <v>803</v>
      </c>
      <c r="H9" s="455" t="s">
        <v>804</v>
      </c>
      <c r="I9" s="455"/>
      <c r="K9" s="229"/>
      <c r="L9" s="229"/>
      <c r="M9" s="229"/>
    </row>
    <row r="10" spans="1:13">
      <c r="B10" s="457" t="s">
        <v>370</v>
      </c>
      <c r="C10" s="233"/>
      <c r="D10" s="233"/>
      <c r="E10" s="233"/>
      <c r="F10" s="233"/>
      <c r="G10" s="233"/>
      <c r="H10" s="231"/>
      <c r="I10" s="233"/>
      <c r="J10" s="227"/>
    </row>
    <row r="11" spans="1:13">
      <c r="B11" s="233"/>
      <c r="C11" s="233"/>
      <c r="D11" s="233"/>
      <c r="E11" s="458"/>
      <c r="F11" s="233"/>
      <c r="G11" s="233"/>
      <c r="H11" s="231"/>
      <c r="I11" s="233"/>
      <c r="J11" s="227"/>
    </row>
    <row r="12" spans="1:13">
      <c r="A12" s="455" t="s">
        <v>660</v>
      </c>
      <c r="B12" s="233" t="s">
        <v>90</v>
      </c>
      <c r="C12" s="231" t="s">
        <v>91</v>
      </c>
      <c r="D12" s="231"/>
      <c r="E12" s="231" t="s">
        <v>92</v>
      </c>
      <c r="F12" s="231"/>
      <c r="G12" s="231" t="s">
        <v>93</v>
      </c>
      <c r="H12" s="231"/>
      <c r="I12" s="233"/>
      <c r="J12" s="227"/>
    </row>
    <row r="13" spans="1:13">
      <c r="A13" s="455">
        <v>1</v>
      </c>
      <c r="B13" s="459">
        <v>43465</v>
      </c>
      <c r="C13" s="231" t="s">
        <v>94</v>
      </c>
      <c r="D13" s="231" t="s">
        <v>95</v>
      </c>
      <c r="E13" s="231" t="s">
        <v>96</v>
      </c>
      <c r="F13" s="231" t="s">
        <v>62</v>
      </c>
      <c r="G13" s="231" t="s">
        <v>97</v>
      </c>
      <c r="H13" s="230" t="s">
        <v>98</v>
      </c>
      <c r="I13" s="233"/>
      <c r="J13" s="227"/>
    </row>
    <row r="14" spans="1:13">
      <c r="B14" s="459"/>
      <c r="C14" s="231"/>
      <c r="D14" s="231"/>
      <c r="E14" s="231"/>
      <c r="F14" s="231"/>
      <c r="G14" s="460"/>
      <c r="H14" s="231"/>
    </row>
    <row r="15" spans="1:13">
      <c r="B15" s="233"/>
      <c r="C15" s="231"/>
      <c r="D15" s="231"/>
      <c r="E15" s="231"/>
      <c r="F15" s="231"/>
      <c r="G15" s="231"/>
      <c r="H15" s="231"/>
    </row>
    <row r="16" spans="1:13" ht="16.5" thickBot="1">
      <c r="A16" s="455">
        <v>2</v>
      </c>
      <c r="B16" s="841">
        <f>+' ROO Summary Sheet'!Q40</f>
        <v>381347000.28741705</v>
      </c>
      <c r="C16" s="461">
        <f>+'Capital Structure Calculation'!J11</f>
        <v>2.402E-2</v>
      </c>
      <c r="D16" s="842">
        <f>B16*C16</f>
        <v>9159954.9469037578</v>
      </c>
      <c r="E16" s="231">
        <f>+'Operating Report'!G160</f>
        <v>11276371.959999999</v>
      </c>
      <c r="F16" s="842">
        <f>+D16-E16</f>
        <v>-2116417.0130962413</v>
      </c>
      <c r="G16" s="232">
        <f>+' Conversion Factor'!C33</f>
        <v>0.21</v>
      </c>
      <c r="H16" s="843">
        <f>+F16*-G16</f>
        <v>444447.57275021065</v>
      </c>
      <c r="K16" s="227"/>
      <c r="L16" s="227"/>
      <c r="M16" s="227"/>
    </row>
    <row r="17" spans="2:13" ht="16.5" thickTop="1">
      <c r="B17" s="233"/>
      <c r="C17" s="233"/>
      <c r="D17" s="233"/>
      <c r="E17" s="233"/>
      <c r="F17" s="233"/>
      <c r="G17" s="462"/>
      <c r="H17" s="231"/>
      <c r="K17" s="227"/>
      <c r="L17" s="234"/>
      <c r="M17" s="227"/>
    </row>
    <row r="18" spans="2:13">
      <c r="G18" s="233"/>
      <c r="H18" s="231"/>
      <c r="K18" s="227"/>
      <c r="L18" s="227"/>
      <c r="M18" s="227"/>
    </row>
    <row r="19" spans="2:13">
      <c r="B19" s="463"/>
      <c r="C19" s="233"/>
      <c r="D19" s="233"/>
      <c r="E19" s="233"/>
      <c r="F19" s="233"/>
      <c r="I19" s="233"/>
      <c r="J19" s="227"/>
      <c r="K19" s="227"/>
      <c r="L19" s="227"/>
      <c r="M19" s="227"/>
    </row>
    <row r="20" spans="2:13">
      <c r="B20" s="233"/>
      <c r="C20" s="233"/>
      <c r="D20" s="233"/>
      <c r="E20" s="233"/>
      <c r="F20" s="233"/>
      <c r="I20" s="233"/>
      <c r="J20" s="227"/>
      <c r="K20" s="227"/>
      <c r="L20" s="227"/>
      <c r="M20" s="229"/>
    </row>
    <row r="21" spans="2:13">
      <c r="G21" s="233"/>
      <c r="H21" s="231"/>
      <c r="I21" s="233"/>
      <c r="J21" s="227"/>
      <c r="K21" s="227"/>
      <c r="L21" s="227"/>
      <c r="M21" s="227"/>
    </row>
  </sheetData>
  <mergeCells count="5">
    <mergeCell ref="A1:H1"/>
    <mergeCell ref="A2:H2"/>
    <mergeCell ref="A3:H3"/>
    <mergeCell ref="A4:H4"/>
    <mergeCell ref="A5:H5"/>
  </mergeCells>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49AA8-E0CA-4A64-8B90-15F5BA40B5E3}">
  <dimension ref="B4:L36"/>
  <sheetViews>
    <sheetView workbookViewId="0"/>
  </sheetViews>
  <sheetFormatPr defaultRowHeight="15"/>
  <cols>
    <col min="1" max="1" width="9.140625" style="892"/>
    <col min="2" max="3" width="24.85546875" style="892" customWidth="1"/>
    <col min="4" max="4" width="12.7109375" style="892" customWidth="1"/>
    <col min="5" max="5" width="16.85546875" style="892" customWidth="1"/>
    <col min="6" max="7" width="9.140625" style="892"/>
    <col min="8" max="8" width="2.85546875" style="892" customWidth="1"/>
    <col min="9" max="9" width="10.140625" style="892" customWidth="1"/>
    <col min="10" max="10" width="15.7109375" style="892" customWidth="1"/>
    <col min="11" max="11" width="18.42578125" style="892" customWidth="1"/>
    <col min="12" max="12" width="2.85546875" style="892" customWidth="1"/>
    <col min="13" max="13" width="22.140625" style="892" customWidth="1"/>
    <col min="14" max="14" width="3.5703125" style="892" customWidth="1"/>
    <col min="15" max="15" width="22.140625" style="892" customWidth="1"/>
    <col min="16" max="16" width="3.140625" style="892" customWidth="1"/>
    <col min="17" max="20" width="11.7109375" style="892" customWidth="1"/>
    <col min="21" max="21" width="3.140625" style="892" customWidth="1"/>
    <col min="22" max="16384" width="9.140625" style="892"/>
  </cols>
  <sheetData>
    <row r="4" spans="2:6">
      <c r="B4" s="936" t="s">
        <v>2600</v>
      </c>
      <c r="C4" s="936" t="s">
        <v>2599</v>
      </c>
      <c r="D4" s="936" t="s">
        <v>2598</v>
      </c>
      <c r="E4" s="936" t="s">
        <v>688</v>
      </c>
      <c r="F4" s="936" t="s">
        <v>2597</v>
      </c>
    </row>
    <row r="5" spans="2:6">
      <c r="B5" s="935" t="s">
        <v>2585</v>
      </c>
      <c r="C5" s="935" t="s">
        <v>83</v>
      </c>
      <c r="D5" s="935" t="s">
        <v>2596</v>
      </c>
      <c r="E5" s="934">
        <v>44136</v>
      </c>
      <c r="F5" s="933">
        <v>9.4E-2</v>
      </c>
    </row>
    <row r="6" spans="2:6">
      <c r="B6" s="935" t="s">
        <v>2595</v>
      </c>
      <c r="C6" s="935" t="s">
        <v>83</v>
      </c>
      <c r="D6" s="935" t="s">
        <v>2594</v>
      </c>
      <c r="E6" s="934">
        <v>44013</v>
      </c>
      <c r="F6" s="933">
        <v>9.4E-2</v>
      </c>
    </row>
    <row r="7" spans="2:6">
      <c r="B7" s="935" t="s">
        <v>2593</v>
      </c>
      <c r="C7" s="935" t="s">
        <v>83</v>
      </c>
      <c r="D7" s="935" t="s">
        <v>2592</v>
      </c>
      <c r="E7" s="934">
        <v>43969</v>
      </c>
      <c r="F7" s="933">
        <v>9.4E-2</v>
      </c>
    </row>
    <row r="8" spans="2:6">
      <c r="B8" s="935" t="s">
        <v>2591</v>
      </c>
      <c r="C8" s="935" t="s">
        <v>106</v>
      </c>
      <c r="D8" s="935" t="s">
        <v>2590</v>
      </c>
      <c r="E8" s="934">
        <v>43915</v>
      </c>
      <c r="F8" s="933">
        <v>9.4E-2</v>
      </c>
    </row>
    <row r="9" spans="2:6">
      <c r="B9" s="935" t="s">
        <v>2583</v>
      </c>
      <c r="C9" s="935" t="s">
        <v>106</v>
      </c>
      <c r="D9" s="935" t="s">
        <v>2589</v>
      </c>
      <c r="E9" s="934">
        <v>43864</v>
      </c>
      <c r="F9" s="933">
        <v>9.4E-2</v>
      </c>
    </row>
    <row r="10" spans="2:6">
      <c r="B10" s="935" t="s">
        <v>2585</v>
      </c>
      <c r="C10" s="935" t="s">
        <v>106</v>
      </c>
      <c r="D10" s="935" t="s">
        <v>2588</v>
      </c>
      <c r="E10" s="934">
        <v>43759</v>
      </c>
      <c r="F10" s="933">
        <v>9.4E-2</v>
      </c>
    </row>
    <row r="11" spans="2:6">
      <c r="B11" s="935" t="s">
        <v>2587</v>
      </c>
      <c r="C11" s="935" t="s">
        <v>83</v>
      </c>
      <c r="D11" s="935" t="s">
        <v>2586</v>
      </c>
      <c r="E11" s="934">
        <v>43487</v>
      </c>
      <c r="F11" s="933">
        <v>9.4E-2</v>
      </c>
    </row>
    <row r="12" spans="2:6">
      <c r="B12" s="935" t="s">
        <v>2585</v>
      </c>
      <c r="C12" s="935" t="s">
        <v>83</v>
      </c>
      <c r="D12" s="935" t="s">
        <v>2584</v>
      </c>
      <c r="E12" s="934">
        <v>43405</v>
      </c>
      <c r="F12" s="933">
        <v>9.4E-2</v>
      </c>
    </row>
    <row r="13" spans="2:6">
      <c r="B13" s="935" t="s">
        <v>2583</v>
      </c>
      <c r="C13" s="935" t="s">
        <v>106</v>
      </c>
      <c r="D13" s="935" t="s">
        <v>2582</v>
      </c>
      <c r="E13" s="934">
        <v>43301</v>
      </c>
      <c r="F13" s="933">
        <v>9.4E-2</v>
      </c>
    </row>
    <row r="14" spans="2:6">
      <c r="E14" s="932"/>
      <c r="F14" s="931"/>
    </row>
    <row r="15" spans="2:6">
      <c r="E15" s="932"/>
      <c r="F15" s="931"/>
    </row>
    <row r="16" spans="2:6">
      <c r="E16" s="932"/>
      <c r="F16" s="931"/>
    </row>
    <row r="18" spans="8:12">
      <c r="H18" s="889"/>
      <c r="I18" s="890"/>
      <c r="J18" s="890"/>
      <c r="K18" s="890"/>
      <c r="L18" s="891"/>
    </row>
    <row r="19" spans="8:12">
      <c r="H19" s="893"/>
      <c r="I19" s="896"/>
      <c r="J19" s="896"/>
      <c r="K19" s="930" t="s">
        <v>370</v>
      </c>
      <c r="L19" s="895"/>
    </row>
    <row r="20" spans="8:12" ht="15.75">
      <c r="H20" s="893"/>
      <c r="I20" s="897"/>
      <c r="J20" s="897"/>
      <c r="K20" s="923" t="s">
        <v>367</v>
      </c>
      <c r="L20" s="895"/>
    </row>
    <row r="21" spans="8:12" ht="15.75">
      <c r="H21" s="893"/>
      <c r="I21" s="897"/>
      <c r="J21" s="897"/>
      <c r="K21" s="923" t="s">
        <v>368</v>
      </c>
      <c r="L21" s="895"/>
    </row>
    <row r="22" spans="8:12" ht="15.75">
      <c r="H22" s="893"/>
      <c r="I22" s="897"/>
      <c r="J22" s="897"/>
      <c r="K22" s="929" t="s">
        <v>1856</v>
      </c>
      <c r="L22" s="895"/>
    </row>
    <row r="23" spans="8:12" ht="15.75">
      <c r="H23" s="893"/>
      <c r="I23" s="897" t="s">
        <v>953</v>
      </c>
      <c r="J23" s="897"/>
      <c r="K23" s="901">
        <v>835867891.49633491</v>
      </c>
      <c r="L23" s="895"/>
    </row>
    <row r="24" spans="8:12" ht="15.75">
      <c r="H24" s="893"/>
      <c r="I24" s="897" t="s">
        <v>2581</v>
      </c>
      <c r="J24" s="897"/>
      <c r="K24" s="928">
        <v>-389781047.94520426</v>
      </c>
      <c r="L24" s="895"/>
    </row>
    <row r="25" spans="8:12" ht="15.75">
      <c r="H25" s="893"/>
      <c r="I25" s="897" t="s">
        <v>366</v>
      </c>
      <c r="J25" s="897"/>
      <c r="K25" s="901">
        <v>446086843.55113065</v>
      </c>
      <c r="L25" s="895"/>
    </row>
    <row r="26" spans="8:12" ht="15.75">
      <c r="H26" s="893"/>
      <c r="I26" s="897" t="s">
        <v>2580</v>
      </c>
      <c r="J26" s="897"/>
      <c r="K26" s="901">
        <v>-3800412.8362500002</v>
      </c>
      <c r="L26" s="895"/>
    </row>
    <row r="27" spans="8:12" ht="15.75">
      <c r="H27" s="893"/>
      <c r="I27" s="897" t="s">
        <v>956</v>
      </c>
      <c r="J27" s="897"/>
      <c r="K27" s="901">
        <v>-75625049.641666636</v>
      </c>
      <c r="L27" s="895"/>
    </row>
    <row r="28" spans="8:12" ht="15.75">
      <c r="H28" s="893"/>
      <c r="I28" s="897" t="s">
        <v>957</v>
      </c>
      <c r="J28" s="897"/>
      <c r="K28" s="928">
        <v>7565010.5869378978</v>
      </c>
      <c r="L28" s="895"/>
    </row>
    <row r="29" spans="8:12" ht="15.75">
      <c r="H29" s="893"/>
      <c r="I29" s="897" t="s">
        <v>958</v>
      </c>
      <c r="J29" s="897"/>
      <c r="K29" s="927">
        <v>374226391.6601519</v>
      </c>
      <c r="L29" s="895"/>
    </row>
    <row r="30" spans="8:12">
      <c r="H30" s="893"/>
      <c r="I30" s="896"/>
      <c r="J30" s="896"/>
      <c r="K30" s="896"/>
      <c r="L30" s="895"/>
    </row>
    <row r="31" spans="8:12" ht="15.75">
      <c r="H31" s="893"/>
      <c r="I31" s="897" t="s">
        <v>2579</v>
      </c>
      <c r="J31" s="896"/>
      <c r="K31" s="901">
        <f>+SUM('[9]AWEC-55'!$D$13:$R$13)</f>
        <v>325000000</v>
      </c>
      <c r="L31" s="895"/>
    </row>
    <row r="32" spans="8:12" ht="15.75">
      <c r="H32" s="893"/>
      <c r="I32" s="926" t="s">
        <v>2630</v>
      </c>
      <c r="J32" s="896"/>
      <c r="K32" s="925">
        <v>0.75539999999999996</v>
      </c>
      <c r="L32" s="895"/>
    </row>
    <row r="33" spans="8:12" ht="15.75">
      <c r="H33" s="893"/>
      <c r="I33" s="897" t="s">
        <v>2578</v>
      </c>
      <c r="J33" s="896"/>
      <c r="K33" s="901">
        <f>+K31*K32</f>
        <v>245505000</v>
      </c>
      <c r="L33" s="895"/>
    </row>
    <row r="34" spans="8:12">
      <c r="H34" s="893"/>
      <c r="I34" s="896"/>
      <c r="J34" s="896"/>
      <c r="K34" s="896"/>
      <c r="L34" s="895"/>
    </row>
    <row r="35" spans="8:12" ht="15.75">
      <c r="H35" s="893"/>
      <c r="I35" s="897" t="s">
        <v>2577</v>
      </c>
      <c r="J35" s="896"/>
      <c r="K35" s="925">
        <f>+K33/K29</f>
        <v>0.6560333676919069</v>
      </c>
      <c r="L35" s="895"/>
    </row>
    <row r="36" spans="8:12">
      <c r="H36" s="899"/>
      <c r="I36" s="924"/>
      <c r="J36" s="924"/>
      <c r="K36" s="924"/>
      <c r="L36" s="900"/>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I47"/>
  <sheetViews>
    <sheetView view="pageBreakPreview" topLeftCell="A7" zoomScaleNormal="100" zoomScaleSheetLayoutView="100" workbookViewId="0">
      <selection activeCell="A2" sqref="A2:F2"/>
    </sheetView>
  </sheetViews>
  <sheetFormatPr defaultColWidth="9.140625" defaultRowHeight="15.75"/>
  <cols>
    <col min="1" max="1" width="9.42578125" style="5" bestFit="1" customWidth="1"/>
    <col min="2" max="2" width="33" style="3" bestFit="1" customWidth="1"/>
    <col min="3" max="3" width="10.28515625" style="3" bestFit="1" customWidth="1"/>
    <col min="4" max="4" width="27.28515625" style="3" customWidth="1"/>
    <col min="5" max="5" width="18.140625" style="21" bestFit="1" customWidth="1"/>
    <col min="6" max="6" width="13.140625" style="3" bestFit="1" customWidth="1"/>
    <col min="7" max="7" width="10.140625" style="3" bestFit="1" customWidth="1"/>
    <col min="8" max="8" width="13.5703125" style="3" bestFit="1" customWidth="1"/>
    <col min="9" max="9" width="9.140625" style="3"/>
    <col min="10" max="10" width="9.7109375" style="3" bestFit="1" customWidth="1"/>
    <col min="11" max="16384" width="9.140625" style="3"/>
  </cols>
  <sheetData>
    <row r="1" spans="1:9" s="16" customFormat="1">
      <c r="A1" s="18"/>
      <c r="B1" s="1029" t="s">
        <v>60</v>
      </c>
      <c r="C1" s="1029"/>
      <c r="D1" s="1029"/>
      <c r="E1" s="1029"/>
      <c r="F1" s="1029"/>
      <c r="G1" s="2"/>
      <c r="H1" s="2"/>
      <c r="I1" s="2"/>
    </row>
    <row r="2" spans="1:9" s="16" customFormat="1">
      <c r="A2" s="18"/>
      <c r="B2" s="1029" t="s">
        <v>1854</v>
      </c>
      <c r="C2" s="1029"/>
      <c r="D2" s="1029"/>
      <c r="E2" s="1029"/>
      <c r="F2" s="1029"/>
      <c r="G2" s="2"/>
      <c r="H2" s="2"/>
      <c r="I2" s="2"/>
    </row>
    <row r="3" spans="1:9" s="16" customFormat="1">
      <c r="A3" s="18"/>
      <c r="B3" s="1029" t="s">
        <v>1303</v>
      </c>
      <c r="C3" s="1029"/>
      <c r="D3" s="1029"/>
      <c r="E3" s="1029"/>
      <c r="F3" s="1029"/>
      <c r="G3" s="2"/>
      <c r="H3" s="2"/>
      <c r="I3" s="2"/>
    </row>
    <row r="4" spans="1:9" s="16" customFormat="1">
      <c r="A4" s="18"/>
      <c r="B4" s="1029" t="s">
        <v>721</v>
      </c>
      <c r="C4" s="1029"/>
      <c r="D4" s="1029"/>
      <c r="E4" s="1029"/>
      <c r="F4" s="1029"/>
      <c r="G4" s="2"/>
      <c r="H4" s="2"/>
      <c r="I4" s="2"/>
    </row>
    <row r="5" spans="1:9" s="16" customFormat="1">
      <c r="A5" s="18"/>
      <c r="B5" s="1029" t="s">
        <v>1853</v>
      </c>
      <c r="C5" s="1029"/>
      <c r="D5" s="1029"/>
      <c r="E5" s="1029"/>
      <c r="F5" s="1029"/>
      <c r="G5" s="2"/>
      <c r="H5" s="2"/>
      <c r="I5" s="2"/>
    </row>
    <row r="6" spans="1:9" s="16" customFormat="1">
      <c r="A6" s="18"/>
      <c r="E6" s="441"/>
    </row>
    <row r="7" spans="1:9" s="18" customFormat="1">
      <c r="B7" s="18" t="s">
        <v>799</v>
      </c>
      <c r="C7" s="18" t="s">
        <v>797</v>
      </c>
      <c r="D7" s="18" t="s">
        <v>798</v>
      </c>
      <c r="E7" s="18" t="s">
        <v>801</v>
      </c>
      <c r="F7" s="18" t="s">
        <v>802</v>
      </c>
    </row>
    <row r="8" spans="1:9" s="16" customFormat="1">
      <c r="A8" s="442" t="s">
        <v>814</v>
      </c>
      <c r="E8" s="441"/>
    </row>
    <row r="9" spans="1:9" s="16" customFormat="1">
      <c r="A9" s="18">
        <v>1</v>
      </c>
      <c r="B9" s="16" t="s">
        <v>1300</v>
      </c>
      <c r="E9" s="443">
        <f>+'[10]Pro Forma Plant Additions (A3)'!$E$9</f>
        <v>7118539.0799999908</v>
      </c>
    </row>
    <row r="10" spans="1:9" s="16" customFormat="1">
      <c r="A10" s="18"/>
    </row>
    <row r="11" spans="1:9" s="16" customFormat="1">
      <c r="A11" s="18">
        <v>2</v>
      </c>
      <c r="B11" s="47" t="s">
        <v>2022</v>
      </c>
      <c r="C11" s="444">
        <f>E43</f>
        <v>1.1581842116175691E-2</v>
      </c>
    </row>
    <row r="12" spans="1:9" s="16" customFormat="1">
      <c r="A12" s="18">
        <v>3</v>
      </c>
      <c r="B12" s="16" t="s">
        <v>716</v>
      </c>
      <c r="E12" s="379">
        <f>+E9*C11</f>
        <v>82445.795722386451</v>
      </c>
    </row>
    <row r="13" spans="1:9" s="16" customFormat="1">
      <c r="A13" s="18"/>
    </row>
    <row r="14" spans="1:9" s="16" customFormat="1">
      <c r="A14" s="18">
        <v>4</v>
      </c>
      <c r="E14" s="445"/>
    </row>
    <row r="15" spans="1:9" s="16" customFormat="1">
      <c r="A15" s="18"/>
    </row>
    <row r="16" spans="1:9" s="16" customFormat="1">
      <c r="A16" s="18">
        <v>5</v>
      </c>
      <c r="B16" s="16" t="s">
        <v>659</v>
      </c>
      <c r="D16" s="16" t="s">
        <v>813</v>
      </c>
      <c r="E16" s="383">
        <f>+E9</f>
        <v>7118539.0799999908</v>
      </c>
      <c r="F16" s="383"/>
    </row>
    <row r="17" spans="1:7" s="16" customFormat="1">
      <c r="A17" s="18"/>
      <c r="E17" s="383"/>
      <c r="F17" s="383"/>
    </row>
    <row r="18" spans="1:7" s="16" customFormat="1">
      <c r="A18" s="18">
        <v>6</v>
      </c>
      <c r="B18" s="16" t="s">
        <v>288</v>
      </c>
      <c r="D18" s="16" t="s">
        <v>1490</v>
      </c>
      <c r="E18" s="831">
        <f>+'[10]Pro Forma Plant Additions (A3)'!$E$18</f>
        <v>740496.80555199902</v>
      </c>
      <c r="F18" s="831">
        <f>+E18</f>
        <v>740496.80555199902</v>
      </c>
    </row>
    <row r="19" spans="1:7" s="16" customFormat="1">
      <c r="A19" s="18">
        <v>7</v>
      </c>
      <c r="B19" s="16" t="s">
        <v>661</v>
      </c>
      <c r="D19" s="16" t="s">
        <v>815</v>
      </c>
      <c r="E19" s="831">
        <f>+E18/2</f>
        <v>370248.40277599951</v>
      </c>
      <c r="F19" s="383"/>
    </row>
    <row r="20" spans="1:7" s="16" customFormat="1">
      <c r="A20" s="18">
        <v>8</v>
      </c>
      <c r="B20" s="16" t="s">
        <v>662</v>
      </c>
      <c r="D20" s="16" t="s">
        <v>816</v>
      </c>
      <c r="E20" s="383">
        <f>+E16*0.0375</f>
        <v>266945.21549999964</v>
      </c>
      <c r="F20" s="383"/>
    </row>
    <row r="21" spans="1:7" s="16" customFormat="1">
      <c r="A21" s="18">
        <v>9</v>
      </c>
      <c r="B21" s="16" t="s">
        <v>103</v>
      </c>
      <c r="D21" s="16" t="s">
        <v>1302</v>
      </c>
      <c r="E21" s="831">
        <f>(+E20-E18)*0.21</f>
        <v>-99445.833910919871</v>
      </c>
      <c r="F21" s="383"/>
    </row>
    <row r="22" spans="1:7" s="16" customFormat="1">
      <c r="A22" s="18">
        <v>10</v>
      </c>
      <c r="B22" s="16" t="s">
        <v>663</v>
      </c>
      <c r="D22" s="16" t="s">
        <v>817</v>
      </c>
      <c r="E22" s="831">
        <f>+E21/2</f>
        <v>-49722.916955459936</v>
      </c>
      <c r="F22" s="383"/>
    </row>
    <row r="23" spans="1:7" s="16" customFormat="1">
      <c r="A23" s="18">
        <v>11</v>
      </c>
      <c r="B23" s="16" t="s">
        <v>664</v>
      </c>
      <c r="D23" s="16" t="s">
        <v>1301</v>
      </c>
      <c r="E23" s="383"/>
      <c r="F23" s="831">
        <f>+F18*0.21</f>
        <v>155504.3291659198</v>
      </c>
    </row>
    <row r="24" spans="1:7" s="16" customFormat="1">
      <c r="A24" s="18"/>
      <c r="E24" s="383"/>
      <c r="F24" s="383"/>
    </row>
    <row r="25" spans="1:7" s="16" customFormat="1">
      <c r="A25" s="18">
        <v>12</v>
      </c>
      <c r="B25" s="16" t="s">
        <v>665</v>
      </c>
      <c r="E25" s="831">
        <f>+E16-E22-E19</f>
        <v>6798013.5941794515</v>
      </c>
      <c r="F25" s="383"/>
    </row>
    <row r="26" spans="1:7" s="16" customFormat="1">
      <c r="A26" s="18"/>
      <c r="E26" s="383"/>
      <c r="F26" s="383"/>
    </row>
    <row r="27" spans="1:7" s="16" customFormat="1">
      <c r="A27" s="18">
        <v>13</v>
      </c>
      <c r="B27" s="16" t="s">
        <v>2440</v>
      </c>
      <c r="E27" s="816">
        <v>0</v>
      </c>
      <c r="F27" s="239"/>
      <c r="G27" s="383"/>
    </row>
    <row r="28" spans="1:7" s="16" customFormat="1">
      <c r="A28" s="18"/>
      <c r="B28" s="397" t="s">
        <v>2475</v>
      </c>
      <c r="E28" s="441"/>
      <c r="F28" s="239"/>
      <c r="G28" s="383"/>
    </row>
    <row r="29" spans="1:7" s="16" customFormat="1">
      <c r="A29" s="18"/>
      <c r="E29" s="119"/>
      <c r="F29" s="383"/>
      <c r="G29" s="383"/>
    </row>
    <row r="30" spans="1:7" s="16" customFormat="1">
      <c r="A30" s="18"/>
      <c r="B30" s="16" t="s">
        <v>2546</v>
      </c>
      <c r="E30" s="119">
        <v>11449588</v>
      </c>
      <c r="F30" s="383"/>
      <c r="G30" s="383"/>
    </row>
    <row r="31" spans="1:7" s="16" customFormat="1">
      <c r="A31" s="18"/>
      <c r="B31" s="16" t="s">
        <v>2548</v>
      </c>
      <c r="E31" s="441">
        <f>+'[10]MCP-6 - 2020 Plant Addi (Depr )'!$K$222</f>
        <v>4.3000427423046883E-2</v>
      </c>
      <c r="F31" s="383"/>
      <c r="G31" s="383"/>
    </row>
    <row r="32" spans="1:7" s="16" customFormat="1">
      <c r="A32" s="18"/>
      <c r="B32" s="16" t="s">
        <v>2549</v>
      </c>
      <c r="E32" s="904">
        <f>+E30*E31</f>
        <v>492337.1778177885</v>
      </c>
      <c r="F32" s="383"/>
      <c r="G32" s="383"/>
    </row>
    <row r="33" spans="1:7" s="16" customFormat="1">
      <c r="A33" s="18"/>
      <c r="E33" s="441"/>
      <c r="F33" s="383"/>
      <c r="G33" s="383"/>
    </row>
    <row r="34" spans="1:7" s="16" customFormat="1">
      <c r="A34" s="18"/>
      <c r="B34" s="16" t="s">
        <v>2532</v>
      </c>
      <c r="E34" s="190">
        <v>3554683</v>
      </c>
      <c r="F34" s="383"/>
      <c r="G34" s="383"/>
    </row>
    <row r="35" spans="1:7" s="16" customFormat="1">
      <c r="A35" s="18"/>
      <c r="B35" s="16" t="s">
        <v>2548</v>
      </c>
      <c r="E35" s="441">
        <f>+E31</f>
        <v>4.3000427423046883E-2</v>
      </c>
      <c r="F35" s="383"/>
      <c r="G35" s="383"/>
    </row>
    <row r="36" spans="1:7" s="16" customFormat="1">
      <c r="A36" s="18"/>
      <c r="B36" s="16" t="s">
        <v>2550</v>
      </c>
      <c r="E36" s="904">
        <f>+E34*E35</f>
        <v>152852.88835343855</v>
      </c>
      <c r="F36" s="383"/>
      <c r="G36" s="383"/>
    </row>
    <row r="37" spans="1:7" s="16" customFormat="1">
      <c r="A37" s="18"/>
      <c r="E37" s="441"/>
      <c r="F37" s="383"/>
      <c r="G37" s="383"/>
    </row>
    <row r="38" spans="1:7" s="16" customFormat="1">
      <c r="A38" s="18"/>
      <c r="E38" s="441"/>
      <c r="F38" s="383"/>
      <c r="G38" s="383"/>
    </row>
    <row r="39" spans="1:7" s="16" customFormat="1">
      <c r="A39" s="18"/>
      <c r="E39" s="441"/>
      <c r="F39" s="383"/>
      <c r="G39" s="383"/>
    </row>
    <row r="40" spans="1:7" s="16" customFormat="1">
      <c r="A40" s="18" t="s">
        <v>775</v>
      </c>
      <c r="E40" s="441"/>
      <c r="F40" s="383"/>
      <c r="G40" s="383"/>
    </row>
    <row r="41" spans="1:7" s="16" customFormat="1">
      <c r="A41" s="446" t="s">
        <v>1100</v>
      </c>
      <c r="B41" s="243" t="s">
        <v>2023</v>
      </c>
      <c r="C41" s="243"/>
      <c r="D41" s="243"/>
      <c r="E41" s="447">
        <v>241152000</v>
      </c>
      <c r="F41" s="383"/>
      <c r="G41" s="383"/>
    </row>
    <row r="42" spans="1:7" s="16" customFormat="1">
      <c r="A42" s="448"/>
      <c r="B42" s="47" t="s">
        <v>2024</v>
      </c>
      <c r="C42" s="47"/>
      <c r="D42" s="47"/>
      <c r="E42" s="449">
        <v>2792984.39</v>
      </c>
      <c r="F42" s="383"/>
      <c r="G42" s="383"/>
    </row>
    <row r="43" spans="1:7" s="16" customFormat="1">
      <c r="A43" s="450"/>
      <c r="B43" s="244" t="s">
        <v>1101</v>
      </c>
      <c r="C43" s="244"/>
      <c r="D43" s="244"/>
      <c r="E43" s="451">
        <f>E42/E41</f>
        <v>1.1581842116175691E-2</v>
      </c>
      <c r="F43" s="383"/>
      <c r="G43" s="383"/>
    </row>
    <row r="44" spans="1:7">
      <c r="E44" s="3"/>
      <c r="F44" s="142"/>
      <c r="G44" s="142"/>
    </row>
    <row r="45" spans="1:7">
      <c r="F45" s="142"/>
      <c r="G45" s="142"/>
    </row>
    <row r="46" spans="1:7">
      <c r="F46" s="142"/>
      <c r="G46" s="142"/>
    </row>
    <row r="47" spans="1:7">
      <c r="F47" s="142"/>
      <c r="G47" s="142"/>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224"/>
  <sheetViews>
    <sheetView topLeftCell="E190" zoomScale="70" zoomScaleNormal="70" workbookViewId="0">
      <selection activeCell="A2" sqref="A2:I2"/>
    </sheetView>
  </sheetViews>
  <sheetFormatPr defaultColWidth="9.140625" defaultRowHeight="15.75"/>
  <cols>
    <col min="1" max="1" width="9.140625" style="18"/>
    <col min="2" max="2" width="14.140625" style="16" bestFit="1" customWidth="1"/>
    <col min="3" max="3" width="60.140625" style="16" bestFit="1" customWidth="1"/>
    <col min="4" max="4" width="17.28515625" style="16" bestFit="1" customWidth="1"/>
    <col min="5" max="5" width="18.85546875" style="16" bestFit="1" customWidth="1"/>
    <col min="6" max="6" width="9.85546875" style="16" bestFit="1" customWidth="1"/>
    <col min="7" max="7" width="22.140625" style="16" bestFit="1" customWidth="1"/>
    <col min="8" max="8" width="18" style="16" bestFit="1" customWidth="1"/>
    <col min="9" max="9" width="12.28515625" style="16" bestFit="1" customWidth="1"/>
    <col min="10" max="10" width="16" style="356" bestFit="1" customWidth="1"/>
    <col min="11" max="11" width="14.5703125" style="16" bestFit="1" customWidth="1"/>
    <col min="12" max="12" width="9.140625" style="16"/>
    <col min="13" max="13" width="16.42578125" style="16" bestFit="1" customWidth="1"/>
    <col min="14" max="14" width="15" style="16" bestFit="1" customWidth="1"/>
    <col min="15" max="16" width="9.140625" style="16"/>
    <col min="17" max="17" width="12.42578125" style="16" bestFit="1" customWidth="1"/>
    <col min="18" max="16384" width="9.140625" style="16"/>
  </cols>
  <sheetData>
    <row r="1" spans="1:11">
      <c r="C1" s="1090" t="s">
        <v>781</v>
      </c>
      <c r="D1" s="1090"/>
      <c r="E1" s="1090"/>
      <c r="F1" s="1090"/>
      <c r="G1" s="1090"/>
      <c r="H1" s="1090"/>
      <c r="I1" s="1090"/>
    </row>
    <row r="2" spans="1:11">
      <c r="C2" s="1090" t="s">
        <v>1820</v>
      </c>
      <c r="D2" s="1090"/>
      <c r="E2" s="1090"/>
      <c r="F2" s="1090"/>
      <c r="G2" s="1090"/>
      <c r="H2" s="1090"/>
      <c r="I2" s="1090"/>
    </row>
    <row r="3" spans="1:11">
      <c r="C3" s="1090" t="s">
        <v>1976</v>
      </c>
      <c r="D3" s="1090"/>
      <c r="E3" s="1090"/>
      <c r="F3" s="1090"/>
      <c r="G3" s="1090"/>
      <c r="H3" s="1090"/>
      <c r="I3" s="1090"/>
    </row>
    <row r="4" spans="1:11">
      <c r="C4" s="1091"/>
      <c r="D4" s="1091"/>
      <c r="E4" s="1091"/>
      <c r="F4" s="1091"/>
      <c r="G4" s="1091"/>
      <c r="H4" s="1091"/>
      <c r="I4" s="1091"/>
    </row>
    <row r="6" spans="1:11" s="18" customFormat="1">
      <c r="B6" s="18" t="s">
        <v>1825</v>
      </c>
      <c r="C6" s="18" t="s">
        <v>1826</v>
      </c>
      <c r="D6" s="18" t="s">
        <v>1827</v>
      </c>
      <c r="E6" s="18" t="s">
        <v>1828</v>
      </c>
      <c r="F6" s="624" t="s">
        <v>1829</v>
      </c>
      <c r="G6" s="18" t="s">
        <v>1830</v>
      </c>
      <c r="H6" s="18" t="s">
        <v>1831</v>
      </c>
      <c r="I6" s="18" t="s">
        <v>1832</v>
      </c>
      <c r="J6" s="784" t="s">
        <v>1833</v>
      </c>
    </row>
    <row r="7" spans="1:11" ht="146.25" customHeight="1">
      <c r="A7" s="355" t="s">
        <v>660</v>
      </c>
      <c r="B7" s="785" t="s">
        <v>1821</v>
      </c>
      <c r="C7" s="785" t="s">
        <v>1822</v>
      </c>
      <c r="D7" s="129" t="s">
        <v>1823</v>
      </c>
      <c r="E7" s="728" t="s">
        <v>2441</v>
      </c>
      <c r="F7" s="785" t="s">
        <v>759</v>
      </c>
      <c r="G7" s="785" t="s">
        <v>1824</v>
      </c>
      <c r="H7" s="785" t="s">
        <v>760</v>
      </c>
      <c r="I7" s="785" t="s">
        <v>761</v>
      </c>
      <c r="J7" s="786" t="s">
        <v>1456</v>
      </c>
    </row>
    <row r="8" spans="1:11">
      <c r="A8" s="18">
        <v>1</v>
      </c>
      <c r="B8" s="132" t="s">
        <v>762</v>
      </c>
      <c r="C8" s="132" t="s">
        <v>1978</v>
      </c>
      <c r="D8" s="130">
        <v>303</v>
      </c>
      <c r="E8" s="134">
        <f>205921.33</f>
        <v>205921.33</v>
      </c>
      <c r="F8" s="357"/>
      <c r="G8" s="131">
        <f>+E8</f>
        <v>205921.33</v>
      </c>
      <c r="H8" s="131"/>
      <c r="I8" s="292"/>
      <c r="J8" s="358">
        <v>44196</v>
      </c>
      <c r="K8" s="241"/>
    </row>
    <row r="9" spans="1:11">
      <c r="A9" s="18">
        <v>2</v>
      </c>
      <c r="B9" s="132" t="s">
        <v>762</v>
      </c>
      <c r="C9" s="132" t="s">
        <v>2289</v>
      </c>
      <c r="D9" s="130">
        <v>303</v>
      </c>
      <c r="E9" s="134">
        <v>87032.79</v>
      </c>
      <c r="F9" s="357">
        <f>+'State Allocation Formulas'!C21</f>
        <v>0.75170000000000003</v>
      </c>
      <c r="G9" s="131">
        <f>+E9*F9</f>
        <v>65422.548242999997</v>
      </c>
      <c r="H9" s="131"/>
      <c r="I9" s="292"/>
      <c r="J9" s="358">
        <v>44166</v>
      </c>
      <c r="K9" s="241"/>
    </row>
    <row r="10" spans="1:11">
      <c r="A10" s="18">
        <v>3</v>
      </c>
      <c r="B10" s="132" t="s">
        <v>762</v>
      </c>
      <c r="C10" s="132" t="s">
        <v>1979</v>
      </c>
      <c r="D10" s="130">
        <v>303</v>
      </c>
      <c r="E10" s="134">
        <v>5648475</v>
      </c>
      <c r="F10" s="357"/>
      <c r="G10" s="131">
        <f>+E10</f>
        <v>5648475</v>
      </c>
      <c r="H10" s="131">
        <f>+G10</f>
        <v>5648475</v>
      </c>
      <c r="I10" s="292">
        <v>2</v>
      </c>
      <c r="J10" s="356">
        <v>44074</v>
      </c>
    </row>
    <row r="11" spans="1:11">
      <c r="A11" s="18">
        <v>4</v>
      </c>
      <c r="B11" s="132" t="s">
        <v>762</v>
      </c>
      <c r="C11" s="132" t="s">
        <v>1980</v>
      </c>
      <c r="D11" s="130">
        <v>303</v>
      </c>
      <c r="E11" s="134">
        <f>42365.2+8565.23</f>
        <v>50930.429999999993</v>
      </c>
      <c r="F11" s="357">
        <f>+'State Allocation Formulas'!$C$21</f>
        <v>0.75170000000000003</v>
      </c>
      <c r="G11" s="131">
        <f>+E11*F11</f>
        <v>38284.404230999993</v>
      </c>
      <c r="H11" s="131"/>
      <c r="I11" s="292"/>
      <c r="J11" s="356">
        <v>44196</v>
      </c>
    </row>
    <row r="12" spans="1:11">
      <c r="A12" s="18">
        <v>5</v>
      </c>
      <c r="B12" s="132" t="s">
        <v>762</v>
      </c>
      <c r="C12" s="132" t="s">
        <v>1981</v>
      </c>
      <c r="D12" s="130">
        <v>303</v>
      </c>
      <c r="E12" s="134">
        <v>746233</v>
      </c>
      <c r="F12" s="357"/>
      <c r="G12" s="131">
        <f>+E12</f>
        <v>746233</v>
      </c>
      <c r="H12" s="131">
        <f>+G12</f>
        <v>746233</v>
      </c>
      <c r="I12" s="292">
        <v>4</v>
      </c>
      <c r="J12" s="356">
        <v>44155</v>
      </c>
    </row>
    <row r="13" spans="1:11">
      <c r="A13" s="18">
        <v>6</v>
      </c>
      <c r="B13" s="132" t="s">
        <v>762</v>
      </c>
      <c r="C13" s="132" t="s">
        <v>1982</v>
      </c>
      <c r="D13" s="130">
        <v>303</v>
      </c>
      <c r="E13" s="134">
        <f>93793.04+253064.68</f>
        <v>346857.72</v>
      </c>
      <c r="F13" s="357">
        <f>+'State Allocation Formulas'!$C$21</f>
        <v>0.75170000000000003</v>
      </c>
      <c r="G13" s="131">
        <f>+E13*F13</f>
        <v>260732.94812399999</v>
      </c>
      <c r="H13" s="131"/>
      <c r="I13" s="292"/>
      <c r="J13" s="356">
        <v>44926</v>
      </c>
    </row>
    <row r="14" spans="1:11">
      <c r="A14" s="18">
        <v>7</v>
      </c>
      <c r="B14" s="132" t="s">
        <v>762</v>
      </c>
      <c r="C14" s="132" t="s">
        <v>1983</v>
      </c>
      <c r="D14" s="130">
        <v>303</v>
      </c>
      <c r="E14" s="134">
        <v>35994.870000000003</v>
      </c>
      <c r="F14" s="357">
        <f>+'State Allocation Formulas'!$C$21</f>
        <v>0.75170000000000003</v>
      </c>
      <c r="G14" s="131">
        <f>+E14*F14</f>
        <v>27057.343779000003</v>
      </c>
      <c r="H14" s="131"/>
      <c r="I14" s="292"/>
      <c r="J14" s="356">
        <v>43876</v>
      </c>
    </row>
    <row r="15" spans="1:11">
      <c r="A15" s="18">
        <v>8</v>
      </c>
      <c r="B15" s="132" t="s">
        <v>762</v>
      </c>
      <c r="C15" s="132" t="s">
        <v>2291</v>
      </c>
      <c r="D15" s="130">
        <v>303</v>
      </c>
      <c r="E15" s="134">
        <v>158747.54</v>
      </c>
      <c r="F15" s="357">
        <f>+'State Allocation Formulas'!C21</f>
        <v>0.75170000000000003</v>
      </c>
      <c r="G15" s="131">
        <f>+E15*F15</f>
        <v>119330.52581800001</v>
      </c>
      <c r="H15" s="131"/>
      <c r="I15" s="292"/>
      <c r="J15" s="356">
        <v>44012</v>
      </c>
    </row>
    <row r="16" spans="1:11">
      <c r="A16" s="18">
        <v>9</v>
      </c>
      <c r="B16" s="132" t="s">
        <v>762</v>
      </c>
      <c r="C16" s="132" t="s">
        <v>1984</v>
      </c>
      <c r="D16" s="130">
        <v>303</v>
      </c>
      <c r="E16" s="134">
        <v>670450.44000000006</v>
      </c>
      <c r="F16" s="357">
        <f>+'State Allocation Formulas'!$C$21</f>
        <v>0.75170000000000003</v>
      </c>
      <c r="G16" s="131">
        <f>+E16*F16</f>
        <v>503977.59574800008</v>
      </c>
      <c r="H16" s="131"/>
      <c r="I16" s="292"/>
      <c r="J16" s="356">
        <v>43496</v>
      </c>
    </row>
    <row r="17" spans="1:14">
      <c r="A17" s="18">
        <v>10</v>
      </c>
      <c r="B17" s="132" t="s">
        <v>762</v>
      </c>
      <c r="C17" s="132" t="s">
        <v>1985</v>
      </c>
      <c r="D17" s="130">
        <v>303</v>
      </c>
      <c r="E17" s="134">
        <v>21082.9</v>
      </c>
      <c r="F17" s="357"/>
      <c r="G17" s="131">
        <f>+E17</f>
        <v>21082.9</v>
      </c>
      <c r="H17" s="131"/>
      <c r="I17" s="292"/>
      <c r="J17" s="356">
        <v>44073</v>
      </c>
    </row>
    <row r="18" spans="1:14">
      <c r="A18" s="18">
        <v>11</v>
      </c>
      <c r="B18" s="132" t="s">
        <v>762</v>
      </c>
      <c r="C18" s="132" t="s">
        <v>2290</v>
      </c>
      <c r="D18" s="130">
        <v>303</v>
      </c>
      <c r="E18" s="134">
        <v>155972.76</v>
      </c>
      <c r="F18" s="357">
        <f>+'State Allocation Formulas'!C21</f>
        <v>0.75170000000000003</v>
      </c>
      <c r="G18" s="131">
        <f>+E18*F18</f>
        <v>117244.72369200001</v>
      </c>
      <c r="H18" s="131"/>
      <c r="I18" s="292"/>
      <c r="J18" s="356">
        <v>44196</v>
      </c>
    </row>
    <row r="19" spans="1:14">
      <c r="A19" s="18">
        <v>12</v>
      </c>
      <c r="B19" s="132" t="s">
        <v>762</v>
      </c>
      <c r="C19" s="132" t="s">
        <v>1986</v>
      </c>
      <c r="D19" s="130">
        <v>303</v>
      </c>
      <c r="E19" s="134">
        <v>-450.01</v>
      </c>
      <c r="F19" s="357"/>
      <c r="G19" s="131">
        <f>+E19</f>
        <v>-450.01</v>
      </c>
      <c r="H19" s="131"/>
      <c r="I19" s="292"/>
      <c r="J19" s="356">
        <v>43951</v>
      </c>
    </row>
    <row r="20" spans="1:14">
      <c r="A20" s="18">
        <v>13</v>
      </c>
      <c r="B20" s="132" t="s">
        <v>762</v>
      </c>
      <c r="C20" s="132" t="s">
        <v>1987</v>
      </c>
      <c r="D20" s="130">
        <v>303</v>
      </c>
      <c r="E20" s="134">
        <f>64704.93+4518.12</f>
        <v>69223.05</v>
      </c>
      <c r="F20" s="357">
        <f>+'State Allocation Formulas'!$C$21</f>
        <v>0.75170000000000003</v>
      </c>
      <c r="G20" s="131">
        <f>+E20*F20</f>
        <v>52034.966685000007</v>
      </c>
      <c r="H20" s="131"/>
      <c r="I20" s="292"/>
      <c r="J20" s="356">
        <v>45291</v>
      </c>
    </row>
    <row r="21" spans="1:14">
      <c r="A21" s="18">
        <v>14</v>
      </c>
      <c r="B21" s="132" t="s">
        <v>762</v>
      </c>
      <c r="C21" s="132" t="s">
        <v>1988</v>
      </c>
      <c r="D21" s="130">
        <v>303</v>
      </c>
      <c r="E21" s="134">
        <v>15422.61</v>
      </c>
      <c r="F21" s="357"/>
      <c r="G21" s="131">
        <f>+E21</f>
        <v>15422.61</v>
      </c>
      <c r="H21" s="131"/>
      <c r="I21" s="292"/>
      <c r="J21" s="356">
        <v>43951</v>
      </c>
    </row>
    <row r="22" spans="1:14">
      <c r="A22" s="18">
        <v>15</v>
      </c>
      <c r="B22" s="132" t="s">
        <v>762</v>
      </c>
      <c r="C22" s="132" t="s">
        <v>2292</v>
      </c>
      <c r="D22" s="130">
        <v>303</v>
      </c>
      <c r="E22" s="134">
        <v>63738.720000000001</v>
      </c>
      <c r="F22" s="357">
        <f>+'State Allocation Formulas'!C21</f>
        <v>0.75170000000000003</v>
      </c>
      <c r="G22" s="131">
        <f>+E22*F22</f>
        <v>47912.395824000007</v>
      </c>
      <c r="H22" s="131"/>
      <c r="I22" s="292"/>
      <c r="J22" s="356">
        <v>44104</v>
      </c>
    </row>
    <row r="23" spans="1:14">
      <c r="A23" s="18">
        <v>16</v>
      </c>
      <c r="B23" s="132" t="s">
        <v>762</v>
      </c>
      <c r="C23" s="132" t="s">
        <v>1989</v>
      </c>
      <c r="D23" s="130">
        <v>303</v>
      </c>
      <c r="E23" s="134">
        <v>882417.45</v>
      </c>
      <c r="F23" s="357"/>
      <c r="G23" s="131">
        <f>+E23</f>
        <v>882417.45</v>
      </c>
      <c r="H23" s="131">
        <f>+G23</f>
        <v>882417.45</v>
      </c>
      <c r="I23" s="292">
        <v>11</v>
      </c>
      <c r="J23" s="356">
        <v>44012</v>
      </c>
    </row>
    <row r="24" spans="1:14">
      <c r="A24" s="18">
        <v>17</v>
      </c>
      <c r="B24" s="132" t="s">
        <v>762</v>
      </c>
      <c r="C24" s="132" t="s">
        <v>1990</v>
      </c>
      <c r="D24" s="130">
        <v>303</v>
      </c>
      <c r="E24" s="134">
        <v>8476.31</v>
      </c>
      <c r="F24" s="357">
        <f>+'State Allocation Formulas'!$C$21</f>
        <v>0.75170000000000003</v>
      </c>
      <c r="G24" s="131">
        <f>+E24*F24</f>
        <v>6371.6422270000003</v>
      </c>
      <c r="H24" s="131"/>
      <c r="I24" s="292"/>
      <c r="J24" s="356">
        <v>43842</v>
      </c>
    </row>
    <row r="25" spans="1:14">
      <c r="A25" s="18">
        <v>18</v>
      </c>
      <c r="B25" s="132" t="s">
        <v>762</v>
      </c>
      <c r="C25" s="132" t="s">
        <v>1991</v>
      </c>
      <c r="D25" s="130">
        <v>303</v>
      </c>
      <c r="E25" s="134">
        <v>858122</v>
      </c>
      <c r="F25" s="357"/>
      <c r="G25" s="131">
        <f>+E25</f>
        <v>858122</v>
      </c>
      <c r="H25" s="131">
        <f>+G25</f>
        <v>858122</v>
      </c>
      <c r="I25" s="292">
        <v>21</v>
      </c>
      <c r="J25" s="356">
        <v>44165</v>
      </c>
      <c r="N25" s="250"/>
    </row>
    <row r="26" spans="1:14">
      <c r="A26" s="18">
        <v>19</v>
      </c>
      <c r="B26" s="132" t="s">
        <v>762</v>
      </c>
      <c r="C26" s="132" t="s">
        <v>1992</v>
      </c>
      <c r="D26" s="130">
        <v>303</v>
      </c>
      <c r="E26" s="134">
        <f>131375.72+5492.14</f>
        <v>136867.86000000002</v>
      </c>
      <c r="F26" s="357"/>
      <c r="G26" s="131">
        <f>+E26</f>
        <v>136867.86000000002</v>
      </c>
      <c r="H26" s="131"/>
      <c r="I26" s="292"/>
      <c r="J26" s="356">
        <v>43982</v>
      </c>
    </row>
    <row r="27" spans="1:14">
      <c r="A27" s="18">
        <v>20</v>
      </c>
      <c r="B27" s="132" t="s">
        <v>762</v>
      </c>
      <c r="C27" s="132" t="s">
        <v>2293</v>
      </c>
      <c r="D27" s="130">
        <v>303</v>
      </c>
      <c r="E27" s="134">
        <v>26509.599999999999</v>
      </c>
      <c r="F27" s="357">
        <f>+'State Allocation Formulas'!C21</f>
        <v>0.75170000000000003</v>
      </c>
      <c r="G27" s="131">
        <f>+E27*F27</f>
        <v>19927.266319999999</v>
      </c>
      <c r="H27" s="131"/>
      <c r="I27" s="292"/>
      <c r="J27" s="356">
        <v>43952</v>
      </c>
    </row>
    <row r="28" spans="1:14">
      <c r="A28" s="18">
        <v>21</v>
      </c>
      <c r="B28" s="132" t="s">
        <v>762</v>
      </c>
      <c r="C28" s="132" t="s">
        <v>2294</v>
      </c>
      <c r="D28" s="130">
        <v>303</v>
      </c>
      <c r="E28" s="134">
        <v>27529.200000000001</v>
      </c>
      <c r="F28" s="357">
        <f>+'State Allocation Formulas'!C21</f>
        <v>0.75170000000000003</v>
      </c>
      <c r="G28" s="131">
        <f>+E28*F28</f>
        <v>20693.699640000003</v>
      </c>
      <c r="H28" s="131"/>
      <c r="I28" s="292"/>
      <c r="J28" s="356">
        <v>44119</v>
      </c>
    </row>
    <row r="29" spans="1:14">
      <c r="A29" s="18">
        <v>22</v>
      </c>
      <c r="B29" s="132" t="s">
        <v>762</v>
      </c>
      <c r="C29" s="132" t="s">
        <v>1993</v>
      </c>
      <c r="D29" s="130">
        <v>303</v>
      </c>
      <c r="E29" s="134">
        <v>4731395</v>
      </c>
      <c r="F29" s="357"/>
      <c r="G29" s="131">
        <f>+E29</f>
        <v>4731395</v>
      </c>
      <c r="H29" s="131">
        <f>+G29</f>
        <v>4731395</v>
      </c>
      <c r="I29" s="292">
        <v>23</v>
      </c>
      <c r="J29" s="356">
        <v>44165</v>
      </c>
      <c r="N29" s="250"/>
    </row>
    <row r="30" spans="1:14">
      <c r="A30" s="18">
        <v>23</v>
      </c>
      <c r="B30" s="359"/>
      <c r="C30" s="360" t="s">
        <v>763</v>
      </c>
      <c r="D30" s="135"/>
      <c r="E30" s="361">
        <f>SUM(E8:E29)</f>
        <v>14946950.569999998</v>
      </c>
      <c r="F30" s="359"/>
      <c r="G30" s="362">
        <f>SUM(G8:G29)</f>
        <v>14524477.200330999</v>
      </c>
      <c r="H30" s="362">
        <f>SUM(H8:H29)</f>
        <v>12866642.449999999</v>
      </c>
      <c r="I30" s="363"/>
      <c r="J30" s="778"/>
    </row>
    <row r="31" spans="1:14">
      <c r="A31" s="18">
        <v>24</v>
      </c>
      <c r="B31" s="359" t="s">
        <v>784</v>
      </c>
      <c r="C31" s="359"/>
      <c r="D31" s="133"/>
      <c r="E31" s="134"/>
      <c r="F31" s="359"/>
      <c r="G31" s="364"/>
      <c r="H31" s="359"/>
      <c r="I31" s="363"/>
      <c r="J31" s="779"/>
    </row>
    <row r="32" spans="1:14">
      <c r="A32" s="18">
        <v>25</v>
      </c>
      <c r="B32" s="132" t="s">
        <v>764</v>
      </c>
      <c r="C32" s="359" t="s">
        <v>2426</v>
      </c>
      <c r="D32" s="133">
        <v>396.2</v>
      </c>
      <c r="E32" s="134">
        <v>481087.24</v>
      </c>
      <c r="F32" s="787">
        <f>+'State Allocation Formulas'!C21</f>
        <v>0.75170000000000003</v>
      </c>
      <c r="G32" s="364">
        <f>+E32*F32</f>
        <v>361633.27830800001</v>
      </c>
      <c r="H32" s="359"/>
      <c r="I32" s="363"/>
      <c r="J32" s="779">
        <v>44196</v>
      </c>
    </row>
    <row r="33" spans="1:10">
      <c r="A33" s="18">
        <v>26</v>
      </c>
      <c r="B33" s="132" t="s">
        <v>764</v>
      </c>
      <c r="C33" s="359" t="s">
        <v>2427</v>
      </c>
      <c r="D33" s="133">
        <v>397.2</v>
      </c>
      <c r="E33" s="134">
        <v>290586.03999999998</v>
      </c>
      <c r="F33" s="787">
        <f>+'State Allocation Formulas'!C21</f>
        <v>0.75170000000000003</v>
      </c>
      <c r="G33" s="364">
        <f>+E33*F33</f>
        <v>218433.52626799999</v>
      </c>
      <c r="H33" s="359"/>
      <c r="I33" s="363"/>
      <c r="J33" s="779">
        <v>44196</v>
      </c>
    </row>
    <row r="34" spans="1:10">
      <c r="A34" s="18">
        <v>27</v>
      </c>
      <c r="B34" s="132" t="s">
        <v>764</v>
      </c>
      <c r="C34" s="132" t="s">
        <v>2384</v>
      </c>
      <c r="D34" s="130">
        <v>376.2</v>
      </c>
      <c r="E34" s="134">
        <v>36096.400000000001</v>
      </c>
      <c r="F34" s="132"/>
      <c r="G34" s="131">
        <f t="shared" ref="G34:G50" si="0">+E34</f>
        <v>36096.400000000001</v>
      </c>
      <c r="H34" s="131"/>
      <c r="I34" s="292"/>
      <c r="J34" s="604">
        <v>43946</v>
      </c>
    </row>
    <row r="35" spans="1:10">
      <c r="A35" s="18">
        <v>28</v>
      </c>
      <c r="B35" s="132" t="s">
        <v>764</v>
      </c>
      <c r="C35" s="132" t="s">
        <v>765</v>
      </c>
      <c r="D35" s="130">
        <v>376</v>
      </c>
      <c r="E35" s="134">
        <v>55032.54</v>
      </c>
      <c r="F35" s="132"/>
      <c r="G35" s="131">
        <f t="shared" si="0"/>
        <v>55032.54</v>
      </c>
      <c r="H35" s="131"/>
      <c r="I35" s="292"/>
      <c r="J35" s="604">
        <v>44075</v>
      </c>
    </row>
    <row r="36" spans="1:10">
      <c r="A36" s="18">
        <v>29</v>
      </c>
      <c r="B36" s="132" t="s">
        <v>764</v>
      </c>
      <c r="C36" s="132" t="s">
        <v>2385</v>
      </c>
      <c r="D36" s="130">
        <v>378</v>
      </c>
      <c r="E36" s="134">
        <v>611717</v>
      </c>
      <c r="F36" s="132"/>
      <c r="G36" s="131">
        <f>+E36</f>
        <v>611717</v>
      </c>
      <c r="H36" s="131">
        <f>+G36</f>
        <v>611717</v>
      </c>
      <c r="I36" s="292">
        <v>27</v>
      </c>
      <c r="J36" s="604">
        <v>44196</v>
      </c>
    </row>
    <row r="37" spans="1:10">
      <c r="A37" s="18">
        <v>30</v>
      </c>
      <c r="B37" s="132" t="s">
        <v>764</v>
      </c>
      <c r="C37" s="132" t="s">
        <v>766</v>
      </c>
      <c r="D37" s="130">
        <v>378</v>
      </c>
      <c r="E37" s="134">
        <f>95413.54+555120</f>
        <v>650533.54</v>
      </c>
      <c r="F37" s="132"/>
      <c r="G37" s="131">
        <f t="shared" si="0"/>
        <v>650533.54</v>
      </c>
      <c r="H37" s="131"/>
      <c r="I37" s="292"/>
      <c r="J37" s="604">
        <v>44119</v>
      </c>
    </row>
    <row r="38" spans="1:10">
      <c r="A38" s="18">
        <v>31</v>
      </c>
      <c r="B38" s="132" t="s">
        <v>764</v>
      </c>
      <c r="C38" s="132" t="s">
        <v>767</v>
      </c>
      <c r="D38" s="130">
        <v>380</v>
      </c>
      <c r="E38" s="134">
        <v>62.76</v>
      </c>
      <c r="F38" s="132"/>
      <c r="G38" s="131">
        <f t="shared" si="0"/>
        <v>62.76</v>
      </c>
      <c r="H38" s="131"/>
      <c r="I38" s="292"/>
      <c r="J38" s="604">
        <v>44136</v>
      </c>
    </row>
    <row r="39" spans="1:10">
      <c r="A39" s="18">
        <v>32</v>
      </c>
      <c r="B39" s="132" t="s">
        <v>764</v>
      </c>
      <c r="C39" s="132" t="s">
        <v>768</v>
      </c>
      <c r="D39" s="133">
        <v>385</v>
      </c>
      <c r="E39" s="134">
        <v>40010.83</v>
      </c>
      <c r="F39" s="132"/>
      <c r="G39" s="543">
        <f t="shared" si="0"/>
        <v>40010.83</v>
      </c>
      <c r="H39" s="543"/>
      <c r="I39" s="292"/>
      <c r="J39" s="604">
        <v>44181</v>
      </c>
    </row>
    <row r="40" spans="1:10">
      <c r="A40" s="18">
        <v>33</v>
      </c>
      <c r="B40" s="132" t="s">
        <v>764</v>
      </c>
      <c r="C40" s="132" t="s">
        <v>769</v>
      </c>
      <c r="D40" s="130">
        <v>385</v>
      </c>
      <c r="E40" s="134">
        <v>21467.7</v>
      </c>
      <c r="F40" s="132"/>
      <c r="G40" s="131">
        <f t="shared" si="0"/>
        <v>21467.7</v>
      </c>
      <c r="H40" s="131"/>
      <c r="I40" s="292"/>
      <c r="J40" s="604">
        <v>43981</v>
      </c>
    </row>
    <row r="41" spans="1:10">
      <c r="A41" s="18">
        <v>34</v>
      </c>
      <c r="B41" s="132" t="s">
        <v>764</v>
      </c>
      <c r="C41" s="132" t="s">
        <v>2428</v>
      </c>
      <c r="D41" s="789">
        <v>381</v>
      </c>
      <c r="E41" s="790">
        <v>3919185.28</v>
      </c>
      <c r="F41" s="357">
        <f>+'State Allocation Formulas'!C21</f>
        <v>0.75170000000000003</v>
      </c>
      <c r="G41" s="131">
        <f>+E41*F41</f>
        <v>2946051.574976</v>
      </c>
      <c r="H41" s="131">
        <f>+G41</f>
        <v>2946051.574976</v>
      </c>
      <c r="I41" s="292">
        <v>28</v>
      </c>
      <c r="J41" s="604">
        <v>44196</v>
      </c>
    </row>
    <row r="42" spans="1:10">
      <c r="A42" s="18">
        <v>35</v>
      </c>
      <c r="B42" s="132" t="s">
        <v>764</v>
      </c>
      <c r="C42" s="132" t="s">
        <v>2429</v>
      </c>
      <c r="D42" s="789">
        <v>392.2</v>
      </c>
      <c r="E42" s="790">
        <v>2180374.04</v>
      </c>
      <c r="F42" s="357">
        <f>+'State Allocation Formulas'!C21</f>
        <v>0.75170000000000003</v>
      </c>
      <c r="G42" s="131">
        <f t="shared" ref="G42:G43" si="1">+E42*F42</f>
        <v>1638987.1658680001</v>
      </c>
      <c r="H42" s="131"/>
      <c r="I42" s="292"/>
      <c r="J42" s="604">
        <v>44196</v>
      </c>
    </row>
    <row r="43" spans="1:10">
      <c r="A43" s="18">
        <v>36</v>
      </c>
      <c r="B43" s="132" t="s">
        <v>764</v>
      </c>
      <c r="C43" s="132" t="s">
        <v>2430</v>
      </c>
      <c r="D43" s="789">
        <v>383</v>
      </c>
      <c r="E43" s="790">
        <v>1320143.48</v>
      </c>
      <c r="F43" s="357">
        <f>+'State Allocation Formulas'!C21</f>
        <v>0.75170000000000003</v>
      </c>
      <c r="G43" s="131">
        <f t="shared" si="1"/>
        <v>992351.85391599999</v>
      </c>
      <c r="H43" s="131"/>
      <c r="I43" s="292"/>
      <c r="J43" s="604">
        <v>44196</v>
      </c>
    </row>
    <row r="44" spans="1:10">
      <c r="A44" s="18">
        <v>37</v>
      </c>
      <c r="B44" s="132" t="s">
        <v>764</v>
      </c>
      <c r="C44" s="132" t="s">
        <v>770</v>
      </c>
      <c r="D44" s="130">
        <v>380</v>
      </c>
      <c r="E44" s="134">
        <v>31924.36</v>
      </c>
      <c r="F44" s="132"/>
      <c r="G44" s="131">
        <f t="shared" si="0"/>
        <v>31924.36</v>
      </c>
      <c r="H44" s="131"/>
      <c r="I44" s="292"/>
      <c r="J44" s="604">
        <v>44136</v>
      </c>
    </row>
    <row r="45" spans="1:10">
      <c r="A45" s="18">
        <v>38</v>
      </c>
      <c r="B45" s="132" t="s">
        <v>764</v>
      </c>
      <c r="C45" s="132" t="s">
        <v>2633</v>
      </c>
      <c r="D45" s="130">
        <v>375.1</v>
      </c>
      <c r="E45" s="134">
        <v>124289.24</v>
      </c>
      <c r="F45" s="132"/>
      <c r="G45" s="131">
        <f t="shared" si="0"/>
        <v>124289.24</v>
      </c>
      <c r="H45" s="131"/>
      <c r="I45" s="292"/>
      <c r="J45" s="604">
        <v>44196</v>
      </c>
    </row>
    <row r="46" spans="1:10">
      <c r="A46" s="18">
        <v>39</v>
      </c>
      <c r="B46" s="132" t="s">
        <v>764</v>
      </c>
      <c r="C46" s="132" t="s">
        <v>2634</v>
      </c>
      <c r="D46" s="130">
        <v>394.1</v>
      </c>
      <c r="E46" s="134">
        <v>4282.32</v>
      </c>
      <c r="F46" s="132"/>
      <c r="G46" s="131">
        <f t="shared" si="0"/>
        <v>4282.32</v>
      </c>
      <c r="H46" s="131"/>
      <c r="I46" s="292"/>
      <c r="J46" s="604">
        <v>44196</v>
      </c>
    </row>
    <row r="47" spans="1:10">
      <c r="A47" s="18">
        <v>40</v>
      </c>
      <c r="B47" s="132" t="s">
        <v>764</v>
      </c>
      <c r="C47" s="132" t="s">
        <v>2004</v>
      </c>
      <c r="D47" s="130">
        <v>367.1</v>
      </c>
      <c r="E47" s="134">
        <v>7616.94</v>
      </c>
      <c r="F47" s="132"/>
      <c r="G47" s="131">
        <f t="shared" si="0"/>
        <v>7616.94</v>
      </c>
      <c r="H47" s="132"/>
      <c r="I47" s="292"/>
      <c r="J47" s="604">
        <v>44196</v>
      </c>
    </row>
    <row r="48" spans="1:10">
      <c r="A48" s="18">
        <v>41</v>
      </c>
      <c r="B48" s="132" t="s">
        <v>764</v>
      </c>
      <c r="C48" s="132" t="s">
        <v>2431</v>
      </c>
      <c r="D48" s="130">
        <v>391.3</v>
      </c>
      <c r="E48" s="134">
        <v>54854.48</v>
      </c>
      <c r="F48" s="357">
        <f>+'State Allocation Formulas'!C21</f>
        <v>0.75170000000000003</v>
      </c>
      <c r="G48" s="131">
        <f>+E48*F48</f>
        <v>41234.112616000006</v>
      </c>
      <c r="H48" s="132"/>
      <c r="I48" s="292"/>
      <c r="J48" s="604">
        <v>44196</v>
      </c>
    </row>
    <row r="49" spans="1:14">
      <c r="A49" s="18">
        <v>42</v>
      </c>
      <c r="B49" s="132" t="s">
        <v>764</v>
      </c>
      <c r="C49" s="132" t="s">
        <v>1287</v>
      </c>
      <c r="D49" s="130">
        <v>376.2</v>
      </c>
      <c r="E49" s="134">
        <v>2757265.26</v>
      </c>
      <c r="F49" s="132"/>
      <c r="G49" s="131">
        <f t="shared" si="0"/>
        <v>2757265.26</v>
      </c>
      <c r="H49" s="131">
        <f>+G49</f>
        <v>2757265.26</v>
      </c>
      <c r="I49" s="292">
        <v>1</v>
      </c>
      <c r="J49" s="604">
        <v>44012</v>
      </c>
    </row>
    <row r="50" spans="1:14">
      <c r="A50" s="18">
        <v>43</v>
      </c>
      <c r="B50" s="132" t="s">
        <v>764</v>
      </c>
      <c r="C50" s="132" t="s">
        <v>771</v>
      </c>
      <c r="D50" s="130">
        <v>376.1</v>
      </c>
      <c r="E50" s="134">
        <f>37762.19+709879.16</f>
        <v>747641.35000000009</v>
      </c>
      <c r="F50" s="132"/>
      <c r="G50" s="131">
        <f t="shared" si="0"/>
        <v>747641.35000000009</v>
      </c>
      <c r="H50" s="131"/>
      <c r="I50" s="292"/>
      <c r="J50" s="604">
        <v>43891</v>
      </c>
    </row>
    <row r="51" spans="1:14">
      <c r="A51" s="18">
        <v>45</v>
      </c>
      <c r="B51" s="132" t="s">
        <v>764</v>
      </c>
      <c r="C51" s="132" t="s">
        <v>2318</v>
      </c>
      <c r="D51" s="130">
        <v>381</v>
      </c>
      <c r="E51" s="134">
        <v>363466.8</v>
      </c>
      <c r="F51" s="357">
        <f>+'State Allocation Formulas'!C21</f>
        <v>0.75170000000000003</v>
      </c>
      <c r="G51" s="131">
        <f>+E51*F51</f>
        <v>273217.99356000003</v>
      </c>
      <c r="H51" s="131"/>
      <c r="I51" s="292"/>
      <c r="J51" s="356">
        <v>44196</v>
      </c>
    </row>
    <row r="52" spans="1:14">
      <c r="A52" s="18">
        <v>46</v>
      </c>
      <c r="B52" s="132" t="s">
        <v>764</v>
      </c>
      <c r="C52" s="132" t="s">
        <v>2381</v>
      </c>
      <c r="D52" s="130">
        <v>376.2</v>
      </c>
      <c r="E52" s="134">
        <v>3360413</v>
      </c>
      <c r="F52" s="132"/>
      <c r="G52" s="131">
        <f t="shared" ref="G52:G72" si="2">+E52</f>
        <v>3360413</v>
      </c>
      <c r="H52" s="131">
        <f>+G52</f>
        <v>3360413</v>
      </c>
      <c r="I52" s="292">
        <v>3</v>
      </c>
      <c r="J52" s="604">
        <v>44165</v>
      </c>
      <c r="N52" s="250"/>
    </row>
    <row r="53" spans="1:14">
      <c r="A53" s="18">
        <v>47</v>
      </c>
      <c r="B53" s="132" t="s">
        <v>764</v>
      </c>
      <c r="C53" s="16" t="s">
        <v>2005</v>
      </c>
      <c r="D53" s="130">
        <v>367.1</v>
      </c>
      <c r="E53" s="134">
        <v>2363557.25</v>
      </c>
      <c r="F53" s="132"/>
      <c r="G53" s="131">
        <f t="shared" si="2"/>
        <v>2363557.25</v>
      </c>
      <c r="H53" s="131"/>
      <c r="I53" s="292"/>
      <c r="J53" s="604">
        <v>44895</v>
      </c>
    </row>
    <row r="54" spans="1:14">
      <c r="A54" s="18">
        <v>48</v>
      </c>
      <c r="B54" s="132" t="s">
        <v>764</v>
      </c>
      <c r="C54" s="132" t="s">
        <v>1994</v>
      </c>
      <c r="D54" s="130">
        <v>378</v>
      </c>
      <c r="E54" s="134">
        <v>20008.89</v>
      </c>
      <c r="F54" s="132"/>
      <c r="G54" s="131">
        <f t="shared" si="2"/>
        <v>20008.89</v>
      </c>
      <c r="H54" s="131"/>
      <c r="I54" s="292"/>
      <c r="J54" s="604">
        <v>43861</v>
      </c>
    </row>
    <row r="55" spans="1:14">
      <c r="A55" s="18">
        <v>49</v>
      </c>
      <c r="B55" s="132" t="s">
        <v>764</v>
      </c>
      <c r="C55" s="132" t="s">
        <v>2319</v>
      </c>
      <c r="D55" s="130">
        <v>376.2</v>
      </c>
      <c r="E55" s="134">
        <v>179168.59</v>
      </c>
      <c r="F55" s="132"/>
      <c r="G55" s="131">
        <f t="shared" si="2"/>
        <v>179168.59</v>
      </c>
      <c r="H55" s="131"/>
      <c r="I55" s="292" t="s">
        <v>798</v>
      </c>
      <c r="J55" s="604">
        <v>44196</v>
      </c>
    </row>
    <row r="56" spans="1:14">
      <c r="A56" s="18">
        <v>50</v>
      </c>
      <c r="B56" s="132" t="s">
        <v>764</v>
      </c>
      <c r="C56" s="132" t="s">
        <v>2320</v>
      </c>
      <c r="D56" s="130">
        <v>376.2</v>
      </c>
      <c r="E56" s="134">
        <v>239545.87</v>
      </c>
      <c r="F56" s="132"/>
      <c r="G56" s="131">
        <f t="shared" si="2"/>
        <v>239545.87</v>
      </c>
      <c r="H56" s="131"/>
      <c r="I56" s="292" t="s">
        <v>798</v>
      </c>
      <c r="J56" s="604">
        <v>44196</v>
      </c>
    </row>
    <row r="57" spans="1:14">
      <c r="A57" s="18">
        <v>51</v>
      </c>
      <c r="B57" s="132" t="s">
        <v>764</v>
      </c>
      <c r="C57" s="132" t="s">
        <v>1995</v>
      </c>
      <c r="D57" s="130">
        <v>376.2</v>
      </c>
      <c r="E57" s="134">
        <v>112657.85</v>
      </c>
      <c r="F57" s="132"/>
      <c r="G57" s="131">
        <f t="shared" si="2"/>
        <v>112657.85</v>
      </c>
      <c r="H57" s="131"/>
      <c r="I57" s="292"/>
      <c r="J57" s="604">
        <v>44165</v>
      </c>
    </row>
    <row r="58" spans="1:14">
      <c r="A58" s="18">
        <v>52</v>
      </c>
      <c r="B58" s="132" t="s">
        <v>764</v>
      </c>
      <c r="C58" s="132" t="s">
        <v>2321</v>
      </c>
      <c r="D58" s="130">
        <v>376.2</v>
      </c>
      <c r="E58" s="134">
        <v>1321132.3500000001</v>
      </c>
      <c r="F58" s="132"/>
      <c r="G58" s="131">
        <f t="shared" si="2"/>
        <v>1321132.3500000001</v>
      </c>
      <c r="H58" s="131"/>
      <c r="I58" s="292" t="s">
        <v>798</v>
      </c>
      <c r="J58" s="604">
        <v>44196</v>
      </c>
    </row>
    <row r="59" spans="1:14">
      <c r="A59" s="18">
        <v>53</v>
      </c>
      <c r="B59" s="132" t="s">
        <v>764</v>
      </c>
      <c r="C59" s="132" t="s">
        <v>2322</v>
      </c>
      <c r="D59" s="130">
        <v>376.2</v>
      </c>
      <c r="E59" s="134">
        <v>588710.21</v>
      </c>
      <c r="F59" s="132"/>
      <c r="G59" s="131">
        <f t="shared" si="2"/>
        <v>588710.21</v>
      </c>
      <c r="H59" s="131"/>
      <c r="I59" s="292"/>
      <c r="J59" s="604">
        <v>44166</v>
      </c>
    </row>
    <row r="60" spans="1:14">
      <c r="A60" s="18">
        <v>54</v>
      </c>
      <c r="B60" s="132" t="s">
        <v>764</v>
      </c>
      <c r="C60" s="132" t="s">
        <v>2323</v>
      </c>
      <c r="D60" s="130">
        <v>376.2</v>
      </c>
      <c r="E60" s="134">
        <v>1714110.95</v>
      </c>
      <c r="F60" s="132"/>
      <c r="G60" s="131">
        <f t="shared" si="2"/>
        <v>1714110.95</v>
      </c>
      <c r="H60" s="131"/>
      <c r="I60" s="292" t="s">
        <v>798</v>
      </c>
      <c r="J60" s="604">
        <v>44196</v>
      </c>
    </row>
    <row r="61" spans="1:14">
      <c r="A61" s="18">
        <v>55</v>
      </c>
      <c r="B61" s="132" t="s">
        <v>764</v>
      </c>
      <c r="C61" s="132" t="s">
        <v>1996</v>
      </c>
      <c r="D61" s="130">
        <v>376.2</v>
      </c>
      <c r="E61" s="134">
        <f>244987.08+245475.4</f>
        <v>490462.48</v>
      </c>
      <c r="F61" s="132"/>
      <c r="G61" s="131">
        <f t="shared" si="2"/>
        <v>490462.48</v>
      </c>
      <c r="H61" s="131"/>
      <c r="I61" s="292"/>
      <c r="J61" s="604">
        <v>44042</v>
      </c>
    </row>
    <row r="62" spans="1:14">
      <c r="A62" s="18">
        <v>56</v>
      </c>
      <c r="B62" s="132" t="s">
        <v>764</v>
      </c>
      <c r="C62" s="132" t="s">
        <v>2006</v>
      </c>
      <c r="D62" s="130">
        <v>378</v>
      </c>
      <c r="E62" s="134">
        <v>17894.23</v>
      </c>
      <c r="F62" s="357"/>
      <c r="G62" s="131">
        <f t="shared" si="2"/>
        <v>17894.23</v>
      </c>
      <c r="H62" s="131"/>
      <c r="I62" s="292"/>
      <c r="J62" s="604">
        <v>43951</v>
      </c>
    </row>
    <row r="63" spans="1:14">
      <c r="A63" s="18">
        <v>57</v>
      </c>
      <c r="B63" s="132" t="s">
        <v>764</v>
      </c>
      <c r="C63" s="132" t="s">
        <v>2324</v>
      </c>
      <c r="D63" s="130">
        <v>376.1</v>
      </c>
      <c r="E63" s="134">
        <v>517249.44</v>
      </c>
      <c r="F63" s="357"/>
      <c r="G63" s="131">
        <f t="shared" si="2"/>
        <v>517249.44</v>
      </c>
      <c r="H63" s="131"/>
      <c r="I63" s="292" t="s">
        <v>798</v>
      </c>
      <c r="J63" s="604">
        <v>44166</v>
      </c>
    </row>
    <row r="64" spans="1:14">
      <c r="A64" s="18">
        <v>58</v>
      </c>
      <c r="B64" s="132" t="s">
        <v>764</v>
      </c>
      <c r="C64" s="132" t="s">
        <v>1288</v>
      </c>
      <c r="D64" s="130">
        <v>376.2</v>
      </c>
      <c r="E64" s="134">
        <v>4257740</v>
      </c>
      <c r="F64" s="132"/>
      <c r="G64" s="131">
        <f t="shared" si="2"/>
        <v>4257740</v>
      </c>
      <c r="H64" s="131">
        <f>+G64</f>
        <v>4257740</v>
      </c>
      <c r="I64" s="292">
        <v>5</v>
      </c>
      <c r="J64" s="356">
        <v>44042</v>
      </c>
    </row>
    <row r="65" spans="1:14">
      <c r="A65" s="18">
        <v>59</v>
      </c>
      <c r="B65" s="132" t="s">
        <v>764</v>
      </c>
      <c r="C65" s="132" t="s">
        <v>2325</v>
      </c>
      <c r="D65" s="130">
        <v>376.2</v>
      </c>
      <c r="E65" s="134">
        <v>3462856.75</v>
      </c>
      <c r="F65" s="132"/>
      <c r="G65" s="131">
        <f t="shared" si="2"/>
        <v>3462856.75</v>
      </c>
      <c r="H65" s="131"/>
      <c r="I65" s="292" t="s">
        <v>798</v>
      </c>
      <c r="J65" s="356">
        <v>44165</v>
      </c>
    </row>
    <row r="66" spans="1:14">
      <c r="A66" s="18">
        <v>60</v>
      </c>
      <c r="B66" s="132" t="s">
        <v>764</v>
      </c>
      <c r="C66" s="132" t="s">
        <v>2326</v>
      </c>
      <c r="D66" s="130">
        <v>376.2</v>
      </c>
      <c r="E66" s="134">
        <v>1079817.45</v>
      </c>
      <c r="F66" s="132"/>
      <c r="G66" s="131">
        <f t="shared" si="2"/>
        <v>1079817.45</v>
      </c>
      <c r="H66" s="131"/>
      <c r="I66" s="292" t="s">
        <v>798</v>
      </c>
      <c r="J66" s="356">
        <v>44196</v>
      </c>
    </row>
    <row r="67" spans="1:14">
      <c r="A67" s="18">
        <v>61</v>
      </c>
      <c r="B67" s="132" t="s">
        <v>764</v>
      </c>
      <c r="C67" s="132" t="s">
        <v>2001</v>
      </c>
      <c r="D67" s="130">
        <v>378</v>
      </c>
      <c r="E67" s="134">
        <v>1015615.47</v>
      </c>
      <c r="F67" s="132"/>
      <c r="G67" s="131">
        <f t="shared" si="2"/>
        <v>1015615.47</v>
      </c>
      <c r="H67" s="131">
        <f>+G67</f>
        <v>1015615.47</v>
      </c>
      <c r="I67" s="292">
        <v>6</v>
      </c>
      <c r="J67" s="356">
        <v>44012</v>
      </c>
    </row>
    <row r="68" spans="1:14">
      <c r="A68" s="18">
        <v>62</v>
      </c>
      <c r="B68" s="132" t="s">
        <v>764</v>
      </c>
      <c r="C68" s="132" t="s">
        <v>2000</v>
      </c>
      <c r="D68" s="130">
        <v>378</v>
      </c>
      <c r="E68" s="134">
        <v>1308260.44</v>
      </c>
      <c r="F68" s="132"/>
      <c r="G68" s="131">
        <f t="shared" si="2"/>
        <v>1308260.44</v>
      </c>
      <c r="H68" s="131">
        <f>+G68</f>
        <v>1308260.44</v>
      </c>
      <c r="I68" s="292">
        <v>7</v>
      </c>
      <c r="J68" s="356">
        <v>44074</v>
      </c>
      <c r="N68" s="250"/>
    </row>
    <row r="69" spans="1:14">
      <c r="A69" s="18">
        <v>63</v>
      </c>
      <c r="B69" s="132" t="s">
        <v>764</v>
      </c>
      <c r="C69" s="132" t="s">
        <v>2007</v>
      </c>
      <c r="D69" s="130">
        <v>378</v>
      </c>
      <c r="E69" s="134">
        <v>1160244.8899999999</v>
      </c>
      <c r="F69" s="132"/>
      <c r="G69" s="131">
        <f t="shared" si="2"/>
        <v>1160244.8899999999</v>
      </c>
      <c r="H69" s="131">
        <f>+G69</f>
        <v>1160244.8899999999</v>
      </c>
      <c r="I69" s="292">
        <v>8</v>
      </c>
      <c r="J69" s="604">
        <v>44165</v>
      </c>
      <c r="M69" s="250"/>
    </row>
    <row r="70" spans="1:14">
      <c r="A70" s="18">
        <v>64</v>
      </c>
      <c r="B70" s="132" t="s">
        <v>764</v>
      </c>
      <c r="C70" s="132" t="s">
        <v>1289</v>
      </c>
      <c r="D70" s="130">
        <v>376.2</v>
      </c>
      <c r="E70" s="134">
        <v>9795152</v>
      </c>
      <c r="F70" s="132"/>
      <c r="G70" s="131">
        <f t="shared" si="2"/>
        <v>9795152</v>
      </c>
      <c r="H70" s="131">
        <f>+G70</f>
        <v>9795152</v>
      </c>
      <c r="I70" s="292">
        <v>9</v>
      </c>
      <c r="J70" s="356">
        <v>44074</v>
      </c>
    </row>
    <row r="71" spans="1:14">
      <c r="A71" s="18">
        <v>65</v>
      </c>
      <c r="B71" s="132" t="s">
        <v>764</v>
      </c>
      <c r="C71" s="132" t="s">
        <v>1999</v>
      </c>
      <c r="D71" s="130">
        <v>378</v>
      </c>
      <c r="E71" s="134">
        <v>77932.33</v>
      </c>
      <c r="F71" s="132"/>
      <c r="G71" s="131">
        <f t="shared" si="2"/>
        <v>77932.33</v>
      </c>
      <c r="H71" s="131"/>
      <c r="I71" s="292"/>
      <c r="J71" s="604">
        <v>43860</v>
      </c>
      <c r="M71" s="250"/>
    </row>
    <row r="72" spans="1:14">
      <c r="A72" s="18">
        <v>66</v>
      </c>
      <c r="B72" s="132" t="s">
        <v>764</v>
      </c>
      <c r="C72" s="132" t="s">
        <v>1998</v>
      </c>
      <c r="D72" s="130">
        <v>378</v>
      </c>
      <c r="E72" s="134">
        <v>77959.740000000005</v>
      </c>
      <c r="F72" s="132"/>
      <c r="G72" s="131">
        <f t="shared" si="2"/>
        <v>77959.740000000005</v>
      </c>
      <c r="H72" s="131"/>
      <c r="I72" s="292"/>
      <c r="J72" s="604">
        <v>43860</v>
      </c>
    </row>
    <row r="73" spans="1:14">
      <c r="A73" s="18">
        <v>67</v>
      </c>
      <c r="B73" s="132" t="s">
        <v>764</v>
      </c>
      <c r="C73" s="16" t="s">
        <v>2380</v>
      </c>
      <c r="D73" s="130">
        <v>367.1</v>
      </c>
      <c r="E73" s="134">
        <f>75261.08+2363375.85</f>
        <v>2438636.9300000002</v>
      </c>
      <c r="F73" s="132"/>
      <c r="G73" s="131">
        <f>+E73</f>
        <v>2438636.9300000002</v>
      </c>
      <c r="H73" s="131"/>
      <c r="I73" s="292" t="s">
        <v>798</v>
      </c>
      <c r="J73" s="604">
        <v>44165</v>
      </c>
    </row>
    <row r="74" spans="1:14">
      <c r="A74" s="18">
        <v>68</v>
      </c>
      <c r="B74" s="132" t="s">
        <v>764</v>
      </c>
      <c r="C74" s="16" t="s">
        <v>1997</v>
      </c>
      <c r="D74" s="130">
        <v>376.2</v>
      </c>
      <c r="E74" s="134">
        <v>1526471.05</v>
      </c>
      <c r="F74" s="132"/>
      <c r="G74" s="131">
        <f t="shared" ref="G74:G145" si="3">+E74</f>
        <v>1526471.05</v>
      </c>
      <c r="H74" s="131">
        <f t="shared" ref="H74" si="4">+G74</f>
        <v>1526471.05</v>
      </c>
      <c r="I74" s="292">
        <v>10</v>
      </c>
      <c r="J74" s="356">
        <v>43850</v>
      </c>
    </row>
    <row r="75" spans="1:14">
      <c r="A75" s="18">
        <v>69</v>
      </c>
      <c r="B75" s="132" t="s">
        <v>764</v>
      </c>
      <c r="C75" s="16" t="s">
        <v>2008</v>
      </c>
      <c r="D75" s="130">
        <v>376.3</v>
      </c>
      <c r="E75" s="134">
        <v>441993.69</v>
      </c>
      <c r="F75" s="132"/>
      <c r="G75" s="131">
        <f t="shared" si="3"/>
        <v>441993.69</v>
      </c>
      <c r="H75" s="131"/>
      <c r="I75" s="292" t="s">
        <v>798</v>
      </c>
      <c r="J75" s="356">
        <v>43920</v>
      </c>
    </row>
    <row r="76" spans="1:14">
      <c r="A76" s="18">
        <v>70</v>
      </c>
      <c r="B76" s="132" t="s">
        <v>764</v>
      </c>
      <c r="C76" s="16" t="s">
        <v>2009</v>
      </c>
      <c r="D76" s="130">
        <v>380.3</v>
      </c>
      <c r="E76" s="134">
        <v>100949.38</v>
      </c>
      <c r="F76" s="132"/>
      <c r="G76" s="131">
        <f t="shared" si="3"/>
        <v>100949.38</v>
      </c>
      <c r="H76" s="131"/>
      <c r="I76" s="292" t="s">
        <v>798</v>
      </c>
      <c r="J76" s="356">
        <v>43920</v>
      </c>
    </row>
    <row r="77" spans="1:14">
      <c r="A77" s="18">
        <v>71</v>
      </c>
      <c r="B77" s="132" t="s">
        <v>764</v>
      </c>
      <c r="C77" s="16" t="s">
        <v>2010</v>
      </c>
      <c r="D77" s="130">
        <v>378</v>
      </c>
      <c r="E77" s="134">
        <v>136928</v>
      </c>
      <c r="F77" s="132"/>
      <c r="G77" s="131">
        <f t="shared" si="3"/>
        <v>136928</v>
      </c>
      <c r="H77" s="131">
        <f>+G77</f>
        <v>136928</v>
      </c>
      <c r="I77" s="292">
        <v>12</v>
      </c>
      <c r="J77" s="356">
        <v>44074</v>
      </c>
    </row>
    <row r="78" spans="1:14">
      <c r="A78" s="18">
        <v>72</v>
      </c>
      <c r="B78" s="132" t="s">
        <v>764</v>
      </c>
      <c r="C78" s="16" t="s">
        <v>2011</v>
      </c>
      <c r="D78" s="130">
        <v>378</v>
      </c>
      <c r="E78" s="134">
        <v>324.69</v>
      </c>
      <c r="F78" s="132"/>
      <c r="G78" s="131">
        <f t="shared" si="3"/>
        <v>324.69</v>
      </c>
      <c r="H78" s="131"/>
      <c r="I78" s="292"/>
      <c r="J78" s="356">
        <v>44012</v>
      </c>
    </row>
    <row r="79" spans="1:14">
      <c r="A79" s="18">
        <v>73</v>
      </c>
      <c r="B79" s="132" t="s">
        <v>764</v>
      </c>
      <c r="C79" s="16" t="s">
        <v>2386</v>
      </c>
      <c r="D79" s="130">
        <v>376.3</v>
      </c>
      <c r="E79" s="134">
        <v>639913.04</v>
      </c>
      <c r="F79" s="132"/>
      <c r="G79" s="131">
        <f t="shared" si="3"/>
        <v>639913.04</v>
      </c>
      <c r="H79" s="131">
        <f>+G79</f>
        <v>639913.04</v>
      </c>
      <c r="I79" s="292">
        <v>27</v>
      </c>
      <c r="J79" s="356">
        <v>44196</v>
      </c>
    </row>
    <row r="80" spans="1:14">
      <c r="A80" s="18">
        <v>74</v>
      </c>
      <c r="B80" s="132" t="s">
        <v>764</v>
      </c>
      <c r="C80" s="16" t="s">
        <v>2387</v>
      </c>
      <c r="D80" s="130">
        <v>376</v>
      </c>
      <c r="E80" s="134">
        <v>122698.76</v>
      </c>
      <c r="F80" s="132"/>
      <c r="G80" s="131">
        <f t="shared" si="3"/>
        <v>122698.76</v>
      </c>
      <c r="H80" s="131"/>
      <c r="I80" s="292"/>
      <c r="J80" s="356">
        <v>44196</v>
      </c>
    </row>
    <row r="81" spans="1:10">
      <c r="A81" s="18">
        <v>75</v>
      </c>
      <c r="B81" s="132" t="s">
        <v>764</v>
      </c>
      <c r="C81" s="16" t="s">
        <v>2388</v>
      </c>
      <c r="D81" s="130">
        <v>380.3</v>
      </c>
      <c r="E81" s="134">
        <v>951862.52</v>
      </c>
      <c r="F81" s="132"/>
      <c r="G81" s="131">
        <f t="shared" si="3"/>
        <v>951862.52</v>
      </c>
      <c r="H81" s="131">
        <f>+G81</f>
        <v>951862.52</v>
      </c>
      <c r="I81" s="292">
        <v>27</v>
      </c>
      <c r="J81" s="356">
        <v>44196</v>
      </c>
    </row>
    <row r="82" spans="1:10">
      <c r="A82" s="18">
        <v>76</v>
      </c>
      <c r="B82" s="132" t="s">
        <v>764</v>
      </c>
      <c r="C82" s="16" t="s">
        <v>2389</v>
      </c>
      <c r="D82" s="130">
        <v>380</v>
      </c>
      <c r="E82" s="134">
        <v>72198.240000000005</v>
      </c>
      <c r="F82" s="132"/>
      <c r="G82" s="131">
        <f t="shared" si="3"/>
        <v>72198.240000000005</v>
      </c>
      <c r="H82" s="131"/>
      <c r="I82" s="292"/>
      <c r="J82" s="356">
        <v>44196</v>
      </c>
    </row>
    <row r="83" spans="1:10">
      <c r="A83" s="18">
        <v>77</v>
      </c>
      <c r="B83" s="132" t="s">
        <v>764</v>
      </c>
      <c r="C83" s="16" t="s">
        <v>2390</v>
      </c>
      <c r="D83" s="130">
        <v>376.3</v>
      </c>
      <c r="E83" s="134">
        <v>79311</v>
      </c>
      <c r="F83" s="132"/>
      <c r="G83" s="131">
        <f t="shared" si="3"/>
        <v>79311</v>
      </c>
      <c r="H83" s="131">
        <f>+G83</f>
        <v>79311</v>
      </c>
      <c r="I83" s="292">
        <v>27</v>
      </c>
      <c r="J83" s="356">
        <v>44196</v>
      </c>
    </row>
    <row r="84" spans="1:10">
      <c r="A84" s="18">
        <v>78</v>
      </c>
      <c r="B84" s="132" t="s">
        <v>764</v>
      </c>
      <c r="C84" s="16" t="s">
        <v>2391</v>
      </c>
      <c r="D84" s="130">
        <v>376</v>
      </c>
      <c r="E84" s="134">
        <v>35499.24</v>
      </c>
      <c r="F84" s="132"/>
      <c r="G84" s="131">
        <f t="shared" si="3"/>
        <v>35499.24</v>
      </c>
      <c r="H84" s="131"/>
      <c r="I84" s="292"/>
      <c r="J84" s="356">
        <v>44196</v>
      </c>
    </row>
    <row r="85" spans="1:10">
      <c r="A85" s="18">
        <v>79</v>
      </c>
      <c r="B85" s="132" t="s">
        <v>764</v>
      </c>
      <c r="C85" s="16" t="s">
        <v>2392</v>
      </c>
      <c r="D85" s="130">
        <v>380.3</v>
      </c>
      <c r="E85" s="134">
        <v>133027.99</v>
      </c>
      <c r="F85" s="132"/>
      <c r="G85" s="131">
        <f t="shared" si="3"/>
        <v>133027.99</v>
      </c>
      <c r="H85" s="131">
        <f>+G85</f>
        <v>133027.99</v>
      </c>
      <c r="I85" s="292">
        <v>27</v>
      </c>
      <c r="J85" s="356">
        <v>44196</v>
      </c>
    </row>
    <row r="86" spans="1:10">
      <c r="A86" s="18">
        <v>80</v>
      </c>
      <c r="B86" s="132" t="s">
        <v>764</v>
      </c>
      <c r="C86" s="16" t="s">
        <v>2393</v>
      </c>
      <c r="D86" s="130">
        <v>380</v>
      </c>
      <c r="E86" s="134">
        <v>75135.570000000007</v>
      </c>
      <c r="F86" s="132"/>
      <c r="G86" s="131">
        <f t="shared" si="3"/>
        <v>75135.570000000007</v>
      </c>
      <c r="H86" s="131"/>
      <c r="I86" s="292"/>
      <c r="J86" s="356">
        <v>44196</v>
      </c>
    </row>
    <row r="87" spans="1:10">
      <c r="A87" s="18">
        <v>81</v>
      </c>
      <c r="B87" s="132" t="s">
        <v>764</v>
      </c>
      <c r="C87" s="16" t="s">
        <v>2394</v>
      </c>
      <c r="D87" s="130">
        <v>376.3</v>
      </c>
      <c r="E87" s="134">
        <v>800173.4</v>
      </c>
      <c r="F87" s="132"/>
      <c r="G87" s="131">
        <f t="shared" si="3"/>
        <v>800173.4</v>
      </c>
      <c r="H87" s="131">
        <f>+G87</f>
        <v>800173.4</v>
      </c>
      <c r="I87" s="292">
        <v>27</v>
      </c>
      <c r="J87" s="356">
        <v>44196</v>
      </c>
    </row>
    <row r="88" spans="1:10">
      <c r="A88" s="18">
        <v>82</v>
      </c>
      <c r="B88" s="132" t="s">
        <v>764</v>
      </c>
      <c r="C88" s="16" t="s">
        <v>2395</v>
      </c>
      <c r="D88" s="130">
        <v>376</v>
      </c>
      <c r="E88" s="134">
        <v>270033.86</v>
      </c>
      <c r="F88" s="132"/>
      <c r="G88" s="131">
        <f t="shared" si="3"/>
        <v>270033.86</v>
      </c>
      <c r="H88" s="131"/>
      <c r="I88" s="292"/>
      <c r="J88" s="356">
        <v>44196</v>
      </c>
    </row>
    <row r="89" spans="1:10">
      <c r="A89" s="18">
        <v>83</v>
      </c>
      <c r="B89" s="132" t="s">
        <v>764</v>
      </c>
      <c r="C89" s="16" t="s">
        <v>2396</v>
      </c>
      <c r="D89" s="130">
        <v>380.3</v>
      </c>
      <c r="E89" s="134">
        <v>1330260</v>
      </c>
      <c r="F89" s="132"/>
      <c r="G89" s="131">
        <f t="shared" si="3"/>
        <v>1330260</v>
      </c>
      <c r="H89" s="131">
        <f>+G89</f>
        <v>1330260</v>
      </c>
      <c r="I89" s="292">
        <v>27</v>
      </c>
      <c r="J89" s="356">
        <v>44196</v>
      </c>
    </row>
    <row r="90" spans="1:10">
      <c r="A90" s="18">
        <v>84</v>
      </c>
      <c r="B90" s="132" t="s">
        <v>764</v>
      </c>
      <c r="C90" s="16" t="s">
        <v>2397</v>
      </c>
      <c r="D90" s="130">
        <v>380</v>
      </c>
      <c r="E90" s="134">
        <v>65462.16</v>
      </c>
      <c r="F90" s="132"/>
      <c r="G90" s="131">
        <f t="shared" si="3"/>
        <v>65462.16</v>
      </c>
      <c r="H90" s="131"/>
      <c r="I90" s="292"/>
      <c r="J90" s="356">
        <v>44196</v>
      </c>
    </row>
    <row r="91" spans="1:10">
      <c r="A91" s="18">
        <v>85</v>
      </c>
      <c r="B91" s="132" t="s">
        <v>764</v>
      </c>
      <c r="C91" s="16" t="s">
        <v>2398</v>
      </c>
      <c r="D91" s="130">
        <v>376.3</v>
      </c>
      <c r="E91" s="134">
        <v>484622.4</v>
      </c>
      <c r="F91" s="132"/>
      <c r="G91" s="131">
        <f t="shared" si="3"/>
        <v>484622.4</v>
      </c>
      <c r="H91" s="131">
        <f>+G91</f>
        <v>484622.4</v>
      </c>
      <c r="I91" s="292">
        <v>27</v>
      </c>
      <c r="J91" s="356">
        <v>44196</v>
      </c>
    </row>
    <row r="92" spans="1:10">
      <c r="A92" s="18">
        <v>86</v>
      </c>
      <c r="B92" s="132" t="s">
        <v>764</v>
      </c>
      <c r="C92" s="16" t="s">
        <v>2399</v>
      </c>
      <c r="D92" s="130">
        <v>376</v>
      </c>
      <c r="E92" s="134">
        <v>149164.20000000001</v>
      </c>
      <c r="F92" s="132"/>
      <c r="G92" s="131">
        <f t="shared" si="3"/>
        <v>149164.20000000001</v>
      </c>
      <c r="H92" s="131"/>
      <c r="I92" s="292"/>
      <c r="J92" s="356">
        <v>44196</v>
      </c>
    </row>
    <row r="93" spans="1:10">
      <c r="A93" s="18">
        <v>87</v>
      </c>
      <c r="B93" s="132" t="s">
        <v>764</v>
      </c>
      <c r="C93" s="16" t="s">
        <v>2400</v>
      </c>
      <c r="D93" s="130">
        <v>380.3</v>
      </c>
      <c r="E93" s="134">
        <v>447800.6</v>
      </c>
      <c r="F93" s="132"/>
      <c r="G93" s="131">
        <f t="shared" si="3"/>
        <v>447800.6</v>
      </c>
      <c r="H93" s="131">
        <f>+G93</f>
        <v>447800.6</v>
      </c>
      <c r="I93" s="292">
        <v>27</v>
      </c>
      <c r="J93" s="356">
        <v>44196</v>
      </c>
    </row>
    <row r="94" spans="1:10">
      <c r="A94" s="18">
        <v>88</v>
      </c>
      <c r="B94" s="132" t="s">
        <v>764</v>
      </c>
      <c r="C94" s="16" t="s">
        <v>2401</v>
      </c>
      <c r="D94" s="130">
        <v>380</v>
      </c>
      <c r="E94" s="134">
        <v>74578.679999999993</v>
      </c>
      <c r="F94" s="132"/>
      <c r="G94" s="131">
        <f t="shared" si="3"/>
        <v>74578.679999999993</v>
      </c>
      <c r="H94" s="131"/>
      <c r="I94" s="292"/>
      <c r="J94" s="356">
        <v>44196</v>
      </c>
    </row>
    <row r="95" spans="1:10">
      <c r="A95" s="18">
        <v>89</v>
      </c>
      <c r="B95" s="132" t="s">
        <v>764</v>
      </c>
      <c r="C95" s="16" t="s">
        <v>2442</v>
      </c>
      <c r="D95" s="130">
        <v>376.3</v>
      </c>
      <c r="E95" s="134">
        <f>62.26+1294410.92</f>
        <v>1294473.18</v>
      </c>
      <c r="F95" s="132"/>
      <c r="G95" s="131">
        <f t="shared" si="3"/>
        <v>1294473.18</v>
      </c>
      <c r="H95" s="131">
        <f>+E95</f>
        <v>1294473.18</v>
      </c>
      <c r="I95" s="292">
        <v>27</v>
      </c>
      <c r="J95" s="356">
        <v>44196</v>
      </c>
    </row>
    <row r="96" spans="1:10">
      <c r="A96" s="18">
        <v>90</v>
      </c>
      <c r="B96" s="132" t="s">
        <v>764</v>
      </c>
      <c r="C96" s="16" t="s">
        <v>2402</v>
      </c>
      <c r="D96" s="789">
        <v>376</v>
      </c>
      <c r="E96" s="791">
        <v>126071.52</v>
      </c>
      <c r="F96" s="132"/>
      <c r="G96" s="131">
        <f t="shared" si="3"/>
        <v>126071.52</v>
      </c>
      <c r="H96" s="131"/>
      <c r="I96" s="292"/>
      <c r="J96" s="604">
        <v>44196</v>
      </c>
    </row>
    <row r="97" spans="1:10">
      <c r="A97" s="18">
        <v>91</v>
      </c>
      <c r="B97" s="132" t="s">
        <v>764</v>
      </c>
      <c r="C97" s="16" t="s">
        <v>2403</v>
      </c>
      <c r="D97" s="789">
        <v>380.3</v>
      </c>
      <c r="E97" s="791">
        <v>1568619.36</v>
      </c>
      <c r="F97" s="132"/>
      <c r="G97" s="131">
        <f t="shared" si="3"/>
        <v>1568619.36</v>
      </c>
      <c r="H97" s="131">
        <f>+E97</f>
        <v>1568619.36</v>
      </c>
      <c r="I97" s="292">
        <v>27</v>
      </c>
      <c r="J97" s="604">
        <v>44196</v>
      </c>
    </row>
    <row r="98" spans="1:10">
      <c r="A98" s="18">
        <v>92</v>
      </c>
      <c r="B98" s="132" t="s">
        <v>764</v>
      </c>
      <c r="C98" s="16" t="s">
        <v>2404</v>
      </c>
      <c r="D98" s="789">
        <v>380</v>
      </c>
      <c r="E98" s="791">
        <v>74578.679999999993</v>
      </c>
      <c r="F98" s="132"/>
      <c r="G98" s="131">
        <f t="shared" si="3"/>
        <v>74578.679999999993</v>
      </c>
      <c r="H98" s="131"/>
      <c r="I98" s="292"/>
      <c r="J98" s="604">
        <v>44196</v>
      </c>
    </row>
    <row r="99" spans="1:10">
      <c r="A99" s="18">
        <v>93</v>
      </c>
      <c r="B99" s="132" t="s">
        <v>764</v>
      </c>
      <c r="C99" s="16" t="s">
        <v>2443</v>
      </c>
      <c r="D99" s="130">
        <v>376.3</v>
      </c>
      <c r="E99" s="134">
        <f>1976.8+1394533.32</f>
        <v>1396510.12</v>
      </c>
      <c r="F99" s="132"/>
      <c r="G99" s="131">
        <f t="shared" si="3"/>
        <v>1396510.12</v>
      </c>
      <c r="H99" s="131">
        <f>+E99</f>
        <v>1396510.12</v>
      </c>
      <c r="I99" s="292">
        <v>27</v>
      </c>
      <c r="J99" s="356">
        <v>44196</v>
      </c>
    </row>
    <row r="100" spans="1:10">
      <c r="A100" s="18">
        <v>94</v>
      </c>
      <c r="B100" s="132" t="s">
        <v>764</v>
      </c>
      <c r="C100" s="16" t="s">
        <v>2407</v>
      </c>
      <c r="D100" s="130">
        <v>376</v>
      </c>
      <c r="E100" s="134">
        <v>54857.760000000002</v>
      </c>
      <c r="F100" s="132"/>
      <c r="G100" s="131">
        <f t="shared" si="3"/>
        <v>54857.760000000002</v>
      </c>
      <c r="H100" s="131"/>
      <c r="I100" s="292"/>
      <c r="J100" s="356">
        <v>44196</v>
      </c>
    </row>
    <row r="101" spans="1:10">
      <c r="A101" s="18">
        <v>95</v>
      </c>
      <c r="B101" s="132" t="s">
        <v>764</v>
      </c>
      <c r="C101" s="16" t="s">
        <v>2408</v>
      </c>
      <c r="D101" s="130">
        <v>380.3</v>
      </c>
      <c r="E101" s="134">
        <v>2118035.96</v>
      </c>
      <c r="F101" s="132"/>
      <c r="G101" s="131">
        <f t="shared" si="3"/>
        <v>2118035.96</v>
      </c>
      <c r="H101" s="131">
        <f>+G101</f>
        <v>2118035.96</v>
      </c>
      <c r="I101" s="292">
        <v>27</v>
      </c>
      <c r="J101" s="356">
        <v>44196</v>
      </c>
    </row>
    <row r="102" spans="1:10">
      <c r="A102" s="18">
        <v>96</v>
      </c>
      <c r="B102" s="132" t="s">
        <v>764</v>
      </c>
      <c r="C102" s="16" t="s">
        <v>2409</v>
      </c>
      <c r="D102" s="130">
        <v>380</v>
      </c>
      <c r="E102" s="134">
        <v>74578.679999999993</v>
      </c>
      <c r="F102" s="132"/>
      <c r="G102" s="131">
        <f t="shared" si="3"/>
        <v>74578.679999999993</v>
      </c>
      <c r="H102" s="131"/>
      <c r="I102" s="292"/>
      <c r="J102" s="356">
        <v>44196</v>
      </c>
    </row>
    <row r="103" spans="1:10">
      <c r="A103" s="18">
        <v>97</v>
      </c>
      <c r="B103" s="132" t="s">
        <v>764</v>
      </c>
      <c r="C103" s="16" t="s">
        <v>2410</v>
      </c>
      <c r="D103" s="130">
        <v>376.3</v>
      </c>
      <c r="E103" s="134">
        <v>255366.68</v>
      </c>
      <c r="F103" s="132"/>
      <c r="G103" s="131">
        <f t="shared" si="3"/>
        <v>255366.68</v>
      </c>
      <c r="H103" s="131">
        <f>+G103</f>
        <v>255366.68</v>
      </c>
      <c r="I103" s="292">
        <v>27</v>
      </c>
      <c r="J103" s="356">
        <v>44196</v>
      </c>
    </row>
    <row r="104" spans="1:10">
      <c r="A104" s="18">
        <v>98</v>
      </c>
      <c r="B104" s="132" t="s">
        <v>764</v>
      </c>
      <c r="C104" s="16" t="s">
        <v>2411</v>
      </c>
      <c r="D104" s="130">
        <v>376</v>
      </c>
      <c r="E104" s="134">
        <v>100812.24</v>
      </c>
      <c r="F104" s="132"/>
      <c r="G104" s="131">
        <f t="shared" si="3"/>
        <v>100812.24</v>
      </c>
      <c r="H104" s="131"/>
      <c r="I104" s="292"/>
      <c r="J104" s="356">
        <v>44196</v>
      </c>
    </row>
    <row r="105" spans="1:10">
      <c r="A105" s="18">
        <v>99</v>
      </c>
      <c r="B105" s="132" t="s">
        <v>764</v>
      </c>
      <c r="C105" s="16" t="s">
        <v>2412</v>
      </c>
      <c r="D105" s="130">
        <v>380.3</v>
      </c>
      <c r="E105" s="134">
        <v>884722.06</v>
      </c>
      <c r="F105" s="132"/>
      <c r="G105" s="131">
        <f t="shared" si="3"/>
        <v>884722.06</v>
      </c>
      <c r="H105" s="131">
        <f>+G105</f>
        <v>884722.06</v>
      </c>
      <c r="I105" s="292">
        <v>27</v>
      </c>
      <c r="J105" s="356">
        <v>44196</v>
      </c>
    </row>
    <row r="106" spans="1:10">
      <c r="A106" s="18">
        <v>100</v>
      </c>
      <c r="B106" s="132" t="s">
        <v>764</v>
      </c>
      <c r="C106" s="16" t="s">
        <v>2413</v>
      </c>
      <c r="D106" s="130">
        <v>380</v>
      </c>
      <c r="E106" s="134">
        <v>74578.679999999993</v>
      </c>
      <c r="F106" s="132"/>
      <c r="G106" s="131">
        <f t="shared" si="3"/>
        <v>74578.679999999993</v>
      </c>
      <c r="H106" s="131"/>
      <c r="I106" s="292"/>
      <c r="J106" s="356">
        <v>44196</v>
      </c>
    </row>
    <row r="107" spans="1:10">
      <c r="A107" s="18">
        <v>101</v>
      </c>
      <c r="B107" s="132" t="s">
        <v>764</v>
      </c>
      <c r="C107" s="16" t="s">
        <v>2414</v>
      </c>
      <c r="D107" s="130">
        <v>376.3</v>
      </c>
      <c r="E107" s="134">
        <v>613354.97</v>
      </c>
      <c r="F107" s="132"/>
      <c r="G107" s="131">
        <f t="shared" si="3"/>
        <v>613354.97</v>
      </c>
      <c r="H107" s="131">
        <f>+G107</f>
        <v>613354.97</v>
      </c>
      <c r="I107" s="292">
        <v>27</v>
      </c>
      <c r="J107" s="356">
        <v>44196</v>
      </c>
    </row>
    <row r="108" spans="1:10">
      <c r="A108" s="18">
        <v>102</v>
      </c>
      <c r="B108" s="132" t="s">
        <v>764</v>
      </c>
      <c r="C108" s="16" t="s">
        <v>2415</v>
      </c>
      <c r="D108" s="130">
        <v>376</v>
      </c>
      <c r="E108" s="134">
        <v>97392.48</v>
      </c>
      <c r="F108" s="132"/>
      <c r="G108" s="131">
        <f t="shared" si="3"/>
        <v>97392.48</v>
      </c>
      <c r="H108" s="131"/>
      <c r="I108" s="292"/>
      <c r="J108" s="356">
        <v>44196</v>
      </c>
    </row>
    <row r="109" spans="1:10">
      <c r="A109" s="18">
        <v>103</v>
      </c>
      <c r="B109" s="132" t="s">
        <v>764</v>
      </c>
      <c r="C109" s="16" t="s">
        <v>2416</v>
      </c>
      <c r="D109" s="130">
        <v>380.3</v>
      </c>
      <c r="E109" s="134">
        <v>1801553.41</v>
      </c>
      <c r="F109" s="132"/>
      <c r="G109" s="131">
        <f t="shared" si="3"/>
        <v>1801553.41</v>
      </c>
      <c r="H109" s="131">
        <f>+G109</f>
        <v>1801553.41</v>
      </c>
      <c r="I109" s="292">
        <v>27</v>
      </c>
      <c r="J109" s="356">
        <v>44196</v>
      </c>
    </row>
    <row r="110" spans="1:10">
      <c r="A110" s="18">
        <v>104</v>
      </c>
      <c r="B110" s="132" t="s">
        <v>764</v>
      </c>
      <c r="C110" s="16" t="s">
        <v>2417</v>
      </c>
      <c r="D110" s="130">
        <v>380</v>
      </c>
      <c r="E110" s="134">
        <v>74578.679999999993</v>
      </c>
      <c r="F110" s="132"/>
      <c r="G110" s="131">
        <f t="shared" si="3"/>
        <v>74578.679999999993</v>
      </c>
      <c r="H110" s="131"/>
      <c r="I110" s="292"/>
      <c r="J110" s="356">
        <v>44196</v>
      </c>
    </row>
    <row r="111" spans="1:10">
      <c r="A111" s="18">
        <v>105</v>
      </c>
      <c r="B111" s="132" t="s">
        <v>764</v>
      </c>
      <c r="C111" s="16" t="s">
        <v>2418</v>
      </c>
      <c r="D111" s="130">
        <v>394</v>
      </c>
      <c r="E111" s="134">
        <v>88997.82</v>
      </c>
      <c r="F111" s="132"/>
      <c r="G111" s="131">
        <f t="shared" si="3"/>
        <v>88997.82</v>
      </c>
      <c r="H111" s="131"/>
      <c r="I111" s="292"/>
      <c r="J111" s="356">
        <v>44196</v>
      </c>
    </row>
    <row r="112" spans="1:10">
      <c r="A112" s="18">
        <v>106</v>
      </c>
      <c r="B112" s="132" t="s">
        <v>764</v>
      </c>
      <c r="C112" s="16" t="s">
        <v>2419</v>
      </c>
      <c r="D112" s="130">
        <v>376.3</v>
      </c>
      <c r="E112" s="134">
        <v>1417842.72</v>
      </c>
      <c r="F112" s="132"/>
      <c r="G112" s="131">
        <f t="shared" si="3"/>
        <v>1417842.72</v>
      </c>
      <c r="H112" s="131">
        <f>+G112</f>
        <v>1417842.72</v>
      </c>
      <c r="I112" s="292">
        <v>27</v>
      </c>
      <c r="J112" s="356">
        <v>44196</v>
      </c>
    </row>
    <row r="113" spans="1:10">
      <c r="A113" s="18">
        <v>107</v>
      </c>
      <c r="B113" s="132" t="s">
        <v>764</v>
      </c>
      <c r="C113" s="16" t="s">
        <v>2420</v>
      </c>
      <c r="D113" s="130">
        <v>376</v>
      </c>
      <c r="E113" s="134">
        <v>145471.79999999999</v>
      </c>
      <c r="F113" s="132"/>
      <c r="G113" s="131">
        <f t="shared" si="3"/>
        <v>145471.79999999999</v>
      </c>
      <c r="H113" s="131"/>
      <c r="I113" s="292"/>
      <c r="J113" s="356">
        <v>44196</v>
      </c>
    </row>
    <row r="114" spans="1:10">
      <c r="A114" s="18">
        <v>108</v>
      </c>
      <c r="B114" s="132" t="s">
        <v>764</v>
      </c>
      <c r="C114" s="16" t="s">
        <v>2421</v>
      </c>
      <c r="D114" s="130">
        <v>380.3</v>
      </c>
      <c r="E114" s="134">
        <v>2952964.66</v>
      </c>
      <c r="F114" s="132"/>
      <c r="G114" s="131">
        <f t="shared" si="3"/>
        <v>2952964.66</v>
      </c>
      <c r="H114" s="131">
        <f>+G114</f>
        <v>2952964.66</v>
      </c>
      <c r="I114" s="292">
        <v>27</v>
      </c>
      <c r="J114" s="356">
        <v>44196</v>
      </c>
    </row>
    <row r="115" spans="1:10">
      <c r="A115" s="18">
        <v>109</v>
      </c>
      <c r="B115" s="132" t="s">
        <v>764</v>
      </c>
      <c r="C115" s="16" t="s">
        <v>2422</v>
      </c>
      <c r="D115" s="130">
        <v>380</v>
      </c>
      <c r="E115" s="134">
        <v>72740.759999999995</v>
      </c>
      <c r="F115" s="132"/>
      <c r="G115" s="131">
        <f t="shared" si="3"/>
        <v>72740.759999999995</v>
      </c>
      <c r="H115" s="131"/>
      <c r="I115" s="292"/>
      <c r="J115" s="356">
        <v>44196</v>
      </c>
    </row>
    <row r="116" spans="1:10">
      <c r="A116" s="18">
        <v>110</v>
      </c>
      <c r="B116" s="132" t="s">
        <v>764</v>
      </c>
      <c r="C116" s="16" t="s">
        <v>2423</v>
      </c>
      <c r="D116" s="130">
        <v>376</v>
      </c>
      <c r="E116" s="134">
        <v>296950</v>
      </c>
      <c r="F116" s="132"/>
      <c r="G116" s="131">
        <f t="shared" si="3"/>
        <v>296950</v>
      </c>
      <c r="H116" s="131"/>
      <c r="I116" s="292"/>
      <c r="J116" s="356">
        <v>44196</v>
      </c>
    </row>
    <row r="117" spans="1:10">
      <c r="A117" s="18">
        <v>111</v>
      </c>
      <c r="B117" s="132" t="s">
        <v>764</v>
      </c>
      <c r="C117" s="16" t="s">
        <v>2424</v>
      </c>
      <c r="D117" s="130">
        <v>376.3</v>
      </c>
      <c r="E117" s="134">
        <v>5004463.92</v>
      </c>
      <c r="F117" s="132"/>
      <c r="G117" s="131">
        <f t="shared" si="3"/>
        <v>5004463.92</v>
      </c>
      <c r="H117" s="131"/>
      <c r="I117" s="292"/>
      <c r="J117" s="356">
        <v>44196</v>
      </c>
    </row>
    <row r="118" spans="1:10">
      <c r="A118" s="18">
        <v>112</v>
      </c>
      <c r="B118" s="132" t="s">
        <v>764</v>
      </c>
      <c r="C118" s="16" t="s">
        <v>2425</v>
      </c>
      <c r="D118" s="130">
        <v>380</v>
      </c>
      <c r="E118" s="134">
        <v>4410563.92</v>
      </c>
      <c r="F118" s="132"/>
      <c r="G118" s="131">
        <f t="shared" si="3"/>
        <v>4410563.92</v>
      </c>
      <c r="H118" s="131"/>
      <c r="I118" s="292"/>
      <c r="J118" s="356">
        <v>44196</v>
      </c>
    </row>
    <row r="119" spans="1:10">
      <c r="A119" s="18">
        <v>113</v>
      </c>
      <c r="B119" s="132" t="s">
        <v>764</v>
      </c>
      <c r="C119" s="16" t="s">
        <v>2012</v>
      </c>
      <c r="D119" s="130">
        <v>380.3</v>
      </c>
      <c r="E119" s="134">
        <v>71392.820000000007</v>
      </c>
      <c r="F119" s="132"/>
      <c r="G119" s="131">
        <f t="shared" si="3"/>
        <v>71392.820000000007</v>
      </c>
      <c r="H119" s="131"/>
      <c r="I119" s="292" t="s">
        <v>798</v>
      </c>
      <c r="J119" s="356">
        <v>43831</v>
      </c>
    </row>
    <row r="120" spans="1:10">
      <c r="A120" s="18">
        <v>114</v>
      </c>
      <c r="B120" s="132" t="s">
        <v>764</v>
      </c>
      <c r="C120" s="16" t="s">
        <v>2327</v>
      </c>
      <c r="D120" s="130">
        <v>376.3</v>
      </c>
      <c r="E120" s="134">
        <v>433146.02</v>
      </c>
      <c r="F120" s="132"/>
      <c r="G120" s="131">
        <f t="shared" si="3"/>
        <v>433146.02</v>
      </c>
      <c r="H120" s="131">
        <f>+G120</f>
        <v>433146.02</v>
      </c>
      <c r="I120" s="292">
        <v>14</v>
      </c>
      <c r="J120" s="356">
        <v>44042</v>
      </c>
    </row>
    <row r="121" spans="1:10">
      <c r="A121" s="18">
        <v>115</v>
      </c>
      <c r="B121" s="132" t="s">
        <v>764</v>
      </c>
      <c r="C121" s="16" t="s">
        <v>2328</v>
      </c>
      <c r="D121" s="130">
        <v>378</v>
      </c>
      <c r="E121" s="134">
        <v>177166.29</v>
      </c>
      <c r="F121" s="132"/>
      <c r="G121" s="131">
        <f t="shared" si="3"/>
        <v>177166.29</v>
      </c>
      <c r="H121" s="131">
        <f>+G121</f>
        <v>177166.29</v>
      </c>
      <c r="I121" s="292">
        <v>15</v>
      </c>
      <c r="J121" s="356">
        <v>44104</v>
      </c>
    </row>
    <row r="122" spans="1:10">
      <c r="A122" s="18">
        <v>116</v>
      </c>
      <c r="B122" s="132" t="s">
        <v>764</v>
      </c>
      <c r="C122" s="16" t="s">
        <v>2329</v>
      </c>
      <c r="D122" s="130">
        <v>376.3</v>
      </c>
      <c r="E122" s="134">
        <v>125671.29</v>
      </c>
      <c r="F122" s="132"/>
      <c r="G122" s="131">
        <f t="shared" si="3"/>
        <v>125671.29</v>
      </c>
      <c r="H122" s="131">
        <f t="shared" ref="H122:H130" si="5">+G122</f>
        <v>125671.29</v>
      </c>
      <c r="I122" s="292">
        <v>16</v>
      </c>
      <c r="J122" s="356">
        <v>44043</v>
      </c>
    </row>
    <row r="123" spans="1:10">
      <c r="A123" s="18">
        <v>117</v>
      </c>
      <c r="B123" s="132" t="s">
        <v>764</v>
      </c>
      <c r="C123" s="16" t="s">
        <v>2330</v>
      </c>
      <c r="D123" s="130">
        <v>376.1</v>
      </c>
      <c r="E123" s="134">
        <v>312625</v>
      </c>
      <c r="F123" s="132"/>
      <c r="G123" s="131">
        <f t="shared" si="3"/>
        <v>312625</v>
      </c>
      <c r="H123" s="131">
        <f t="shared" si="5"/>
        <v>312625</v>
      </c>
      <c r="I123" s="292">
        <v>17</v>
      </c>
      <c r="J123" s="356">
        <v>44165</v>
      </c>
    </row>
    <row r="124" spans="1:10">
      <c r="A124" s="18">
        <v>118</v>
      </c>
      <c r="B124" s="132" t="s">
        <v>764</v>
      </c>
      <c r="C124" s="16" t="s">
        <v>2331</v>
      </c>
      <c r="D124" s="130">
        <v>378</v>
      </c>
      <c r="E124" s="134">
        <v>352513.6</v>
      </c>
      <c r="F124" s="132"/>
      <c r="G124" s="131">
        <f t="shared" si="3"/>
        <v>352513.6</v>
      </c>
      <c r="H124" s="131">
        <f t="shared" si="5"/>
        <v>352513.6</v>
      </c>
      <c r="I124" s="292">
        <v>18</v>
      </c>
      <c r="J124" s="356">
        <v>44135</v>
      </c>
    </row>
    <row r="125" spans="1:10">
      <c r="A125" s="18">
        <v>119</v>
      </c>
      <c r="B125" s="132" t="s">
        <v>764</v>
      </c>
      <c r="C125" s="16" t="s">
        <v>2332</v>
      </c>
      <c r="D125" s="130">
        <v>378</v>
      </c>
      <c r="E125" s="134">
        <v>124719</v>
      </c>
      <c r="F125" s="132"/>
      <c r="G125" s="131">
        <f t="shared" si="3"/>
        <v>124719</v>
      </c>
      <c r="H125" s="131">
        <f t="shared" si="5"/>
        <v>124719</v>
      </c>
      <c r="I125" s="292">
        <v>19</v>
      </c>
      <c r="J125" s="356">
        <v>44155</v>
      </c>
    </row>
    <row r="126" spans="1:10">
      <c r="A126" s="18">
        <v>120</v>
      </c>
      <c r="B126" s="132" t="s">
        <v>764</v>
      </c>
      <c r="C126" s="16" t="s">
        <v>2333</v>
      </c>
      <c r="D126" s="130">
        <v>378</v>
      </c>
      <c r="E126" s="134">
        <v>124719</v>
      </c>
      <c r="F126" s="132"/>
      <c r="G126" s="131">
        <f t="shared" si="3"/>
        <v>124719</v>
      </c>
      <c r="H126" s="131">
        <f t="shared" si="5"/>
        <v>124719</v>
      </c>
      <c r="I126" s="292">
        <v>20</v>
      </c>
      <c r="J126" s="356">
        <v>44155</v>
      </c>
    </row>
    <row r="127" spans="1:10">
      <c r="A127" s="18">
        <v>121</v>
      </c>
      <c r="B127" s="132" t="s">
        <v>764</v>
      </c>
      <c r="C127" s="16" t="s">
        <v>2334</v>
      </c>
      <c r="D127" s="130">
        <v>378</v>
      </c>
      <c r="E127" s="134">
        <v>464483</v>
      </c>
      <c r="F127" s="132"/>
      <c r="G127" s="131">
        <f t="shared" si="3"/>
        <v>464483</v>
      </c>
      <c r="H127" s="131">
        <f t="shared" si="5"/>
        <v>464483</v>
      </c>
      <c r="I127" s="292">
        <v>22</v>
      </c>
      <c r="J127" s="356">
        <v>44165</v>
      </c>
    </row>
    <row r="128" spans="1:10">
      <c r="A128" s="18">
        <v>122</v>
      </c>
      <c r="B128" s="132" t="s">
        <v>764</v>
      </c>
      <c r="C128" s="16" t="s">
        <v>2335</v>
      </c>
      <c r="D128" s="130">
        <v>385</v>
      </c>
      <c r="E128" s="134">
        <v>58451</v>
      </c>
      <c r="F128" s="132"/>
      <c r="G128" s="131">
        <f t="shared" si="3"/>
        <v>58451</v>
      </c>
      <c r="H128" s="131"/>
      <c r="I128" s="292"/>
      <c r="J128" s="356">
        <v>44104</v>
      </c>
    </row>
    <row r="129" spans="1:10">
      <c r="A129" s="18">
        <v>123</v>
      </c>
      <c r="B129" s="132" t="s">
        <v>764</v>
      </c>
      <c r="C129" s="16" t="s">
        <v>2336</v>
      </c>
      <c r="D129" s="130">
        <v>378</v>
      </c>
      <c r="E129" s="134">
        <v>143033.60000000001</v>
      </c>
      <c r="F129" s="132"/>
      <c r="G129" s="131">
        <f t="shared" si="3"/>
        <v>143033.60000000001</v>
      </c>
      <c r="H129" s="131">
        <f t="shared" si="5"/>
        <v>143033.60000000001</v>
      </c>
      <c r="I129" s="292">
        <v>24</v>
      </c>
      <c r="J129" s="356">
        <v>44073</v>
      </c>
    </row>
    <row r="130" spans="1:10">
      <c r="A130" s="18">
        <v>124</v>
      </c>
      <c r="B130" s="132" t="s">
        <v>764</v>
      </c>
      <c r="C130" s="16" t="s">
        <v>2337</v>
      </c>
      <c r="D130" s="130">
        <v>378</v>
      </c>
      <c r="E130" s="134">
        <v>144470.20000000001</v>
      </c>
      <c r="F130" s="132"/>
      <c r="G130" s="131">
        <f t="shared" si="3"/>
        <v>144470.20000000001</v>
      </c>
      <c r="H130" s="131">
        <f t="shared" si="5"/>
        <v>144470.20000000001</v>
      </c>
      <c r="I130" s="292">
        <v>25</v>
      </c>
      <c r="J130" s="356">
        <v>44073</v>
      </c>
    </row>
    <row r="131" spans="1:10">
      <c r="A131" s="18">
        <v>125</v>
      </c>
      <c r="B131" s="132" t="s">
        <v>764</v>
      </c>
      <c r="C131" s="16" t="s">
        <v>2338</v>
      </c>
      <c r="D131" s="130">
        <v>376.2</v>
      </c>
      <c r="E131" s="134">
        <v>1725636</v>
      </c>
      <c r="F131" s="132"/>
      <c r="G131" s="131">
        <f t="shared" si="3"/>
        <v>1725636</v>
      </c>
      <c r="H131" s="131">
        <f>+G131</f>
        <v>1725636</v>
      </c>
      <c r="I131" s="292">
        <v>26</v>
      </c>
      <c r="J131" s="356">
        <v>44407</v>
      </c>
    </row>
    <row r="132" spans="1:10">
      <c r="A132" s="18">
        <v>126</v>
      </c>
      <c r="B132" s="132" t="s">
        <v>764</v>
      </c>
      <c r="C132" s="16" t="s">
        <v>2013</v>
      </c>
      <c r="D132" s="130">
        <v>376.3</v>
      </c>
      <c r="E132" s="134">
        <v>19400.099999999999</v>
      </c>
      <c r="F132" s="132"/>
      <c r="G132" s="131">
        <f t="shared" si="3"/>
        <v>19400.099999999999</v>
      </c>
      <c r="H132" s="131"/>
      <c r="I132" s="292"/>
      <c r="J132" s="356">
        <v>43889</v>
      </c>
    </row>
    <row r="133" spans="1:10">
      <c r="A133" s="18">
        <v>127</v>
      </c>
      <c r="B133" s="132" t="s">
        <v>764</v>
      </c>
      <c r="C133" s="16" t="s">
        <v>2339</v>
      </c>
      <c r="D133" s="130">
        <v>378</v>
      </c>
      <c r="E133" s="134">
        <v>5607.8</v>
      </c>
      <c r="F133" s="132"/>
      <c r="G133" s="131">
        <f t="shared" si="3"/>
        <v>5607.8</v>
      </c>
      <c r="H133" s="131"/>
      <c r="I133" s="292"/>
      <c r="J133" s="356">
        <v>44124</v>
      </c>
    </row>
    <row r="134" spans="1:10">
      <c r="A134" s="18">
        <v>128</v>
      </c>
      <c r="B134" s="132" t="s">
        <v>764</v>
      </c>
      <c r="C134" s="16" t="s">
        <v>2340</v>
      </c>
      <c r="D134" s="130">
        <v>378</v>
      </c>
      <c r="E134" s="134">
        <v>5845.1</v>
      </c>
      <c r="F134" s="132"/>
      <c r="G134" s="131">
        <f t="shared" si="3"/>
        <v>5845.1</v>
      </c>
      <c r="H134" s="131"/>
      <c r="I134" s="292"/>
      <c r="J134" s="356">
        <v>44094</v>
      </c>
    </row>
    <row r="135" spans="1:10">
      <c r="A135" s="18">
        <v>129</v>
      </c>
      <c r="B135" s="132" t="s">
        <v>764</v>
      </c>
      <c r="C135" s="16" t="s">
        <v>2341</v>
      </c>
      <c r="D135" s="130">
        <v>376.2</v>
      </c>
      <c r="E135" s="134">
        <v>1196019</v>
      </c>
      <c r="F135" s="132"/>
      <c r="G135" s="131">
        <f t="shared" si="3"/>
        <v>1196019</v>
      </c>
      <c r="H135" s="131"/>
      <c r="I135" s="292" t="s">
        <v>798</v>
      </c>
      <c r="J135" s="356">
        <v>44195</v>
      </c>
    </row>
    <row r="136" spans="1:10">
      <c r="A136" s="18">
        <v>130</v>
      </c>
      <c r="B136" s="132" t="s">
        <v>764</v>
      </c>
      <c r="C136" s="16" t="s">
        <v>2405</v>
      </c>
      <c r="D136" s="130">
        <v>376</v>
      </c>
      <c r="E136" s="134">
        <v>1178410</v>
      </c>
      <c r="F136" s="132"/>
      <c r="G136" s="131">
        <f t="shared" si="3"/>
        <v>1178410</v>
      </c>
      <c r="H136" s="131"/>
      <c r="I136" s="292"/>
      <c r="J136" s="356">
        <v>44196</v>
      </c>
    </row>
    <row r="137" spans="1:10">
      <c r="A137" s="18">
        <v>131</v>
      </c>
      <c r="B137" s="132" t="s">
        <v>764</v>
      </c>
      <c r="C137" s="16" t="s">
        <v>2406</v>
      </c>
      <c r="D137" s="130">
        <v>380</v>
      </c>
      <c r="E137" s="134">
        <v>128780</v>
      </c>
      <c r="F137" s="132"/>
      <c r="G137" s="131">
        <f t="shared" si="3"/>
        <v>128780</v>
      </c>
      <c r="H137" s="131"/>
      <c r="I137" s="292"/>
      <c r="J137" s="356">
        <v>44196</v>
      </c>
    </row>
    <row r="138" spans="1:10">
      <c r="A138" s="18">
        <v>132</v>
      </c>
      <c r="B138" s="132" t="s">
        <v>764</v>
      </c>
      <c r="C138" s="16" t="s">
        <v>2343</v>
      </c>
      <c r="D138" s="130">
        <v>376.3</v>
      </c>
      <c r="E138" s="134">
        <v>121015.44</v>
      </c>
      <c r="F138" s="132"/>
      <c r="G138" s="131">
        <f t="shared" si="3"/>
        <v>121015.44</v>
      </c>
      <c r="H138" s="131"/>
      <c r="I138" s="292"/>
      <c r="J138" s="356">
        <v>43936</v>
      </c>
    </row>
    <row r="139" spans="1:10">
      <c r="A139" s="18">
        <v>133</v>
      </c>
      <c r="B139" s="132" t="s">
        <v>764</v>
      </c>
      <c r="C139" s="16" t="s">
        <v>2342</v>
      </c>
      <c r="D139" s="130">
        <v>376.3</v>
      </c>
      <c r="E139" s="134">
        <v>169486.67</v>
      </c>
      <c r="F139" s="132"/>
      <c r="G139" s="131">
        <f t="shared" si="3"/>
        <v>169486.67</v>
      </c>
      <c r="H139" s="131"/>
      <c r="I139" s="292"/>
      <c r="J139" s="356">
        <v>43952</v>
      </c>
    </row>
    <row r="140" spans="1:10">
      <c r="A140" s="18">
        <v>134</v>
      </c>
      <c r="B140" s="132" t="s">
        <v>764</v>
      </c>
      <c r="C140" s="132" t="s">
        <v>2014</v>
      </c>
      <c r="D140" s="130">
        <v>376.3</v>
      </c>
      <c r="E140" s="134">
        <v>10487.23</v>
      </c>
      <c r="F140" s="132"/>
      <c r="G140" s="131">
        <f t="shared" si="3"/>
        <v>10487.23</v>
      </c>
      <c r="H140" s="131"/>
      <c r="I140" s="292"/>
      <c r="J140" s="604">
        <v>43981</v>
      </c>
    </row>
    <row r="141" spans="1:10">
      <c r="A141" s="18">
        <v>135</v>
      </c>
      <c r="B141" s="132" t="s">
        <v>764</v>
      </c>
      <c r="C141" s="132" t="s">
        <v>2015</v>
      </c>
      <c r="D141" s="130">
        <v>376.2</v>
      </c>
      <c r="E141" s="134">
        <v>16510.169999999998</v>
      </c>
      <c r="F141" s="132"/>
      <c r="G141" s="131">
        <f t="shared" si="3"/>
        <v>16510.169999999998</v>
      </c>
      <c r="H141" s="131"/>
      <c r="I141" s="292"/>
      <c r="J141" s="604">
        <v>44195</v>
      </c>
    </row>
    <row r="142" spans="1:10">
      <c r="A142" s="18">
        <v>136</v>
      </c>
      <c r="B142" s="132" t="s">
        <v>764</v>
      </c>
      <c r="C142" s="132" t="s">
        <v>2016</v>
      </c>
      <c r="D142" s="130">
        <v>376.3</v>
      </c>
      <c r="E142" s="134">
        <v>52336.62</v>
      </c>
      <c r="F142" s="132"/>
      <c r="G142" s="131">
        <f t="shared" si="3"/>
        <v>52336.62</v>
      </c>
      <c r="H142" s="131"/>
      <c r="I142" s="292"/>
      <c r="J142" s="604">
        <v>43981</v>
      </c>
    </row>
    <row r="143" spans="1:10">
      <c r="A143" s="18">
        <v>137</v>
      </c>
      <c r="B143" s="132" t="s">
        <v>764</v>
      </c>
      <c r="C143" s="132" t="s">
        <v>2017</v>
      </c>
      <c r="D143" s="130">
        <v>376.1</v>
      </c>
      <c r="E143" s="134">
        <v>1145.58</v>
      </c>
      <c r="F143" s="132"/>
      <c r="G143" s="131">
        <f t="shared" si="3"/>
        <v>1145.58</v>
      </c>
      <c r="H143" s="131"/>
      <c r="I143" s="292"/>
      <c r="J143" s="356">
        <v>43862</v>
      </c>
    </row>
    <row r="144" spans="1:10">
      <c r="A144" s="18">
        <v>138</v>
      </c>
      <c r="B144" s="132" t="s">
        <v>764</v>
      </c>
      <c r="C144" s="132" t="s">
        <v>2018</v>
      </c>
      <c r="D144" s="130">
        <v>376.3</v>
      </c>
      <c r="E144" s="134">
        <v>-87097.05</v>
      </c>
      <c r="F144" s="132"/>
      <c r="G144" s="131">
        <f t="shared" si="3"/>
        <v>-87097.05</v>
      </c>
      <c r="H144" s="131"/>
      <c r="I144" s="292"/>
      <c r="J144" s="604">
        <v>44155</v>
      </c>
    </row>
    <row r="145" spans="1:10">
      <c r="A145" s="18">
        <v>139</v>
      </c>
      <c r="B145" s="132" t="s">
        <v>764</v>
      </c>
      <c r="C145" s="132" t="s">
        <v>2019</v>
      </c>
      <c r="D145" s="130">
        <v>380.3</v>
      </c>
      <c r="E145" s="134">
        <v>-21795.91</v>
      </c>
      <c r="F145" s="132"/>
      <c r="G145" s="131">
        <f t="shared" si="3"/>
        <v>-21795.91</v>
      </c>
      <c r="H145" s="131"/>
      <c r="I145" s="292"/>
      <c r="J145" s="604">
        <v>44155</v>
      </c>
    </row>
    <row r="146" spans="1:10">
      <c r="A146" s="18">
        <v>140</v>
      </c>
      <c r="B146" s="359"/>
      <c r="C146" s="360"/>
      <c r="D146" s="135"/>
      <c r="E146" s="361">
        <f>SUM(E34:E145)</f>
        <v>88517757.529999986</v>
      </c>
      <c r="F146" s="359"/>
      <c r="G146" s="131">
        <f t="shared" ref="G146:G194" si="6">+E146</f>
        <v>88517757.529999986</v>
      </c>
      <c r="H146" s="362">
        <f>SUM(H34:H145)</f>
        <v>52174455.754975997</v>
      </c>
      <c r="I146" s="363"/>
      <c r="J146" s="778"/>
    </row>
    <row r="147" spans="1:10">
      <c r="A147" s="18">
        <v>141</v>
      </c>
      <c r="B147" s="132" t="s">
        <v>773</v>
      </c>
      <c r="C147" s="132" t="s">
        <v>774</v>
      </c>
      <c r="D147" s="130">
        <v>392.2</v>
      </c>
      <c r="E147" s="134">
        <v>219131.38</v>
      </c>
      <c r="F147" s="132"/>
      <c r="G147" s="131">
        <f t="shared" si="6"/>
        <v>219131.38</v>
      </c>
      <c r="H147" s="131"/>
      <c r="I147" s="292"/>
      <c r="J147" s="604">
        <v>44012</v>
      </c>
    </row>
    <row r="148" spans="1:10">
      <c r="A148" s="18">
        <v>142</v>
      </c>
      <c r="B148" s="132" t="s">
        <v>773</v>
      </c>
      <c r="C148" s="132" t="s">
        <v>2002</v>
      </c>
      <c r="D148" s="130">
        <v>394.1</v>
      </c>
      <c r="E148" s="134">
        <v>1359.54</v>
      </c>
      <c r="F148" s="132"/>
      <c r="G148" s="131">
        <f t="shared" si="6"/>
        <v>1359.54</v>
      </c>
      <c r="H148" s="131"/>
      <c r="I148" s="292"/>
      <c r="J148" s="604">
        <v>43921</v>
      </c>
    </row>
    <row r="149" spans="1:10">
      <c r="A149" s="18">
        <v>143</v>
      </c>
      <c r="B149" s="132" t="s">
        <v>773</v>
      </c>
      <c r="C149" s="132" t="s">
        <v>2003</v>
      </c>
      <c r="D149" s="130">
        <v>390.1</v>
      </c>
      <c r="E149" s="134">
        <v>36245.61</v>
      </c>
      <c r="F149" s="132"/>
      <c r="G149" s="131">
        <f t="shared" si="6"/>
        <v>36245.61</v>
      </c>
      <c r="H149" s="131"/>
      <c r="I149" s="292"/>
      <c r="J149" s="604">
        <v>43860</v>
      </c>
    </row>
    <row r="150" spans="1:10">
      <c r="A150" s="18">
        <v>144</v>
      </c>
      <c r="B150" s="132" t="s">
        <v>773</v>
      </c>
      <c r="C150" s="132" t="s">
        <v>2295</v>
      </c>
      <c r="D150" s="130">
        <v>391.3</v>
      </c>
      <c r="E150" s="134">
        <v>27223.01</v>
      </c>
      <c r="F150" s="357">
        <f>+'State Allocation Formulas'!C21</f>
        <v>0.75170000000000003</v>
      </c>
      <c r="G150" s="131">
        <f t="shared" si="6"/>
        <v>27223.01</v>
      </c>
      <c r="H150" s="131"/>
      <c r="I150" s="292"/>
      <c r="J150" s="604">
        <v>43952</v>
      </c>
    </row>
    <row r="151" spans="1:10">
      <c r="A151" s="18">
        <v>146</v>
      </c>
      <c r="B151" s="132" t="s">
        <v>773</v>
      </c>
      <c r="C151" s="132" t="s">
        <v>2432</v>
      </c>
      <c r="D151" s="130">
        <v>391.1</v>
      </c>
      <c r="E151" s="134">
        <v>176798.64</v>
      </c>
      <c r="F151" s="357">
        <f>+'State Allocation Formulas'!C21</f>
        <v>0.75170000000000003</v>
      </c>
      <c r="G151" s="131">
        <f t="shared" si="6"/>
        <v>176798.64</v>
      </c>
      <c r="H151" s="131"/>
      <c r="I151" s="292"/>
      <c r="J151" s="604">
        <v>44196</v>
      </c>
    </row>
    <row r="152" spans="1:10">
      <c r="A152" s="18">
        <v>147</v>
      </c>
      <c r="B152" s="132" t="s">
        <v>773</v>
      </c>
      <c r="C152" s="132" t="s">
        <v>2433</v>
      </c>
      <c r="D152" s="130">
        <v>391.5</v>
      </c>
      <c r="E152" s="134">
        <v>50980</v>
      </c>
      <c r="F152" s="357">
        <f>+'State Allocation Formulas'!C21</f>
        <v>0.75170000000000003</v>
      </c>
      <c r="G152" s="131">
        <f t="shared" si="6"/>
        <v>50980</v>
      </c>
      <c r="H152" s="131"/>
      <c r="I152" s="292"/>
      <c r="J152" s="604">
        <v>44196</v>
      </c>
    </row>
    <row r="153" spans="1:10">
      <c r="A153" s="18">
        <v>148</v>
      </c>
      <c r="B153" s="132" t="s">
        <v>773</v>
      </c>
      <c r="C153" s="132" t="s">
        <v>2296</v>
      </c>
      <c r="D153" s="130">
        <v>391.3</v>
      </c>
      <c r="E153" s="134">
        <v>17333.2</v>
      </c>
      <c r="F153" s="357">
        <f>+'State Allocation Formulas'!C21</f>
        <v>0.75170000000000003</v>
      </c>
      <c r="G153" s="131">
        <f t="shared" si="6"/>
        <v>17333.2</v>
      </c>
      <c r="H153" s="131"/>
      <c r="I153" s="292"/>
      <c r="J153" s="604">
        <v>43952</v>
      </c>
    </row>
    <row r="154" spans="1:10">
      <c r="A154" s="18">
        <v>149</v>
      </c>
      <c r="B154" s="132" t="s">
        <v>773</v>
      </c>
      <c r="C154" s="132" t="s">
        <v>2272</v>
      </c>
      <c r="D154" s="130">
        <v>390.1</v>
      </c>
      <c r="E154" s="134">
        <v>316076</v>
      </c>
      <c r="F154" s="132"/>
      <c r="G154" s="131">
        <f t="shared" si="6"/>
        <v>316076</v>
      </c>
      <c r="H154" s="131"/>
      <c r="I154" s="292"/>
      <c r="J154" s="604">
        <v>44013</v>
      </c>
    </row>
    <row r="155" spans="1:10">
      <c r="A155" s="18">
        <v>150</v>
      </c>
      <c r="B155" s="132" t="s">
        <v>773</v>
      </c>
      <c r="C155" s="132" t="s">
        <v>1290</v>
      </c>
      <c r="D155" s="130">
        <v>390.1</v>
      </c>
      <c r="E155" s="134">
        <v>15243.69</v>
      </c>
      <c r="F155" s="132"/>
      <c r="G155" s="131">
        <f t="shared" si="6"/>
        <v>15243.69</v>
      </c>
      <c r="H155" s="131"/>
      <c r="I155" s="292"/>
      <c r="J155" s="604">
        <v>44155</v>
      </c>
    </row>
    <row r="156" spans="1:10">
      <c r="A156" s="18">
        <v>151</v>
      </c>
      <c r="B156" s="132" t="s">
        <v>773</v>
      </c>
      <c r="C156" s="132" t="s">
        <v>2273</v>
      </c>
      <c r="D156" s="130">
        <v>390</v>
      </c>
      <c r="E156" s="134">
        <v>20392</v>
      </c>
      <c r="F156" s="132"/>
      <c r="G156" s="131">
        <f t="shared" si="6"/>
        <v>20392</v>
      </c>
      <c r="H156" s="131"/>
      <c r="I156" s="292"/>
      <c r="J156" s="604">
        <v>43987</v>
      </c>
    </row>
    <row r="157" spans="1:10">
      <c r="A157" s="18">
        <v>152</v>
      </c>
      <c r="B157" s="132" t="s">
        <v>773</v>
      </c>
      <c r="C157" s="132" t="s">
        <v>2434</v>
      </c>
      <c r="D157" s="130">
        <v>397</v>
      </c>
      <c r="E157" s="134">
        <v>509800</v>
      </c>
      <c r="F157" s="788">
        <f>+'State Allocation Formulas'!C21</f>
        <v>0.75170000000000003</v>
      </c>
      <c r="G157" s="131">
        <f t="shared" si="6"/>
        <v>509800</v>
      </c>
      <c r="H157" s="131"/>
      <c r="I157" s="292"/>
      <c r="J157" s="604">
        <v>44196</v>
      </c>
    </row>
    <row r="158" spans="1:10">
      <c r="A158" s="18">
        <v>153</v>
      </c>
      <c r="B158" s="132" t="s">
        <v>773</v>
      </c>
      <c r="C158" s="132" t="s">
        <v>2435</v>
      </c>
      <c r="D158" s="130">
        <v>397</v>
      </c>
      <c r="E158" s="134">
        <v>1223.52</v>
      </c>
      <c r="F158" s="788">
        <f>+'State Allocation Formulas'!C21</f>
        <v>0.75170000000000003</v>
      </c>
      <c r="G158" s="131">
        <f t="shared" si="6"/>
        <v>1223.52</v>
      </c>
      <c r="H158" s="131"/>
      <c r="I158" s="292"/>
      <c r="J158" s="604">
        <v>44196</v>
      </c>
    </row>
    <row r="159" spans="1:10">
      <c r="A159" s="18">
        <v>154</v>
      </c>
      <c r="B159" s="132" t="s">
        <v>773</v>
      </c>
      <c r="C159" s="132" t="s">
        <v>2297</v>
      </c>
      <c r="D159" s="130">
        <v>394.1</v>
      </c>
      <c r="E159" s="134">
        <v>14274.4</v>
      </c>
      <c r="F159" s="132"/>
      <c r="G159" s="131">
        <f t="shared" si="6"/>
        <v>14274.4</v>
      </c>
      <c r="H159" s="131"/>
      <c r="I159" s="292"/>
      <c r="J159" s="604">
        <v>43862</v>
      </c>
    </row>
    <row r="160" spans="1:10">
      <c r="A160" s="18">
        <v>155</v>
      </c>
      <c r="B160" s="132" t="s">
        <v>773</v>
      </c>
      <c r="C160" s="132" t="s">
        <v>2298</v>
      </c>
      <c r="D160" s="130">
        <v>394.1</v>
      </c>
      <c r="E160" s="134">
        <v>6627.4</v>
      </c>
      <c r="F160" s="132"/>
      <c r="G160" s="131">
        <f t="shared" si="6"/>
        <v>6627.4</v>
      </c>
      <c r="H160" s="131"/>
      <c r="I160" s="292"/>
      <c r="J160" s="604">
        <v>43862</v>
      </c>
    </row>
    <row r="161" spans="1:10">
      <c r="A161" s="18">
        <v>156</v>
      </c>
      <c r="B161" s="132" t="s">
        <v>773</v>
      </c>
      <c r="C161" s="132" t="s">
        <v>2274</v>
      </c>
      <c r="D161" s="130">
        <v>390.1</v>
      </c>
      <c r="E161" s="134">
        <v>1064539.08</v>
      </c>
      <c r="F161" s="132"/>
      <c r="G161" s="131">
        <f t="shared" si="6"/>
        <v>1064539.08</v>
      </c>
      <c r="H161" s="131">
        <f>+G161</f>
        <v>1064539.08</v>
      </c>
      <c r="I161" s="292">
        <v>13</v>
      </c>
      <c r="J161" s="604">
        <v>44134</v>
      </c>
    </row>
    <row r="162" spans="1:10">
      <c r="A162" s="18">
        <v>157</v>
      </c>
      <c r="B162" s="132" t="s">
        <v>773</v>
      </c>
      <c r="C162" s="132" t="s">
        <v>2299</v>
      </c>
      <c r="D162" s="130">
        <v>397</v>
      </c>
      <c r="E162" s="134">
        <v>158321.16</v>
      </c>
      <c r="F162" s="357">
        <f>+'State Allocation Formulas'!C21</f>
        <v>0.75170000000000003</v>
      </c>
      <c r="G162" s="131">
        <f t="shared" si="6"/>
        <v>158321.16</v>
      </c>
      <c r="H162" s="131"/>
      <c r="I162" s="292"/>
      <c r="J162" s="604">
        <v>44150</v>
      </c>
    </row>
    <row r="163" spans="1:10">
      <c r="A163" s="18">
        <v>158</v>
      </c>
      <c r="B163" s="132" t="s">
        <v>773</v>
      </c>
      <c r="C163" s="132" t="s">
        <v>2275</v>
      </c>
      <c r="D163" s="130">
        <v>390.1</v>
      </c>
      <c r="E163" s="134">
        <v>620912.69999999995</v>
      </c>
      <c r="F163" s="132"/>
      <c r="G163" s="131">
        <f t="shared" si="6"/>
        <v>620912.69999999995</v>
      </c>
      <c r="H163" s="131"/>
      <c r="I163" s="292"/>
      <c r="J163" s="604">
        <v>44136</v>
      </c>
    </row>
    <row r="164" spans="1:10">
      <c r="A164" s="18">
        <v>159</v>
      </c>
      <c r="B164" s="132" t="s">
        <v>773</v>
      </c>
      <c r="C164" s="132" t="s">
        <v>2276</v>
      </c>
      <c r="D164" s="130">
        <v>390.1</v>
      </c>
      <c r="E164" s="134">
        <v>76470</v>
      </c>
      <c r="F164" s="132"/>
      <c r="G164" s="131">
        <f t="shared" si="6"/>
        <v>76470</v>
      </c>
      <c r="H164" s="131"/>
      <c r="I164" s="292"/>
      <c r="J164" s="604">
        <v>44043</v>
      </c>
    </row>
    <row r="165" spans="1:10">
      <c r="A165" s="18">
        <v>160</v>
      </c>
      <c r="B165" s="132" t="s">
        <v>773</v>
      </c>
      <c r="C165" s="132" t="s">
        <v>2300</v>
      </c>
      <c r="D165" s="130">
        <v>394.1</v>
      </c>
      <c r="E165" s="134">
        <v>33646.800000000003</v>
      </c>
      <c r="F165" s="132"/>
      <c r="G165" s="131">
        <f t="shared" si="6"/>
        <v>33646.800000000003</v>
      </c>
      <c r="H165" s="131"/>
      <c r="I165" s="292"/>
      <c r="J165" s="604">
        <v>43951</v>
      </c>
    </row>
    <row r="166" spans="1:10">
      <c r="A166" s="18">
        <v>161</v>
      </c>
      <c r="B166" s="132" t="s">
        <v>773</v>
      </c>
      <c r="C166" s="132" t="s">
        <v>2301</v>
      </c>
      <c r="D166" s="130">
        <v>394.1</v>
      </c>
      <c r="E166" s="134">
        <v>23450.799999999999</v>
      </c>
      <c r="F166" s="132"/>
      <c r="G166" s="131">
        <f t="shared" si="6"/>
        <v>23450.799999999999</v>
      </c>
      <c r="H166" s="131"/>
      <c r="I166" s="292"/>
      <c r="J166" s="604">
        <v>43951</v>
      </c>
    </row>
    <row r="167" spans="1:10">
      <c r="A167" s="18">
        <v>162</v>
      </c>
      <c r="B167" s="132" t="s">
        <v>773</v>
      </c>
      <c r="C167" s="132" t="s">
        <v>2302</v>
      </c>
      <c r="D167" s="130">
        <v>394.1</v>
      </c>
      <c r="E167" s="134">
        <v>23450.799999999999</v>
      </c>
      <c r="F167" s="132"/>
      <c r="G167" s="131">
        <f t="shared" si="6"/>
        <v>23450.799999999999</v>
      </c>
      <c r="H167" s="131"/>
      <c r="I167" s="292"/>
      <c r="J167" s="604">
        <v>43988</v>
      </c>
    </row>
    <row r="168" spans="1:10">
      <c r="A168" s="18">
        <v>163</v>
      </c>
      <c r="B168" s="132" t="s">
        <v>773</v>
      </c>
      <c r="C168" s="132" t="s">
        <v>2303</v>
      </c>
      <c r="D168" s="130">
        <v>394.1</v>
      </c>
      <c r="E168" s="134">
        <v>23450.799999999999</v>
      </c>
      <c r="F168" s="132"/>
      <c r="G168" s="131">
        <f t="shared" si="6"/>
        <v>23450.799999999999</v>
      </c>
      <c r="H168" s="131"/>
      <c r="I168" s="292"/>
      <c r="J168" s="604">
        <v>44135</v>
      </c>
    </row>
    <row r="169" spans="1:10">
      <c r="A169" s="18">
        <v>164</v>
      </c>
      <c r="B169" s="132" t="s">
        <v>773</v>
      </c>
      <c r="C169" s="132" t="s">
        <v>2304</v>
      </c>
      <c r="D169" s="130">
        <v>394.1</v>
      </c>
      <c r="E169" s="134">
        <v>8156.8</v>
      </c>
      <c r="F169" s="132"/>
      <c r="G169" s="131">
        <f t="shared" si="6"/>
        <v>8156.8</v>
      </c>
      <c r="H169" s="131"/>
      <c r="I169" s="292"/>
      <c r="J169" s="604">
        <v>43982</v>
      </c>
    </row>
    <row r="170" spans="1:10">
      <c r="A170" s="18">
        <v>165</v>
      </c>
      <c r="B170" s="132" t="s">
        <v>773</v>
      </c>
      <c r="C170" s="132" t="s">
        <v>2305</v>
      </c>
      <c r="D170" s="130">
        <v>394.1</v>
      </c>
      <c r="E170" s="134">
        <v>25490</v>
      </c>
      <c r="F170" s="132"/>
      <c r="G170" s="131">
        <f t="shared" si="6"/>
        <v>25490</v>
      </c>
      <c r="H170" s="131"/>
      <c r="I170" s="292"/>
      <c r="J170" s="604">
        <v>43951</v>
      </c>
    </row>
    <row r="171" spans="1:10">
      <c r="A171" s="18">
        <v>166</v>
      </c>
      <c r="B171" s="132" t="s">
        <v>773</v>
      </c>
      <c r="C171" s="132" t="s">
        <v>2306</v>
      </c>
      <c r="D171" s="130">
        <v>394.1</v>
      </c>
      <c r="E171" s="134">
        <v>20392</v>
      </c>
      <c r="F171" s="132"/>
      <c r="G171" s="131">
        <f t="shared" si="6"/>
        <v>20392</v>
      </c>
      <c r="H171" s="131"/>
      <c r="I171" s="292"/>
      <c r="J171" s="604">
        <v>44135</v>
      </c>
    </row>
    <row r="172" spans="1:10">
      <c r="A172" s="18">
        <v>167</v>
      </c>
      <c r="B172" s="132" t="s">
        <v>773</v>
      </c>
      <c r="C172" s="132" t="s">
        <v>2307</v>
      </c>
      <c r="D172" s="130">
        <v>394.1</v>
      </c>
      <c r="E172" s="134">
        <v>7137.2</v>
      </c>
      <c r="F172" s="132"/>
      <c r="G172" s="131">
        <f t="shared" si="6"/>
        <v>7137.2</v>
      </c>
      <c r="H172" s="131"/>
      <c r="I172" s="292"/>
      <c r="J172" s="604">
        <v>43925</v>
      </c>
    </row>
    <row r="173" spans="1:10">
      <c r="A173" s="18">
        <v>168</v>
      </c>
      <c r="B173" s="132" t="s">
        <v>773</v>
      </c>
      <c r="C173" s="132" t="s">
        <v>2308</v>
      </c>
      <c r="D173" s="130">
        <v>394</v>
      </c>
      <c r="E173" s="134">
        <v>76238.350000000006</v>
      </c>
      <c r="F173" s="357">
        <f>+'State Allocation Formulas'!C21</f>
        <v>0.75170000000000003</v>
      </c>
      <c r="G173" s="131">
        <f t="shared" si="6"/>
        <v>76238.350000000006</v>
      </c>
      <c r="H173" s="131"/>
      <c r="I173" s="292"/>
      <c r="J173" s="604">
        <v>44012</v>
      </c>
    </row>
    <row r="174" spans="1:10">
      <c r="A174" s="18">
        <v>169</v>
      </c>
      <c r="B174" s="132" t="s">
        <v>773</v>
      </c>
      <c r="C174" s="132" t="s">
        <v>2277</v>
      </c>
      <c r="D174" s="130">
        <v>390.1</v>
      </c>
      <c r="E174" s="134">
        <v>195305.21</v>
      </c>
      <c r="F174" s="132"/>
      <c r="G174" s="131">
        <f t="shared" si="6"/>
        <v>195305.21</v>
      </c>
      <c r="H174" s="131"/>
      <c r="I174" s="292"/>
      <c r="J174" s="604">
        <v>44104</v>
      </c>
    </row>
    <row r="175" spans="1:10">
      <c r="A175" s="18">
        <v>170</v>
      </c>
      <c r="B175" s="132" t="s">
        <v>773</v>
      </c>
      <c r="C175" s="132" t="s">
        <v>2309</v>
      </c>
      <c r="D175" s="130">
        <v>394</v>
      </c>
      <c r="E175" s="134">
        <v>11422.98</v>
      </c>
      <c r="F175" s="357">
        <f>+'State Allocation Formulas'!C21</f>
        <v>0.75170000000000003</v>
      </c>
      <c r="G175" s="131">
        <f t="shared" si="6"/>
        <v>11422.98</v>
      </c>
      <c r="H175" s="131"/>
      <c r="I175" s="292"/>
      <c r="J175" s="604">
        <v>43920</v>
      </c>
    </row>
    <row r="176" spans="1:10">
      <c r="A176" s="18">
        <v>171</v>
      </c>
      <c r="B176" s="132" t="s">
        <v>773</v>
      </c>
      <c r="C176" s="132" t="s">
        <v>2310</v>
      </c>
      <c r="D176" s="130">
        <v>394</v>
      </c>
      <c r="E176" s="134">
        <v>13240.14</v>
      </c>
      <c r="F176" s="357">
        <f>+'State Allocation Formulas'!C21</f>
        <v>0.75170000000000003</v>
      </c>
      <c r="G176" s="131">
        <f t="shared" si="6"/>
        <v>13240.14</v>
      </c>
      <c r="H176" s="131"/>
      <c r="I176" s="292"/>
      <c r="J176" s="604">
        <v>44012</v>
      </c>
    </row>
    <row r="177" spans="1:10">
      <c r="A177" s="18">
        <v>172</v>
      </c>
      <c r="B177" s="132" t="s">
        <v>773</v>
      </c>
      <c r="C177" s="132" t="s">
        <v>2278</v>
      </c>
      <c r="D177" s="130">
        <v>390</v>
      </c>
      <c r="E177" s="134">
        <v>67673.91</v>
      </c>
      <c r="F177" s="357">
        <f>+'State Allocation Formulas'!C21</f>
        <v>0.75170000000000003</v>
      </c>
      <c r="G177" s="131">
        <f t="shared" si="6"/>
        <v>67673.91</v>
      </c>
      <c r="H177" s="131"/>
      <c r="I177" s="292"/>
      <c r="J177" s="604">
        <v>43900</v>
      </c>
    </row>
    <row r="178" spans="1:10">
      <c r="A178" s="18">
        <v>173</v>
      </c>
      <c r="B178" s="132" t="s">
        <v>773</v>
      </c>
      <c r="C178" s="132" t="s">
        <v>2311</v>
      </c>
      <c r="D178" s="130">
        <v>394</v>
      </c>
      <c r="E178" s="134">
        <v>5955.01</v>
      </c>
      <c r="F178" s="357">
        <f>+'State Allocation Formulas'!C21</f>
        <v>0.75170000000000003</v>
      </c>
      <c r="G178" s="131">
        <f t="shared" si="6"/>
        <v>5955.01</v>
      </c>
      <c r="H178" s="131"/>
      <c r="I178" s="292"/>
      <c r="J178" s="604">
        <v>43891</v>
      </c>
    </row>
    <row r="179" spans="1:10">
      <c r="A179" s="18">
        <v>174</v>
      </c>
      <c r="B179" s="132" t="s">
        <v>773</v>
      </c>
      <c r="C179" s="132" t="s">
        <v>2279</v>
      </c>
      <c r="D179" s="130">
        <v>390.1</v>
      </c>
      <c r="E179" s="134">
        <v>23392</v>
      </c>
      <c r="F179" s="132"/>
      <c r="G179" s="131">
        <f t="shared" si="6"/>
        <v>23392</v>
      </c>
      <c r="H179" s="131"/>
      <c r="I179" s="292"/>
      <c r="J179" s="604">
        <v>43920</v>
      </c>
    </row>
    <row r="180" spans="1:10">
      <c r="A180" s="18">
        <v>175</v>
      </c>
      <c r="B180" s="132" t="s">
        <v>773</v>
      </c>
      <c r="C180" s="132" t="s">
        <v>2280</v>
      </c>
      <c r="D180" s="130">
        <v>390.1</v>
      </c>
      <c r="E180" s="134">
        <v>46705.599999999999</v>
      </c>
      <c r="F180" s="132"/>
      <c r="G180" s="131">
        <f t="shared" si="6"/>
        <v>46705.599999999999</v>
      </c>
      <c r="H180" s="131"/>
      <c r="I180" s="292"/>
      <c r="J180" s="604">
        <v>44094</v>
      </c>
    </row>
    <row r="181" spans="1:10">
      <c r="A181" s="18">
        <v>176</v>
      </c>
      <c r="B181" s="132" t="s">
        <v>773</v>
      </c>
      <c r="C181" s="132" t="s">
        <v>2281</v>
      </c>
      <c r="D181" s="130">
        <v>390.1</v>
      </c>
      <c r="E181" s="134">
        <v>18294</v>
      </c>
      <c r="F181" s="132"/>
      <c r="G181" s="131">
        <f t="shared" si="6"/>
        <v>18294</v>
      </c>
      <c r="H181" s="131"/>
      <c r="I181" s="292"/>
      <c r="J181" s="604">
        <v>44185</v>
      </c>
    </row>
    <row r="182" spans="1:10">
      <c r="A182" s="18">
        <v>177</v>
      </c>
      <c r="B182" s="132" t="s">
        <v>773</v>
      </c>
      <c r="C182" s="132" t="s">
        <v>2282</v>
      </c>
      <c r="D182" s="130">
        <v>390.1</v>
      </c>
      <c r="E182" s="134">
        <v>13196</v>
      </c>
      <c r="F182" s="132"/>
      <c r="G182" s="131">
        <f t="shared" si="6"/>
        <v>13196</v>
      </c>
      <c r="H182" s="131"/>
      <c r="I182" s="292"/>
      <c r="J182" s="604">
        <v>44014</v>
      </c>
    </row>
    <row r="183" spans="1:10">
      <c r="A183" s="18">
        <v>178</v>
      </c>
      <c r="B183" s="132" t="s">
        <v>773</v>
      </c>
      <c r="C183" s="132" t="s">
        <v>2283</v>
      </c>
      <c r="D183" s="130">
        <v>390.1</v>
      </c>
      <c r="E183" s="134">
        <v>5607.8</v>
      </c>
      <c r="F183" s="132"/>
      <c r="G183" s="131">
        <f t="shared" si="6"/>
        <v>5607.8</v>
      </c>
      <c r="H183" s="131"/>
      <c r="I183" s="292"/>
      <c r="J183" s="604">
        <v>44124</v>
      </c>
    </row>
    <row r="184" spans="1:10">
      <c r="A184" s="18">
        <v>179</v>
      </c>
      <c r="B184" s="132" t="s">
        <v>773</v>
      </c>
      <c r="C184" s="132" t="s">
        <v>2284</v>
      </c>
      <c r="D184" s="130">
        <v>390.1</v>
      </c>
      <c r="E184" s="134">
        <v>3958.8</v>
      </c>
      <c r="F184" s="132"/>
      <c r="G184" s="131">
        <f t="shared" si="6"/>
        <v>3958.8</v>
      </c>
      <c r="H184" s="131"/>
      <c r="I184" s="292"/>
      <c r="J184" s="604">
        <v>44141</v>
      </c>
    </row>
    <row r="185" spans="1:10">
      <c r="A185" s="18">
        <v>180</v>
      </c>
      <c r="B185" s="132" t="s">
        <v>773</v>
      </c>
      <c r="C185" s="132" t="s">
        <v>2312</v>
      </c>
      <c r="D185" s="130">
        <v>394.1</v>
      </c>
      <c r="E185" s="134">
        <v>4282.32</v>
      </c>
      <c r="F185" s="357"/>
      <c r="G185" s="131">
        <f t="shared" si="6"/>
        <v>4282.32</v>
      </c>
      <c r="H185" s="131"/>
      <c r="I185" s="292"/>
      <c r="J185" s="604">
        <v>43956</v>
      </c>
    </row>
    <row r="186" spans="1:10">
      <c r="A186" s="18">
        <v>181</v>
      </c>
      <c r="B186" s="132" t="s">
        <v>773</v>
      </c>
      <c r="C186" s="132" t="s">
        <v>2313</v>
      </c>
      <c r="D186" s="130">
        <v>394.1</v>
      </c>
      <c r="E186" s="134">
        <v>3059.82</v>
      </c>
      <c r="F186" s="132"/>
      <c r="G186" s="131">
        <f t="shared" si="6"/>
        <v>3059.82</v>
      </c>
      <c r="H186" s="131"/>
      <c r="I186" s="292"/>
      <c r="J186" s="604">
        <v>43956</v>
      </c>
    </row>
    <row r="187" spans="1:10">
      <c r="A187" s="18">
        <v>182</v>
      </c>
      <c r="B187" s="132" t="s">
        <v>773</v>
      </c>
      <c r="C187" s="132" t="s">
        <v>2314</v>
      </c>
      <c r="D187" s="130">
        <v>391.5</v>
      </c>
      <c r="E187" s="134">
        <v>2447.04</v>
      </c>
      <c r="F187" s="132"/>
      <c r="G187" s="131">
        <f t="shared" si="6"/>
        <v>2447.04</v>
      </c>
      <c r="H187" s="131"/>
      <c r="I187" s="292"/>
      <c r="J187" s="604">
        <v>43931</v>
      </c>
    </row>
    <row r="188" spans="1:10">
      <c r="A188" s="18">
        <v>183</v>
      </c>
      <c r="B188" s="132" t="s">
        <v>773</v>
      </c>
      <c r="C188" s="132" t="s">
        <v>2285</v>
      </c>
      <c r="D188" s="130">
        <v>390.1</v>
      </c>
      <c r="E188" s="134">
        <v>2039.2</v>
      </c>
      <c r="F188" s="132"/>
      <c r="G188" s="131">
        <f t="shared" si="6"/>
        <v>2039.2</v>
      </c>
      <c r="H188" s="131"/>
      <c r="I188" s="292"/>
      <c r="J188" s="604">
        <v>44155</v>
      </c>
    </row>
    <row r="189" spans="1:10">
      <c r="A189" s="18">
        <v>184</v>
      </c>
      <c r="B189" s="132" t="s">
        <v>773</v>
      </c>
      <c r="C189" s="132" t="s">
        <v>2315</v>
      </c>
      <c r="D189" s="130">
        <v>398</v>
      </c>
      <c r="E189" s="134">
        <v>2039.2</v>
      </c>
      <c r="F189" s="132"/>
      <c r="G189" s="131">
        <f t="shared" si="6"/>
        <v>2039.2</v>
      </c>
      <c r="H189" s="131"/>
      <c r="I189" s="292"/>
      <c r="J189" s="604">
        <v>43997</v>
      </c>
    </row>
    <row r="190" spans="1:10">
      <c r="A190" s="18">
        <v>185</v>
      </c>
      <c r="B190" s="132" t="s">
        <v>773</v>
      </c>
      <c r="C190" s="132" t="s">
        <v>2316</v>
      </c>
      <c r="D190" s="130">
        <v>394.1</v>
      </c>
      <c r="E190" s="134">
        <v>15905.76</v>
      </c>
      <c r="F190" s="132"/>
      <c r="G190" s="131">
        <f t="shared" si="6"/>
        <v>15905.76</v>
      </c>
      <c r="H190" s="131"/>
      <c r="I190" s="292"/>
      <c r="J190" s="604">
        <v>44140</v>
      </c>
    </row>
    <row r="191" spans="1:10">
      <c r="A191" s="18">
        <v>186</v>
      </c>
      <c r="B191" s="132" t="s">
        <v>773</v>
      </c>
      <c r="C191" s="132" t="s">
        <v>2286</v>
      </c>
      <c r="D191" s="130">
        <v>390.1</v>
      </c>
      <c r="E191" s="134">
        <f>62904.33+37467.85</f>
        <v>100372.18</v>
      </c>
      <c r="F191" s="357"/>
      <c r="G191" s="131">
        <f t="shared" si="6"/>
        <v>100372.18</v>
      </c>
      <c r="H191" s="131"/>
      <c r="I191" s="292"/>
      <c r="J191" s="604">
        <v>43879</v>
      </c>
    </row>
    <row r="192" spans="1:10">
      <c r="A192" s="18">
        <v>187</v>
      </c>
      <c r="B192" s="132" t="s">
        <v>773</v>
      </c>
      <c r="C192" s="132" t="s">
        <v>2317</v>
      </c>
      <c r="D192" s="130">
        <v>394.1</v>
      </c>
      <c r="E192" s="134">
        <v>2039.2</v>
      </c>
      <c r="F192" s="357"/>
      <c r="G192" s="131">
        <f t="shared" si="6"/>
        <v>2039.2</v>
      </c>
      <c r="H192" s="131"/>
      <c r="I192" s="292"/>
      <c r="J192" s="604">
        <v>43966</v>
      </c>
    </row>
    <row r="193" spans="1:14">
      <c r="A193" s="18">
        <v>188</v>
      </c>
      <c r="B193" s="132" t="s">
        <v>773</v>
      </c>
      <c r="C193" s="132" t="s">
        <v>2287</v>
      </c>
      <c r="D193" s="130">
        <v>394.1</v>
      </c>
      <c r="E193" s="134">
        <v>5534.02</v>
      </c>
      <c r="F193" s="357">
        <f>+'State Allocation Formulas'!C21</f>
        <v>0.75170000000000003</v>
      </c>
      <c r="G193" s="131">
        <f t="shared" si="6"/>
        <v>5534.02</v>
      </c>
      <c r="H193" s="131"/>
      <c r="I193" s="292"/>
      <c r="J193" s="604">
        <v>43845</v>
      </c>
    </row>
    <row r="194" spans="1:14">
      <c r="A194" s="18">
        <v>189</v>
      </c>
      <c r="B194" s="132" t="s">
        <v>773</v>
      </c>
      <c r="C194" s="132" t="s">
        <v>2288</v>
      </c>
      <c r="D194" s="130">
        <v>394.1</v>
      </c>
      <c r="E194" s="134">
        <v>6159.1</v>
      </c>
      <c r="F194" s="132"/>
      <c r="G194" s="131">
        <f t="shared" si="6"/>
        <v>6159.1</v>
      </c>
      <c r="H194" s="131"/>
      <c r="I194" s="292"/>
      <c r="J194" s="604">
        <v>43890</v>
      </c>
    </row>
    <row r="195" spans="1:14">
      <c r="A195" s="18">
        <v>190</v>
      </c>
      <c r="B195" s="359"/>
      <c r="C195" s="360" t="s">
        <v>772</v>
      </c>
      <c r="D195" s="135"/>
      <c r="E195" s="361">
        <f>SUM(E147:E194)</f>
        <v>4122994.1699999995</v>
      </c>
      <c r="F195" s="359"/>
      <c r="G195" s="362">
        <f>SUM(G147:G194)</f>
        <v>4122994.1699999995</v>
      </c>
      <c r="H195" s="362">
        <f>SUM(H147:H194)</f>
        <v>1064539.08</v>
      </c>
      <c r="I195" s="363"/>
      <c r="J195" s="778"/>
    </row>
    <row r="196" spans="1:14">
      <c r="B196" s="359"/>
      <c r="C196" s="359"/>
      <c r="D196" s="133"/>
      <c r="E196" s="134"/>
      <c r="F196" s="359"/>
      <c r="G196" s="366"/>
      <c r="H196" s="366"/>
      <c r="I196" s="363"/>
      <c r="J196" s="778"/>
    </row>
    <row r="197" spans="1:14">
      <c r="B197" s="359"/>
      <c r="C197" s="360"/>
      <c r="D197" s="133"/>
      <c r="E197" s="134"/>
      <c r="F197" s="359"/>
      <c r="G197" s="366"/>
      <c r="H197" s="366"/>
      <c r="I197" s="363"/>
      <c r="J197" s="778"/>
    </row>
    <row r="198" spans="1:14">
      <c r="B198" s="359"/>
      <c r="C198" s="359"/>
      <c r="D198" s="133"/>
      <c r="E198" s="134"/>
      <c r="F198" s="359"/>
      <c r="G198" s="366"/>
      <c r="H198" s="366"/>
      <c r="I198" s="359"/>
      <c r="J198" s="778"/>
    </row>
    <row r="199" spans="1:14" ht="16.5" thickBot="1">
      <c r="A199" s="18">
        <v>191</v>
      </c>
      <c r="B199" s="359"/>
      <c r="C199" s="360" t="s">
        <v>58</v>
      </c>
      <c r="D199" s="135"/>
      <c r="E199" s="361">
        <f>E30+E146+E195</f>
        <v>107587702.26999998</v>
      </c>
      <c r="F199" s="359"/>
      <c r="G199" s="367">
        <f>G30+G146+G195</f>
        <v>107165228.90033099</v>
      </c>
      <c r="H199" s="368">
        <f>H30+H146+H195</f>
        <v>66105637.284975991</v>
      </c>
      <c r="I199" s="359"/>
      <c r="J199" s="780"/>
    </row>
    <row r="200" spans="1:14" ht="16.5" thickTop="1">
      <c r="B200" s="359"/>
      <c r="C200" s="359"/>
      <c r="D200" s="133"/>
      <c r="E200" s="134"/>
      <c r="F200" s="359"/>
      <c r="G200" s="366"/>
      <c r="H200" s="359"/>
      <c r="I200" s="359"/>
      <c r="J200" s="779"/>
    </row>
    <row r="201" spans="1:14">
      <c r="B201" s="359"/>
      <c r="C201" s="360"/>
      <c r="D201" s="133"/>
      <c r="E201" s="134"/>
      <c r="F201" s="359"/>
      <c r="G201" s="366"/>
      <c r="H201" s="359"/>
      <c r="I201" s="359"/>
      <c r="J201" s="781"/>
    </row>
    <row r="202" spans="1:14">
      <c r="B202" s="132"/>
      <c r="C202" s="132"/>
      <c r="D202" s="130"/>
      <c r="E202" s="130"/>
      <c r="F202" s="132"/>
      <c r="G202" s="132"/>
      <c r="H202" s="131"/>
      <c r="I202" s="132"/>
      <c r="J202" s="782"/>
    </row>
    <row r="203" spans="1:14">
      <c r="A203" s="18">
        <v>192</v>
      </c>
      <c r="B203" s="132" t="s">
        <v>775</v>
      </c>
      <c r="C203" s="132"/>
      <c r="D203" s="130"/>
      <c r="E203" s="130"/>
      <c r="F203" s="132"/>
      <c r="G203" s="365"/>
      <c r="H203" s="132"/>
      <c r="I203" s="132"/>
      <c r="J203" s="782"/>
    </row>
    <row r="204" spans="1:14">
      <c r="A204" s="18">
        <v>193</v>
      </c>
      <c r="B204" s="369"/>
      <c r="C204" s="132"/>
      <c r="D204" s="130"/>
      <c r="E204" s="130"/>
      <c r="F204" s="132"/>
      <c r="G204" s="292" t="s">
        <v>778</v>
      </c>
      <c r="H204" s="826" t="s">
        <v>2477</v>
      </c>
      <c r="I204" s="292" t="s">
        <v>1091</v>
      </c>
      <c r="J204" s="783" t="s">
        <v>776</v>
      </c>
    </row>
    <row r="205" spans="1:14">
      <c r="A205" s="18">
        <v>194</v>
      </c>
      <c r="B205" s="292" t="s">
        <v>798</v>
      </c>
      <c r="C205" s="132" t="s">
        <v>744</v>
      </c>
      <c r="D205" s="130">
        <f>SUMIF(I8:I194,B205,G8:G194)</f>
        <v>12762873.219999999</v>
      </c>
      <c r="F205" s="132"/>
      <c r="G205" s="292" t="s">
        <v>779</v>
      </c>
      <c r="H205" s="292" t="s">
        <v>378</v>
      </c>
      <c r="I205" s="825" t="s">
        <v>2478</v>
      </c>
      <c r="J205" s="783" t="s">
        <v>777</v>
      </c>
      <c r="N205" s="16" t="s">
        <v>83</v>
      </c>
    </row>
    <row r="206" spans="1:14">
      <c r="A206" s="18">
        <v>195</v>
      </c>
      <c r="B206" s="292"/>
      <c r="C206" s="369"/>
      <c r="D206" s="130"/>
      <c r="E206" s="130"/>
      <c r="F206" s="132"/>
      <c r="G206" s="132">
        <v>303</v>
      </c>
      <c r="H206" s="131">
        <f>+H30</f>
        <v>12866642.449999999</v>
      </c>
      <c r="I206" s="788">
        <v>0.12809999999999999</v>
      </c>
      <c r="J206" s="792">
        <f>+H206*I206</f>
        <v>1648216.8978449998</v>
      </c>
      <c r="N206" s="16">
        <v>10</v>
      </c>
    </row>
    <row r="207" spans="1:14">
      <c r="A207" s="18">
        <v>196</v>
      </c>
      <c r="B207" s="369"/>
      <c r="F207" s="132"/>
      <c r="G207" s="822">
        <v>367.1</v>
      </c>
      <c r="H207" s="131">
        <f t="shared" ref="H207:H221" si="7">+SUMIF($D$34:$D$194,G207,$H$34:$H$194)</f>
        <v>0</v>
      </c>
      <c r="I207" s="820">
        <f>+'EOP Depreciation Expense Adj'!E17</f>
        <v>1.4999999999999999E-2</v>
      </c>
      <c r="J207" s="792">
        <f t="shared" ref="J207:J221" si="8">+H207*I207</f>
        <v>0</v>
      </c>
      <c r="L207" s="819"/>
    </row>
    <row r="208" spans="1:14">
      <c r="A208" s="18">
        <v>197</v>
      </c>
      <c r="B208" s="369"/>
      <c r="C208" s="369"/>
      <c r="D208" s="130"/>
      <c r="E208" s="130"/>
      <c r="F208" s="132"/>
      <c r="G208" s="822">
        <v>374.2</v>
      </c>
      <c r="H208" s="131">
        <f t="shared" si="7"/>
        <v>0</v>
      </c>
      <c r="I208" s="820">
        <f>+'EOP Depreciation Expense Adj'!E20</f>
        <v>1.6399999999999998E-2</v>
      </c>
      <c r="J208" s="792">
        <f t="shared" si="8"/>
        <v>0</v>
      </c>
      <c r="L208" s="819"/>
    </row>
    <row r="209" spans="1:12">
      <c r="A209" s="18">
        <v>198</v>
      </c>
      <c r="B209" s="369"/>
      <c r="C209" s="132"/>
      <c r="D209" s="130"/>
      <c r="E209" s="130"/>
      <c r="F209" s="132"/>
      <c r="G209" s="822">
        <v>376.1</v>
      </c>
      <c r="H209" s="131">
        <f t="shared" si="7"/>
        <v>312625</v>
      </c>
      <c r="I209" s="820">
        <f>+'EOP Depreciation Expense Adj'!E24</f>
        <v>3.56E-2</v>
      </c>
      <c r="J209" s="824">
        <f t="shared" si="8"/>
        <v>11129.45</v>
      </c>
      <c r="L209" s="819"/>
    </row>
    <row r="210" spans="1:12">
      <c r="A210" s="18">
        <v>199</v>
      </c>
      <c r="B210" s="369"/>
      <c r="C210" s="132"/>
      <c r="D210" s="130"/>
      <c r="E210" s="130"/>
      <c r="F210" s="132"/>
      <c r="G210" s="822">
        <v>376.2</v>
      </c>
      <c r="H210" s="131">
        <f t="shared" si="7"/>
        <v>23422677.309999999</v>
      </c>
      <c r="I210" s="820">
        <f>+'EOP Depreciation Expense Adj'!E22</f>
        <v>1.52E-2</v>
      </c>
      <c r="J210" s="824">
        <f t="shared" si="8"/>
        <v>356024.69511199999</v>
      </c>
      <c r="L210" s="819"/>
    </row>
    <row r="211" spans="1:12">
      <c r="A211" s="18">
        <v>200</v>
      </c>
      <c r="B211" s="369"/>
      <c r="C211" s="132"/>
      <c r="D211" s="130"/>
      <c r="E211" s="130"/>
      <c r="F211" s="132"/>
      <c r="G211" s="822">
        <v>376.3</v>
      </c>
      <c r="H211" s="131">
        <f t="shared" si="7"/>
        <v>7540384.8199999994</v>
      </c>
      <c r="I211" s="820">
        <f>+'EOP Depreciation Expense Adj'!E23</f>
        <v>2.81E-2</v>
      </c>
      <c r="J211" s="824">
        <f t="shared" si="8"/>
        <v>211884.81344199998</v>
      </c>
      <c r="L211" s="819"/>
    </row>
    <row r="212" spans="1:12">
      <c r="A212" s="18">
        <v>201</v>
      </c>
      <c r="B212" s="369"/>
      <c r="C212" s="132"/>
      <c r="D212" s="130"/>
      <c r="E212" s="130"/>
      <c r="F212" s="132"/>
      <c r="G212" s="822">
        <v>378</v>
      </c>
      <c r="H212" s="131">
        <f t="shared" si="7"/>
        <v>5763870.4899999993</v>
      </c>
      <c r="I212" s="820">
        <f>+'EOP Depreciation Expense Adj'!E26</f>
        <v>1.9699999999999999E-2</v>
      </c>
      <c r="J212" s="824">
        <f t="shared" si="8"/>
        <v>113548.24865299997</v>
      </c>
      <c r="L212" s="819"/>
    </row>
    <row r="213" spans="1:12">
      <c r="A213" s="18">
        <v>202</v>
      </c>
      <c r="B213" s="369"/>
      <c r="C213" s="132"/>
      <c r="D213" s="130"/>
      <c r="E213" s="130"/>
      <c r="F213" s="132"/>
      <c r="G213" s="822">
        <v>380.1</v>
      </c>
      <c r="H213" s="131">
        <f t="shared" si="7"/>
        <v>0</v>
      </c>
      <c r="I213" s="820">
        <f>+'EOP Depreciation Expense Adj'!E28</f>
        <v>3.4700000000000002E-2</v>
      </c>
      <c r="J213" s="792">
        <f t="shared" si="8"/>
        <v>0</v>
      </c>
      <c r="L213" s="819"/>
    </row>
    <row r="214" spans="1:12">
      <c r="A214" s="18">
        <v>203</v>
      </c>
      <c r="B214" s="132"/>
      <c r="C214" s="132"/>
      <c r="D214" s="130"/>
      <c r="E214" s="130"/>
      <c r="F214" s="132"/>
      <c r="G214" s="823">
        <v>380.3</v>
      </c>
      <c r="H214" s="131">
        <f t="shared" si="7"/>
        <v>12188846.560000001</v>
      </c>
      <c r="I214" s="821">
        <f>+'EOP Depreciation Expense Adj'!E27</f>
        <v>3.3599999999999998E-2</v>
      </c>
      <c r="J214" s="824">
        <f t="shared" si="8"/>
        <v>409545.24441599997</v>
      </c>
      <c r="L214" s="819"/>
    </row>
    <row r="215" spans="1:12">
      <c r="A215" s="18">
        <v>204</v>
      </c>
      <c r="B215" s="132"/>
      <c r="C215" s="132"/>
      <c r="D215" s="130"/>
      <c r="E215" s="130"/>
      <c r="F215" s="132"/>
      <c r="G215" s="822">
        <v>381</v>
      </c>
      <c r="H215" s="131">
        <f t="shared" si="7"/>
        <v>2946051.574976</v>
      </c>
      <c r="I215" s="820">
        <f>+'EOP Depreciation Expense Adj'!E30</f>
        <v>2.6099999999999998E-2</v>
      </c>
      <c r="J215" s="824">
        <f t="shared" si="8"/>
        <v>76891.946106873598</v>
      </c>
      <c r="L215" s="819"/>
    </row>
    <row r="216" spans="1:12">
      <c r="A216" s="18">
        <v>205</v>
      </c>
      <c r="B216" s="132"/>
      <c r="C216" s="132"/>
      <c r="D216" s="130"/>
      <c r="E216" s="130"/>
      <c r="F216" s="132"/>
      <c r="G216" s="822">
        <v>383</v>
      </c>
      <c r="H216" s="131">
        <f t="shared" si="7"/>
        <v>0</v>
      </c>
      <c r="I216" s="820">
        <f>+'EOP Depreciation Expense Adj'!E32</f>
        <v>2.1600000000000001E-2</v>
      </c>
      <c r="J216" s="792">
        <f t="shared" si="8"/>
        <v>0</v>
      </c>
      <c r="L216" s="819"/>
    </row>
    <row r="217" spans="1:12">
      <c r="A217" s="18">
        <v>206</v>
      </c>
      <c r="B217" s="132"/>
      <c r="C217" s="132"/>
      <c r="D217" s="130"/>
      <c r="E217" s="130"/>
      <c r="F217" s="132"/>
      <c r="G217" s="822">
        <v>385</v>
      </c>
      <c r="H217" s="131">
        <f t="shared" si="7"/>
        <v>0</v>
      </c>
      <c r="I217" s="820">
        <f>+'EOP Depreciation Expense Adj'!E33</f>
        <v>1.7000000000000001E-2</v>
      </c>
      <c r="J217" s="792">
        <f t="shared" si="8"/>
        <v>0</v>
      </c>
      <c r="L217" s="819"/>
    </row>
    <row r="218" spans="1:12">
      <c r="A218" s="18">
        <v>207</v>
      </c>
      <c r="B218" s="132"/>
      <c r="C218" s="132"/>
      <c r="D218" s="130"/>
      <c r="E218" s="130"/>
      <c r="F218" s="132"/>
      <c r="G218" s="822">
        <v>390.1</v>
      </c>
      <c r="H218" s="131">
        <f t="shared" si="7"/>
        <v>1064539.08</v>
      </c>
      <c r="I218" s="820">
        <f>+'EOP Depreciation Expense Adj'!E36</f>
        <v>1.44E-2</v>
      </c>
      <c r="J218" s="824">
        <f t="shared" si="8"/>
        <v>15329.362752000001</v>
      </c>
      <c r="L218" s="819"/>
    </row>
    <row r="219" spans="1:12">
      <c r="A219" s="18">
        <v>208</v>
      </c>
      <c r="B219" s="132"/>
      <c r="C219" s="132"/>
      <c r="D219" s="130"/>
      <c r="E219" s="130"/>
      <c r="F219" s="132"/>
      <c r="G219" s="822">
        <v>394.1</v>
      </c>
      <c r="H219" s="131">
        <f t="shared" si="7"/>
        <v>0</v>
      </c>
      <c r="I219" s="820">
        <f>+'EOP Depreciation Expense Adj'!E44</f>
        <v>0.1066</v>
      </c>
      <c r="J219" s="792">
        <f t="shared" si="8"/>
        <v>0</v>
      </c>
      <c r="L219" s="819"/>
    </row>
    <row r="220" spans="1:12">
      <c r="A220" s="18">
        <v>209</v>
      </c>
      <c r="B220" s="132"/>
      <c r="C220" s="132"/>
      <c r="D220" s="130"/>
      <c r="E220" s="130"/>
      <c r="F220" s="132"/>
      <c r="G220" s="822">
        <v>396.2</v>
      </c>
      <c r="H220" s="131">
        <f t="shared" si="7"/>
        <v>0</v>
      </c>
      <c r="I220" s="820">
        <f>+'EOP Depreciation Expense Adj'!E47</f>
        <v>9.6300000000000011E-2</v>
      </c>
      <c r="J220" s="792">
        <f t="shared" si="8"/>
        <v>0</v>
      </c>
      <c r="L220" s="819"/>
    </row>
    <row r="221" spans="1:12">
      <c r="A221" s="18">
        <v>210</v>
      </c>
      <c r="B221" s="132"/>
      <c r="C221" s="132"/>
      <c r="D221" s="130"/>
      <c r="E221" s="130"/>
      <c r="F221" s="132"/>
      <c r="G221" s="822">
        <v>397.2</v>
      </c>
      <c r="H221" s="131">
        <f t="shared" si="7"/>
        <v>0</v>
      </c>
      <c r="I221" s="820">
        <f>+'EOP Depreciation Expense Adj'!E51</f>
        <v>5.5300000000000002E-2</v>
      </c>
      <c r="J221" s="792">
        <f t="shared" si="8"/>
        <v>0</v>
      </c>
      <c r="L221" s="819"/>
    </row>
    <row r="222" spans="1:12">
      <c r="A222" s="18">
        <v>211</v>
      </c>
      <c r="B222" s="132"/>
      <c r="C222" s="132"/>
      <c r="D222" s="130"/>
      <c r="E222" s="130"/>
      <c r="F222" s="132" t="s">
        <v>658</v>
      </c>
      <c r="G222" s="132"/>
      <c r="H222" s="131">
        <f>SUM(H206:H221)</f>
        <v>66105637.284975998</v>
      </c>
      <c r="I222" s="132"/>
      <c r="J222" s="824">
        <f>SUM(J206:J221)</f>
        <v>2842570.6583268726</v>
      </c>
      <c r="K222" s="823">
        <f>+J222/H222</f>
        <v>4.3000427423046883E-2</v>
      </c>
    </row>
    <row r="223" spans="1:12">
      <c r="A223" s="18">
        <v>212</v>
      </c>
      <c r="B223" s="132"/>
      <c r="C223" s="132"/>
      <c r="D223" s="130"/>
      <c r="E223" s="130"/>
      <c r="F223" s="132"/>
      <c r="G223" s="132"/>
      <c r="H223" s="132"/>
      <c r="I223" s="132"/>
      <c r="J223" s="782"/>
    </row>
    <row r="224" spans="1:12">
      <c r="A224" s="18">
        <v>213</v>
      </c>
      <c r="B224" s="132"/>
      <c r="C224" s="132"/>
      <c r="D224" s="130"/>
      <c r="E224" s="130"/>
      <c r="F224" s="132"/>
      <c r="G224" s="132"/>
      <c r="H224" s="131">
        <f>+H199-H222</f>
        <v>0</v>
      </c>
      <c r="I224" s="132"/>
      <c r="J224" s="782"/>
    </row>
  </sheetData>
  <autoFilter ref="A7:K195" xr:uid="{C511B5CD-DFEA-4E3B-94E5-BC8C4837758E}"/>
  <sortState xmlns:xlrd2="http://schemas.microsoft.com/office/spreadsheetml/2017/richdata2" ref="B34:J145">
    <sortCondition ref="C34:C145"/>
  </sortState>
  <mergeCells count="4">
    <mergeCell ref="C1:I1"/>
    <mergeCell ref="C2:I2"/>
    <mergeCell ref="C3:I3"/>
    <mergeCell ref="C4:I4"/>
  </mergeCells>
  <pageMargins left="0.7" right="0.7" top="0.75" bottom="0.75" header="0.3" footer="0.3"/>
  <pageSetup scale="34" fitToHeight="0" orientation="portrait" useFirstPageNumber="1" r:id="rId1"/>
  <headerFooter scaleWithDoc="0" alignWithMargins="0">
    <oddHeader>&amp;RDocket No. UG-20___
Exhibit _____ (MCP-6)
Page &amp;P of 5</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105"/>
  <sheetViews>
    <sheetView topLeftCell="A22" zoomScaleNormal="100" zoomScaleSheetLayoutView="90" workbookViewId="0">
      <selection activeCell="A2" sqref="A2:C2"/>
    </sheetView>
  </sheetViews>
  <sheetFormatPr defaultColWidth="9.140625" defaultRowHeight="15.75"/>
  <cols>
    <col min="1" max="1" width="5.85546875" style="5" bestFit="1" customWidth="1"/>
    <col min="2" max="2" width="17.28515625" style="5" bestFit="1" customWidth="1"/>
    <col min="3" max="3" width="99" style="3" customWidth="1"/>
    <col min="4" max="16384" width="9.140625" style="3"/>
  </cols>
  <sheetData>
    <row r="1" spans="1:5">
      <c r="A1" s="1092" t="s">
        <v>781</v>
      </c>
      <c r="B1" s="1092"/>
      <c r="C1" s="1092"/>
      <c r="D1" s="2"/>
      <c r="E1" s="2"/>
    </row>
    <row r="2" spans="1:5">
      <c r="A2" s="1092" t="s">
        <v>786</v>
      </c>
      <c r="B2" s="1092"/>
      <c r="C2" s="1092"/>
      <c r="D2" s="2"/>
      <c r="E2" s="2"/>
    </row>
    <row r="3" spans="1:5">
      <c r="A3" s="1092" t="s">
        <v>1976</v>
      </c>
      <c r="B3" s="1092"/>
      <c r="C3" s="1092"/>
      <c r="D3" s="2"/>
      <c r="E3" s="2"/>
    </row>
    <row r="4" spans="1:5">
      <c r="A4" s="11"/>
      <c r="B4" s="11"/>
      <c r="C4" s="4"/>
      <c r="D4" s="4"/>
      <c r="E4" s="4"/>
    </row>
    <row r="5" spans="1:5">
      <c r="A5" s="12"/>
      <c r="B5" s="12"/>
      <c r="C5" s="13"/>
    </row>
    <row r="6" spans="1:5">
      <c r="A6" s="9" t="s">
        <v>780</v>
      </c>
      <c r="B6" s="9" t="s">
        <v>1818</v>
      </c>
      <c r="C6" s="9" t="s">
        <v>2444</v>
      </c>
    </row>
    <row r="8" spans="1:5" s="16" customFormat="1" ht="47.25">
      <c r="A8" s="769">
        <v>1</v>
      </c>
      <c r="B8" s="769">
        <v>300233</v>
      </c>
      <c r="C8" s="793" t="s">
        <v>2458</v>
      </c>
    </row>
    <row r="9" spans="1:5" s="16" customFormat="1">
      <c r="A9" s="769"/>
      <c r="B9" s="769"/>
    </row>
    <row r="10" spans="1:5" s="16" customFormat="1" ht="63">
      <c r="A10" s="769">
        <v>2</v>
      </c>
      <c r="B10" s="769">
        <v>302596</v>
      </c>
      <c r="C10" s="793" t="s">
        <v>2454</v>
      </c>
    </row>
    <row r="11" spans="1:5" s="16" customFormat="1">
      <c r="A11" s="769"/>
      <c r="B11" s="769"/>
      <c r="C11" s="8"/>
    </row>
    <row r="12" spans="1:5" s="16" customFormat="1">
      <c r="A12" s="769">
        <v>3</v>
      </c>
      <c r="B12" s="769">
        <v>306988</v>
      </c>
      <c r="C12" s="16" t="s">
        <v>2453</v>
      </c>
    </row>
    <row r="13" spans="1:5" s="16" customFormat="1">
      <c r="A13" s="769"/>
      <c r="B13" s="769"/>
    </row>
    <row r="14" spans="1:5" s="16" customFormat="1" ht="63">
      <c r="A14" s="769">
        <v>4</v>
      </c>
      <c r="B14" s="769">
        <v>306998</v>
      </c>
      <c r="C14" s="774" t="s">
        <v>2446</v>
      </c>
    </row>
    <row r="15" spans="1:5" s="16" customFormat="1">
      <c r="A15" s="769"/>
      <c r="B15" s="769"/>
      <c r="C15" s="774"/>
    </row>
    <row r="16" spans="1:5" s="16" customFormat="1" ht="47.25">
      <c r="A16" s="769">
        <v>5</v>
      </c>
      <c r="B16" s="769">
        <v>316429</v>
      </c>
      <c r="C16" s="793" t="s">
        <v>2460</v>
      </c>
    </row>
    <row r="17" spans="1:3" s="16" customFormat="1">
      <c r="A17" s="769"/>
      <c r="B17" s="769"/>
      <c r="C17" s="409"/>
    </row>
    <row r="18" spans="1:3" s="16" customFormat="1">
      <c r="A18" s="769">
        <v>6</v>
      </c>
      <c r="B18" s="769">
        <v>316586</v>
      </c>
      <c r="C18" s="8" t="s">
        <v>2459</v>
      </c>
    </row>
    <row r="19" spans="1:3" s="16" customFormat="1">
      <c r="A19" s="769"/>
      <c r="B19" s="769"/>
      <c r="C19" s="8"/>
    </row>
    <row r="20" spans="1:3" s="16" customFormat="1">
      <c r="A20" s="769">
        <v>7</v>
      </c>
      <c r="B20" s="769">
        <v>316587</v>
      </c>
      <c r="C20" s="793" t="s">
        <v>2455</v>
      </c>
    </row>
    <row r="21" spans="1:3" s="16" customFormat="1">
      <c r="A21" s="769"/>
      <c r="B21" s="769"/>
      <c r="C21" s="409"/>
    </row>
    <row r="22" spans="1:3" s="16" customFormat="1">
      <c r="A22" s="769">
        <v>8</v>
      </c>
      <c r="B22" s="769">
        <v>316589</v>
      </c>
      <c r="C22" s="441" t="s">
        <v>2453</v>
      </c>
    </row>
    <row r="23" spans="1:3" s="16" customFormat="1">
      <c r="A23" s="769"/>
      <c r="B23" s="769"/>
      <c r="C23" s="441"/>
    </row>
    <row r="24" spans="1:3" s="16" customFormat="1">
      <c r="A24" s="769">
        <v>9</v>
      </c>
      <c r="B24" s="769">
        <v>316670</v>
      </c>
      <c r="C24" s="793" t="s">
        <v>2455</v>
      </c>
    </row>
    <row r="25" spans="1:3" s="16" customFormat="1">
      <c r="A25" s="769"/>
      <c r="B25" s="769"/>
    </row>
    <row r="26" spans="1:3" s="16" customFormat="1" ht="47.25">
      <c r="A26" s="769">
        <v>10</v>
      </c>
      <c r="B26" s="769">
        <v>317060</v>
      </c>
      <c r="C26" s="793" t="s">
        <v>2452</v>
      </c>
    </row>
    <row r="27" spans="1:3">
      <c r="A27" s="10"/>
      <c r="B27" s="769"/>
      <c r="C27" s="409"/>
    </row>
    <row r="28" spans="1:3" s="16" customFormat="1">
      <c r="A28" s="769">
        <v>11</v>
      </c>
      <c r="B28" s="769">
        <v>317322</v>
      </c>
      <c r="C28" s="793" t="s">
        <v>2459</v>
      </c>
    </row>
    <row r="29" spans="1:3" s="16" customFormat="1">
      <c r="A29" s="769"/>
      <c r="B29" s="769"/>
    </row>
    <row r="30" spans="1:3" s="16" customFormat="1">
      <c r="A30" s="769">
        <v>12</v>
      </c>
      <c r="B30" s="769">
        <v>317535</v>
      </c>
      <c r="C30" s="793" t="s">
        <v>2455</v>
      </c>
    </row>
    <row r="31" spans="1:3" s="16" customFormat="1">
      <c r="A31" s="769"/>
      <c r="B31" s="769"/>
      <c r="C31" s="409"/>
    </row>
    <row r="32" spans="1:3" s="16" customFormat="1" ht="47.25">
      <c r="A32" s="769">
        <v>13</v>
      </c>
      <c r="B32" s="769">
        <v>318352</v>
      </c>
      <c r="C32" s="8" t="s">
        <v>2448</v>
      </c>
    </row>
    <row r="33" spans="1:3" s="16" customFormat="1">
      <c r="A33" s="769"/>
      <c r="B33" s="769"/>
      <c r="C33" s="8"/>
    </row>
    <row r="34" spans="1:3" s="16" customFormat="1" ht="47.25">
      <c r="A34" s="769">
        <v>14</v>
      </c>
      <c r="B34" s="769">
        <v>318482</v>
      </c>
      <c r="C34" s="793" t="s">
        <v>2451</v>
      </c>
    </row>
    <row r="35" spans="1:3" s="16" customFormat="1">
      <c r="A35" s="769"/>
      <c r="B35" s="769"/>
      <c r="C35" s="409"/>
    </row>
    <row r="36" spans="1:3" s="16" customFormat="1" ht="31.5">
      <c r="A36" s="769">
        <v>15</v>
      </c>
      <c r="B36" s="769">
        <v>318566</v>
      </c>
      <c r="C36" s="793" t="s">
        <v>2449</v>
      </c>
    </row>
    <row r="37" spans="1:3" s="16" customFormat="1">
      <c r="A37" s="769"/>
      <c r="B37" s="769"/>
    </row>
    <row r="38" spans="1:3" s="16" customFormat="1" ht="47.25">
      <c r="A38" s="769">
        <v>16</v>
      </c>
      <c r="B38" s="769">
        <v>318588</v>
      </c>
      <c r="C38" s="793" t="s">
        <v>2461</v>
      </c>
    </row>
    <row r="39" spans="1:3" s="16" customFormat="1">
      <c r="A39" s="769"/>
      <c r="B39" s="769"/>
      <c r="C39" s="409"/>
    </row>
    <row r="40" spans="1:3" s="16" customFormat="1" ht="47.25">
      <c r="A40" s="769">
        <v>17</v>
      </c>
      <c r="B40" s="769">
        <v>318690</v>
      </c>
      <c r="C40" s="793" t="s">
        <v>2447</v>
      </c>
    </row>
    <row r="41" spans="1:3" s="16" customFormat="1">
      <c r="A41" s="769"/>
      <c r="B41" s="769"/>
      <c r="C41" s="409"/>
    </row>
    <row r="42" spans="1:3" s="16" customFormat="1" ht="63">
      <c r="A42" s="769">
        <v>18</v>
      </c>
      <c r="B42" s="769">
        <v>318742</v>
      </c>
      <c r="C42" s="793" t="s">
        <v>2450</v>
      </c>
    </row>
    <row r="43" spans="1:3" s="16" customFormat="1">
      <c r="A43" s="769"/>
      <c r="B43" s="769"/>
      <c r="C43" s="409"/>
    </row>
    <row r="44" spans="1:3" s="16" customFormat="1">
      <c r="A44" s="769">
        <v>19</v>
      </c>
      <c r="B44" s="769">
        <v>318746</v>
      </c>
      <c r="C44" s="16" t="s">
        <v>2453</v>
      </c>
    </row>
    <row r="45" spans="1:3" s="16" customFormat="1">
      <c r="A45" s="769"/>
      <c r="B45" s="769"/>
    </row>
    <row r="46" spans="1:3" s="16" customFormat="1">
      <c r="A46" s="769">
        <v>20</v>
      </c>
      <c r="B46" s="769">
        <v>318747</v>
      </c>
      <c r="C46" s="16" t="s">
        <v>2453</v>
      </c>
    </row>
    <row r="47" spans="1:3" s="16" customFormat="1">
      <c r="A47" s="769"/>
      <c r="B47" s="769"/>
    </row>
    <row r="48" spans="1:3" s="16" customFormat="1">
      <c r="A48" s="769">
        <v>21</v>
      </c>
      <c r="B48" s="769">
        <v>318808</v>
      </c>
      <c r="C48" s="793" t="s">
        <v>2457</v>
      </c>
    </row>
    <row r="49" spans="1:3" s="16" customFormat="1">
      <c r="A49" s="769"/>
      <c r="B49" s="769"/>
      <c r="C49" s="7"/>
    </row>
    <row r="50" spans="1:3" s="16" customFormat="1">
      <c r="A50" s="769">
        <v>22</v>
      </c>
      <c r="B50" s="769">
        <v>318829</v>
      </c>
      <c r="C50" s="793" t="s">
        <v>2457</v>
      </c>
    </row>
    <row r="51" spans="1:3">
      <c r="A51" s="10"/>
      <c r="B51" s="10"/>
      <c r="C51" s="7"/>
    </row>
    <row r="52" spans="1:3" s="16" customFormat="1" ht="47.25">
      <c r="A52" s="769">
        <v>23</v>
      </c>
      <c r="B52" s="769">
        <v>318987</v>
      </c>
      <c r="C52" s="793" t="s">
        <v>2456</v>
      </c>
    </row>
    <row r="53" spans="1:3">
      <c r="A53" s="10"/>
      <c r="B53" s="18"/>
      <c r="C53" s="409"/>
    </row>
    <row r="54" spans="1:3" s="16" customFormat="1" ht="31.5">
      <c r="A54" s="769">
        <v>24</v>
      </c>
      <c r="B54" s="769">
        <v>319056</v>
      </c>
      <c r="C54" s="793" t="s">
        <v>2463</v>
      </c>
    </row>
    <row r="55" spans="1:3" s="16" customFormat="1">
      <c r="A55" s="769"/>
      <c r="B55" s="769"/>
      <c r="C55" s="409"/>
    </row>
    <row r="56" spans="1:3" s="16" customFormat="1" ht="31.5">
      <c r="A56" s="769">
        <v>25</v>
      </c>
      <c r="B56" s="769">
        <v>319063</v>
      </c>
      <c r="C56" s="793" t="s">
        <v>2462</v>
      </c>
    </row>
    <row r="57" spans="1:3">
      <c r="A57" s="10"/>
      <c r="B57" s="769"/>
      <c r="C57" s="8"/>
    </row>
    <row r="58" spans="1:3" s="16" customFormat="1" ht="63">
      <c r="A58" s="769">
        <v>26</v>
      </c>
      <c r="B58" s="769">
        <v>319072</v>
      </c>
      <c r="C58" s="8" t="s">
        <v>2445</v>
      </c>
    </row>
    <row r="59" spans="1:3" s="16" customFormat="1">
      <c r="A59" s="769"/>
      <c r="B59" s="769"/>
      <c r="C59" s="8"/>
    </row>
    <row r="60" spans="1:3" s="16" customFormat="1" ht="47.25">
      <c r="A60" s="769">
        <v>27</v>
      </c>
      <c r="B60" s="772" t="s">
        <v>2436</v>
      </c>
      <c r="C60" s="793" t="s">
        <v>2439</v>
      </c>
    </row>
    <row r="61" spans="1:3" s="16" customFormat="1">
      <c r="A61" s="769"/>
    </row>
    <row r="62" spans="1:3" s="16" customFormat="1" ht="47.25">
      <c r="A62" s="769">
        <v>28</v>
      </c>
      <c r="B62" s="10" t="s">
        <v>2437</v>
      </c>
      <c r="C62" s="793" t="s">
        <v>2438</v>
      </c>
    </row>
    <row r="63" spans="1:3" s="16" customFormat="1">
      <c r="A63" s="769"/>
    </row>
    <row r="64" spans="1:3" s="16" customFormat="1">
      <c r="A64" s="769"/>
    </row>
    <row r="65" spans="1:3" s="16" customFormat="1">
      <c r="A65" s="769"/>
      <c r="B65" s="769"/>
      <c r="C65" s="8"/>
    </row>
    <row r="66" spans="1:3" s="16" customFormat="1">
      <c r="A66" s="769"/>
      <c r="B66" s="769"/>
      <c r="C66" s="409"/>
    </row>
    <row r="67" spans="1:3" s="16" customFormat="1">
      <c r="A67" s="769"/>
      <c r="B67" s="769"/>
      <c r="C67" s="409"/>
    </row>
    <row r="68" spans="1:3" s="16" customFormat="1">
      <c r="A68" s="769"/>
      <c r="B68" s="769"/>
      <c r="C68" s="409"/>
    </row>
    <row r="69" spans="1:3" s="16" customFormat="1">
      <c r="A69" s="769"/>
      <c r="B69" s="769"/>
      <c r="C69" s="409"/>
    </row>
    <row r="70" spans="1:3" s="16" customFormat="1">
      <c r="A70" s="769"/>
      <c r="B70" s="10"/>
      <c r="C70" s="6"/>
    </row>
    <row r="71" spans="1:3" s="16" customFormat="1">
      <c r="A71" s="769"/>
      <c r="B71" s="769"/>
      <c r="C71" s="773"/>
    </row>
    <row r="72" spans="1:3" s="16" customFormat="1">
      <c r="A72" s="769"/>
      <c r="B72" s="769"/>
      <c r="C72" s="441"/>
    </row>
    <row r="73" spans="1:3" s="16" customFormat="1">
      <c r="A73" s="769"/>
      <c r="B73" s="769"/>
      <c r="C73" s="409"/>
    </row>
    <row r="74" spans="1:3" s="16" customFormat="1">
      <c r="A74" s="769"/>
      <c r="B74" s="769"/>
      <c r="C74" s="409"/>
    </row>
    <row r="75" spans="1:3" s="16" customFormat="1">
      <c r="A75" s="769"/>
      <c r="B75" s="769"/>
      <c r="C75" s="409"/>
    </row>
    <row r="76" spans="1:3" s="16" customFormat="1">
      <c r="A76" s="769"/>
      <c r="B76" s="769"/>
      <c r="C76" s="409"/>
    </row>
    <row r="77" spans="1:3" s="16" customFormat="1">
      <c r="A77" s="769"/>
      <c r="B77" s="10"/>
      <c r="C77" s="7"/>
    </row>
    <row r="78" spans="1:3" s="16" customFormat="1">
      <c r="A78" s="769"/>
      <c r="B78" s="10"/>
      <c r="C78" s="7"/>
    </row>
    <row r="79" spans="1:3" s="16" customFormat="1">
      <c r="A79" s="769"/>
      <c r="B79" s="769"/>
      <c r="C79" s="409"/>
    </row>
    <row r="80" spans="1:3" s="16" customFormat="1">
      <c r="A80" s="769"/>
      <c r="B80" s="769"/>
      <c r="C80" s="409"/>
    </row>
    <row r="81" spans="1:3" s="16" customFormat="1">
      <c r="A81" s="769"/>
      <c r="B81" s="769"/>
      <c r="C81" s="409"/>
    </row>
    <row r="82" spans="1:3" s="16" customFormat="1">
      <c r="A82" s="769"/>
      <c r="B82" s="769"/>
      <c r="C82" s="409"/>
    </row>
    <row r="83" spans="1:3" s="16" customFormat="1">
      <c r="A83" s="769"/>
      <c r="B83" s="769"/>
      <c r="C83" s="409"/>
    </row>
    <row r="84" spans="1:3" s="16" customFormat="1">
      <c r="A84" s="769"/>
      <c r="B84" s="769"/>
      <c r="C84" s="409"/>
    </row>
    <row r="85" spans="1:3" s="16" customFormat="1">
      <c r="A85" s="769"/>
      <c r="B85" s="769"/>
      <c r="C85" s="409"/>
    </row>
    <row r="86" spans="1:3">
      <c r="A86" s="10"/>
      <c r="B86" s="769"/>
      <c r="C86" s="409"/>
    </row>
    <row r="87" spans="1:3">
      <c r="A87" s="10"/>
      <c r="B87" s="769"/>
      <c r="C87" s="409"/>
    </row>
    <row r="88" spans="1:3">
      <c r="A88" s="10"/>
      <c r="B88" s="769"/>
      <c r="C88" s="409"/>
    </row>
    <row r="89" spans="1:3">
      <c r="A89" s="10"/>
      <c r="B89" s="769"/>
      <c r="C89" s="772"/>
    </row>
    <row r="90" spans="1:3">
      <c r="A90" s="10"/>
      <c r="B90" s="18"/>
      <c r="C90" s="409"/>
    </row>
    <row r="91" spans="1:3">
      <c r="A91" s="10"/>
      <c r="B91" s="18"/>
      <c r="C91" s="409"/>
    </row>
    <row r="92" spans="1:3">
      <c r="A92" s="10"/>
      <c r="B92" s="769"/>
      <c r="C92" s="409"/>
    </row>
    <row r="93" spans="1:3">
      <c r="A93" s="10"/>
      <c r="B93" s="10"/>
      <c r="C93" s="7"/>
    </row>
    <row r="94" spans="1:3">
      <c r="A94" s="10"/>
      <c r="B94" s="10"/>
      <c r="C94" s="7"/>
    </row>
    <row r="95" spans="1:3">
      <c r="A95" s="10"/>
      <c r="B95" s="10"/>
      <c r="C95" s="7"/>
    </row>
    <row r="96" spans="1:3">
      <c r="A96" s="10"/>
      <c r="B96" s="10"/>
    </row>
    <row r="97" spans="1:3">
      <c r="A97" s="10"/>
      <c r="B97" s="10"/>
    </row>
    <row r="98" spans="1:3">
      <c r="A98" s="10"/>
      <c r="B98" s="10"/>
    </row>
    <row r="99" spans="1:3">
      <c r="A99" s="10"/>
    </row>
    <row r="100" spans="1:3">
      <c r="A100" s="10"/>
    </row>
    <row r="101" spans="1:3">
      <c r="A101" s="10"/>
    </row>
    <row r="102" spans="1:3">
      <c r="A102" s="10"/>
      <c r="C102" s="397"/>
    </row>
    <row r="103" spans="1:3">
      <c r="A103" s="10"/>
    </row>
    <row r="104" spans="1:3">
      <c r="A104" s="10"/>
      <c r="C104" s="16"/>
    </row>
    <row r="105" spans="1:3">
      <c r="A105" s="10"/>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I19"/>
  <sheetViews>
    <sheetView view="pageBreakPreview" zoomScale="60" zoomScaleNormal="100" workbookViewId="0">
      <selection activeCell="A2" sqref="A2:E2"/>
    </sheetView>
  </sheetViews>
  <sheetFormatPr defaultColWidth="9.140625" defaultRowHeight="15.75"/>
  <cols>
    <col min="1" max="1" width="9.140625" style="71" customWidth="1"/>
    <col min="2" max="2" width="35.140625" style="71" bestFit="1" customWidth="1"/>
    <col min="3" max="3" width="2.85546875" style="71" customWidth="1"/>
    <col min="4" max="4" width="14" style="71" bestFit="1" customWidth="1"/>
    <col min="5" max="5" width="9.140625" style="71"/>
    <col min="6" max="6" width="10.140625" style="71" bestFit="1" customWidth="1"/>
    <col min="7" max="16384" width="9.140625" style="71"/>
  </cols>
  <sheetData>
    <row r="1" spans="1:9">
      <c r="A1" s="1029" t="s">
        <v>60</v>
      </c>
      <c r="B1" s="1029"/>
      <c r="C1" s="1029"/>
      <c r="D1" s="1029"/>
      <c r="E1" s="1029"/>
      <c r="F1" s="2"/>
      <c r="G1" s="2"/>
      <c r="H1" s="2"/>
      <c r="I1" s="2"/>
    </row>
    <row r="2" spans="1:9">
      <c r="A2" s="1029" t="s">
        <v>1854</v>
      </c>
      <c r="B2" s="1029"/>
      <c r="C2" s="1029"/>
      <c r="D2" s="1029"/>
      <c r="E2" s="1029"/>
      <c r="F2" s="2"/>
      <c r="G2" s="2"/>
      <c r="H2" s="2"/>
      <c r="I2" s="2"/>
    </row>
    <row r="3" spans="1:9">
      <c r="A3" s="1029" t="s">
        <v>1384</v>
      </c>
      <c r="B3" s="1029"/>
      <c r="C3" s="1029"/>
      <c r="D3" s="1029"/>
      <c r="E3" s="1029"/>
      <c r="F3" s="2"/>
      <c r="G3" s="2"/>
      <c r="H3" s="2"/>
      <c r="I3" s="2"/>
    </row>
    <row r="4" spans="1:9">
      <c r="A4" s="1029" t="s">
        <v>737</v>
      </c>
      <c r="B4" s="1029"/>
      <c r="C4" s="1029"/>
      <c r="D4" s="1029"/>
      <c r="E4" s="1029"/>
      <c r="F4" s="2"/>
      <c r="G4" s="2"/>
      <c r="H4" s="2"/>
      <c r="I4" s="2"/>
    </row>
    <row r="5" spans="1:9">
      <c r="A5" s="1029" t="s">
        <v>1853</v>
      </c>
      <c r="B5" s="1029"/>
      <c r="C5" s="1029"/>
      <c r="D5" s="1029"/>
      <c r="E5" s="1029"/>
      <c r="F5" s="2"/>
      <c r="G5" s="2"/>
      <c r="H5" s="2"/>
      <c r="I5" s="2"/>
    </row>
    <row r="7" spans="1:9">
      <c r="A7" s="242" t="s">
        <v>660</v>
      </c>
      <c r="B7" s="455" t="s">
        <v>799</v>
      </c>
      <c r="C7" s="455"/>
      <c r="D7" s="455" t="s">
        <v>797</v>
      </c>
      <c r="E7" s="456"/>
    </row>
    <row r="8" spans="1:9">
      <c r="A8" s="228">
        <v>1</v>
      </c>
      <c r="B8" s="456" t="s">
        <v>1975</v>
      </c>
      <c r="C8" s="456"/>
      <c r="D8" s="724">
        <v>5197058.3</v>
      </c>
      <c r="E8" s="456"/>
    </row>
    <row r="9" spans="1:9">
      <c r="A9" s="228">
        <v>2</v>
      </c>
      <c r="B9" s="456" t="s">
        <v>1973</v>
      </c>
      <c r="C9" s="456"/>
      <c r="D9" s="453">
        <v>8015406.3799999999</v>
      </c>
      <c r="E9" s="456"/>
    </row>
    <row r="10" spans="1:9">
      <c r="A10" s="228">
        <v>3</v>
      </c>
      <c r="B10" s="456"/>
      <c r="C10" s="456"/>
      <c r="D10" s="725">
        <v>0</v>
      </c>
      <c r="E10" s="456"/>
    </row>
    <row r="11" spans="1:9">
      <c r="A11" s="228">
        <v>4</v>
      </c>
      <c r="B11" s="456" t="s">
        <v>1385</v>
      </c>
      <c r="C11" s="456"/>
      <c r="D11" s="724">
        <f>+D8+D9+D10</f>
        <v>13212464.68</v>
      </c>
      <c r="E11" s="456"/>
    </row>
    <row r="12" spans="1:9" ht="18">
      <c r="A12" s="228">
        <v>5</v>
      </c>
      <c r="B12" s="456" t="s">
        <v>1051</v>
      </c>
      <c r="C12" s="456"/>
      <c r="D12" s="725">
        <v>9</v>
      </c>
      <c r="E12" s="456"/>
    </row>
    <row r="13" spans="1:9" ht="16.5" thickBot="1">
      <c r="A13" s="228">
        <v>6</v>
      </c>
      <c r="B13" s="456" t="s">
        <v>733</v>
      </c>
      <c r="C13" s="456"/>
      <c r="D13" s="726">
        <f>+D11/D12</f>
        <v>1468051.631111111</v>
      </c>
      <c r="E13" s="456"/>
    </row>
    <row r="14" spans="1:9" ht="16.5" thickTop="1">
      <c r="B14" s="456" t="s">
        <v>1974</v>
      </c>
      <c r="C14" s="456"/>
      <c r="D14" s="727">
        <v>542301.72</v>
      </c>
      <c r="E14" s="456"/>
    </row>
    <row r="15" spans="1:9">
      <c r="B15" s="456" t="s">
        <v>1972</v>
      </c>
      <c r="C15" s="456"/>
      <c r="D15" s="727">
        <f>+D13-D14</f>
        <v>925749.91111111105</v>
      </c>
      <c r="E15" s="456"/>
    </row>
    <row r="16" spans="1:9" ht="18">
      <c r="A16" s="71" t="s">
        <v>1052</v>
      </c>
      <c r="B16" s="456"/>
      <c r="C16" s="456"/>
      <c r="D16" s="456"/>
      <c r="E16" s="456"/>
    </row>
    <row r="17" spans="1:5">
      <c r="B17" s="456"/>
      <c r="C17" s="456"/>
      <c r="D17" s="456"/>
      <c r="E17" s="456"/>
    </row>
    <row r="18" spans="1:5">
      <c r="B18" s="456"/>
      <c r="C18" s="456"/>
      <c r="D18" s="456"/>
      <c r="E18" s="456"/>
    </row>
    <row r="19" spans="1:5">
      <c r="A19" s="228"/>
    </row>
  </sheetData>
  <mergeCells count="5">
    <mergeCell ref="A1:E1"/>
    <mergeCell ref="A2:E2"/>
    <mergeCell ref="A3:E3"/>
    <mergeCell ref="A4:E4"/>
    <mergeCell ref="A5:E5"/>
  </mergeCells>
  <printOptions horizontalCentered="1"/>
  <pageMargins left="0.7" right="0.7" top="0.75" bottom="0.75" header="0.3" footer="0.3"/>
  <pageSetup scale="94" fitToHeight="0" orientation="portrait" r:id="rId1"/>
  <headerFooter scaleWithDoc="0" alignWithMargins="0">
    <oddHeader>&amp;RPage &amp;P of &amp;N</oddHeader>
    <oddFooter>&amp;LElectronic Tab Name:&amp;A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899"/>
  <sheetViews>
    <sheetView view="pageBreakPreview" topLeftCell="A10" zoomScale="60" zoomScaleNormal="100" workbookViewId="0">
      <pane xSplit="5" topLeftCell="F1" activePane="topRight" state="frozen"/>
      <selection activeCell="A2" sqref="A2:C2"/>
      <selection pane="topRight" activeCell="A2" sqref="A2:C2"/>
    </sheetView>
  </sheetViews>
  <sheetFormatPr defaultColWidth="9.140625" defaultRowHeight="15"/>
  <cols>
    <col min="1" max="1" width="3.85546875" style="397" customWidth="1"/>
    <col min="2" max="2" width="13.5703125" style="397" customWidth="1"/>
    <col min="3" max="3" width="7.28515625" style="397" customWidth="1"/>
    <col min="4" max="4" width="5.85546875" style="397" customWidth="1"/>
    <col min="5" max="5" width="51" style="397" bestFit="1" customWidth="1"/>
    <col min="6" max="6" width="17.28515625" style="397" customWidth="1"/>
    <col min="7" max="10" width="16.5703125" style="397" customWidth="1"/>
    <col min="11" max="16" width="17.28515625" style="397" bestFit="1" customWidth="1"/>
    <col min="17" max="18" width="17.28515625" style="397" customWidth="1"/>
    <col min="19" max="19" width="20.42578125" style="397" customWidth="1"/>
    <col min="20" max="20" width="9.140625" style="397"/>
    <col min="21" max="21" width="12.28515625" style="397" bestFit="1" customWidth="1"/>
    <col min="22" max="23" width="15.5703125" style="602" bestFit="1" customWidth="1"/>
    <col min="24" max="24" width="16.5703125" style="602" bestFit="1" customWidth="1"/>
    <col min="25" max="25" width="28.42578125" style="602" bestFit="1" customWidth="1"/>
    <col min="26" max="26" width="15.5703125" style="602" bestFit="1" customWidth="1"/>
    <col min="27" max="27" width="12.85546875" style="397" customWidth="1"/>
    <col min="28" max="28" width="15" style="602" bestFit="1" customWidth="1"/>
    <col min="29" max="29" width="15.5703125" style="397" customWidth="1"/>
    <col min="30" max="30" width="14.5703125" style="397" customWidth="1"/>
    <col min="31" max="31" width="41.140625" style="397" customWidth="1"/>
    <col min="32" max="16384" width="9.140625" style="397"/>
  </cols>
  <sheetData>
    <row r="1" spans="1:32" ht="15.75">
      <c r="A1" s="300" t="s">
        <v>60</v>
      </c>
      <c r="B1" s="620"/>
      <c r="C1" s="620"/>
      <c r="D1" s="620"/>
      <c r="E1" s="620"/>
      <c r="F1" s="502" t="s">
        <v>751</v>
      </c>
      <c r="G1" s="502" t="s">
        <v>751</v>
      </c>
      <c r="H1" s="502" t="s">
        <v>751</v>
      </c>
      <c r="I1" s="502" t="s">
        <v>751</v>
      </c>
      <c r="J1" s="502" t="s">
        <v>751</v>
      </c>
      <c r="K1" s="502" t="s">
        <v>751</v>
      </c>
      <c r="L1" s="502" t="s">
        <v>751</v>
      </c>
      <c r="M1" s="502" t="s">
        <v>751</v>
      </c>
      <c r="N1" s="502" t="s">
        <v>751</v>
      </c>
      <c r="O1" s="502" t="s">
        <v>751</v>
      </c>
      <c r="P1" s="502" t="s">
        <v>751</v>
      </c>
      <c r="Q1" s="502" t="s">
        <v>751</v>
      </c>
      <c r="R1" s="502" t="s">
        <v>751</v>
      </c>
      <c r="S1" s="327"/>
      <c r="T1" s="620"/>
      <c r="U1" s="327"/>
      <c r="V1" s="705"/>
      <c r="W1" s="705"/>
      <c r="X1" s="705"/>
      <c r="Y1" s="705"/>
      <c r="Z1" s="705"/>
      <c r="AA1" s="327"/>
      <c r="AB1" s="705"/>
      <c r="AC1" s="620"/>
      <c r="AD1" s="620"/>
      <c r="AE1" s="620"/>
    </row>
    <row r="2" spans="1:32" ht="15.75">
      <c r="A2" s="300" t="s">
        <v>1847</v>
      </c>
      <c r="B2" s="620"/>
      <c r="C2" s="620"/>
      <c r="D2" s="620"/>
      <c r="E2" s="620"/>
      <c r="F2" s="502"/>
      <c r="G2" s="502"/>
      <c r="H2" s="502"/>
      <c r="I2" s="502"/>
      <c r="J2" s="502"/>
      <c r="K2" s="502"/>
      <c r="L2" s="502"/>
      <c r="M2" s="502"/>
      <c r="N2" s="502"/>
      <c r="O2" s="502"/>
      <c r="P2" s="502"/>
      <c r="Q2" s="502"/>
      <c r="R2" s="502"/>
      <c r="S2" s="327"/>
      <c r="T2" s="620"/>
      <c r="U2" s="327"/>
      <c r="V2" s="705"/>
      <c r="W2" s="705"/>
      <c r="X2" s="705"/>
      <c r="Y2" s="705"/>
      <c r="Z2" s="705"/>
      <c r="AA2" s="327"/>
      <c r="AB2" s="705"/>
      <c r="AC2" s="620"/>
      <c r="AD2" s="620"/>
      <c r="AE2" s="620"/>
    </row>
    <row r="3" spans="1:32" ht="15.75">
      <c r="A3" s="300" t="s">
        <v>1858</v>
      </c>
      <c r="B3" s="620"/>
      <c r="C3" s="620"/>
      <c r="D3" s="620"/>
      <c r="E3" s="620"/>
      <c r="F3" s="502"/>
      <c r="G3" s="502"/>
      <c r="H3" s="502"/>
      <c r="I3" s="502"/>
      <c r="J3" s="502"/>
      <c r="K3" s="502"/>
      <c r="L3" s="502"/>
      <c r="M3" s="502"/>
      <c r="N3" s="502"/>
      <c r="O3" s="502"/>
      <c r="P3" s="502"/>
      <c r="Q3" s="502"/>
      <c r="R3" s="502"/>
      <c r="S3" s="327"/>
      <c r="T3" s="620"/>
      <c r="U3" s="327"/>
      <c r="V3" s="705"/>
      <c r="W3" s="705"/>
      <c r="X3" s="705"/>
      <c r="Y3" s="705"/>
      <c r="Z3" s="705"/>
      <c r="AA3" s="327"/>
      <c r="AB3" s="705"/>
      <c r="AC3" s="620"/>
      <c r="AD3" s="620"/>
      <c r="AE3" s="620"/>
    </row>
    <row r="4" spans="1:32" ht="15.75">
      <c r="A4" s="300"/>
      <c r="B4" s="620"/>
      <c r="C4" s="620"/>
      <c r="D4" s="620"/>
      <c r="E4" s="620"/>
      <c r="F4" s="502"/>
      <c r="G4" s="502"/>
      <c r="H4" s="502"/>
      <c r="I4" s="502"/>
      <c r="J4" s="502"/>
      <c r="K4" s="502"/>
      <c r="L4" s="502"/>
      <c r="M4" s="502"/>
      <c r="N4" s="502"/>
      <c r="O4" s="502"/>
      <c r="P4" s="502"/>
      <c r="Q4" s="502"/>
      <c r="R4" s="502"/>
      <c r="S4" s="327"/>
      <c r="T4" s="620"/>
      <c r="U4" s="327"/>
      <c r="V4" s="705"/>
      <c r="W4" s="705"/>
      <c r="X4" s="705"/>
      <c r="Y4" s="705"/>
      <c r="Z4" s="705"/>
      <c r="AA4" s="327"/>
      <c r="AB4" s="705"/>
      <c r="AC4" s="620"/>
      <c r="AD4" s="620"/>
      <c r="AE4" s="620"/>
    </row>
    <row r="5" spans="1:32">
      <c r="A5" s="620"/>
      <c r="B5" s="620"/>
      <c r="C5" s="620"/>
      <c r="D5" s="620"/>
      <c r="E5" s="620"/>
      <c r="F5" s="502" t="s">
        <v>1331</v>
      </c>
      <c r="G5" s="502" t="s">
        <v>1857</v>
      </c>
      <c r="H5" s="502" t="s">
        <v>1857</v>
      </c>
      <c r="I5" s="502" t="s">
        <v>1857</v>
      </c>
      <c r="J5" s="502" t="s">
        <v>1857</v>
      </c>
      <c r="K5" s="502" t="s">
        <v>1857</v>
      </c>
      <c r="L5" s="502" t="s">
        <v>1857</v>
      </c>
      <c r="M5" s="502" t="s">
        <v>1857</v>
      </c>
      <c r="N5" s="502" t="s">
        <v>1857</v>
      </c>
      <c r="O5" s="502" t="s">
        <v>1857</v>
      </c>
      <c r="P5" s="502" t="s">
        <v>1857</v>
      </c>
      <c r="Q5" s="502" t="s">
        <v>1857</v>
      </c>
      <c r="R5" s="502" t="s">
        <v>1857</v>
      </c>
      <c r="S5" s="327"/>
      <c r="T5" s="620"/>
      <c r="U5" s="327"/>
      <c r="V5" s="705"/>
      <c r="W5" s="705"/>
      <c r="X5" s="705"/>
      <c r="Y5" s="705"/>
      <c r="Z5" s="705"/>
      <c r="AA5" s="327"/>
      <c r="AB5" s="705"/>
      <c r="AC5" s="620"/>
      <c r="AD5" s="620"/>
      <c r="AE5" s="620"/>
    </row>
    <row r="6" spans="1:32">
      <c r="A6" s="620"/>
      <c r="B6" s="620"/>
      <c r="C6" s="620"/>
      <c r="D6" s="620"/>
      <c r="E6" s="620"/>
      <c r="F6" s="502" t="s">
        <v>963</v>
      </c>
      <c r="G6" s="502" t="s">
        <v>963</v>
      </c>
      <c r="H6" s="502" t="s">
        <v>963</v>
      </c>
      <c r="I6" s="502" t="s">
        <v>963</v>
      </c>
      <c r="J6" s="502" t="s">
        <v>963</v>
      </c>
      <c r="K6" s="502" t="s">
        <v>963</v>
      </c>
      <c r="L6" s="502" t="s">
        <v>963</v>
      </c>
      <c r="M6" s="502" t="s">
        <v>963</v>
      </c>
      <c r="N6" s="502" t="s">
        <v>963</v>
      </c>
      <c r="O6" s="502" t="s">
        <v>963</v>
      </c>
      <c r="P6" s="502" t="s">
        <v>963</v>
      </c>
      <c r="Q6" s="502" t="s">
        <v>963</v>
      </c>
      <c r="R6" s="502" t="s">
        <v>963</v>
      </c>
      <c r="S6" s="327"/>
      <c r="T6" s="620"/>
      <c r="U6" s="327"/>
      <c r="V6" s="689"/>
      <c r="W6" s="705"/>
      <c r="X6" s="705"/>
      <c r="Y6" s="705" t="s">
        <v>1107</v>
      </c>
      <c r="Z6" s="705"/>
      <c r="AA6" s="327"/>
      <c r="AB6" s="705"/>
      <c r="AC6" s="620"/>
      <c r="AD6" s="620"/>
      <c r="AE6" s="620"/>
    </row>
    <row r="7" spans="1:32">
      <c r="A7" s="620"/>
      <c r="B7" s="620"/>
      <c r="C7" s="620"/>
      <c r="D7" s="620"/>
      <c r="E7" s="620"/>
      <c r="F7" s="502" t="s">
        <v>1108</v>
      </c>
      <c r="G7" s="502" t="s">
        <v>1108</v>
      </c>
      <c r="H7" s="502" t="s">
        <v>1108</v>
      </c>
      <c r="I7" s="502" t="s">
        <v>1108</v>
      </c>
      <c r="J7" s="502" t="s">
        <v>1108</v>
      </c>
      <c r="K7" s="502" t="s">
        <v>1108</v>
      </c>
      <c r="L7" s="502" t="s">
        <v>1108</v>
      </c>
      <c r="M7" s="502" t="s">
        <v>1108</v>
      </c>
      <c r="N7" s="502" t="s">
        <v>1108</v>
      </c>
      <c r="O7" s="502" t="s">
        <v>1108</v>
      </c>
      <c r="P7" s="502" t="s">
        <v>1108</v>
      </c>
      <c r="Q7" s="502" t="s">
        <v>1108</v>
      </c>
      <c r="R7" s="502" t="s">
        <v>1108</v>
      </c>
      <c r="S7" s="327"/>
      <c r="T7" s="620"/>
      <c r="U7" s="327"/>
      <c r="V7" s="689"/>
      <c r="W7" s="705"/>
      <c r="X7" s="705"/>
      <c r="Y7" s="705" t="s">
        <v>106</v>
      </c>
      <c r="Z7" s="689">
        <f>+'State Allocation Formulas'!C21</f>
        <v>0.75170000000000003</v>
      </c>
      <c r="AA7" s="327"/>
      <c r="AB7" s="705"/>
      <c r="AC7" s="620"/>
      <c r="AD7" s="620"/>
      <c r="AE7" s="620"/>
    </row>
    <row r="8" spans="1:32">
      <c r="A8" s="620"/>
      <c r="B8" s="620"/>
      <c r="C8" s="620"/>
      <c r="D8" s="620"/>
      <c r="E8" s="301"/>
      <c r="F8" s="503" t="s">
        <v>471</v>
      </c>
      <c r="G8" s="503" t="s">
        <v>526</v>
      </c>
      <c r="H8" s="503" t="s">
        <v>560</v>
      </c>
      <c r="I8" s="503" t="s">
        <v>561</v>
      </c>
      <c r="J8" s="503" t="s">
        <v>964</v>
      </c>
      <c r="K8" s="503" t="s">
        <v>965</v>
      </c>
      <c r="L8" s="503" t="s">
        <v>966</v>
      </c>
      <c r="M8" s="503" t="s">
        <v>967</v>
      </c>
      <c r="N8" s="503" t="s">
        <v>387</v>
      </c>
      <c r="O8" s="503" t="s">
        <v>968</v>
      </c>
      <c r="P8" s="503" t="s">
        <v>969</v>
      </c>
      <c r="Q8" s="503" t="s">
        <v>970</v>
      </c>
      <c r="R8" s="503" t="s">
        <v>471</v>
      </c>
      <c r="S8" s="327"/>
      <c r="T8" s="620"/>
      <c r="U8" s="327"/>
      <c r="V8" s="705"/>
      <c r="W8" s="705"/>
      <c r="X8" s="705"/>
      <c r="Y8" s="705" t="s">
        <v>83</v>
      </c>
      <c r="Z8" s="689">
        <f>+'State Allocation Formulas'!D21</f>
        <v>0.24829999999999999</v>
      </c>
      <c r="AA8" s="327"/>
      <c r="AB8" s="705"/>
      <c r="AC8" s="620"/>
      <c r="AD8" s="620"/>
      <c r="AE8" s="620"/>
    </row>
    <row r="9" spans="1:32">
      <c r="A9" s="620"/>
      <c r="B9" s="620"/>
      <c r="C9" s="620"/>
      <c r="D9" s="620"/>
      <c r="E9" s="301"/>
      <c r="F9" s="502" t="s">
        <v>723</v>
      </c>
      <c r="G9" s="502" t="s">
        <v>723</v>
      </c>
      <c r="H9" s="502" t="s">
        <v>723</v>
      </c>
      <c r="I9" s="502" t="s">
        <v>723</v>
      </c>
      <c r="J9" s="502" t="s">
        <v>723</v>
      </c>
      <c r="K9" s="502" t="s">
        <v>723</v>
      </c>
      <c r="L9" s="502" t="s">
        <v>723</v>
      </c>
      <c r="M9" s="502" t="s">
        <v>723</v>
      </c>
      <c r="N9" s="502" t="s">
        <v>723</v>
      </c>
      <c r="O9" s="502" t="s">
        <v>723</v>
      </c>
      <c r="P9" s="502" t="s">
        <v>723</v>
      </c>
      <c r="Q9" s="502" t="s">
        <v>723</v>
      </c>
      <c r="R9" s="502" t="s">
        <v>723</v>
      </c>
      <c r="S9" s="327"/>
      <c r="T9" s="620"/>
      <c r="U9" s="327"/>
      <c r="V9" s="705"/>
      <c r="W9" s="705"/>
      <c r="X9" s="705"/>
      <c r="Y9" s="705"/>
      <c r="Z9" s="705"/>
      <c r="AA9" s="327"/>
      <c r="AB9" s="705"/>
      <c r="AC9" s="620"/>
      <c r="AD9" s="620"/>
      <c r="AE9" s="620"/>
    </row>
    <row r="10" spans="1:32">
      <c r="A10" s="620"/>
      <c r="B10" s="620"/>
      <c r="C10" s="620"/>
      <c r="D10" s="620"/>
      <c r="E10" s="301"/>
      <c r="F10" s="502" t="s">
        <v>752</v>
      </c>
      <c r="G10" s="502" t="s">
        <v>752</v>
      </c>
      <c r="H10" s="502" t="s">
        <v>752</v>
      </c>
      <c r="I10" s="502" t="s">
        <v>752</v>
      </c>
      <c r="J10" s="502" t="s">
        <v>752</v>
      </c>
      <c r="K10" s="502" t="s">
        <v>752</v>
      </c>
      <c r="L10" s="502" t="s">
        <v>752</v>
      </c>
      <c r="M10" s="502" t="s">
        <v>752</v>
      </c>
      <c r="N10" s="502" t="s">
        <v>752</v>
      </c>
      <c r="O10" s="502" t="s">
        <v>752</v>
      </c>
      <c r="P10" s="502" t="s">
        <v>752</v>
      </c>
      <c r="Q10" s="502" t="s">
        <v>752</v>
      </c>
      <c r="R10" s="502" t="s">
        <v>752</v>
      </c>
      <c r="S10" s="327"/>
      <c r="T10" s="620"/>
      <c r="U10" s="327"/>
      <c r="V10" s="705"/>
      <c r="W10" s="705"/>
      <c r="X10" s="705"/>
      <c r="Y10" s="705"/>
      <c r="Z10" s="705"/>
      <c r="AA10" s="327"/>
      <c r="AB10" s="705"/>
      <c r="AC10" s="620"/>
      <c r="AD10" s="620"/>
      <c r="AE10" s="620"/>
    </row>
    <row r="11" spans="1:32">
      <c r="A11" s="620"/>
      <c r="B11" s="1093" t="s">
        <v>1109</v>
      </c>
      <c r="C11" s="504"/>
      <c r="D11" s="1093" t="s">
        <v>1110</v>
      </c>
      <c r="E11" s="620"/>
      <c r="F11" s="620"/>
      <c r="G11" s="620"/>
      <c r="H11" s="620"/>
      <c r="I11" s="620"/>
      <c r="J11" s="620"/>
      <c r="K11" s="620"/>
      <c r="L11" s="620"/>
      <c r="M11" s="620"/>
      <c r="N11" s="620"/>
      <c r="O11" s="620"/>
      <c r="P11" s="620"/>
      <c r="Q11" s="620"/>
      <c r="R11" s="620"/>
      <c r="S11" s="327"/>
      <c r="T11" s="620"/>
      <c r="U11" s="327"/>
      <c r="V11" s="705"/>
      <c r="W11" s="705"/>
      <c r="X11" s="705"/>
      <c r="Y11" s="706" t="s">
        <v>1111</v>
      </c>
      <c r="Z11" s="707"/>
      <c r="AA11" s="708"/>
      <c r="AB11" s="705"/>
      <c r="AC11" s="620"/>
      <c r="AD11" s="620"/>
      <c r="AE11" s="620"/>
    </row>
    <row r="12" spans="1:32">
      <c r="A12" s="505" t="s">
        <v>1112</v>
      </c>
      <c r="B12" s="1093"/>
      <c r="C12" s="504" t="s">
        <v>779</v>
      </c>
      <c r="D12" s="1093"/>
      <c r="E12" s="620"/>
      <c r="F12" s="620"/>
      <c r="G12" s="620"/>
      <c r="H12" s="620"/>
      <c r="I12" s="620"/>
      <c r="J12" s="620"/>
      <c r="K12" s="620"/>
      <c r="L12" s="620"/>
      <c r="M12" s="620"/>
      <c r="N12" s="620"/>
      <c r="O12" s="620"/>
      <c r="P12" s="620"/>
      <c r="Q12" s="620"/>
      <c r="R12" s="620"/>
      <c r="S12" s="327"/>
      <c r="T12" s="620"/>
      <c r="U12" s="709" t="s">
        <v>1113</v>
      </c>
      <c r="V12" s="710" t="s">
        <v>1113</v>
      </c>
      <c r="W12" s="710" t="s">
        <v>376</v>
      </c>
      <c r="X12" s="710" t="s">
        <v>58</v>
      </c>
      <c r="Y12" s="705"/>
      <c r="Z12" s="705"/>
      <c r="AA12" s="327"/>
      <c r="AB12" s="705"/>
      <c r="AC12" s="620"/>
      <c r="AD12" s="620"/>
      <c r="AE12" s="620"/>
    </row>
    <row r="13" spans="1:32">
      <c r="A13" s="505" t="s">
        <v>1114</v>
      </c>
      <c r="B13" s="504" t="s">
        <v>1115</v>
      </c>
      <c r="C13" s="504" t="s">
        <v>1114</v>
      </c>
      <c r="D13" s="504" t="s">
        <v>779</v>
      </c>
      <c r="E13" s="620"/>
      <c r="F13" s="302" t="s">
        <v>1402</v>
      </c>
      <c r="G13" s="506" t="s">
        <v>1959</v>
      </c>
      <c r="H13" s="302" t="s">
        <v>1960</v>
      </c>
      <c r="I13" s="302" t="s">
        <v>1961</v>
      </c>
      <c r="J13" s="302" t="s">
        <v>1962</v>
      </c>
      <c r="K13" s="302" t="s">
        <v>1963</v>
      </c>
      <c r="L13" s="302" t="s">
        <v>1964</v>
      </c>
      <c r="M13" s="302" t="s">
        <v>1965</v>
      </c>
      <c r="N13" s="302" t="s">
        <v>1966</v>
      </c>
      <c r="O13" s="302" t="s">
        <v>1967</v>
      </c>
      <c r="P13" s="302" t="s">
        <v>1968</v>
      </c>
      <c r="Q13" s="302" t="s">
        <v>1969</v>
      </c>
      <c r="R13" s="302" t="s">
        <v>1970</v>
      </c>
      <c r="S13" s="303" t="s">
        <v>818</v>
      </c>
      <c r="T13" s="620"/>
      <c r="U13" s="709" t="s">
        <v>1116</v>
      </c>
      <c r="V13" s="710" t="s">
        <v>1117</v>
      </c>
      <c r="W13" s="710" t="s">
        <v>377</v>
      </c>
      <c r="X13" s="710" t="s">
        <v>378</v>
      </c>
      <c r="Y13" s="710" t="s">
        <v>370</v>
      </c>
      <c r="Z13" s="710" t="s">
        <v>732</v>
      </c>
      <c r="AA13" s="709" t="s">
        <v>1118</v>
      </c>
      <c r="AB13" s="710" t="s">
        <v>1119</v>
      </c>
      <c r="AC13" s="620" t="s">
        <v>369</v>
      </c>
      <c r="AD13" s="620" t="s">
        <v>1120</v>
      </c>
      <c r="AE13" s="620"/>
    </row>
    <row r="14" spans="1:32">
      <c r="A14" s="505"/>
      <c r="B14" s="504"/>
      <c r="C14" s="504"/>
      <c r="D14" s="504"/>
      <c r="E14" s="620"/>
      <c r="F14" s="342"/>
      <c r="G14" s="507"/>
      <c r="H14" s="342"/>
      <c r="I14" s="342"/>
      <c r="J14" s="342"/>
      <c r="K14" s="342"/>
      <c r="L14" s="342"/>
      <c r="M14" s="342"/>
      <c r="N14" s="342"/>
      <c r="O14" s="342"/>
      <c r="P14" s="342"/>
      <c r="Q14" s="342"/>
      <c r="R14" s="342"/>
      <c r="S14" s="343" t="s">
        <v>110</v>
      </c>
      <c r="T14" s="620"/>
      <c r="U14" s="711" t="s">
        <v>111</v>
      </c>
      <c r="V14" s="712" t="s">
        <v>1121</v>
      </c>
      <c r="W14" s="712" t="s">
        <v>1122</v>
      </c>
      <c r="X14" s="712" t="s">
        <v>1123</v>
      </c>
      <c r="Y14" s="712" t="s">
        <v>1124</v>
      </c>
      <c r="Z14" s="712" t="s">
        <v>1125</v>
      </c>
      <c r="AA14" s="711"/>
      <c r="AB14" s="712" t="s">
        <v>1126</v>
      </c>
      <c r="AC14" s="658"/>
      <c r="AD14" s="658"/>
      <c r="AE14" s="658"/>
    </row>
    <row r="15" spans="1:32">
      <c r="A15" s="620">
        <v>1</v>
      </c>
      <c r="B15" s="326" t="s">
        <v>977</v>
      </c>
      <c r="C15" s="326" t="s">
        <v>379</v>
      </c>
      <c r="D15" s="620" t="s">
        <v>380</v>
      </c>
      <c r="E15" s="618" t="s">
        <v>381</v>
      </c>
      <c r="F15" s="619">
        <v>1054152346.6799999</v>
      </c>
      <c r="G15" s="619">
        <v>1055924116.6</v>
      </c>
      <c r="H15" s="619">
        <v>1057151346.5</v>
      </c>
      <c r="I15" s="619">
        <v>1056996938.39</v>
      </c>
      <c r="J15" s="619">
        <v>1057817061.09</v>
      </c>
      <c r="K15" s="619">
        <v>1061184611.87</v>
      </c>
      <c r="L15" s="619">
        <v>1061776905.48</v>
      </c>
      <c r="M15" s="619">
        <v>1059049576.8</v>
      </c>
      <c r="N15" s="619">
        <v>1061962190.64</v>
      </c>
      <c r="O15" s="619">
        <v>1063685158.17</v>
      </c>
      <c r="P15" s="619">
        <v>1067686772.83</v>
      </c>
      <c r="Q15" s="619">
        <v>1048741854.72</v>
      </c>
      <c r="R15" s="619">
        <v>1079798325.22</v>
      </c>
      <c r="S15" s="498">
        <f>((F15+R15)+((G15+H15+I15+J15+K15+L15+M15+N15+O15+P15+Q15)*2))/24</f>
        <v>1059912655.7533334</v>
      </c>
      <c r="T15" s="620"/>
      <c r="U15" s="657"/>
      <c r="V15" s="690"/>
      <c r="W15" s="690"/>
      <c r="X15" s="713">
        <f>+S15</f>
        <v>1059912655.7533334</v>
      </c>
      <c r="Y15" s="690">
        <f>+X15*Z7</f>
        <v>796736343.32978082</v>
      </c>
      <c r="Z15" s="690">
        <f>+X15*Z8</f>
        <v>263176312.42355269</v>
      </c>
      <c r="AA15" s="657"/>
      <c r="AB15" s="690"/>
      <c r="AC15" s="658"/>
      <c r="AD15" s="658"/>
      <c r="AE15" s="658" t="s">
        <v>1447</v>
      </c>
      <c r="AF15" s="688">
        <f t="shared" ref="AF15:AF85" si="0">+U15+V15-AD15</f>
        <v>0</v>
      </c>
    </row>
    <row r="16" spans="1:32">
      <c r="A16" s="620">
        <v>2</v>
      </c>
      <c r="B16" s="326" t="s">
        <v>977</v>
      </c>
      <c r="C16" s="326" t="s">
        <v>379</v>
      </c>
      <c r="D16" s="620">
        <v>20</v>
      </c>
      <c r="E16" s="618" t="s">
        <v>1859</v>
      </c>
      <c r="F16" s="619">
        <v>0</v>
      </c>
      <c r="G16" s="619">
        <v>0</v>
      </c>
      <c r="H16" s="619">
        <v>0</v>
      </c>
      <c r="I16" s="619">
        <v>0</v>
      </c>
      <c r="J16" s="619">
        <v>0</v>
      </c>
      <c r="K16" s="619">
        <v>0</v>
      </c>
      <c r="L16" s="619">
        <v>0</v>
      </c>
      <c r="M16" s="619">
        <v>0</v>
      </c>
      <c r="N16" s="619">
        <v>0</v>
      </c>
      <c r="O16" s="619">
        <v>0</v>
      </c>
      <c r="P16" s="619">
        <v>0</v>
      </c>
      <c r="Q16" s="619">
        <v>0</v>
      </c>
      <c r="R16" s="619">
        <v>0</v>
      </c>
      <c r="S16" s="498">
        <f t="shared" ref="S16:S17" si="1">((F16+R16)+((G16+H16+I16+J16+K16+L16+M16+N16+O16+P16+Q16)*2))/24</f>
        <v>0</v>
      </c>
      <c r="T16" s="620"/>
      <c r="U16" s="657"/>
      <c r="V16" s="690"/>
      <c r="W16" s="690"/>
      <c r="X16" s="713"/>
      <c r="Y16" s="690"/>
      <c r="Z16" s="690"/>
      <c r="AA16" s="657"/>
      <c r="AB16" s="690"/>
      <c r="AC16" s="658"/>
      <c r="AD16" s="658"/>
      <c r="AE16" s="658"/>
      <c r="AF16" s="688"/>
    </row>
    <row r="17" spans="1:32">
      <c r="A17" s="620">
        <v>3</v>
      </c>
      <c r="B17" s="326" t="s">
        <v>977</v>
      </c>
      <c r="C17" s="687">
        <v>1014</v>
      </c>
      <c r="D17" s="620"/>
      <c r="E17" s="618" t="s">
        <v>1860</v>
      </c>
      <c r="F17" s="619">
        <v>0</v>
      </c>
      <c r="G17" s="619">
        <v>0</v>
      </c>
      <c r="H17" s="619">
        <v>0</v>
      </c>
      <c r="I17" s="619">
        <v>0</v>
      </c>
      <c r="J17" s="619">
        <v>0</v>
      </c>
      <c r="K17" s="619">
        <v>0</v>
      </c>
      <c r="L17" s="619">
        <v>0</v>
      </c>
      <c r="M17" s="619">
        <v>0</v>
      </c>
      <c r="N17" s="619">
        <v>0</v>
      </c>
      <c r="O17" s="619">
        <v>0</v>
      </c>
      <c r="P17" s="619">
        <v>0</v>
      </c>
      <c r="Q17" s="619">
        <v>22184758.190000001</v>
      </c>
      <c r="R17" s="619">
        <v>26337831.030000001</v>
      </c>
      <c r="S17" s="498">
        <f t="shared" si="1"/>
        <v>2946139.4754166664</v>
      </c>
      <c r="T17" s="620"/>
      <c r="U17" s="657"/>
      <c r="V17" s="690"/>
      <c r="W17" s="690"/>
      <c r="X17" s="713">
        <f>+S17</f>
        <v>2946139.4754166664</v>
      </c>
      <c r="Y17" s="690">
        <f>+X17*Z7</f>
        <v>2214613.0436707083</v>
      </c>
      <c r="Z17" s="690">
        <f>+X17*Z8</f>
        <v>731526.43174595828</v>
      </c>
      <c r="AA17" s="657"/>
      <c r="AB17" s="690"/>
      <c r="AC17" s="658"/>
      <c r="AD17" s="658"/>
      <c r="AE17" s="658"/>
      <c r="AF17" s="688"/>
    </row>
    <row r="18" spans="1:32">
      <c r="A18" s="620">
        <v>4</v>
      </c>
      <c r="B18" s="326" t="s">
        <v>977</v>
      </c>
      <c r="C18" s="326" t="s">
        <v>382</v>
      </c>
      <c r="D18" s="620" t="s">
        <v>380</v>
      </c>
      <c r="E18" s="618" t="s">
        <v>383</v>
      </c>
      <c r="F18" s="619">
        <v>23074397.219999999</v>
      </c>
      <c r="G18" s="619">
        <v>25636100.859999999</v>
      </c>
      <c r="H18" s="619">
        <v>26460002.859999999</v>
      </c>
      <c r="I18" s="619">
        <v>30259467.850000001</v>
      </c>
      <c r="J18" s="619">
        <v>35060804.75</v>
      </c>
      <c r="K18" s="619">
        <v>36694345.130000003</v>
      </c>
      <c r="L18" s="619">
        <v>43280496.119999997</v>
      </c>
      <c r="M18" s="619">
        <v>46425665.93</v>
      </c>
      <c r="N18" s="619">
        <v>47962396.149999999</v>
      </c>
      <c r="O18" s="619">
        <v>53217186.020000003</v>
      </c>
      <c r="P18" s="619">
        <v>58768625.030000001</v>
      </c>
      <c r="Q18" s="619">
        <v>61542284.5</v>
      </c>
      <c r="R18" s="619">
        <v>42079945.729999997</v>
      </c>
      <c r="S18" s="498">
        <f>((F18+R18)+((G18+H18+I18+J18+K18+L18+M18+N18+O18+P18+Q18)*2))/24</f>
        <v>41490378.889583327</v>
      </c>
      <c r="T18" s="620"/>
      <c r="U18" s="657"/>
      <c r="V18" s="690"/>
      <c r="W18" s="690"/>
      <c r="X18" s="713">
        <f>+S18</f>
        <v>41490378.889583327</v>
      </c>
      <c r="Y18" s="690">
        <f>+X18*Z7</f>
        <v>31188317.81129979</v>
      </c>
      <c r="Z18" s="690">
        <f>+X18*Z8</f>
        <v>10302061.078283539</v>
      </c>
      <c r="AA18" s="657"/>
      <c r="AB18" s="690"/>
      <c r="AC18" s="658"/>
      <c r="AD18" s="658"/>
      <c r="AE18" s="658"/>
      <c r="AF18" s="688">
        <f t="shared" si="0"/>
        <v>0</v>
      </c>
    </row>
    <row r="19" spans="1:32">
      <c r="A19" s="620">
        <v>5</v>
      </c>
      <c r="B19" s="326" t="s">
        <v>977</v>
      </c>
      <c r="C19" s="326" t="s">
        <v>1861</v>
      </c>
      <c r="D19" s="326" t="s">
        <v>380</v>
      </c>
      <c r="E19" s="618" t="s">
        <v>384</v>
      </c>
      <c r="F19" s="619">
        <v>12854207.49</v>
      </c>
      <c r="G19" s="619">
        <v>13819507.289999999</v>
      </c>
      <c r="H19" s="619">
        <v>13773216.529999999</v>
      </c>
      <c r="I19" s="619">
        <v>15102320.949999999</v>
      </c>
      <c r="J19" s="619">
        <v>15365374.09</v>
      </c>
      <c r="K19" s="619">
        <v>17755694.91</v>
      </c>
      <c r="L19" s="619">
        <v>18176560.02</v>
      </c>
      <c r="M19" s="619">
        <v>24545725.66</v>
      </c>
      <c r="N19" s="619">
        <v>29893359.829999998</v>
      </c>
      <c r="O19" s="619">
        <v>28173698.039999999</v>
      </c>
      <c r="P19" s="619">
        <v>30659061.289999999</v>
      </c>
      <c r="Q19" s="619">
        <v>35235497.299999997</v>
      </c>
      <c r="R19" s="619">
        <v>31106071.859999999</v>
      </c>
      <c r="S19" s="498">
        <f>((F19+R19)+((G19+H19+I19+J19+K19+L19+M19+N19+O19+P19+Q19)*2))/24</f>
        <v>22040012.965416666</v>
      </c>
      <c r="T19" s="620"/>
      <c r="U19" s="657"/>
      <c r="V19" s="690"/>
      <c r="W19" s="690"/>
      <c r="X19" s="713">
        <f>+S19</f>
        <v>22040012.965416666</v>
      </c>
      <c r="Y19" s="690"/>
      <c r="Z19" s="690"/>
      <c r="AA19" s="657"/>
      <c r="AB19" s="690">
        <f>+S19</f>
        <v>22040012.965416666</v>
      </c>
      <c r="AC19" s="658"/>
      <c r="AD19" s="658"/>
      <c r="AE19" s="658"/>
      <c r="AF19" s="688">
        <f t="shared" si="0"/>
        <v>0</v>
      </c>
    </row>
    <row r="20" spans="1:32">
      <c r="A20" s="620">
        <v>6</v>
      </c>
      <c r="B20" s="620"/>
      <c r="C20" s="620"/>
      <c r="D20" s="620"/>
      <c r="E20" s="618" t="s">
        <v>385</v>
      </c>
      <c r="F20" s="305">
        <f t="shared" ref="F20:S20" si="2">SUM(F15:F19)</f>
        <v>1090080951.3899999</v>
      </c>
      <c r="G20" s="305">
        <f t="shared" si="2"/>
        <v>1095379724.75</v>
      </c>
      <c r="H20" s="305">
        <f t="shared" si="2"/>
        <v>1097384565.8899999</v>
      </c>
      <c r="I20" s="305">
        <f t="shared" si="2"/>
        <v>1102358727.1900001</v>
      </c>
      <c r="J20" s="305">
        <f t="shared" si="2"/>
        <v>1108243239.9300001</v>
      </c>
      <c r="K20" s="305">
        <f t="shared" si="2"/>
        <v>1115634651.9100001</v>
      </c>
      <c r="L20" s="305">
        <f t="shared" si="2"/>
        <v>1123233961.6199999</v>
      </c>
      <c r="M20" s="305">
        <f t="shared" si="2"/>
        <v>1130020968.3900001</v>
      </c>
      <c r="N20" s="305">
        <f t="shared" si="2"/>
        <v>1139817946.6199999</v>
      </c>
      <c r="O20" s="305">
        <f t="shared" si="2"/>
        <v>1145076042.23</v>
      </c>
      <c r="P20" s="305">
        <f t="shared" si="2"/>
        <v>1157114459.1500001</v>
      </c>
      <c r="Q20" s="305">
        <f t="shared" si="2"/>
        <v>1167704394.71</v>
      </c>
      <c r="R20" s="305">
        <f t="shared" si="2"/>
        <v>1179322173.8399999</v>
      </c>
      <c r="S20" s="500">
        <f t="shared" si="2"/>
        <v>1126389187.08375</v>
      </c>
      <c r="T20" s="620"/>
      <c r="U20" s="657"/>
      <c r="V20" s="690"/>
      <c r="W20" s="690"/>
      <c r="X20" s="713"/>
      <c r="Y20" s="690"/>
      <c r="Z20" s="690"/>
      <c r="AA20" s="657"/>
      <c r="AB20" s="690"/>
      <c r="AC20" s="658"/>
      <c r="AD20" s="658"/>
      <c r="AE20" s="658"/>
      <c r="AF20" s="688">
        <f t="shared" si="0"/>
        <v>0</v>
      </c>
    </row>
    <row r="21" spans="1:32">
      <c r="A21" s="620">
        <v>7</v>
      </c>
      <c r="B21" s="620"/>
      <c r="C21" s="620"/>
      <c r="D21" s="620"/>
      <c r="E21" s="618"/>
      <c r="F21" s="306"/>
      <c r="G21" s="508"/>
      <c r="H21" s="610"/>
      <c r="I21" s="610"/>
      <c r="J21" s="307"/>
      <c r="K21" s="614"/>
      <c r="L21" s="308"/>
      <c r="M21" s="309"/>
      <c r="N21" s="310"/>
      <c r="O21" s="311"/>
      <c r="P21" s="312"/>
      <c r="Q21" s="509"/>
      <c r="R21" s="306"/>
      <c r="S21" s="304"/>
      <c r="T21" s="620"/>
      <c r="U21" s="657"/>
      <c r="V21" s="690"/>
      <c r="W21" s="690"/>
      <c r="X21" s="713"/>
      <c r="Y21" s="690"/>
      <c r="Z21" s="690"/>
      <c r="AA21" s="657"/>
      <c r="AB21" s="690"/>
      <c r="AC21" s="658"/>
      <c r="AD21" s="658"/>
      <c r="AE21" s="658"/>
      <c r="AF21" s="688">
        <f t="shared" si="0"/>
        <v>0</v>
      </c>
    </row>
    <row r="22" spans="1:32">
      <c r="A22" s="620">
        <v>8</v>
      </c>
      <c r="B22" s="326" t="s">
        <v>977</v>
      </c>
      <c r="C22" s="326" t="s">
        <v>386</v>
      </c>
      <c r="D22" s="326" t="s">
        <v>387</v>
      </c>
      <c r="E22" s="606" t="s">
        <v>388</v>
      </c>
      <c r="F22" s="619">
        <v>205126.12</v>
      </c>
      <c r="G22" s="619">
        <v>104875.47</v>
      </c>
      <c r="H22" s="619">
        <v>1319478.07</v>
      </c>
      <c r="I22" s="619">
        <v>1339118.55</v>
      </c>
      <c r="J22" s="619">
        <v>1543414.16</v>
      </c>
      <c r="K22" s="619">
        <v>1621814.41</v>
      </c>
      <c r="L22" s="619">
        <v>1714099.23</v>
      </c>
      <c r="M22" s="619">
        <v>1785987.33</v>
      </c>
      <c r="N22" s="619">
        <v>1115790.24</v>
      </c>
      <c r="O22" s="619">
        <v>2019796.58</v>
      </c>
      <c r="P22" s="619">
        <v>2301942.16</v>
      </c>
      <c r="Q22" s="619">
        <v>1860887.28</v>
      </c>
      <c r="R22" s="619">
        <v>4047450.78</v>
      </c>
      <c r="S22" s="498">
        <f>((F22+R22)+((G22+H22+I22+J22+K22+L22+M22+N22+O22+P22+Q22)*2))/24</f>
        <v>1571124.3274999999</v>
      </c>
      <c r="T22" s="620"/>
      <c r="U22" s="657"/>
      <c r="V22" s="690"/>
      <c r="W22" s="690"/>
      <c r="X22" s="713">
        <f>+S22</f>
        <v>1571124.3274999999</v>
      </c>
      <c r="Y22" s="690">
        <f>+X22*Z7</f>
        <v>1181014.1569817499</v>
      </c>
      <c r="Z22" s="690">
        <f>+X22*Z8</f>
        <v>390110.17051824997</v>
      </c>
      <c r="AA22" s="657"/>
      <c r="AB22" s="690"/>
      <c r="AC22" s="658"/>
      <c r="AD22" s="658"/>
      <c r="AE22" s="658"/>
      <c r="AF22" s="688">
        <f t="shared" si="0"/>
        <v>0</v>
      </c>
    </row>
    <row r="23" spans="1:32">
      <c r="A23" s="620">
        <v>9</v>
      </c>
      <c r="B23" s="326" t="s">
        <v>977</v>
      </c>
      <c r="C23" s="326" t="s">
        <v>386</v>
      </c>
      <c r="D23" s="326"/>
      <c r="E23" s="618" t="s">
        <v>389</v>
      </c>
      <c r="F23" s="619">
        <v>-333307309.50999999</v>
      </c>
      <c r="G23" s="619">
        <v>-334784379.86000001</v>
      </c>
      <c r="H23" s="619">
        <v>-336111297.52999997</v>
      </c>
      <c r="I23" s="619">
        <v>-337593470.36000001</v>
      </c>
      <c r="J23" s="619">
        <v>-339115841.30000001</v>
      </c>
      <c r="K23" s="619">
        <v>-340567118.13999999</v>
      </c>
      <c r="L23" s="619">
        <v>-342228662.63999999</v>
      </c>
      <c r="M23" s="619">
        <v>-339697837.17000002</v>
      </c>
      <c r="N23" s="619">
        <v>-341480619.95999998</v>
      </c>
      <c r="O23" s="619">
        <v>-343008173.07999998</v>
      </c>
      <c r="P23" s="619">
        <v>-344743995.41000003</v>
      </c>
      <c r="Q23" s="619">
        <v>-341591960.01999998</v>
      </c>
      <c r="R23" s="619">
        <v>-341582191.66000003</v>
      </c>
      <c r="S23" s="498">
        <f t="shared" ref="S23:S27" si="3">((F23+R23)+((G23+H23+I23+J23+K23+L23+M23+N23+O23+P23+Q23)*2))/24</f>
        <v>-339864008.83791667</v>
      </c>
      <c r="T23" s="620"/>
      <c r="U23" s="657"/>
      <c r="V23" s="690"/>
      <c r="W23" s="690"/>
      <c r="X23" s="713"/>
      <c r="Y23" s="690"/>
      <c r="Z23" s="690"/>
      <c r="AA23" s="657"/>
      <c r="AB23" s="690"/>
      <c r="AC23" s="658"/>
      <c r="AD23" s="658"/>
      <c r="AE23" s="658"/>
      <c r="AF23" s="688">
        <f t="shared" si="0"/>
        <v>0</v>
      </c>
    </row>
    <row r="24" spans="1:32">
      <c r="A24" s="620">
        <v>10</v>
      </c>
      <c r="B24" s="326" t="s">
        <v>977</v>
      </c>
      <c r="C24" s="326" t="s">
        <v>386</v>
      </c>
      <c r="D24" s="326">
        <v>20</v>
      </c>
      <c r="E24" s="618" t="s">
        <v>1862</v>
      </c>
      <c r="F24" s="619">
        <v>0</v>
      </c>
      <c r="G24" s="619">
        <v>0</v>
      </c>
      <c r="H24" s="619">
        <v>0</v>
      </c>
      <c r="I24" s="619">
        <v>0</v>
      </c>
      <c r="J24" s="619">
        <v>0</v>
      </c>
      <c r="K24" s="619">
        <v>0</v>
      </c>
      <c r="L24" s="619">
        <v>0</v>
      </c>
      <c r="M24" s="619">
        <v>0</v>
      </c>
      <c r="N24" s="619">
        <v>0</v>
      </c>
      <c r="O24" s="619">
        <v>0</v>
      </c>
      <c r="P24" s="619">
        <v>0</v>
      </c>
      <c r="Q24" s="619">
        <v>0</v>
      </c>
      <c r="R24" s="619">
        <v>0</v>
      </c>
      <c r="S24" s="498">
        <f t="shared" si="3"/>
        <v>0</v>
      </c>
      <c r="T24" s="620"/>
      <c r="U24" s="657"/>
      <c r="V24" s="690"/>
      <c r="W24" s="690"/>
      <c r="X24" s="713"/>
      <c r="Y24" s="690"/>
      <c r="Z24" s="690"/>
      <c r="AA24" s="657"/>
      <c r="AB24" s="690"/>
      <c r="AC24" s="658"/>
      <c r="AD24" s="658"/>
      <c r="AE24" s="658"/>
      <c r="AF24" s="688"/>
    </row>
    <row r="25" spans="1:32">
      <c r="A25" s="620">
        <v>11</v>
      </c>
      <c r="B25" s="326" t="s">
        <v>977</v>
      </c>
      <c r="C25" s="326" t="s">
        <v>1864</v>
      </c>
      <c r="D25" s="326"/>
      <c r="E25" s="618" t="s">
        <v>1863</v>
      </c>
      <c r="F25" s="619">
        <v>0</v>
      </c>
      <c r="G25" s="619">
        <v>0</v>
      </c>
      <c r="H25" s="619">
        <v>0</v>
      </c>
      <c r="I25" s="619">
        <v>0</v>
      </c>
      <c r="J25" s="619">
        <v>0</v>
      </c>
      <c r="K25" s="619">
        <v>0</v>
      </c>
      <c r="L25" s="619">
        <v>0</v>
      </c>
      <c r="M25" s="619">
        <v>0</v>
      </c>
      <c r="N25" s="619">
        <v>0</v>
      </c>
      <c r="O25" s="619">
        <v>0</v>
      </c>
      <c r="P25" s="619">
        <v>0</v>
      </c>
      <c r="Q25" s="619">
        <v>-4686032.05</v>
      </c>
      <c r="R25" s="619">
        <v>-4689205.91</v>
      </c>
      <c r="S25" s="498">
        <f t="shared" si="3"/>
        <v>-585886.25041666662</v>
      </c>
      <c r="T25" s="620"/>
      <c r="U25" s="657"/>
      <c r="V25" s="690"/>
      <c r="W25" s="690"/>
      <c r="X25" s="713"/>
      <c r="Y25" s="690"/>
      <c r="Z25" s="690"/>
      <c r="AA25" s="657"/>
      <c r="AB25" s="690"/>
      <c r="AC25" s="658"/>
      <c r="AD25" s="658"/>
      <c r="AE25" s="658"/>
      <c r="AF25" s="688"/>
    </row>
    <row r="26" spans="1:32">
      <c r="A26" s="620">
        <v>12</v>
      </c>
      <c r="B26" s="326" t="s">
        <v>977</v>
      </c>
      <c r="C26" s="326" t="s">
        <v>390</v>
      </c>
      <c r="D26" s="326"/>
      <c r="E26" s="618" t="s">
        <v>391</v>
      </c>
      <c r="F26" s="619">
        <v>-17326335.18</v>
      </c>
      <c r="G26" s="619">
        <v>-17614916.079999998</v>
      </c>
      <c r="H26" s="619">
        <v>-17903465.52</v>
      </c>
      <c r="I26" s="619">
        <v>-18079439.760000002</v>
      </c>
      <c r="J26" s="619">
        <v>-18365436.079999998</v>
      </c>
      <c r="K26" s="619">
        <v>-18652274.399999999</v>
      </c>
      <c r="L26" s="619">
        <v>-18939112.719999999</v>
      </c>
      <c r="M26" s="619">
        <v>-19225952.59</v>
      </c>
      <c r="N26" s="619">
        <v>-19512941.600000001</v>
      </c>
      <c r="O26" s="619">
        <v>-19799936.050000001</v>
      </c>
      <c r="P26" s="619">
        <v>-20090430.530000001</v>
      </c>
      <c r="Q26" s="619">
        <v>-20380051.460000001</v>
      </c>
      <c r="R26" s="619">
        <v>-20671419.25</v>
      </c>
      <c r="S26" s="498">
        <f t="shared" si="3"/>
        <v>-18963569.50041667</v>
      </c>
      <c r="T26" s="620"/>
      <c r="U26" s="657"/>
      <c r="V26" s="690"/>
      <c r="W26" s="690"/>
      <c r="X26" s="713"/>
      <c r="Y26" s="690"/>
      <c r="Z26" s="690"/>
      <c r="AA26" s="657"/>
      <c r="AB26" s="690"/>
      <c r="AC26" s="658"/>
      <c r="AD26" s="658"/>
      <c r="AE26" s="658"/>
      <c r="AF26" s="688">
        <f t="shared" si="0"/>
        <v>0</v>
      </c>
    </row>
    <row r="27" spans="1:32">
      <c r="A27" s="620">
        <v>13</v>
      </c>
      <c r="B27" s="326" t="s">
        <v>977</v>
      </c>
      <c r="C27" s="326" t="s">
        <v>392</v>
      </c>
      <c r="D27" s="326"/>
      <c r="E27" s="618" t="s">
        <v>393</v>
      </c>
      <c r="F27" s="313">
        <v>0</v>
      </c>
      <c r="G27" s="313">
        <v>0</v>
      </c>
      <c r="H27" s="313">
        <v>0</v>
      </c>
      <c r="I27" s="313">
        <v>0</v>
      </c>
      <c r="J27" s="313">
        <v>0</v>
      </c>
      <c r="K27" s="313">
        <v>0</v>
      </c>
      <c r="L27" s="313">
        <v>0</v>
      </c>
      <c r="M27" s="313">
        <v>0</v>
      </c>
      <c r="N27" s="313">
        <v>0</v>
      </c>
      <c r="O27" s="313">
        <v>0</v>
      </c>
      <c r="P27" s="313">
        <v>0</v>
      </c>
      <c r="Q27" s="313">
        <v>0</v>
      </c>
      <c r="R27" s="313">
        <v>0</v>
      </c>
      <c r="S27" s="498">
        <f t="shared" si="3"/>
        <v>0</v>
      </c>
      <c r="T27" s="620"/>
      <c r="U27" s="657"/>
      <c r="V27" s="690"/>
      <c r="W27" s="690"/>
      <c r="X27" s="713"/>
      <c r="Y27" s="690"/>
      <c r="Z27" s="690"/>
      <c r="AA27" s="657"/>
      <c r="AB27" s="690"/>
      <c r="AC27" s="658"/>
      <c r="AD27" s="658"/>
      <c r="AE27" s="658"/>
      <c r="AF27" s="688">
        <f t="shared" si="0"/>
        <v>0</v>
      </c>
    </row>
    <row r="28" spans="1:32">
      <c r="A28" s="620">
        <v>14</v>
      </c>
      <c r="B28" s="620"/>
      <c r="C28" s="620"/>
      <c r="D28" s="620"/>
      <c r="E28" s="618" t="s">
        <v>394</v>
      </c>
      <c r="F28" s="510">
        <f>SUM(F22:F27)</f>
        <v>-350428518.56999999</v>
      </c>
      <c r="G28" s="510">
        <f t="shared" ref="G28:R28" si="4">SUM(G22:G27)</f>
        <v>-352294420.46999997</v>
      </c>
      <c r="H28" s="510">
        <f t="shared" si="4"/>
        <v>-352695284.97999996</v>
      </c>
      <c r="I28" s="510">
        <f t="shared" si="4"/>
        <v>-354333791.56999999</v>
      </c>
      <c r="J28" s="510">
        <f t="shared" si="4"/>
        <v>-355937863.21999997</v>
      </c>
      <c r="K28" s="510">
        <f t="shared" si="4"/>
        <v>-357597578.12999994</v>
      </c>
      <c r="L28" s="510">
        <f t="shared" si="4"/>
        <v>-359453676.13</v>
      </c>
      <c r="M28" s="510">
        <f t="shared" si="4"/>
        <v>-357137802.43000001</v>
      </c>
      <c r="N28" s="510">
        <f t="shared" si="4"/>
        <v>-359877771.31999999</v>
      </c>
      <c r="O28" s="510">
        <f t="shared" si="4"/>
        <v>-360788312.55000001</v>
      </c>
      <c r="P28" s="510">
        <f t="shared" si="4"/>
        <v>-362532483.77999997</v>
      </c>
      <c r="Q28" s="510">
        <f t="shared" si="4"/>
        <v>-364797156.25</v>
      </c>
      <c r="R28" s="510">
        <f t="shared" si="4"/>
        <v>-362895366.04000008</v>
      </c>
      <c r="S28" s="498">
        <f>SUM(S22:S27)</f>
        <v>-357842340.26125008</v>
      </c>
      <c r="T28" s="620"/>
      <c r="U28" s="657"/>
      <c r="V28" s="690"/>
      <c r="W28" s="690"/>
      <c r="X28" s="713"/>
      <c r="Y28" s="690"/>
      <c r="Z28" s="690"/>
      <c r="AA28" s="657"/>
      <c r="AB28" s="690"/>
      <c r="AC28" s="658"/>
      <c r="AD28" s="658"/>
      <c r="AE28" s="658"/>
      <c r="AF28" s="688">
        <f t="shared" si="0"/>
        <v>0</v>
      </c>
    </row>
    <row r="29" spans="1:32">
      <c r="A29" s="620">
        <v>15</v>
      </c>
      <c r="B29" s="620"/>
      <c r="C29" s="620"/>
      <c r="D29" s="620"/>
      <c r="E29" s="618"/>
      <c r="F29" s="306"/>
      <c r="G29" s="508"/>
      <c r="H29" s="610"/>
      <c r="I29" s="610"/>
      <c r="J29" s="307"/>
      <c r="K29" s="614"/>
      <c r="L29" s="308"/>
      <c r="M29" s="309"/>
      <c r="N29" s="310"/>
      <c r="O29" s="311"/>
      <c r="P29" s="312"/>
      <c r="Q29" s="509"/>
      <c r="R29" s="306"/>
      <c r="S29" s="304"/>
      <c r="T29" s="620"/>
      <c r="U29" s="657"/>
      <c r="V29" s="690"/>
      <c r="W29" s="690"/>
      <c r="X29" s="713"/>
      <c r="Y29" s="690"/>
      <c r="Z29" s="690"/>
      <c r="AA29" s="657"/>
      <c r="AB29" s="690"/>
      <c r="AC29" s="658"/>
      <c r="AD29" s="658"/>
      <c r="AE29" s="658"/>
      <c r="AF29" s="688">
        <f t="shared" si="0"/>
        <v>0</v>
      </c>
    </row>
    <row r="30" spans="1:32">
      <c r="A30" s="620">
        <v>16</v>
      </c>
      <c r="B30" s="326" t="s">
        <v>977</v>
      </c>
      <c r="C30" s="326" t="s">
        <v>395</v>
      </c>
      <c r="D30" s="326"/>
      <c r="E30" s="618" t="s">
        <v>396</v>
      </c>
      <c r="F30" s="619">
        <v>-3052834.66</v>
      </c>
      <c r="G30" s="619">
        <v>-3071369.72</v>
      </c>
      <c r="H30" s="619">
        <v>-3088046.94</v>
      </c>
      <c r="I30" s="619">
        <v>-3107090.46</v>
      </c>
      <c r="J30" s="619">
        <v>-3122196.74</v>
      </c>
      <c r="K30" s="619">
        <v>-3109027.68</v>
      </c>
      <c r="L30" s="619">
        <v>-3128042.76</v>
      </c>
      <c r="M30" s="619">
        <v>-3142432.17</v>
      </c>
      <c r="N30" s="619">
        <v>-3128744.7</v>
      </c>
      <c r="O30" s="619">
        <v>-3148438.29</v>
      </c>
      <c r="P30" s="619">
        <v>-3168347.21</v>
      </c>
      <c r="Q30" s="619">
        <v>-3187186.86</v>
      </c>
      <c r="R30" s="619">
        <v>-3185032.92</v>
      </c>
      <c r="S30" s="498">
        <f>((F30+R30)+((G30+H30+I30+J30+K30+L30+M30+N30+O30+P30+Q30)*2))/24</f>
        <v>-3126654.7766666668</v>
      </c>
      <c r="T30" s="620"/>
      <c r="U30" s="657"/>
      <c r="V30" s="690"/>
      <c r="W30" s="690"/>
      <c r="X30" s="713"/>
      <c r="Y30" s="690"/>
      <c r="Z30" s="690"/>
      <c r="AA30" s="657"/>
      <c r="AB30" s="690"/>
      <c r="AC30" s="658"/>
      <c r="AD30" s="658"/>
      <c r="AE30" s="658"/>
      <c r="AF30" s="688">
        <f t="shared" si="0"/>
        <v>0</v>
      </c>
    </row>
    <row r="31" spans="1:32">
      <c r="A31" s="620">
        <v>17</v>
      </c>
      <c r="B31" s="326" t="s">
        <v>977</v>
      </c>
      <c r="C31" s="326" t="s">
        <v>724</v>
      </c>
      <c r="D31" s="326"/>
      <c r="E31" s="619" t="s">
        <v>725</v>
      </c>
      <c r="F31" s="313">
        <v>-137249402.78999999</v>
      </c>
      <c r="G31" s="313">
        <v>-137636754.03</v>
      </c>
      <c r="H31" s="313">
        <v>-138004595.44</v>
      </c>
      <c r="I31" s="313">
        <v>-138522604.65000001</v>
      </c>
      <c r="J31" s="313">
        <v>-139009059.03</v>
      </c>
      <c r="K31" s="313">
        <v>-139419314.46000001</v>
      </c>
      <c r="L31" s="313">
        <v>-139895803.72</v>
      </c>
      <c r="M31" s="313">
        <v>-140293114.25999999</v>
      </c>
      <c r="N31" s="313">
        <v>-140777750</v>
      </c>
      <c r="O31" s="313">
        <v>-141311614.78999999</v>
      </c>
      <c r="P31" s="313">
        <v>-141787696.77000001</v>
      </c>
      <c r="Q31" s="313">
        <v>-142008181.08000001</v>
      </c>
      <c r="R31" s="313">
        <v>-142248746.72</v>
      </c>
      <c r="S31" s="498">
        <f>((F31+R31)+((G31+H31+I31+J31+K31+L31+M31+N31+O31+P31+Q31)*2))/24</f>
        <v>-139867963.58208334</v>
      </c>
      <c r="T31" s="620"/>
      <c r="U31" s="657"/>
      <c r="V31" s="690"/>
      <c r="W31" s="690"/>
      <c r="X31" s="713"/>
      <c r="Y31" s="690"/>
      <c r="Z31" s="690"/>
      <c r="AA31" s="657"/>
      <c r="AB31" s="690"/>
      <c r="AC31" s="658"/>
      <c r="AD31" s="658"/>
      <c r="AE31" s="658"/>
      <c r="AF31" s="688">
        <f t="shared" si="0"/>
        <v>0</v>
      </c>
    </row>
    <row r="32" spans="1:32">
      <c r="A32" s="620">
        <v>18</v>
      </c>
      <c r="B32" s="620"/>
      <c r="C32" s="620"/>
      <c r="D32" s="620"/>
      <c r="E32" s="618" t="s">
        <v>397</v>
      </c>
      <c r="F32" s="511">
        <f>+F30+F31</f>
        <v>-140302237.44999999</v>
      </c>
      <c r="G32" s="511">
        <f t="shared" ref="G32:R32" si="5">+G30+G31</f>
        <v>-140708123.75</v>
      </c>
      <c r="H32" s="511">
        <f t="shared" si="5"/>
        <v>-141092642.38</v>
      </c>
      <c r="I32" s="511">
        <f t="shared" si="5"/>
        <v>-141629695.11000001</v>
      </c>
      <c r="J32" s="511">
        <f t="shared" si="5"/>
        <v>-142131255.77000001</v>
      </c>
      <c r="K32" s="511">
        <f t="shared" si="5"/>
        <v>-142528342.14000002</v>
      </c>
      <c r="L32" s="511">
        <f t="shared" si="5"/>
        <v>-143023846.47999999</v>
      </c>
      <c r="M32" s="511">
        <f t="shared" si="5"/>
        <v>-143435546.42999998</v>
      </c>
      <c r="N32" s="511">
        <f t="shared" si="5"/>
        <v>-143906494.69999999</v>
      </c>
      <c r="O32" s="511">
        <f t="shared" si="5"/>
        <v>-144460053.07999998</v>
      </c>
      <c r="P32" s="511">
        <f t="shared" si="5"/>
        <v>-144956043.98000002</v>
      </c>
      <c r="Q32" s="511">
        <f t="shared" si="5"/>
        <v>-145195367.94000003</v>
      </c>
      <c r="R32" s="511">
        <f t="shared" si="5"/>
        <v>-145433779.63999999</v>
      </c>
      <c r="S32" s="512">
        <f>+S30+S31</f>
        <v>-142994618.35875002</v>
      </c>
      <c r="T32" s="620"/>
      <c r="U32" s="657"/>
      <c r="V32" s="690"/>
      <c r="W32" s="690"/>
      <c r="X32" s="713"/>
      <c r="Y32" s="690"/>
      <c r="Z32" s="690"/>
      <c r="AA32" s="657"/>
      <c r="AB32" s="690"/>
      <c r="AC32" s="658"/>
      <c r="AD32" s="658"/>
      <c r="AE32" s="658"/>
      <c r="AF32" s="688">
        <f t="shared" si="0"/>
        <v>0</v>
      </c>
    </row>
    <row r="33" spans="1:32">
      <c r="A33" s="620">
        <v>19</v>
      </c>
      <c r="B33" s="620"/>
      <c r="C33" s="620"/>
      <c r="D33" s="620"/>
      <c r="E33" s="618"/>
      <c r="F33" s="306"/>
      <c r="G33" s="508"/>
      <c r="H33" s="610"/>
      <c r="I33" s="610"/>
      <c r="J33" s="307"/>
      <c r="K33" s="614"/>
      <c r="L33" s="308"/>
      <c r="M33" s="309"/>
      <c r="N33" s="310"/>
      <c r="O33" s="311"/>
      <c r="P33" s="312"/>
      <c r="Q33" s="509"/>
      <c r="R33" s="306"/>
      <c r="S33" s="304"/>
      <c r="T33" s="620"/>
      <c r="U33" s="657"/>
      <c r="V33" s="690"/>
      <c r="W33" s="690"/>
      <c r="X33" s="713"/>
      <c r="Y33" s="690"/>
      <c r="Z33" s="690"/>
      <c r="AA33" s="657"/>
      <c r="AB33" s="690"/>
      <c r="AC33" s="658"/>
      <c r="AD33" s="658"/>
      <c r="AE33" s="658"/>
      <c r="AF33" s="688">
        <f t="shared" si="0"/>
        <v>0</v>
      </c>
    </row>
    <row r="34" spans="1:32">
      <c r="A34" s="620">
        <v>20</v>
      </c>
      <c r="B34" s="620"/>
      <c r="C34" s="620"/>
      <c r="D34" s="620"/>
      <c r="E34" s="618" t="s">
        <v>398</v>
      </c>
      <c r="F34" s="513">
        <f>+F32+F28</f>
        <v>-490730756.01999998</v>
      </c>
      <c r="G34" s="513">
        <f t="shared" ref="G34:R34" si="6">+G32+G28</f>
        <v>-493002544.21999997</v>
      </c>
      <c r="H34" s="513">
        <f t="shared" si="6"/>
        <v>-493787927.35999995</v>
      </c>
      <c r="I34" s="513">
        <f t="shared" si="6"/>
        <v>-495963486.68000001</v>
      </c>
      <c r="J34" s="513">
        <f t="shared" si="6"/>
        <v>-498069118.99000001</v>
      </c>
      <c r="K34" s="513">
        <f t="shared" si="6"/>
        <v>-500125920.26999998</v>
      </c>
      <c r="L34" s="513">
        <f t="shared" si="6"/>
        <v>-502477522.61000001</v>
      </c>
      <c r="M34" s="513">
        <f t="shared" si="6"/>
        <v>-500573348.86000001</v>
      </c>
      <c r="N34" s="513">
        <f t="shared" si="6"/>
        <v>-503784266.01999998</v>
      </c>
      <c r="O34" s="513">
        <f t="shared" si="6"/>
        <v>-505248365.63</v>
      </c>
      <c r="P34" s="513">
        <f t="shared" si="6"/>
        <v>-507488527.75999999</v>
      </c>
      <c r="Q34" s="513">
        <f t="shared" si="6"/>
        <v>-509992524.19000006</v>
      </c>
      <c r="R34" s="513">
        <f t="shared" si="6"/>
        <v>-508329145.68000007</v>
      </c>
      <c r="S34" s="499">
        <f>+S32+S28</f>
        <v>-500836958.62000012</v>
      </c>
      <c r="T34" s="620"/>
      <c r="U34" s="657"/>
      <c r="V34" s="690"/>
      <c r="W34" s="690"/>
      <c r="X34" s="713">
        <f>+S34-S22</f>
        <v>-502408082.94750011</v>
      </c>
      <c r="Y34" s="690">
        <f>+X34*Z7</f>
        <v>-377660155.95163584</v>
      </c>
      <c r="Z34" s="690">
        <f>+X34*Z8</f>
        <v>-124747926.99586427</v>
      </c>
      <c r="AA34" s="657"/>
      <c r="AB34" s="690"/>
      <c r="AC34" s="658"/>
      <c r="AD34" s="658"/>
      <c r="AE34" s="658" t="s">
        <v>1446</v>
      </c>
      <c r="AF34" s="688">
        <f t="shared" si="0"/>
        <v>0</v>
      </c>
    </row>
    <row r="35" spans="1:32">
      <c r="A35" s="620">
        <v>21</v>
      </c>
      <c r="B35" s="620"/>
      <c r="C35" s="620"/>
      <c r="D35" s="620"/>
      <c r="E35" s="605"/>
      <c r="F35" s="514"/>
      <c r="G35" s="515"/>
      <c r="H35" s="516"/>
      <c r="I35" s="516"/>
      <c r="J35" s="517"/>
      <c r="K35" s="518"/>
      <c r="L35" s="519"/>
      <c r="M35" s="520"/>
      <c r="N35" s="521"/>
      <c r="O35" s="522"/>
      <c r="P35" s="523"/>
      <c r="Q35" s="524"/>
      <c r="R35" s="514"/>
      <c r="S35" s="304"/>
      <c r="T35" s="620"/>
      <c r="U35" s="657"/>
      <c r="V35" s="690"/>
      <c r="W35" s="690"/>
      <c r="X35" s="713"/>
      <c r="Y35" s="690"/>
      <c r="Z35" s="690"/>
      <c r="AA35" s="657"/>
      <c r="AB35" s="690"/>
      <c r="AC35" s="658"/>
      <c r="AD35" s="658"/>
      <c r="AE35" s="658"/>
      <c r="AF35" s="688">
        <f t="shared" si="0"/>
        <v>0</v>
      </c>
    </row>
    <row r="36" spans="1:32">
      <c r="A36" s="620">
        <v>22</v>
      </c>
      <c r="B36" s="620"/>
      <c r="C36" s="620"/>
      <c r="D36" s="620"/>
      <c r="E36" s="605" t="s">
        <v>399</v>
      </c>
      <c r="F36" s="525">
        <f>+F20+F34</f>
        <v>599350195.36999989</v>
      </c>
      <c r="G36" s="525">
        <f t="shared" ref="G36:S36" si="7">+G20+G34</f>
        <v>602377180.52999997</v>
      </c>
      <c r="H36" s="525">
        <f t="shared" si="7"/>
        <v>603596638.52999997</v>
      </c>
      <c r="I36" s="525">
        <f t="shared" si="7"/>
        <v>606395240.50999999</v>
      </c>
      <c r="J36" s="525">
        <f t="shared" si="7"/>
        <v>610174120.94000006</v>
      </c>
      <c r="K36" s="525">
        <f t="shared" si="7"/>
        <v>615508731.6400001</v>
      </c>
      <c r="L36" s="525">
        <f t="shared" si="7"/>
        <v>620756439.00999987</v>
      </c>
      <c r="M36" s="525">
        <f t="shared" si="7"/>
        <v>629447619.53000009</v>
      </c>
      <c r="N36" s="525">
        <f t="shared" si="7"/>
        <v>636033680.5999999</v>
      </c>
      <c r="O36" s="525">
        <f t="shared" si="7"/>
        <v>639827676.60000002</v>
      </c>
      <c r="P36" s="525">
        <f t="shared" si="7"/>
        <v>649625931.3900001</v>
      </c>
      <c r="Q36" s="525">
        <f t="shared" si="7"/>
        <v>657711870.51999998</v>
      </c>
      <c r="R36" s="525">
        <f t="shared" si="7"/>
        <v>670993028.15999985</v>
      </c>
      <c r="S36" s="498">
        <f t="shared" si="7"/>
        <v>625552228.46374989</v>
      </c>
      <c r="T36" s="620"/>
      <c r="U36" s="657"/>
      <c r="V36" s="690"/>
      <c r="W36" s="690"/>
      <c r="X36" s="713"/>
      <c r="Y36" s="690"/>
      <c r="Z36" s="690"/>
      <c r="AA36" s="657"/>
      <c r="AB36" s="690"/>
      <c r="AC36" s="658"/>
      <c r="AD36" s="658"/>
      <c r="AE36" s="658"/>
      <c r="AF36" s="688">
        <f t="shared" si="0"/>
        <v>0</v>
      </c>
    </row>
    <row r="37" spans="1:32">
      <c r="A37" s="620">
        <v>23</v>
      </c>
      <c r="B37" s="620"/>
      <c r="C37" s="620"/>
      <c r="D37" s="620"/>
      <c r="E37" s="605"/>
      <c r="F37" s="306"/>
      <c r="G37" s="508"/>
      <c r="H37" s="610"/>
      <c r="I37" s="610"/>
      <c r="J37" s="307"/>
      <c r="K37" s="614"/>
      <c r="L37" s="308"/>
      <c r="M37" s="309"/>
      <c r="N37" s="310"/>
      <c r="O37" s="311"/>
      <c r="P37" s="312"/>
      <c r="Q37" s="509"/>
      <c r="R37" s="306"/>
      <c r="S37" s="304"/>
      <c r="T37" s="620"/>
      <c r="U37" s="657"/>
      <c r="V37" s="690"/>
      <c r="W37" s="690"/>
      <c r="X37" s="713"/>
      <c r="Y37" s="690"/>
      <c r="Z37" s="690"/>
      <c r="AA37" s="657"/>
      <c r="AB37" s="690"/>
      <c r="AC37" s="658"/>
      <c r="AD37" s="658"/>
      <c r="AE37" s="658"/>
      <c r="AF37" s="688">
        <f t="shared" si="0"/>
        <v>0</v>
      </c>
    </row>
    <row r="38" spans="1:32">
      <c r="A38" s="620">
        <v>24</v>
      </c>
      <c r="B38" s="326" t="s">
        <v>977</v>
      </c>
      <c r="C38" s="326" t="s">
        <v>400</v>
      </c>
      <c r="D38" s="326"/>
      <c r="E38" s="618" t="s">
        <v>401</v>
      </c>
      <c r="F38" s="313">
        <v>0</v>
      </c>
      <c r="G38" s="313">
        <v>0</v>
      </c>
      <c r="H38" s="313">
        <v>0</v>
      </c>
      <c r="I38" s="313">
        <v>0</v>
      </c>
      <c r="J38" s="313">
        <v>0</v>
      </c>
      <c r="K38" s="313">
        <v>0</v>
      </c>
      <c r="L38" s="313">
        <v>0</v>
      </c>
      <c r="M38" s="313">
        <v>0</v>
      </c>
      <c r="N38" s="313">
        <v>0</v>
      </c>
      <c r="O38" s="313">
        <v>0</v>
      </c>
      <c r="P38" s="313">
        <v>0</v>
      </c>
      <c r="Q38" s="313">
        <v>0</v>
      </c>
      <c r="R38" s="313">
        <v>0</v>
      </c>
      <c r="S38" s="304">
        <f>((F38+R38)+((G38+H38+I38+J38+K38+L38+M38+N38+O38+P38+Q38)*2))/24</f>
        <v>0</v>
      </c>
      <c r="T38" s="620"/>
      <c r="U38" s="657">
        <f>+S38</f>
        <v>0</v>
      </c>
      <c r="V38" s="690"/>
      <c r="W38" s="690"/>
      <c r="X38" s="713"/>
      <c r="Y38" s="690"/>
      <c r="Z38" s="690"/>
      <c r="AA38" s="657"/>
      <c r="AB38" s="690"/>
      <c r="AC38" s="658"/>
      <c r="AD38" s="658"/>
      <c r="AE38" s="658"/>
      <c r="AF38" s="688">
        <f t="shared" si="0"/>
        <v>0</v>
      </c>
    </row>
    <row r="39" spans="1:32">
      <c r="A39" s="620">
        <v>25</v>
      </c>
      <c r="B39" s="620"/>
      <c r="C39" s="620"/>
      <c r="D39" s="620"/>
      <c r="E39" s="605" t="s">
        <v>402</v>
      </c>
      <c r="F39" s="305">
        <f>+F38</f>
        <v>0</v>
      </c>
      <c r="G39" s="526">
        <v>0</v>
      </c>
      <c r="H39" s="527">
        <v>0</v>
      </c>
      <c r="I39" s="527">
        <v>0</v>
      </c>
      <c r="J39" s="528">
        <v>0</v>
      </c>
      <c r="K39" s="529">
        <v>0</v>
      </c>
      <c r="L39" s="530">
        <v>0</v>
      </c>
      <c r="M39" s="531">
        <v>0</v>
      </c>
      <c r="N39" s="532">
        <v>0</v>
      </c>
      <c r="O39" s="533">
        <v>0</v>
      </c>
      <c r="P39" s="534">
        <v>0</v>
      </c>
      <c r="Q39" s="535">
        <v>0</v>
      </c>
      <c r="R39" s="305">
        <v>0</v>
      </c>
      <c r="S39" s="304">
        <f>((F39+R39)+((G39+H39+I39+J39+K39+L39+M39+N39+O39+P39+Q39)*2))/24</f>
        <v>0</v>
      </c>
      <c r="T39" s="620"/>
      <c r="U39" s="657"/>
      <c r="V39" s="690"/>
      <c r="W39" s="690"/>
      <c r="X39" s="713"/>
      <c r="Y39" s="690"/>
      <c r="Z39" s="690"/>
      <c r="AA39" s="657"/>
      <c r="AB39" s="690"/>
      <c r="AC39" s="658"/>
      <c r="AD39" s="658"/>
      <c r="AE39" s="658"/>
      <c r="AF39" s="688">
        <f t="shared" si="0"/>
        <v>0</v>
      </c>
    </row>
    <row r="40" spans="1:32">
      <c r="A40" s="620">
        <v>26</v>
      </c>
      <c r="B40" s="620"/>
      <c r="C40" s="620"/>
      <c r="D40" s="620"/>
      <c r="E40" s="605"/>
      <c r="F40" s="619"/>
      <c r="G40" s="314"/>
      <c r="H40" s="315"/>
      <c r="I40" s="315"/>
      <c r="J40" s="316"/>
      <c r="K40" s="317"/>
      <c r="L40" s="318"/>
      <c r="M40" s="319"/>
      <c r="N40" s="320"/>
      <c r="O40" s="606"/>
      <c r="P40" s="321"/>
      <c r="Q40" s="322"/>
      <c r="R40" s="619"/>
      <c r="S40" s="304"/>
      <c r="T40" s="620"/>
      <c r="U40" s="657"/>
      <c r="V40" s="690"/>
      <c r="W40" s="690"/>
      <c r="X40" s="713"/>
      <c r="Y40" s="690"/>
      <c r="Z40" s="690"/>
      <c r="AA40" s="657"/>
      <c r="AB40" s="690"/>
      <c r="AC40" s="658"/>
      <c r="AD40" s="658"/>
      <c r="AE40" s="658"/>
      <c r="AF40" s="688">
        <f t="shared" si="0"/>
        <v>0</v>
      </c>
    </row>
    <row r="41" spans="1:32">
      <c r="A41" s="620">
        <v>27</v>
      </c>
      <c r="B41" s="326" t="s">
        <v>977</v>
      </c>
      <c r="C41" s="326" t="s">
        <v>1127</v>
      </c>
      <c r="D41" s="326" t="s">
        <v>461</v>
      </c>
      <c r="E41" s="618" t="s">
        <v>1493</v>
      </c>
      <c r="F41" s="619">
        <v>1647363.37</v>
      </c>
      <c r="G41" s="619">
        <v>1650548.45</v>
      </c>
      <c r="H41" s="619">
        <v>1653418.79</v>
      </c>
      <c r="I41" s="619">
        <v>520974.97</v>
      </c>
      <c r="J41" s="619">
        <v>521959.48</v>
      </c>
      <c r="K41" s="619">
        <v>522960.61</v>
      </c>
      <c r="L41" s="619">
        <v>523922.01</v>
      </c>
      <c r="M41" s="619">
        <v>524913.85</v>
      </c>
      <c r="N41" s="619">
        <v>525804.73</v>
      </c>
      <c r="O41" s="619">
        <v>526658.93999999994</v>
      </c>
      <c r="P41" s="619">
        <v>527433.56999999995</v>
      </c>
      <c r="Q41" s="619">
        <v>528090.85</v>
      </c>
      <c r="R41" s="619">
        <v>528752.93000000005</v>
      </c>
      <c r="S41" s="714">
        <f>((F41+R41)+((G41+H41+I41+J41+K41+L41+M41+N41+O41+P41+Q41)*2))/24</f>
        <v>759562.03333333321</v>
      </c>
      <c r="T41" s="620"/>
      <c r="U41" s="657"/>
      <c r="V41" s="690"/>
      <c r="W41" s="690"/>
      <c r="X41" s="713">
        <f>+S41</f>
        <v>759562.03333333321</v>
      </c>
      <c r="Y41" s="690"/>
      <c r="Z41" s="690"/>
      <c r="AA41" s="657"/>
      <c r="AB41" s="690">
        <f>+S41</f>
        <v>759562.03333333321</v>
      </c>
      <c r="AC41" s="658"/>
      <c r="AD41" s="658"/>
      <c r="AE41" s="658"/>
      <c r="AF41" s="688">
        <f t="shared" si="0"/>
        <v>0</v>
      </c>
    </row>
    <row r="42" spans="1:32">
      <c r="A42" s="620">
        <v>28</v>
      </c>
      <c r="B42" s="326" t="s">
        <v>977</v>
      </c>
      <c r="C42" s="326" t="s">
        <v>1127</v>
      </c>
      <c r="D42" s="326" t="s">
        <v>448</v>
      </c>
      <c r="E42" s="618" t="s">
        <v>1494</v>
      </c>
      <c r="F42" s="619">
        <v>10584814.859999999</v>
      </c>
      <c r="G42" s="619">
        <v>10770808.609999999</v>
      </c>
      <c r="H42" s="619">
        <v>10830520.99</v>
      </c>
      <c r="I42" s="619">
        <v>10935394.75</v>
      </c>
      <c r="J42" s="619">
        <v>10989421.77</v>
      </c>
      <c r="K42" s="619">
        <v>10930533.949999999</v>
      </c>
      <c r="L42" s="619">
        <v>11104230.210000001</v>
      </c>
      <c r="M42" s="619">
        <v>11130863.68</v>
      </c>
      <c r="N42" s="619">
        <v>11185472.630000001</v>
      </c>
      <c r="O42" s="619">
        <v>11298649.32</v>
      </c>
      <c r="P42" s="619">
        <v>11332181.23</v>
      </c>
      <c r="Q42" s="619">
        <v>11408136.99</v>
      </c>
      <c r="R42" s="619">
        <v>11462788.92</v>
      </c>
      <c r="S42" s="714">
        <f t="shared" ref="S42:S44" si="8">((F42+R42)+((G42+H42+I42+J42+K42+L42+M42+N42+O42+P42+Q42)*2))/24</f>
        <v>11078334.668333333</v>
      </c>
      <c r="T42" s="620"/>
      <c r="U42" s="657"/>
      <c r="V42" s="690"/>
      <c r="W42" s="690"/>
      <c r="X42" s="713">
        <f>+S42</f>
        <v>11078334.668333333</v>
      </c>
      <c r="Y42" s="690"/>
      <c r="Z42" s="690"/>
      <c r="AA42" s="657"/>
      <c r="AB42" s="690">
        <f>+S42</f>
        <v>11078334.668333333</v>
      </c>
      <c r="AC42" s="658"/>
      <c r="AD42" s="658"/>
      <c r="AE42" s="658"/>
      <c r="AF42" s="688">
        <f t="shared" si="0"/>
        <v>0</v>
      </c>
    </row>
    <row r="43" spans="1:32">
      <c r="A43" s="620">
        <v>29</v>
      </c>
      <c r="B43" s="326" t="s">
        <v>977</v>
      </c>
      <c r="C43" s="326" t="s">
        <v>1127</v>
      </c>
      <c r="D43" s="326" t="s">
        <v>493</v>
      </c>
      <c r="E43" s="618" t="s">
        <v>1495</v>
      </c>
      <c r="F43" s="619">
        <v>139136.91</v>
      </c>
      <c r="G43" s="619">
        <v>0</v>
      </c>
      <c r="H43" s="619">
        <v>0</v>
      </c>
      <c r="I43" s="619">
        <v>0</v>
      </c>
      <c r="J43" s="619">
        <v>0</v>
      </c>
      <c r="K43" s="619">
        <v>0</v>
      </c>
      <c r="L43" s="619">
        <v>0</v>
      </c>
      <c r="M43" s="619">
        <v>0</v>
      </c>
      <c r="N43" s="619">
        <v>0</v>
      </c>
      <c r="O43" s="619">
        <v>0</v>
      </c>
      <c r="P43" s="619">
        <v>0</v>
      </c>
      <c r="Q43" s="619">
        <v>0</v>
      </c>
      <c r="R43" s="619">
        <v>0</v>
      </c>
      <c r="S43" s="714">
        <f t="shared" si="8"/>
        <v>5797.3712500000001</v>
      </c>
      <c r="T43" s="620"/>
      <c r="U43" s="657"/>
      <c r="V43" s="690"/>
      <c r="W43" s="690"/>
      <c r="X43" s="713">
        <f>+S43</f>
        <v>5797.3712500000001</v>
      </c>
      <c r="Y43" s="690"/>
      <c r="Z43" s="690"/>
      <c r="AA43" s="657"/>
      <c r="AB43" s="690">
        <f>+S43</f>
        <v>5797.3712500000001</v>
      </c>
      <c r="AC43" s="658"/>
      <c r="AD43" s="658"/>
      <c r="AE43" s="658"/>
      <c r="AF43" s="688">
        <f t="shared" si="0"/>
        <v>0</v>
      </c>
    </row>
    <row r="44" spans="1:32">
      <c r="A44" s="620">
        <v>30</v>
      </c>
      <c r="B44" s="326" t="s">
        <v>977</v>
      </c>
      <c r="C44" s="326" t="s">
        <v>403</v>
      </c>
      <c r="D44" s="326"/>
      <c r="E44" s="618" t="s">
        <v>404</v>
      </c>
      <c r="F44" s="619">
        <v>202030.18</v>
      </c>
      <c r="G44" s="619">
        <v>202030.18</v>
      </c>
      <c r="H44" s="619">
        <v>202030.18</v>
      </c>
      <c r="I44" s="619">
        <v>202030.18</v>
      </c>
      <c r="J44" s="619">
        <v>202030.18</v>
      </c>
      <c r="K44" s="619">
        <v>202030.18</v>
      </c>
      <c r="L44" s="619">
        <v>197964.51</v>
      </c>
      <c r="M44" s="619">
        <v>197964.51</v>
      </c>
      <c r="N44" s="619">
        <v>197964.51</v>
      </c>
      <c r="O44" s="619">
        <v>197964.51</v>
      </c>
      <c r="P44" s="619">
        <v>197964.51</v>
      </c>
      <c r="Q44" s="619">
        <v>197964.51</v>
      </c>
      <c r="R44" s="619">
        <v>197964.51</v>
      </c>
      <c r="S44" s="714">
        <f t="shared" si="8"/>
        <v>199827.94208333336</v>
      </c>
      <c r="T44" s="620"/>
      <c r="U44" s="657"/>
      <c r="V44" s="690"/>
      <c r="W44" s="690"/>
      <c r="X44" s="713">
        <f>+S44</f>
        <v>199827.94208333336</v>
      </c>
      <c r="Y44" s="690"/>
      <c r="Z44" s="690"/>
      <c r="AA44" s="657"/>
      <c r="AB44" s="690">
        <f>+S44</f>
        <v>199827.94208333336</v>
      </c>
      <c r="AC44" s="658"/>
      <c r="AD44" s="658"/>
      <c r="AE44" s="658"/>
      <c r="AF44" s="688">
        <f t="shared" si="0"/>
        <v>0</v>
      </c>
    </row>
    <row r="45" spans="1:32">
      <c r="A45" s="620">
        <v>31</v>
      </c>
      <c r="B45" s="326" t="s">
        <v>977</v>
      </c>
      <c r="C45" s="326" t="s">
        <v>405</v>
      </c>
      <c r="D45" s="326"/>
      <c r="E45" s="618" t="s">
        <v>406</v>
      </c>
      <c r="F45" s="313">
        <v>0</v>
      </c>
      <c r="G45" s="313">
        <v>0</v>
      </c>
      <c r="H45" s="313">
        <v>0</v>
      </c>
      <c r="I45" s="313">
        <v>0</v>
      </c>
      <c r="J45" s="313">
        <v>0</v>
      </c>
      <c r="K45" s="313">
        <v>0</v>
      </c>
      <c r="L45" s="313">
        <v>0</v>
      </c>
      <c r="M45" s="313">
        <v>0</v>
      </c>
      <c r="N45" s="313">
        <v>0</v>
      </c>
      <c r="O45" s="313">
        <v>0</v>
      </c>
      <c r="P45" s="313">
        <v>0</v>
      </c>
      <c r="Q45" s="313">
        <v>0</v>
      </c>
      <c r="R45" s="313">
        <v>0</v>
      </c>
      <c r="S45" s="714">
        <f>((F45+R45)+((G45+H45+I45+J45+K45+L45+M45+N45+O45+P45+Q45)*2))/24</f>
        <v>0</v>
      </c>
      <c r="T45" s="620"/>
      <c r="U45" s="657">
        <f t="shared" ref="U45" si="9">+S45</f>
        <v>0</v>
      </c>
      <c r="V45" s="690"/>
      <c r="W45" s="690"/>
      <c r="X45" s="713"/>
      <c r="Y45" s="690"/>
      <c r="Z45" s="690"/>
      <c r="AA45" s="657"/>
      <c r="AB45" s="690">
        <f>+S45</f>
        <v>0</v>
      </c>
      <c r="AC45" s="658"/>
      <c r="AD45" s="658"/>
      <c r="AE45" s="658"/>
      <c r="AF45" s="688">
        <f t="shared" si="0"/>
        <v>0</v>
      </c>
    </row>
    <row r="46" spans="1:32">
      <c r="A46" s="620">
        <v>32</v>
      </c>
      <c r="B46" s="620"/>
      <c r="C46" s="620"/>
      <c r="D46" s="620"/>
      <c r="E46" s="605" t="s">
        <v>407</v>
      </c>
      <c r="F46" s="305">
        <f t="shared" ref="F46:S46" si="10">SUM(F41:F45)</f>
        <v>12573345.32</v>
      </c>
      <c r="G46" s="305">
        <f t="shared" si="10"/>
        <v>12623387.239999998</v>
      </c>
      <c r="H46" s="305">
        <f t="shared" si="10"/>
        <v>12685969.960000001</v>
      </c>
      <c r="I46" s="305">
        <f t="shared" si="10"/>
        <v>11658399.9</v>
      </c>
      <c r="J46" s="305">
        <f t="shared" si="10"/>
        <v>11713411.43</v>
      </c>
      <c r="K46" s="305">
        <f t="shared" si="10"/>
        <v>11655524.739999998</v>
      </c>
      <c r="L46" s="305">
        <f t="shared" si="10"/>
        <v>11826116.73</v>
      </c>
      <c r="M46" s="305">
        <f t="shared" si="10"/>
        <v>11853742.039999999</v>
      </c>
      <c r="N46" s="305">
        <f t="shared" si="10"/>
        <v>11909241.870000001</v>
      </c>
      <c r="O46" s="305">
        <f t="shared" si="10"/>
        <v>12023272.77</v>
      </c>
      <c r="P46" s="305">
        <f t="shared" si="10"/>
        <v>12057579.310000001</v>
      </c>
      <c r="Q46" s="305">
        <f t="shared" si="10"/>
        <v>12134192.35</v>
      </c>
      <c r="R46" s="305">
        <f t="shared" si="10"/>
        <v>12189506.359999999</v>
      </c>
      <c r="S46" s="500">
        <f t="shared" si="10"/>
        <v>12043522.014999999</v>
      </c>
      <c r="T46" s="620"/>
      <c r="U46" s="657"/>
      <c r="V46" s="690"/>
      <c r="W46" s="690"/>
      <c r="X46" s="713"/>
      <c r="Y46" s="690"/>
      <c r="Z46" s="690"/>
      <c r="AA46" s="657"/>
      <c r="AB46" s="690"/>
      <c r="AC46" s="658"/>
      <c r="AD46" s="658"/>
      <c r="AE46" s="658"/>
      <c r="AF46" s="688">
        <f t="shared" si="0"/>
        <v>0</v>
      </c>
    </row>
    <row r="47" spans="1:32">
      <c r="A47" s="620">
        <v>33</v>
      </c>
      <c r="B47" s="620"/>
      <c r="C47" s="620"/>
      <c r="D47" s="620"/>
      <c r="E47" s="605"/>
      <c r="F47" s="619"/>
      <c r="G47" s="314"/>
      <c r="H47" s="315"/>
      <c r="I47" s="315"/>
      <c r="J47" s="316"/>
      <c r="K47" s="317"/>
      <c r="L47" s="318"/>
      <c r="M47" s="319"/>
      <c r="N47" s="320"/>
      <c r="O47" s="606"/>
      <c r="P47" s="321"/>
      <c r="Q47" s="322"/>
      <c r="R47" s="619"/>
      <c r="S47" s="304"/>
      <c r="T47" s="620"/>
      <c r="U47" s="657"/>
      <c r="V47" s="690"/>
      <c r="W47" s="690"/>
      <c r="X47" s="713"/>
      <c r="Y47" s="690"/>
      <c r="Z47" s="690"/>
      <c r="AA47" s="657"/>
      <c r="AB47" s="690"/>
      <c r="AC47" s="658"/>
      <c r="AD47" s="658"/>
      <c r="AE47" s="658"/>
      <c r="AF47" s="688">
        <f t="shared" si="0"/>
        <v>0</v>
      </c>
    </row>
    <row r="48" spans="1:32">
      <c r="A48" s="620">
        <v>34</v>
      </c>
      <c r="B48" s="620"/>
      <c r="C48" s="504" t="s">
        <v>408</v>
      </c>
      <c r="D48" s="504" t="s">
        <v>380</v>
      </c>
      <c r="E48" s="605" t="s">
        <v>1496</v>
      </c>
      <c r="F48" s="619">
        <v>0</v>
      </c>
      <c r="G48" s="314">
        <v>713994.61</v>
      </c>
      <c r="H48" s="315">
        <v>0</v>
      </c>
      <c r="I48" s="315">
        <v>0</v>
      </c>
      <c r="J48" s="316">
        <v>0</v>
      </c>
      <c r="K48" s="317">
        <v>0</v>
      </c>
      <c r="L48" s="318">
        <v>0</v>
      </c>
      <c r="M48" s="319">
        <v>0</v>
      </c>
      <c r="N48" s="320">
        <v>72840.87</v>
      </c>
      <c r="O48" s="606">
        <v>0</v>
      </c>
      <c r="P48" s="321">
        <v>125578.49</v>
      </c>
      <c r="Q48" s="322">
        <v>525780</v>
      </c>
      <c r="R48" s="619">
        <v>0</v>
      </c>
      <c r="S48" s="498">
        <f t="shared" ref="S48:S58" si="11">((F48+R48)+((G48+H48+I48+J48+K48+L48+M48+N48+O48+P48+Q48)*2))/24</f>
        <v>119849.4975</v>
      </c>
      <c r="T48" s="620"/>
      <c r="U48" s="657">
        <f t="shared" ref="U48:U58" si="12">+S48</f>
        <v>119849.4975</v>
      </c>
      <c r="V48" s="690"/>
      <c r="W48" s="690"/>
      <c r="X48" s="713"/>
      <c r="Y48" s="690"/>
      <c r="Z48" s="690"/>
      <c r="AA48" s="657"/>
      <c r="AB48" s="690"/>
      <c r="AC48" s="658"/>
      <c r="AD48" s="659">
        <f>+S48</f>
        <v>119849.4975</v>
      </c>
      <c r="AE48" s="658"/>
      <c r="AF48" s="688">
        <f t="shared" si="0"/>
        <v>0</v>
      </c>
    </row>
    <row r="49" spans="1:32">
      <c r="A49" s="620">
        <v>35</v>
      </c>
      <c r="B49" s="326" t="s">
        <v>977</v>
      </c>
      <c r="C49" s="326" t="s">
        <v>408</v>
      </c>
      <c r="D49" s="326" t="s">
        <v>1128</v>
      </c>
      <c r="E49" s="618" t="s">
        <v>1497</v>
      </c>
      <c r="F49" s="619">
        <v>2550120.08</v>
      </c>
      <c r="G49" s="619">
        <v>507975.97</v>
      </c>
      <c r="H49" s="619">
        <v>1437715.44</v>
      </c>
      <c r="I49" s="619">
        <v>1186503.52</v>
      </c>
      <c r="J49" s="619">
        <v>2083270</v>
      </c>
      <c r="K49" s="619">
        <v>249413.81</v>
      </c>
      <c r="L49" s="619">
        <v>514625.83</v>
      </c>
      <c r="M49" s="619">
        <v>658393.63</v>
      </c>
      <c r="N49" s="619">
        <v>277608.32000000001</v>
      </c>
      <c r="O49" s="619">
        <v>784763.2</v>
      </c>
      <c r="P49" s="619">
        <v>300167.40000000002</v>
      </c>
      <c r="Q49" s="619">
        <v>-204205.54</v>
      </c>
      <c r="R49" s="619">
        <v>2461509.84</v>
      </c>
      <c r="S49" s="498">
        <f t="shared" si="11"/>
        <v>858503.8783333333</v>
      </c>
      <c r="T49" s="620"/>
      <c r="U49" s="657">
        <f t="shared" si="12"/>
        <v>858503.8783333333</v>
      </c>
      <c r="V49" s="690"/>
      <c r="W49" s="690"/>
      <c r="X49" s="713"/>
      <c r="Y49" s="690"/>
      <c r="Z49" s="690"/>
      <c r="AA49" s="657"/>
      <c r="AB49" s="690"/>
      <c r="AC49" s="658"/>
      <c r="AD49" s="659">
        <f t="shared" ref="AD49:AD58" si="13">+U49</f>
        <v>858503.8783333333</v>
      </c>
      <c r="AE49" s="658"/>
      <c r="AF49" s="688">
        <f t="shared" si="0"/>
        <v>0</v>
      </c>
    </row>
    <row r="50" spans="1:32">
      <c r="A50" s="620">
        <v>36</v>
      </c>
      <c r="B50" s="326" t="s">
        <v>977</v>
      </c>
      <c r="C50" s="326" t="s">
        <v>408</v>
      </c>
      <c r="D50" s="326" t="s">
        <v>1129</v>
      </c>
      <c r="E50" s="618" t="s">
        <v>1498</v>
      </c>
      <c r="F50" s="619">
        <v>-819556.52</v>
      </c>
      <c r="G50" s="619">
        <v>-1795112.87</v>
      </c>
      <c r="H50" s="619">
        <v>-1495402.81</v>
      </c>
      <c r="I50" s="619">
        <v>-796374.57</v>
      </c>
      <c r="J50" s="619">
        <v>-3153933.99</v>
      </c>
      <c r="K50" s="619">
        <v>-569582.86</v>
      </c>
      <c r="L50" s="619">
        <v>-506152.85</v>
      </c>
      <c r="M50" s="619">
        <v>-763947.96</v>
      </c>
      <c r="N50" s="619">
        <v>-544940.30000000005</v>
      </c>
      <c r="O50" s="619">
        <v>-798507.84</v>
      </c>
      <c r="P50" s="619">
        <v>-649035.34</v>
      </c>
      <c r="Q50" s="619">
        <v>-1002179.5</v>
      </c>
      <c r="R50" s="619">
        <v>-518690.26</v>
      </c>
      <c r="S50" s="498">
        <f t="shared" si="11"/>
        <v>-1062024.5233333334</v>
      </c>
      <c r="T50" s="620"/>
      <c r="U50" s="657">
        <f t="shared" si="12"/>
        <v>-1062024.5233333334</v>
      </c>
      <c r="V50" s="690"/>
      <c r="W50" s="690"/>
      <c r="X50" s="713"/>
      <c r="Y50" s="690"/>
      <c r="Z50" s="690"/>
      <c r="AA50" s="657"/>
      <c r="AB50" s="690"/>
      <c r="AC50" s="658"/>
      <c r="AD50" s="659">
        <f t="shared" si="13"/>
        <v>-1062024.5233333334</v>
      </c>
      <c r="AE50" s="658"/>
      <c r="AF50" s="688">
        <f t="shared" si="0"/>
        <v>0</v>
      </c>
    </row>
    <row r="51" spans="1:32">
      <c r="A51" s="620">
        <v>37</v>
      </c>
      <c r="B51" s="326" t="s">
        <v>977</v>
      </c>
      <c r="C51" s="326" t="s">
        <v>408</v>
      </c>
      <c r="D51" s="326" t="s">
        <v>1130</v>
      </c>
      <c r="E51" s="618" t="s">
        <v>1499</v>
      </c>
      <c r="F51" s="619">
        <v>-500.00000000001103</v>
      </c>
      <c r="G51" s="619">
        <v>1607.1</v>
      </c>
      <c r="H51" s="619">
        <v>-14873.24</v>
      </c>
      <c r="I51" s="619">
        <v>-1337.24</v>
      </c>
      <c r="J51" s="619">
        <v>-300</v>
      </c>
      <c r="K51" s="619">
        <v>2.2737367544323201E-13</v>
      </c>
      <c r="L51" s="619">
        <v>2.2737367544323201E-13</v>
      </c>
      <c r="M51" s="619">
        <v>2.2737367544323201E-13</v>
      </c>
      <c r="N51" s="619">
        <v>2.2737367544323201E-13</v>
      </c>
      <c r="O51" s="619">
        <v>-4240.28</v>
      </c>
      <c r="P51" s="619">
        <v>-173413.86</v>
      </c>
      <c r="Q51" s="619">
        <v>-173413.86</v>
      </c>
      <c r="R51" s="619">
        <v>0</v>
      </c>
      <c r="S51" s="498">
        <f t="shared" si="11"/>
        <v>-30518.448333333334</v>
      </c>
      <c r="T51" s="620"/>
      <c r="U51" s="657">
        <f t="shared" si="12"/>
        <v>-30518.448333333334</v>
      </c>
      <c r="V51" s="690"/>
      <c r="W51" s="690"/>
      <c r="X51" s="713"/>
      <c r="Y51" s="690"/>
      <c r="Z51" s="690"/>
      <c r="AA51" s="657"/>
      <c r="AB51" s="690"/>
      <c r="AC51" s="658"/>
      <c r="AD51" s="659">
        <f t="shared" si="13"/>
        <v>-30518.448333333334</v>
      </c>
      <c r="AE51" s="658"/>
      <c r="AF51" s="688">
        <f t="shared" si="0"/>
        <v>0</v>
      </c>
    </row>
    <row r="52" spans="1:32">
      <c r="A52" s="620">
        <v>38</v>
      </c>
      <c r="B52" s="326" t="s">
        <v>977</v>
      </c>
      <c r="C52" s="326" t="s">
        <v>408</v>
      </c>
      <c r="D52" s="326" t="s">
        <v>1131</v>
      </c>
      <c r="E52" s="618" t="s">
        <v>1500</v>
      </c>
      <c r="F52" s="619">
        <v>5000.0000000002301</v>
      </c>
      <c r="G52" s="619">
        <v>5000</v>
      </c>
      <c r="H52" s="619">
        <v>5000</v>
      </c>
      <c r="I52" s="619">
        <v>5000</v>
      </c>
      <c r="J52" s="619">
        <v>81586</v>
      </c>
      <c r="K52" s="619">
        <v>6478.84</v>
      </c>
      <c r="L52" s="619">
        <v>6360.09</v>
      </c>
      <c r="M52" s="619">
        <v>3120.38</v>
      </c>
      <c r="N52" s="619">
        <v>5000</v>
      </c>
      <c r="O52" s="619">
        <v>3438</v>
      </c>
      <c r="P52" s="619">
        <v>5000</v>
      </c>
      <c r="Q52" s="619">
        <v>5000</v>
      </c>
      <c r="R52" s="619">
        <v>5000</v>
      </c>
      <c r="S52" s="498">
        <f t="shared" si="11"/>
        <v>11331.94250000001</v>
      </c>
      <c r="T52" s="620"/>
      <c r="U52" s="657">
        <f>+S52</f>
        <v>11331.94250000001</v>
      </c>
      <c r="V52" s="690"/>
      <c r="W52" s="690"/>
      <c r="X52" s="713">
        <f>+S52-U52</f>
        <v>0</v>
      </c>
      <c r="Y52" s="690"/>
      <c r="Z52" s="690"/>
      <c r="AA52" s="657"/>
      <c r="AB52" s="690">
        <f>+X52</f>
        <v>0</v>
      </c>
      <c r="AC52" s="658"/>
      <c r="AD52" s="659">
        <f t="shared" si="13"/>
        <v>11331.94250000001</v>
      </c>
      <c r="AE52" s="658"/>
      <c r="AF52" s="688">
        <f t="shared" si="0"/>
        <v>0</v>
      </c>
    </row>
    <row r="53" spans="1:32">
      <c r="A53" s="620">
        <v>39</v>
      </c>
      <c r="B53" s="326" t="s">
        <v>977</v>
      </c>
      <c r="C53" s="326" t="s">
        <v>408</v>
      </c>
      <c r="D53" s="326" t="s">
        <v>1866</v>
      </c>
      <c r="E53" s="618" t="s">
        <v>1867</v>
      </c>
      <c r="F53" s="619">
        <v>0</v>
      </c>
      <c r="G53" s="619">
        <v>0</v>
      </c>
      <c r="H53" s="619">
        <v>0</v>
      </c>
      <c r="I53" s="619">
        <v>0</v>
      </c>
      <c r="J53" s="619">
        <v>0</v>
      </c>
      <c r="K53" s="619">
        <v>0</v>
      </c>
      <c r="L53" s="619">
        <v>0</v>
      </c>
      <c r="M53" s="619">
        <v>0</v>
      </c>
      <c r="N53" s="619">
        <v>0</v>
      </c>
      <c r="O53" s="619">
        <v>0</v>
      </c>
      <c r="P53" s="619">
        <v>0</v>
      </c>
      <c r="Q53" s="619">
        <v>0</v>
      </c>
      <c r="R53" s="619">
        <v>1163.8699999999999</v>
      </c>
      <c r="S53" s="498">
        <f t="shared" si="11"/>
        <v>48.494583333333331</v>
      </c>
      <c r="T53" s="620"/>
      <c r="U53" s="657">
        <f t="shared" si="12"/>
        <v>48.494583333333331</v>
      </c>
      <c r="V53" s="690"/>
      <c r="W53" s="690"/>
      <c r="X53" s="713"/>
      <c r="Y53" s="690"/>
      <c r="Z53" s="690"/>
      <c r="AA53" s="657"/>
      <c r="AB53" s="690"/>
      <c r="AC53" s="658"/>
      <c r="AD53" s="659">
        <f t="shared" si="13"/>
        <v>48.494583333333331</v>
      </c>
      <c r="AE53" s="658"/>
      <c r="AF53" s="688">
        <f t="shared" si="0"/>
        <v>0</v>
      </c>
    </row>
    <row r="54" spans="1:32">
      <c r="A54" s="620">
        <v>40</v>
      </c>
      <c r="B54" s="326"/>
      <c r="C54" s="326" t="s">
        <v>408</v>
      </c>
      <c r="D54" s="326" t="s">
        <v>1403</v>
      </c>
      <c r="E54" s="618" t="s">
        <v>1404</v>
      </c>
      <c r="F54" s="619">
        <v>1468095.37</v>
      </c>
      <c r="G54" s="619">
        <v>566535.18999999994</v>
      </c>
      <c r="H54" s="619">
        <v>619477.91</v>
      </c>
      <c r="I54" s="619">
        <v>1534647.82</v>
      </c>
      <c r="J54" s="619">
        <v>1100649.3600000001</v>
      </c>
      <c r="K54" s="619">
        <v>399615.65</v>
      </c>
      <c r="L54" s="619">
        <v>1098135.5</v>
      </c>
      <c r="M54" s="619">
        <v>465511.55</v>
      </c>
      <c r="N54" s="619">
        <v>189491.11</v>
      </c>
      <c r="O54" s="619">
        <v>2126914.0299999998</v>
      </c>
      <c r="P54" s="619">
        <v>391703.31</v>
      </c>
      <c r="Q54" s="619">
        <v>247855.03</v>
      </c>
      <c r="R54" s="619">
        <v>4947993.17</v>
      </c>
      <c r="S54" s="498">
        <f t="shared" si="11"/>
        <v>995715.06083333341</v>
      </c>
      <c r="T54" s="620"/>
      <c r="U54" s="657">
        <f>+S54</f>
        <v>995715.06083333341</v>
      </c>
      <c r="V54" s="690"/>
      <c r="W54" s="690"/>
      <c r="X54" s="713"/>
      <c r="Y54" s="690"/>
      <c r="Z54" s="690"/>
      <c r="AA54" s="657"/>
      <c r="AB54" s="690"/>
      <c r="AC54" s="658"/>
      <c r="AD54" s="659">
        <f t="shared" si="13"/>
        <v>995715.06083333341</v>
      </c>
      <c r="AE54" s="658"/>
      <c r="AF54" s="688">
        <f t="shared" si="0"/>
        <v>0</v>
      </c>
    </row>
    <row r="55" spans="1:32">
      <c r="A55" s="620">
        <v>41</v>
      </c>
      <c r="B55" s="326" t="s">
        <v>977</v>
      </c>
      <c r="C55" s="326" t="s">
        <v>410</v>
      </c>
      <c r="D55" s="326" t="s">
        <v>1132</v>
      </c>
      <c r="E55" s="618" t="s">
        <v>1501</v>
      </c>
      <c r="F55" s="619">
        <v>600</v>
      </c>
      <c r="G55" s="619">
        <v>600</v>
      </c>
      <c r="H55" s="619">
        <v>600</v>
      </c>
      <c r="I55" s="619">
        <v>600</v>
      </c>
      <c r="J55" s="619">
        <v>600</v>
      </c>
      <c r="K55" s="619">
        <v>330.48</v>
      </c>
      <c r="L55" s="619">
        <v>0</v>
      </c>
      <c r="M55" s="619">
        <v>0</v>
      </c>
      <c r="N55" s="619">
        <v>0</v>
      </c>
      <c r="O55" s="619">
        <v>0</v>
      </c>
      <c r="P55" s="619">
        <v>0</v>
      </c>
      <c r="Q55" s="619">
        <v>0</v>
      </c>
      <c r="R55" s="619">
        <v>0</v>
      </c>
      <c r="S55" s="498">
        <f t="shared" si="11"/>
        <v>252.54</v>
      </c>
      <c r="T55" s="620"/>
      <c r="U55" s="657">
        <f t="shared" si="12"/>
        <v>252.54</v>
      </c>
      <c r="V55" s="690"/>
      <c r="W55" s="690"/>
      <c r="X55" s="713"/>
      <c r="Y55" s="690"/>
      <c r="Z55" s="690"/>
      <c r="AA55" s="657"/>
      <c r="AB55" s="690"/>
      <c r="AC55" s="658"/>
      <c r="AD55" s="659">
        <f t="shared" si="13"/>
        <v>252.54</v>
      </c>
      <c r="AE55" s="658"/>
      <c r="AF55" s="688">
        <f t="shared" si="0"/>
        <v>0</v>
      </c>
    </row>
    <row r="56" spans="1:32">
      <c r="A56" s="620">
        <v>42</v>
      </c>
      <c r="B56" s="326" t="s">
        <v>977</v>
      </c>
      <c r="C56" s="326" t="s">
        <v>410</v>
      </c>
      <c r="D56" s="326" t="s">
        <v>1133</v>
      </c>
      <c r="E56" s="618" t="s">
        <v>1502</v>
      </c>
      <c r="F56" s="619">
        <v>300</v>
      </c>
      <c r="G56" s="619">
        <v>300</v>
      </c>
      <c r="H56" s="619">
        <v>300</v>
      </c>
      <c r="I56" s="619">
        <v>300</v>
      </c>
      <c r="J56" s="619">
        <v>300</v>
      </c>
      <c r="K56" s="619">
        <v>284.69</v>
      </c>
      <c r="L56" s="619">
        <v>0</v>
      </c>
      <c r="M56" s="619">
        <v>0</v>
      </c>
      <c r="N56" s="619">
        <v>0</v>
      </c>
      <c r="O56" s="619">
        <v>0</v>
      </c>
      <c r="P56" s="619">
        <v>0</v>
      </c>
      <c r="Q56" s="619">
        <v>0</v>
      </c>
      <c r="R56" s="619">
        <v>0</v>
      </c>
      <c r="S56" s="498">
        <f t="shared" si="11"/>
        <v>136.22416666666666</v>
      </c>
      <c r="T56" s="620"/>
      <c r="U56" s="657">
        <f t="shared" si="12"/>
        <v>136.22416666666666</v>
      </c>
      <c r="V56" s="690"/>
      <c r="W56" s="690"/>
      <c r="X56" s="713"/>
      <c r="Y56" s="690"/>
      <c r="Z56" s="690"/>
      <c r="AA56" s="657"/>
      <c r="AB56" s="690"/>
      <c r="AC56" s="658"/>
      <c r="AD56" s="659">
        <f t="shared" si="13"/>
        <v>136.22416666666666</v>
      </c>
      <c r="AE56" s="658"/>
      <c r="AF56" s="688">
        <f t="shared" si="0"/>
        <v>0</v>
      </c>
    </row>
    <row r="57" spans="1:32">
      <c r="A57" s="620">
        <v>43</v>
      </c>
      <c r="B57" s="326" t="s">
        <v>977</v>
      </c>
      <c r="C57" s="326" t="s">
        <v>410</v>
      </c>
      <c r="D57" s="536" t="s">
        <v>1134</v>
      </c>
      <c r="E57" s="618" t="s">
        <v>1503</v>
      </c>
      <c r="F57" s="619">
        <v>0</v>
      </c>
      <c r="G57" s="619">
        <v>0</v>
      </c>
      <c r="H57" s="619">
        <v>0</v>
      </c>
      <c r="I57" s="619">
        <v>0</v>
      </c>
      <c r="J57" s="619">
        <v>0</v>
      </c>
      <c r="K57" s="619">
        <v>0</v>
      </c>
      <c r="L57" s="619">
        <v>0</v>
      </c>
      <c r="M57" s="619">
        <v>0</v>
      </c>
      <c r="N57" s="619">
        <v>0</v>
      </c>
      <c r="O57" s="619">
        <v>0</v>
      </c>
      <c r="P57" s="619">
        <v>0</v>
      </c>
      <c r="Q57" s="619">
        <v>0</v>
      </c>
      <c r="R57" s="619">
        <v>0</v>
      </c>
      <c r="S57" s="498">
        <f t="shared" si="11"/>
        <v>0</v>
      </c>
      <c r="T57" s="620"/>
      <c r="U57" s="657">
        <f t="shared" si="12"/>
        <v>0</v>
      </c>
      <c r="V57" s="690"/>
      <c r="W57" s="690"/>
      <c r="X57" s="713"/>
      <c r="Y57" s="690"/>
      <c r="Z57" s="690"/>
      <c r="AA57" s="657"/>
      <c r="AB57" s="690"/>
      <c r="AC57" s="658"/>
      <c r="AD57" s="659">
        <f t="shared" si="13"/>
        <v>0</v>
      </c>
      <c r="AE57" s="658"/>
      <c r="AF57" s="688">
        <f t="shared" si="0"/>
        <v>0</v>
      </c>
    </row>
    <row r="58" spans="1:32">
      <c r="A58" s="620">
        <v>44</v>
      </c>
      <c r="B58" s="326" t="s">
        <v>977</v>
      </c>
      <c r="C58" s="326" t="s">
        <v>410</v>
      </c>
      <c r="D58" s="326" t="s">
        <v>1135</v>
      </c>
      <c r="E58" s="618" t="s">
        <v>1504</v>
      </c>
      <c r="F58" s="619">
        <v>250</v>
      </c>
      <c r="G58" s="619">
        <v>250</v>
      </c>
      <c r="H58" s="619">
        <v>250</v>
      </c>
      <c r="I58" s="619">
        <v>250</v>
      </c>
      <c r="J58" s="619">
        <v>250</v>
      </c>
      <c r="K58" s="619">
        <v>236.3</v>
      </c>
      <c r="L58" s="619">
        <v>0</v>
      </c>
      <c r="M58" s="619">
        <v>0</v>
      </c>
      <c r="N58" s="619">
        <v>0</v>
      </c>
      <c r="O58" s="619">
        <v>0</v>
      </c>
      <c r="P58" s="619">
        <v>0</v>
      </c>
      <c r="Q58" s="619">
        <v>0</v>
      </c>
      <c r="R58" s="619">
        <v>0</v>
      </c>
      <c r="S58" s="498">
        <f t="shared" si="11"/>
        <v>113.44166666666666</v>
      </c>
      <c r="T58" s="620"/>
      <c r="U58" s="657">
        <f t="shared" si="12"/>
        <v>113.44166666666666</v>
      </c>
      <c r="V58" s="690"/>
      <c r="W58" s="690"/>
      <c r="X58" s="713"/>
      <c r="Y58" s="690"/>
      <c r="Z58" s="690"/>
      <c r="AA58" s="657"/>
      <c r="AB58" s="690"/>
      <c r="AC58" s="658"/>
      <c r="AD58" s="659">
        <f t="shared" si="13"/>
        <v>113.44166666666666</v>
      </c>
      <c r="AE58" s="658"/>
      <c r="AF58" s="688">
        <f t="shared" si="0"/>
        <v>0</v>
      </c>
    </row>
    <row r="59" spans="1:32">
      <c r="A59" s="620">
        <v>45</v>
      </c>
      <c r="B59" s="620"/>
      <c r="C59" s="620" t="s">
        <v>410</v>
      </c>
      <c r="D59" s="620" t="s">
        <v>1135</v>
      </c>
      <c r="E59" s="605" t="s">
        <v>411</v>
      </c>
      <c r="F59" s="305">
        <f t="shared" ref="F59:S59" si="14">SUM(F48:F58)</f>
        <v>3204308.9300000006</v>
      </c>
      <c r="G59" s="305">
        <f t="shared" si="14"/>
        <v>1149.9999999998836</v>
      </c>
      <c r="H59" s="305">
        <f t="shared" si="14"/>
        <v>553067.29999999993</v>
      </c>
      <c r="I59" s="305">
        <f t="shared" si="14"/>
        <v>1929589.5300000003</v>
      </c>
      <c r="J59" s="305">
        <f t="shared" si="14"/>
        <v>112421.36999999988</v>
      </c>
      <c r="K59" s="305">
        <f t="shared" si="14"/>
        <v>86776.910000000062</v>
      </c>
      <c r="L59" s="305">
        <f t="shared" si="14"/>
        <v>1112968.57</v>
      </c>
      <c r="M59" s="305">
        <f t="shared" si="14"/>
        <v>363077.60000000003</v>
      </c>
      <c r="N59" s="305">
        <f t="shared" si="14"/>
        <v>-5.8207660913467407E-11</v>
      </c>
      <c r="O59" s="305">
        <f t="shared" si="14"/>
        <v>2112367.11</v>
      </c>
      <c r="P59" s="305">
        <f t="shared" si="14"/>
        <v>5.8207660913467407E-11</v>
      </c>
      <c r="Q59" s="305">
        <f t="shared" si="14"/>
        <v>-601163.87</v>
      </c>
      <c r="R59" s="305">
        <f t="shared" si="14"/>
        <v>6896976.6200000001</v>
      </c>
      <c r="S59" s="500">
        <f t="shared" si="14"/>
        <v>893408.10791666654</v>
      </c>
      <c r="T59" s="620"/>
      <c r="U59" s="657"/>
      <c r="V59" s="690"/>
      <c r="W59" s="690"/>
      <c r="X59" s="713"/>
      <c r="Y59" s="690"/>
      <c r="Z59" s="690"/>
      <c r="AA59" s="657"/>
      <c r="AB59" s="690"/>
      <c r="AC59" s="658"/>
      <c r="AD59" s="658"/>
      <c r="AE59" s="658"/>
      <c r="AF59" s="688">
        <f t="shared" si="0"/>
        <v>0</v>
      </c>
    </row>
    <row r="60" spans="1:32">
      <c r="A60" s="620">
        <v>46</v>
      </c>
      <c r="B60" s="620"/>
      <c r="C60" s="620"/>
      <c r="D60" s="620"/>
      <c r="E60" s="605"/>
      <c r="F60" s="619"/>
      <c r="G60" s="314"/>
      <c r="H60" s="315"/>
      <c r="I60" s="315"/>
      <c r="J60" s="316"/>
      <c r="K60" s="317"/>
      <c r="L60" s="318"/>
      <c r="M60" s="319"/>
      <c r="N60" s="320"/>
      <c r="O60" s="606"/>
      <c r="P60" s="321"/>
      <c r="Q60" s="322"/>
      <c r="R60" s="619"/>
      <c r="S60" s="304"/>
      <c r="T60" s="620"/>
      <c r="U60" s="657"/>
      <c r="V60" s="690"/>
      <c r="W60" s="690"/>
      <c r="X60" s="713"/>
      <c r="Y60" s="690"/>
      <c r="Z60" s="690"/>
      <c r="AA60" s="657"/>
      <c r="AB60" s="690"/>
      <c r="AC60" s="658"/>
      <c r="AD60" s="658"/>
      <c r="AE60" s="658"/>
      <c r="AF60" s="688">
        <f t="shared" si="0"/>
        <v>0</v>
      </c>
    </row>
    <row r="61" spans="1:32">
      <c r="A61" s="620">
        <v>47</v>
      </c>
      <c r="B61" s="326" t="s">
        <v>977</v>
      </c>
      <c r="C61" s="326" t="s">
        <v>412</v>
      </c>
      <c r="D61" s="326" t="s">
        <v>1865</v>
      </c>
      <c r="E61" s="618" t="s">
        <v>1868</v>
      </c>
      <c r="F61" s="617">
        <v>0</v>
      </c>
      <c r="G61" s="617">
        <v>0</v>
      </c>
      <c r="H61" s="617">
        <v>0</v>
      </c>
      <c r="I61" s="617">
        <v>0</v>
      </c>
      <c r="J61" s="617">
        <v>0</v>
      </c>
      <c r="K61" s="617">
        <v>0</v>
      </c>
      <c r="L61" s="617">
        <v>0</v>
      </c>
      <c r="M61" s="617">
        <v>0</v>
      </c>
      <c r="N61" s="617">
        <v>0</v>
      </c>
      <c r="O61" s="617">
        <v>0</v>
      </c>
      <c r="P61" s="617">
        <v>600463.32999999996</v>
      </c>
      <c r="Q61" s="617">
        <v>601163.87</v>
      </c>
      <c r="R61" s="617">
        <v>0</v>
      </c>
      <c r="S61" s="498">
        <f>((F61+R61)+((G61+H61+I61+J61+K61+L61+M61+N61+O61+P61+Q61)*2))/24</f>
        <v>100135.59999999999</v>
      </c>
      <c r="T61" s="620"/>
      <c r="U61" s="657">
        <f>+S61</f>
        <v>100135.59999999999</v>
      </c>
      <c r="V61" s="690"/>
      <c r="W61" s="690"/>
      <c r="X61" s="713"/>
      <c r="Y61" s="690"/>
      <c r="Z61" s="690"/>
      <c r="AA61" s="657"/>
      <c r="AB61" s="690"/>
      <c r="AC61" s="658"/>
      <c r="AD61" s="660">
        <f>+U61</f>
        <v>100135.59999999999</v>
      </c>
      <c r="AE61" s="658"/>
      <c r="AF61" s="688">
        <f t="shared" si="0"/>
        <v>0</v>
      </c>
    </row>
    <row r="62" spans="1:32">
      <c r="A62" s="620">
        <v>48</v>
      </c>
      <c r="B62" s="326"/>
      <c r="C62" s="326" t="s">
        <v>412</v>
      </c>
      <c r="D62" s="326" t="s">
        <v>1869</v>
      </c>
      <c r="E62" s="618" t="s">
        <v>1870</v>
      </c>
      <c r="F62" s="715">
        <v>0</v>
      </c>
      <c r="G62" s="715">
        <v>0</v>
      </c>
      <c r="H62" s="715">
        <v>0</v>
      </c>
      <c r="I62" s="715">
        <v>0</v>
      </c>
      <c r="J62" s="715">
        <v>0</v>
      </c>
      <c r="K62" s="715">
        <v>0</v>
      </c>
      <c r="L62" s="715">
        <v>0</v>
      </c>
      <c r="M62" s="715">
        <v>0</v>
      </c>
      <c r="N62" s="715">
        <v>0</v>
      </c>
      <c r="O62" s="715">
        <v>0</v>
      </c>
      <c r="P62" s="715">
        <v>0</v>
      </c>
      <c r="Q62" s="715">
        <v>0</v>
      </c>
      <c r="R62" s="715">
        <v>0</v>
      </c>
      <c r="S62" s="498">
        <f>((F62+R62)+((G62+H62+I62+J62+K62+L62+M62+N62+O62+P62+Q62)*2))/24</f>
        <v>0</v>
      </c>
      <c r="T62" s="620"/>
      <c r="U62" s="657"/>
      <c r="V62" s="690"/>
      <c r="W62" s="690"/>
      <c r="X62" s="713"/>
      <c r="Y62" s="690"/>
      <c r="Z62" s="690"/>
      <c r="AA62" s="657"/>
      <c r="AB62" s="690"/>
      <c r="AC62" s="658"/>
      <c r="AD62" s="660"/>
      <c r="AE62" s="658"/>
      <c r="AF62" s="688"/>
    </row>
    <row r="63" spans="1:32">
      <c r="A63" s="620">
        <v>49</v>
      </c>
      <c r="B63" s="620"/>
      <c r="C63" s="620"/>
      <c r="D63" s="620"/>
      <c r="E63" s="605" t="s">
        <v>413</v>
      </c>
      <c r="F63" s="617">
        <f t="shared" ref="F63:S63" si="15">+F61</f>
        <v>0</v>
      </c>
      <c r="G63" s="617">
        <f t="shared" si="15"/>
        <v>0</v>
      </c>
      <c r="H63" s="617">
        <f t="shared" si="15"/>
        <v>0</v>
      </c>
      <c r="I63" s="617">
        <f t="shared" si="15"/>
        <v>0</v>
      </c>
      <c r="J63" s="617">
        <f t="shared" si="15"/>
        <v>0</v>
      </c>
      <c r="K63" s="617">
        <f t="shared" si="15"/>
        <v>0</v>
      </c>
      <c r="L63" s="617">
        <f t="shared" si="15"/>
        <v>0</v>
      </c>
      <c r="M63" s="617">
        <f t="shared" si="15"/>
        <v>0</v>
      </c>
      <c r="N63" s="617">
        <f t="shared" si="15"/>
        <v>0</v>
      </c>
      <c r="O63" s="617">
        <f t="shared" si="15"/>
        <v>0</v>
      </c>
      <c r="P63" s="617">
        <f t="shared" si="15"/>
        <v>600463.32999999996</v>
      </c>
      <c r="Q63" s="617">
        <f t="shared" si="15"/>
        <v>601163.87</v>
      </c>
      <c r="R63" s="617">
        <f t="shared" si="15"/>
        <v>0</v>
      </c>
      <c r="S63" s="500">
        <f t="shared" si="15"/>
        <v>100135.59999999999</v>
      </c>
      <c r="T63" s="620"/>
      <c r="U63" s="657"/>
      <c r="V63" s="690"/>
      <c r="W63" s="690"/>
      <c r="X63" s="713"/>
      <c r="Y63" s="690"/>
      <c r="Z63" s="690"/>
      <c r="AA63" s="657"/>
      <c r="AB63" s="690"/>
      <c r="AC63" s="658"/>
      <c r="AD63" s="658"/>
      <c r="AE63" s="658"/>
      <c r="AF63" s="688">
        <f t="shared" si="0"/>
        <v>0</v>
      </c>
    </row>
    <row r="64" spans="1:32">
      <c r="A64" s="620">
        <v>50</v>
      </c>
      <c r="B64" s="620"/>
      <c r="C64" s="620"/>
      <c r="D64" s="620"/>
      <c r="E64" s="605"/>
      <c r="F64" s="619"/>
      <c r="G64" s="314"/>
      <c r="H64" s="315"/>
      <c r="I64" s="315"/>
      <c r="J64" s="316"/>
      <c r="K64" s="317"/>
      <c r="L64" s="318"/>
      <c r="M64" s="319"/>
      <c r="N64" s="320"/>
      <c r="O64" s="606"/>
      <c r="P64" s="321"/>
      <c r="Q64" s="322"/>
      <c r="R64" s="619"/>
      <c r="S64" s="304"/>
      <c r="T64" s="620"/>
      <c r="U64" s="657"/>
      <c r="V64" s="690"/>
      <c r="W64" s="690"/>
      <c r="X64" s="713"/>
      <c r="Y64" s="690"/>
      <c r="Z64" s="690"/>
      <c r="AA64" s="657"/>
      <c r="AB64" s="690"/>
      <c r="AC64" s="658"/>
      <c r="AD64" s="658"/>
      <c r="AE64" s="658"/>
      <c r="AF64" s="688">
        <f t="shared" si="0"/>
        <v>0</v>
      </c>
    </row>
    <row r="65" spans="1:32">
      <c r="A65" s="620">
        <v>51</v>
      </c>
      <c r="B65" s="326" t="s">
        <v>977</v>
      </c>
      <c r="C65" s="326" t="s">
        <v>414</v>
      </c>
      <c r="D65" s="326" t="s">
        <v>526</v>
      </c>
      <c r="E65" s="618" t="s">
        <v>1505</v>
      </c>
      <c r="F65" s="619">
        <v>945100.14</v>
      </c>
      <c r="G65" s="619">
        <v>77207.17</v>
      </c>
      <c r="H65" s="619">
        <v>-35501.22</v>
      </c>
      <c r="I65" s="619">
        <v>-2563.5099999999602</v>
      </c>
      <c r="J65" s="619">
        <v>-25324.03</v>
      </c>
      <c r="K65" s="619">
        <v>-2851.8199999999601</v>
      </c>
      <c r="L65" s="619">
        <v>-38329.089999999997</v>
      </c>
      <c r="M65" s="619">
        <v>-10234.5</v>
      </c>
      <c r="N65" s="619">
        <v>-3308.3499999999499</v>
      </c>
      <c r="O65" s="619">
        <v>-6784.3099999999504</v>
      </c>
      <c r="P65" s="619">
        <v>-28025.86</v>
      </c>
      <c r="Q65" s="619">
        <v>-25813.22</v>
      </c>
      <c r="R65" s="619">
        <v>-36000.230000000003</v>
      </c>
      <c r="S65" s="498">
        <f>((F65+R65)+((G65+H65+I65+J65+K65+L65+M65+N65+O65+P65+Q65)*2))/24</f>
        <v>29418.43458333335</v>
      </c>
      <c r="T65" s="620"/>
      <c r="U65" s="657">
        <f t="shared" ref="U65:U79" si="16">+S65</f>
        <v>29418.43458333335</v>
      </c>
      <c r="V65" s="690"/>
      <c r="W65" s="690"/>
      <c r="X65" s="713"/>
      <c r="Y65" s="690"/>
      <c r="Z65" s="690"/>
      <c r="AA65" s="657"/>
      <c r="AB65" s="690"/>
      <c r="AC65" s="658"/>
      <c r="AD65" s="659">
        <f t="shared" ref="AD65:AD80" si="17">+U65</f>
        <v>29418.43458333335</v>
      </c>
      <c r="AE65" s="658"/>
      <c r="AF65" s="688">
        <f t="shared" si="0"/>
        <v>0</v>
      </c>
    </row>
    <row r="66" spans="1:32">
      <c r="A66" s="620">
        <v>52</v>
      </c>
      <c r="B66" s="326" t="s">
        <v>1005</v>
      </c>
      <c r="C66" s="326" t="s">
        <v>414</v>
      </c>
      <c r="D66" s="326" t="s">
        <v>526</v>
      </c>
      <c r="E66" s="618" t="s">
        <v>1510</v>
      </c>
      <c r="F66" s="619">
        <v>2449138.14</v>
      </c>
      <c r="G66" s="619">
        <v>3224853.65</v>
      </c>
      <c r="H66" s="619">
        <v>4270584.4000000004</v>
      </c>
      <c r="I66" s="619">
        <v>4555591.4800000004</v>
      </c>
      <c r="J66" s="619">
        <v>2924868.02</v>
      </c>
      <c r="K66" s="619">
        <v>1818952.73</v>
      </c>
      <c r="L66" s="619">
        <v>1233736.6000000001</v>
      </c>
      <c r="M66" s="619">
        <v>615442.89000000095</v>
      </c>
      <c r="N66" s="619">
        <v>109138.91000000099</v>
      </c>
      <c r="O66" s="619">
        <v>-122104.77999999899</v>
      </c>
      <c r="P66" s="619">
        <v>783535.89000000095</v>
      </c>
      <c r="Q66" s="619">
        <v>2056616.36</v>
      </c>
      <c r="R66" s="619">
        <v>3791764.54</v>
      </c>
      <c r="S66" s="498">
        <f t="shared" ref="S66:S74" si="18">((F66+R66)+((G66+H66+I66+J66+K66+L66+M66+N66+O66+P66+Q66)*2))/24</f>
        <v>2049305.6241666672</v>
      </c>
      <c r="T66" s="620"/>
      <c r="U66" s="657">
        <f t="shared" si="16"/>
        <v>2049305.6241666672</v>
      </c>
      <c r="V66" s="690"/>
      <c r="W66" s="690"/>
      <c r="X66" s="713"/>
      <c r="Y66" s="690"/>
      <c r="Z66" s="690"/>
      <c r="AA66" s="657"/>
      <c r="AB66" s="690"/>
      <c r="AC66" s="658"/>
      <c r="AD66" s="659">
        <f t="shared" si="17"/>
        <v>2049305.6241666672</v>
      </c>
      <c r="AE66" s="658"/>
      <c r="AF66" s="688">
        <f t="shared" si="0"/>
        <v>0</v>
      </c>
    </row>
    <row r="67" spans="1:32">
      <c r="A67" s="620">
        <v>53</v>
      </c>
      <c r="B67" s="326" t="s">
        <v>980</v>
      </c>
      <c r="C67" s="326" t="s">
        <v>414</v>
      </c>
      <c r="D67" s="326" t="s">
        <v>526</v>
      </c>
      <c r="E67" s="618" t="s">
        <v>1510</v>
      </c>
      <c r="F67" s="619">
        <v>7070459.8200000003</v>
      </c>
      <c r="G67" s="619">
        <v>8797923.8399999999</v>
      </c>
      <c r="H67" s="619">
        <v>13570803.08</v>
      </c>
      <c r="I67" s="619">
        <v>14612696.369999999</v>
      </c>
      <c r="J67" s="619">
        <v>7368251.1799999997</v>
      </c>
      <c r="K67" s="619">
        <v>4720081.41</v>
      </c>
      <c r="L67" s="619">
        <v>2456323.9900000002</v>
      </c>
      <c r="M67" s="619">
        <v>159505.82</v>
      </c>
      <c r="N67" s="619">
        <v>-943408.66</v>
      </c>
      <c r="O67" s="619">
        <v>-2231209.11</v>
      </c>
      <c r="P67" s="619">
        <v>-170826.56999999899</v>
      </c>
      <c r="Q67" s="619">
        <v>5610894.5300000003</v>
      </c>
      <c r="R67" s="619">
        <v>11509546.060000001</v>
      </c>
      <c r="S67" s="498">
        <f t="shared" si="18"/>
        <v>5270086.5683333343</v>
      </c>
      <c r="T67" s="620"/>
      <c r="U67" s="657">
        <f t="shared" si="16"/>
        <v>5270086.5683333343</v>
      </c>
      <c r="V67" s="690"/>
      <c r="W67" s="690"/>
      <c r="X67" s="713"/>
      <c r="Y67" s="690"/>
      <c r="Z67" s="690"/>
      <c r="AA67" s="657"/>
      <c r="AB67" s="690"/>
      <c r="AC67" s="658"/>
      <c r="AD67" s="659">
        <f t="shared" si="17"/>
        <v>5270086.5683333343</v>
      </c>
      <c r="AE67" s="658"/>
      <c r="AF67" s="688">
        <f t="shared" si="0"/>
        <v>0</v>
      </c>
    </row>
    <row r="68" spans="1:32">
      <c r="A68" s="620">
        <v>54</v>
      </c>
      <c r="B68" s="326" t="s">
        <v>1005</v>
      </c>
      <c r="C68" s="326" t="s">
        <v>414</v>
      </c>
      <c r="D68" s="326" t="s">
        <v>560</v>
      </c>
      <c r="E68" s="618" t="s">
        <v>1511</v>
      </c>
      <c r="F68" s="619">
        <v>161397.89000000001</v>
      </c>
      <c r="G68" s="619">
        <v>20520.34</v>
      </c>
      <c r="H68" s="619">
        <v>224215.24</v>
      </c>
      <c r="I68" s="619">
        <v>16515.099999999999</v>
      </c>
      <c r="J68" s="619">
        <v>56070.1</v>
      </c>
      <c r="K68" s="619">
        <v>38983.660000000003</v>
      </c>
      <c r="L68" s="619">
        <v>25519.71</v>
      </c>
      <c r="M68" s="619">
        <v>24177.96</v>
      </c>
      <c r="N68" s="619">
        <v>33844.92</v>
      </c>
      <c r="O68" s="619">
        <v>55496.84</v>
      </c>
      <c r="P68" s="619">
        <v>30727.86</v>
      </c>
      <c r="Q68" s="619">
        <v>97435.35</v>
      </c>
      <c r="R68" s="619">
        <v>23387.360000000001</v>
      </c>
      <c r="S68" s="498">
        <f t="shared" si="18"/>
        <v>59658.308749999997</v>
      </c>
      <c r="T68" s="620"/>
      <c r="U68" s="657">
        <f t="shared" si="16"/>
        <v>59658.308749999997</v>
      </c>
      <c r="V68" s="690"/>
      <c r="W68" s="690"/>
      <c r="X68" s="713"/>
      <c r="Y68" s="690"/>
      <c r="Z68" s="690"/>
      <c r="AA68" s="657"/>
      <c r="AB68" s="690"/>
      <c r="AC68" s="658"/>
      <c r="AD68" s="659">
        <f t="shared" si="17"/>
        <v>59658.308749999997</v>
      </c>
      <c r="AE68" s="658"/>
      <c r="AF68" s="688">
        <f t="shared" si="0"/>
        <v>0</v>
      </c>
    </row>
    <row r="69" spans="1:32">
      <c r="A69" s="620">
        <v>55</v>
      </c>
      <c r="B69" s="326" t="s">
        <v>980</v>
      </c>
      <c r="C69" s="326" t="s">
        <v>414</v>
      </c>
      <c r="D69" s="326" t="s">
        <v>560</v>
      </c>
      <c r="E69" s="618" t="s">
        <v>1511</v>
      </c>
      <c r="F69" s="619">
        <v>150854.79</v>
      </c>
      <c r="G69" s="619">
        <v>159573</v>
      </c>
      <c r="H69" s="619">
        <v>259737.60000000001</v>
      </c>
      <c r="I69" s="619">
        <v>194116.22</v>
      </c>
      <c r="J69" s="619">
        <v>129670.29</v>
      </c>
      <c r="K69" s="619">
        <v>129990.04</v>
      </c>
      <c r="L69" s="619">
        <v>65209.33</v>
      </c>
      <c r="M69" s="619">
        <v>172461.87</v>
      </c>
      <c r="N69" s="619">
        <v>106331.78</v>
      </c>
      <c r="O69" s="619">
        <v>228476.34</v>
      </c>
      <c r="P69" s="619">
        <v>161198.41</v>
      </c>
      <c r="Q69" s="619">
        <v>250522.76</v>
      </c>
      <c r="R69" s="619">
        <v>266649.46999999997</v>
      </c>
      <c r="S69" s="498">
        <f t="shared" si="18"/>
        <v>172169.98083333333</v>
      </c>
      <c r="T69" s="620"/>
      <c r="U69" s="657">
        <f t="shared" si="16"/>
        <v>172169.98083333333</v>
      </c>
      <c r="V69" s="690"/>
      <c r="W69" s="690"/>
      <c r="X69" s="713"/>
      <c r="Y69" s="690"/>
      <c r="Z69" s="690"/>
      <c r="AA69" s="657"/>
      <c r="AB69" s="690"/>
      <c r="AC69" s="658"/>
      <c r="AD69" s="659">
        <f t="shared" si="17"/>
        <v>172169.98083333333</v>
      </c>
      <c r="AE69" s="658"/>
      <c r="AF69" s="688">
        <f t="shared" si="0"/>
        <v>0</v>
      </c>
    </row>
    <row r="70" spans="1:32">
      <c r="A70" s="620">
        <v>56</v>
      </c>
      <c r="B70" s="326" t="s">
        <v>1005</v>
      </c>
      <c r="C70" s="326" t="s">
        <v>414</v>
      </c>
      <c r="D70" s="326" t="s">
        <v>964</v>
      </c>
      <c r="E70" s="618" t="s">
        <v>1512</v>
      </c>
      <c r="F70" s="619">
        <v>1518612.94</v>
      </c>
      <c r="G70" s="619">
        <v>0</v>
      </c>
      <c r="H70" s="619">
        <v>0</v>
      </c>
      <c r="I70" s="619">
        <v>0</v>
      </c>
      <c r="J70" s="619">
        <v>0</v>
      </c>
      <c r="K70" s="619">
        <v>0</v>
      </c>
      <c r="L70" s="619">
        <v>0</v>
      </c>
      <c r="M70" s="619">
        <v>0</v>
      </c>
      <c r="N70" s="619">
        <v>0</v>
      </c>
      <c r="O70" s="619">
        <v>0</v>
      </c>
      <c r="P70" s="619">
        <v>0</v>
      </c>
      <c r="Q70" s="619">
        <v>0</v>
      </c>
      <c r="R70" s="619">
        <v>0</v>
      </c>
      <c r="S70" s="498">
        <f t="shared" si="18"/>
        <v>63275.539166666662</v>
      </c>
      <c r="T70" s="620"/>
      <c r="U70" s="657">
        <f t="shared" si="16"/>
        <v>63275.539166666662</v>
      </c>
      <c r="V70" s="690"/>
      <c r="W70" s="690"/>
      <c r="X70" s="713"/>
      <c r="Y70" s="690"/>
      <c r="Z70" s="690"/>
      <c r="AA70" s="657"/>
      <c r="AB70" s="690"/>
      <c r="AC70" s="658"/>
      <c r="AD70" s="659">
        <f t="shared" si="17"/>
        <v>63275.539166666662</v>
      </c>
      <c r="AE70" s="658"/>
      <c r="AF70" s="688">
        <f t="shared" si="0"/>
        <v>0</v>
      </c>
    </row>
    <row r="71" spans="1:32">
      <c r="A71" s="620">
        <v>57</v>
      </c>
      <c r="B71" s="326" t="s">
        <v>980</v>
      </c>
      <c r="C71" s="326" t="s">
        <v>414</v>
      </c>
      <c r="D71" s="326" t="s">
        <v>964</v>
      </c>
      <c r="E71" s="618" t="s">
        <v>1512</v>
      </c>
      <c r="F71" s="619">
        <v>5330310.5</v>
      </c>
      <c r="G71" s="619"/>
      <c r="H71" s="619"/>
      <c r="I71" s="619"/>
      <c r="J71" s="619"/>
      <c r="K71" s="619"/>
      <c r="L71" s="619"/>
      <c r="M71" s="619"/>
      <c r="N71" s="619"/>
      <c r="O71" s="619"/>
      <c r="P71" s="619"/>
      <c r="Q71" s="619"/>
      <c r="R71" s="619"/>
      <c r="S71" s="498">
        <f t="shared" si="18"/>
        <v>222096.27083333334</v>
      </c>
      <c r="T71" s="620"/>
      <c r="U71" s="657">
        <f t="shared" si="16"/>
        <v>222096.27083333334</v>
      </c>
      <c r="V71" s="690"/>
      <c r="W71" s="690"/>
      <c r="X71" s="713"/>
      <c r="Y71" s="690"/>
      <c r="Z71" s="690"/>
      <c r="AA71" s="657"/>
      <c r="AB71" s="690"/>
      <c r="AC71" s="658"/>
      <c r="AD71" s="659">
        <f t="shared" si="17"/>
        <v>222096.27083333334</v>
      </c>
      <c r="AE71" s="658"/>
      <c r="AF71" s="688">
        <f t="shared" si="0"/>
        <v>0</v>
      </c>
    </row>
    <row r="72" spans="1:32">
      <c r="A72" s="620">
        <v>58</v>
      </c>
      <c r="B72" s="326" t="s">
        <v>977</v>
      </c>
      <c r="C72" s="326" t="s">
        <v>415</v>
      </c>
      <c r="D72" s="326" t="s">
        <v>1136</v>
      </c>
      <c r="E72" s="618" t="s">
        <v>1506</v>
      </c>
      <c r="F72" s="619">
        <v>1902279.41</v>
      </c>
      <c r="G72" s="619">
        <v>2597806.41</v>
      </c>
      <c r="H72" s="619">
        <v>945119.02</v>
      </c>
      <c r="I72" s="619">
        <v>2906113.03</v>
      </c>
      <c r="J72" s="619">
        <v>4127184.76</v>
      </c>
      <c r="K72" s="619">
        <v>1054693.96</v>
      </c>
      <c r="L72" s="619">
        <v>924373.96</v>
      </c>
      <c r="M72" s="619">
        <v>794790.47</v>
      </c>
      <c r="N72" s="619">
        <v>860599.65</v>
      </c>
      <c r="O72" s="619">
        <v>823984.28</v>
      </c>
      <c r="P72" s="619">
        <v>729266.75</v>
      </c>
      <c r="Q72" s="619">
        <v>903384.87</v>
      </c>
      <c r="R72" s="619">
        <v>1539318.94</v>
      </c>
      <c r="S72" s="498">
        <f t="shared" si="18"/>
        <v>1532343.0279166668</v>
      </c>
      <c r="T72" s="620"/>
      <c r="U72" s="657">
        <f t="shared" si="16"/>
        <v>1532343.0279166668</v>
      </c>
      <c r="V72" s="690"/>
      <c r="W72" s="690"/>
      <c r="X72" s="713"/>
      <c r="Y72" s="690"/>
      <c r="Z72" s="690"/>
      <c r="AA72" s="657"/>
      <c r="AB72" s="690"/>
      <c r="AC72" s="658"/>
      <c r="AD72" s="659">
        <f t="shared" si="17"/>
        <v>1532343.0279166668</v>
      </c>
      <c r="AE72" s="658"/>
      <c r="AF72" s="688">
        <f t="shared" si="0"/>
        <v>0</v>
      </c>
    </row>
    <row r="73" spans="1:32">
      <c r="A73" s="620">
        <v>59</v>
      </c>
      <c r="B73" s="326" t="s">
        <v>977</v>
      </c>
      <c r="C73" s="326" t="s">
        <v>415</v>
      </c>
      <c r="D73" s="326" t="s">
        <v>461</v>
      </c>
      <c r="E73" s="618" t="s">
        <v>1507</v>
      </c>
      <c r="F73" s="619">
        <v>0</v>
      </c>
      <c r="G73" s="619">
        <v>0</v>
      </c>
      <c r="H73" s="619">
        <v>0</v>
      </c>
      <c r="I73" s="619">
        <v>-3804.8</v>
      </c>
      <c r="J73" s="619">
        <v>-3804.8</v>
      </c>
      <c r="K73" s="619">
        <v>-3804.8</v>
      </c>
      <c r="L73" s="619">
        <v>-3804.8</v>
      </c>
      <c r="M73" s="619">
        <v>-3804.8</v>
      </c>
      <c r="N73" s="619">
        <v>-3804.8</v>
      </c>
      <c r="O73" s="619">
        <v>0</v>
      </c>
      <c r="P73" s="619">
        <v>-1908.26</v>
      </c>
      <c r="Q73" s="619">
        <v>-1908.26</v>
      </c>
      <c r="R73" s="619">
        <v>-1908.26</v>
      </c>
      <c r="S73" s="498">
        <f>((F73+R73)+((G73+H73+I73+J73+K73+L73+M73+N73+O73+P73+Q73)*2))/24</f>
        <v>-2299.9541666666664</v>
      </c>
      <c r="T73" s="620"/>
      <c r="U73" s="657">
        <f t="shared" si="16"/>
        <v>-2299.9541666666664</v>
      </c>
      <c r="V73" s="690"/>
      <c r="W73" s="690"/>
      <c r="X73" s="713"/>
      <c r="Y73" s="690"/>
      <c r="Z73" s="690"/>
      <c r="AA73" s="657"/>
      <c r="AB73" s="690"/>
      <c r="AC73" s="658"/>
      <c r="AD73" s="659">
        <f t="shared" si="17"/>
        <v>-2299.9541666666664</v>
      </c>
      <c r="AE73" s="658"/>
      <c r="AF73" s="688">
        <f t="shared" si="0"/>
        <v>0</v>
      </c>
    </row>
    <row r="74" spans="1:32">
      <c r="A74" s="620">
        <v>60</v>
      </c>
      <c r="B74" s="326" t="s">
        <v>977</v>
      </c>
      <c r="C74" s="326" t="s">
        <v>415</v>
      </c>
      <c r="D74" s="326" t="s">
        <v>492</v>
      </c>
      <c r="E74" s="618" t="s">
        <v>1508</v>
      </c>
      <c r="F74" s="619">
        <v>359.95999999999901</v>
      </c>
      <c r="G74" s="619">
        <v>566.5</v>
      </c>
      <c r="H74" s="619">
        <v>1764.32</v>
      </c>
      <c r="I74" s="619">
        <v>1105.6600000000001</v>
      </c>
      <c r="J74" s="619">
        <v>991.9</v>
      </c>
      <c r="K74" s="619">
        <v>666.52</v>
      </c>
      <c r="L74" s="619">
        <v>551.62</v>
      </c>
      <c r="M74" s="619">
        <v>590.4</v>
      </c>
      <c r="N74" s="619">
        <v>330.14</v>
      </c>
      <c r="O74" s="619">
        <v>1586.19</v>
      </c>
      <c r="P74" s="619">
        <v>529.12</v>
      </c>
      <c r="Q74" s="619">
        <v>515.58000000000004</v>
      </c>
      <c r="R74" s="619">
        <v>658.36</v>
      </c>
      <c r="S74" s="498">
        <f t="shared" si="18"/>
        <v>808.92583333333334</v>
      </c>
      <c r="T74" s="620"/>
      <c r="U74" s="657">
        <f t="shared" si="16"/>
        <v>808.92583333333334</v>
      </c>
      <c r="V74" s="690"/>
      <c r="W74" s="690"/>
      <c r="X74" s="713"/>
      <c r="Y74" s="690"/>
      <c r="Z74" s="690"/>
      <c r="AA74" s="657"/>
      <c r="AB74" s="690"/>
      <c r="AC74" s="658"/>
      <c r="AD74" s="659">
        <f t="shared" si="17"/>
        <v>808.92583333333334</v>
      </c>
      <c r="AE74" s="658"/>
      <c r="AF74" s="688">
        <f t="shared" si="0"/>
        <v>0</v>
      </c>
    </row>
    <row r="75" spans="1:32">
      <c r="A75" s="620">
        <v>61</v>
      </c>
      <c r="B75" s="326" t="s">
        <v>977</v>
      </c>
      <c r="C75" s="326" t="s">
        <v>415</v>
      </c>
      <c r="D75" s="326" t="s">
        <v>493</v>
      </c>
      <c r="E75" s="618" t="s">
        <v>1509</v>
      </c>
      <c r="F75" s="619">
        <v>257648.3</v>
      </c>
      <c r="G75" s="619">
        <v>303949.43</v>
      </c>
      <c r="H75" s="619">
        <v>355535.21</v>
      </c>
      <c r="I75" s="619">
        <v>262964.24</v>
      </c>
      <c r="J75" s="619">
        <v>307173.12</v>
      </c>
      <c r="K75" s="619">
        <v>104646.39</v>
      </c>
      <c r="L75" s="619">
        <v>152666.29</v>
      </c>
      <c r="M75" s="619">
        <v>7580.0199999999904</v>
      </c>
      <c r="N75" s="619">
        <v>7990.0199999999904</v>
      </c>
      <c r="O75" s="619">
        <v>8314.0099999999893</v>
      </c>
      <c r="P75" s="619">
        <v>8084.0099999999902</v>
      </c>
      <c r="Q75" s="619">
        <v>8084.0099999999902</v>
      </c>
      <c r="R75" s="619">
        <v>8084.0099999999902</v>
      </c>
      <c r="S75" s="498">
        <f>((F75+R75)+((G75+H75+I75+J75+K75+L75+M75+N75+O75+P75+Q75)*2))/24</f>
        <v>138321.07541666666</v>
      </c>
      <c r="T75" s="620"/>
      <c r="U75" s="657">
        <f t="shared" si="16"/>
        <v>138321.07541666666</v>
      </c>
      <c r="V75" s="690"/>
      <c r="W75" s="690"/>
      <c r="X75" s="713"/>
      <c r="Y75" s="690"/>
      <c r="Z75" s="690"/>
      <c r="AA75" s="657"/>
      <c r="AB75" s="690"/>
      <c r="AC75" s="658"/>
      <c r="AD75" s="659">
        <f t="shared" si="17"/>
        <v>138321.07541666666</v>
      </c>
      <c r="AE75" s="658"/>
      <c r="AF75" s="688">
        <f t="shared" si="0"/>
        <v>0</v>
      </c>
    </row>
    <row r="76" spans="1:32">
      <c r="A76" s="620">
        <v>62</v>
      </c>
      <c r="B76" s="326" t="s">
        <v>977</v>
      </c>
      <c r="C76" s="326" t="s">
        <v>415</v>
      </c>
      <c r="D76" s="326" t="s">
        <v>578</v>
      </c>
      <c r="E76" s="618" t="s">
        <v>1871</v>
      </c>
      <c r="F76" s="619">
        <v>0</v>
      </c>
      <c r="G76" s="619">
        <v>10173859.369999999</v>
      </c>
      <c r="H76" s="619">
        <v>7365699.0300000003</v>
      </c>
      <c r="I76" s="619">
        <v>11008430.640000001</v>
      </c>
      <c r="J76" s="619">
        <v>8320373.6100000003</v>
      </c>
      <c r="K76" s="619">
        <v>9136725.1199999992</v>
      </c>
      <c r="L76" s="619">
        <v>9109102.8499999996</v>
      </c>
      <c r="M76" s="619">
        <v>10662515.24</v>
      </c>
      <c r="N76" s="619">
        <v>12105733.43</v>
      </c>
      <c r="O76" s="619">
        <v>10372514.91</v>
      </c>
      <c r="P76" s="619">
        <v>10522789.140000001</v>
      </c>
      <c r="Q76" s="619">
        <v>5534647.2800000003</v>
      </c>
      <c r="R76" s="619">
        <v>3362650.77</v>
      </c>
      <c r="S76" s="498">
        <f t="shared" ref="S76:S80" si="19">((F76+R76)+((G76+H76+I76+J76+K76+L76+M76+N76+O76+P76+Q76)*2))/24</f>
        <v>8832809.6670833323</v>
      </c>
      <c r="T76" s="620"/>
      <c r="U76" s="657">
        <f t="shared" si="16"/>
        <v>8832809.6670833323</v>
      </c>
      <c r="V76" s="690"/>
      <c r="W76" s="690"/>
      <c r="X76" s="713"/>
      <c r="Y76" s="690"/>
      <c r="Z76" s="690"/>
      <c r="AA76" s="657"/>
      <c r="AB76" s="690"/>
      <c r="AC76" s="658"/>
      <c r="AD76" s="659">
        <f t="shared" si="17"/>
        <v>8832809.6670833323</v>
      </c>
      <c r="AE76" s="658"/>
      <c r="AF76" s="688"/>
    </row>
    <row r="77" spans="1:32">
      <c r="A77" s="620">
        <v>63</v>
      </c>
      <c r="B77" s="326" t="s">
        <v>1005</v>
      </c>
      <c r="C77" s="326" t="s">
        <v>415</v>
      </c>
      <c r="D77" s="326" t="s">
        <v>579</v>
      </c>
      <c r="E77" s="618" t="s">
        <v>1872</v>
      </c>
      <c r="F77" s="619">
        <v>0</v>
      </c>
      <c r="G77" s="619">
        <v>803513.12</v>
      </c>
      <c r="H77" s="619">
        <v>1136244.72</v>
      </c>
      <c r="I77" s="619">
        <v>1476991.49</v>
      </c>
      <c r="J77" s="619">
        <v>710674.26</v>
      </c>
      <c r="K77" s="619">
        <v>782041.4</v>
      </c>
      <c r="L77" s="619">
        <v>921213.06</v>
      </c>
      <c r="M77" s="619">
        <v>1056901.3799999999</v>
      </c>
      <c r="N77" s="619">
        <v>1182944.8400000001</v>
      </c>
      <c r="O77" s="619">
        <v>1218165.53</v>
      </c>
      <c r="P77" s="619">
        <v>1231042.8400000001</v>
      </c>
      <c r="Q77" s="619">
        <v>281899.87</v>
      </c>
      <c r="R77" s="619">
        <v>282015.99</v>
      </c>
      <c r="S77" s="498">
        <f t="shared" si="19"/>
        <v>911886.70874999987</v>
      </c>
      <c r="T77" s="620"/>
      <c r="U77" s="657">
        <f t="shared" si="16"/>
        <v>911886.70874999987</v>
      </c>
      <c r="V77" s="690"/>
      <c r="W77" s="690"/>
      <c r="X77" s="713"/>
      <c r="Y77" s="690"/>
      <c r="Z77" s="690"/>
      <c r="AA77" s="657"/>
      <c r="AB77" s="690"/>
      <c r="AC77" s="658"/>
      <c r="AD77" s="659">
        <f t="shared" si="17"/>
        <v>911886.70874999987</v>
      </c>
      <c r="AE77" s="658"/>
      <c r="AF77" s="688"/>
    </row>
    <row r="78" spans="1:32">
      <c r="A78" s="620">
        <v>64</v>
      </c>
      <c r="B78" s="326" t="s">
        <v>977</v>
      </c>
      <c r="C78" s="326" t="s">
        <v>415</v>
      </c>
      <c r="D78" s="326" t="s">
        <v>481</v>
      </c>
      <c r="E78" s="618" t="s">
        <v>1873</v>
      </c>
      <c r="F78" s="619">
        <v>0</v>
      </c>
      <c r="G78" s="619">
        <v>-71714</v>
      </c>
      <c r="H78" s="619">
        <v>-71714</v>
      </c>
      <c r="I78" s="619">
        <v>-78024</v>
      </c>
      <c r="J78" s="619">
        <v>-78024</v>
      </c>
      <c r="K78" s="619">
        <v>-78024</v>
      </c>
      <c r="L78" s="619">
        <v>-86412</v>
      </c>
      <c r="M78" s="619">
        <v>-86412</v>
      </c>
      <c r="N78" s="619">
        <v>-86412</v>
      </c>
      <c r="O78" s="619">
        <v>-93428.9</v>
      </c>
      <c r="P78" s="619">
        <v>-93428.9</v>
      </c>
      <c r="Q78" s="619">
        <v>-93428.9</v>
      </c>
      <c r="R78" s="619">
        <v>-103941.2</v>
      </c>
      <c r="S78" s="498">
        <f t="shared" si="19"/>
        <v>-80749.441666666666</v>
      </c>
      <c r="T78" s="620"/>
      <c r="U78" s="657">
        <f t="shared" si="16"/>
        <v>-80749.441666666666</v>
      </c>
      <c r="V78" s="690"/>
      <c r="W78" s="690"/>
      <c r="X78" s="713"/>
      <c r="Y78" s="690"/>
      <c r="Z78" s="690"/>
      <c r="AA78" s="657"/>
      <c r="AB78" s="690"/>
      <c r="AC78" s="658"/>
      <c r="AD78" s="659">
        <f t="shared" si="17"/>
        <v>-80749.441666666666</v>
      </c>
      <c r="AE78" s="658"/>
      <c r="AF78" s="688"/>
    </row>
    <row r="79" spans="1:32">
      <c r="A79" s="620">
        <v>65</v>
      </c>
      <c r="B79" s="326" t="s">
        <v>1874</v>
      </c>
      <c r="C79" s="326" t="s">
        <v>415</v>
      </c>
      <c r="D79" s="326" t="s">
        <v>1137</v>
      </c>
      <c r="E79" s="618" t="s">
        <v>1875</v>
      </c>
      <c r="F79" s="619">
        <v>0</v>
      </c>
      <c r="G79" s="619">
        <v>0</v>
      </c>
      <c r="H79" s="619">
        <v>0</v>
      </c>
      <c r="I79" s="619">
        <v>-12407398.130000001</v>
      </c>
      <c r="J79" s="619">
        <v>0</v>
      </c>
      <c r="K79" s="619">
        <v>0</v>
      </c>
      <c r="L79" s="619">
        <v>0</v>
      </c>
      <c r="M79" s="619">
        <v>0</v>
      </c>
      <c r="N79" s="619">
        <v>0</v>
      </c>
      <c r="O79" s="619">
        <v>0</v>
      </c>
      <c r="P79" s="619">
        <v>0</v>
      </c>
      <c r="Q79" s="619">
        <v>0</v>
      </c>
      <c r="R79" s="619">
        <v>0</v>
      </c>
      <c r="S79" s="498">
        <f t="shared" si="19"/>
        <v>-1033949.8441666667</v>
      </c>
      <c r="T79" s="620"/>
      <c r="U79" s="657">
        <f t="shared" si="16"/>
        <v>-1033949.8441666667</v>
      </c>
      <c r="V79" s="690"/>
      <c r="W79" s="690"/>
      <c r="X79" s="713"/>
      <c r="Y79" s="690"/>
      <c r="Z79" s="690"/>
      <c r="AA79" s="657"/>
      <c r="AB79" s="690"/>
      <c r="AC79" s="658"/>
      <c r="AD79" s="659">
        <f t="shared" si="17"/>
        <v>-1033949.8441666667</v>
      </c>
      <c r="AE79" s="658"/>
      <c r="AF79" s="688"/>
    </row>
    <row r="80" spans="1:32">
      <c r="A80" s="620">
        <v>66</v>
      </c>
      <c r="B80" s="326" t="s">
        <v>1874</v>
      </c>
      <c r="C80" s="326" t="s">
        <v>414</v>
      </c>
      <c r="D80" s="326" t="s">
        <v>380</v>
      </c>
      <c r="E80" s="618" t="s">
        <v>1512</v>
      </c>
      <c r="F80" s="619">
        <v>0</v>
      </c>
      <c r="G80" s="619">
        <v>5838301.9000000004</v>
      </c>
      <c r="H80" s="619">
        <v>4633485.24</v>
      </c>
      <c r="I80" s="619">
        <v>3540579.51</v>
      </c>
      <c r="J80" s="619">
        <v>3642714.65</v>
      </c>
      <c r="K80" s="619">
        <v>4098905.74</v>
      </c>
      <c r="L80" s="619">
        <v>4827107.67</v>
      </c>
      <c r="M80" s="619">
        <v>5806606.46</v>
      </c>
      <c r="N80" s="619">
        <v>6744026.6699999999</v>
      </c>
      <c r="O80" s="619">
        <v>7810745.5800000001</v>
      </c>
      <c r="P80" s="619">
        <v>8303914.0999999996</v>
      </c>
      <c r="Q80" s="619">
        <v>7709249.4000000004</v>
      </c>
      <c r="R80" s="619">
        <v>6456802.7800000003</v>
      </c>
      <c r="S80" s="498">
        <f t="shared" si="19"/>
        <v>5515336.5258333338</v>
      </c>
      <c r="T80" s="620"/>
      <c r="U80" s="657">
        <f>+S80</f>
        <v>5515336.5258333338</v>
      </c>
      <c r="V80" s="690"/>
      <c r="W80" s="690"/>
      <c r="X80" s="713"/>
      <c r="Y80" s="690"/>
      <c r="Z80" s="690"/>
      <c r="AA80" s="657"/>
      <c r="AB80" s="690"/>
      <c r="AC80" s="658"/>
      <c r="AD80" s="659">
        <f t="shared" si="17"/>
        <v>5515336.5258333338</v>
      </c>
      <c r="AE80" s="658"/>
      <c r="AF80" s="688"/>
    </row>
    <row r="81" spans="1:32">
      <c r="A81" s="620">
        <v>67</v>
      </c>
      <c r="B81" s="620"/>
      <c r="C81" s="620"/>
      <c r="D81" s="620"/>
      <c r="E81" s="605" t="s">
        <v>416</v>
      </c>
      <c r="F81" s="619">
        <f t="shared" ref="F81:Q81" si="20">SUM(F65:F80)</f>
        <v>19786161.890000001</v>
      </c>
      <c r="G81" s="619">
        <f t="shared" si="20"/>
        <v>31926360.730000004</v>
      </c>
      <c r="H81" s="619">
        <f t="shared" si="20"/>
        <v>32655972.640000001</v>
      </c>
      <c r="I81" s="619">
        <f t="shared" si="20"/>
        <v>26083313.299999997</v>
      </c>
      <c r="J81" s="619">
        <f t="shared" si="20"/>
        <v>27480819.059999999</v>
      </c>
      <c r="K81" s="619">
        <f t="shared" si="20"/>
        <v>21801006.350000001</v>
      </c>
      <c r="L81" s="619">
        <f t="shared" si="20"/>
        <v>19587259.190000001</v>
      </c>
      <c r="M81" s="619">
        <f t="shared" si="20"/>
        <v>19200121.210000001</v>
      </c>
      <c r="N81" s="619">
        <f t="shared" si="20"/>
        <v>20114006.550000001</v>
      </c>
      <c r="O81" s="619">
        <f t="shared" si="20"/>
        <v>18065756.579999998</v>
      </c>
      <c r="P81" s="619">
        <f t="shared" si="20"/>
        <v>21476898.530000001</v>
      </c>
      <c r="Q81" s="619">
        <f t="shared" si="20"/>
        <v>22332099.629999995</v>
      </c>
      <c r="R81" s="619">
        <f>SUM(R65:R80)</f>
        <v>27099028.59</v>
      </c>
      <c r="S81" s="498">
        <f>SUM(S65:S80)</f>
        <v>23680517.4175</v>
      </c>
      <c r="T81" s="620"/>
      <c r="U81" s="657"/>
      <c r="V81" s="690"/>
      <c r="W81" s="690"/>
      <c r="X81" s="713"/>
      <c r="Y81" s="690"/>
      <c r="Z81" s="690"/>
      <c r="AA81" s="657"/>
      <c r="AB81" s="690"/>
      <c r="AC81" s="658"/>
      <c r="AD81" s="658"/>
      <c r="AE81" s="658"/>
      <c r="AF81" s="688">
        <f t="shared" si="0"/>
        <v>0</v>
      </c>
    </row>
    <row r="82" spans="1:32">
      <c r="A82" s="620">
        <v>68</v>
      </c>
      <c r="B82" s="620"/>
      <c r="C82" s="620"/>
      <c r="D82" s="620"/>
      <c r="E82" s="605" t="s">
        <v>104</v>
      </c>
      <c r="F82" s="619"/>
      <c r="G82" s="314"/>
      <c r="H82" s="315"/>
      <c r="I82" s="315"/>
      <c r="J82" s="316"/>
      <c r="K82" s="317"/>
      <c r="L82" s="318"/>
      <c r="M82" s="319"/>
      <c r="N82" s="320"/>
      <c r="O82" s="606"/>
      <c r="P82" s="321"/>
      <c r="Q82" s="322"/>
      <c r="R82" s="619"/>
      <c r="S82" s="304"/>
      <c r="T82" s="620"/>
      <c r="U82" s="657"/>
      <c r="V82" s="690"/>
      <c r="W82" s="690"/>
      <c r="X82" s="713"/>
      <c r="Y82" s="690"/>
      <c r="Z82" s="690"/>
      <c r="AA82" s="657"/>
      <c r="AB82" s="690"/>
      <c r="AC82" s="658"/>
      <c r="AD82" s="658"/>
      <c r="AE82" s="658"/>
      <c r="AF82" s="688">
        <f t="shared" si="0"/>
        <v>0</v>
      </c>
    </row>
    <row r="83" spans="1:32">
      <c r="A83" s="620">
        <v>69</v>
      </c>
      <c r="B83" s="326" t="s">
        <v>977</v>
      </c>
      <c r="C83" s="326" t="s">
        <v>417</v>
      </c>
      <c r="D83" s="326" t="s">
        <v>409</v>
      </c>
      <c r="E83" s="605" t="s">
        <v>418</v>
      </c>
      <c r="F83" s="619">
        <v>0</v>
      </c>
      <c r="G83" s="619">
        <v>0</v>
      </c>
      <c r="H83" s="619">
        <v>0</v>
      </c>
      <c r="I83" s="619">
        <v>0</v>
      </c>
      <c r="J83" s="619">
        <v>0</v>
      </c>
      <c r="K83" s="619">
        <v>0</v>
      </c>
      <c r="L83" s="619">
        <v>0</v>
      </c>
      <c r="M83" s="619">
        <v>0</v>
      </c>
      <c r="N83" s="619">
        <v>0</v>
      </c>
      <c r="O83" s="619">
        <v>0</v>
      </c>
      <c r="P83" s="619">
        <v>0</v>
      </c>
      <c r="Q83" s="619">
        <v>0</v>
      </c>
      <c r="R83" s="619">
        <v>0</v>
      </c>
      <c r="S83" s="498">
        <f>((F83+R83)+((G83+H83+I83+J83+K83+L83+M83+N83+O83+P83+Q83)*2))/24</f>
        <v>0</v>
      </c>
      <c r="T83" s="620"/>
      <c r="U83" s="657">
        <f t="shared" ref="U83:U84" si="21">+S83</f>
        <v>0</v>
      </c>
      <c r="V83" s="690"/>
      <c r="W83" s="690"/>
      <c r="X83" s="713"/>
      <c r="Y83" s="690"/>
      <c r="Z83" s="690"/>
      <c r="AA83" s="657"/>
      <c r="AB83" s="690"/>
      <c r="AC83" s="658"/>
      <c r="AD83" s="658"/>
      <c r="AE83" s="658"/>
      <c r="AF83" s="688">
        <f t="shared" si="0"/>
        <v>0</v>
      </c>
    </row>
    <row r="84" spans="1:32">
      <c r="A84" s="620">
        <v>70</v>
      </c>
      <c r="B84" s="326" t="s">
        <v>977</v>
      </c>
      <c r="C84" s="326" t="s">
        <v>417</v>
      </c>
      <c r="D84" s="326" t="s">
        <v>419</v>
      </c>
      <c r="E84" s="605" t="s">
        <v>420</v>
      </c>
      <c r="F84" s="619">
        <v>0</v>
      </c>
      <c r="G84" s="619">
        <v>0</v>
      </c>
      <c r="H84" s="619">
        <v>0</v>
      </c>
      <c r="I84" s="619">
        <v>0</v>
      </c>
      <c r="J84" s="619">
        <v>0</v>
      </c>
      <c r="K84" s="619">
        <v>0</v>
      </c>
      <c r="L84" s="619">
        <v>0</v>
      </c>
      <c r="M84" s="619">
        <v>0</v>
      </c>
      <c r="N84" s="619">
        <v>0</v>
      </c>
      <c r="O84" s="619">
        <v>0</v>
      </c>
      <c r="P84" s="619">
        <v>0</v>
      </c>
      <c r="Q84" s="619">
        <v>0</v>
      </c>
      <c r="R84" s="619">
        <v>0</v>
      </c>
      <c r="S84" s="498">
        <f>((F84+R84)+((G84+H84+I84+J84+K84+L84+M84+N84+O84+P84+Q84)*2))/24</f>
        <v>0</v>
      </c>
      <c r="T84" s="620"/>
      <c r="U84" s="657">
        <f t="shared" si="21"/>
        <v>0</v>
      </c>
      <c r="V84" s="690"/>
      <c r="W84" s="690"/>
      <c r="X84" s="713"/>
      <c r="Y84" s="690"/>
      <c r="Z84" s="690"/>
      <c r="AA84" s="657"/>
      <c r="AB84" s="690"/>
      <c r="AC84" s="658"/>
      <c r="AD84" s="658"/>
      <c r="AE84" s="658"/>
      <c r="AF84" s="688">
        <f t="shared" si="0"/>
        <v>0</v>
      </c>
    </row>
    <row r="85" spans="1:32">
      <c r="A85" s="620">
        <v>71</v>
      </c>
      <c r="B85" s="620"/>
      <c r="C85" s="620"/>
      <c r="D85" s="620"/>
      <c r="E85" s="605"/>
      <c r="F85" s="619"/>
      <c r="G85" s="314"/>
      <c r="H85" s="315"/>
      <c r="I85" s="315"/>
      <c r="J85" s="316"/>
      <c r="K85" s="317"/>
      <c r="L85" s="318"/>
      <c r="M85" s="319"/>
      <c r="N85" s="320"/>
      <c r="O85" s="606"/>
      <c r="P85" s="321"/>
      <c r="Q85" s="322"/>
      <c r="R85" s="619"/>
      <c r="S85" s="498"/>
      <c r="T85" s="620"/>
      <c r="U85" s="657"/>
      <c r="V85" s="690"/>
      <c r="W85" s="690"/>
      <c r="X85" s="713">
        <f t="shared" ref="X85:X87" si="22">+S85</f>
        <v>0</v>
      </c>
      <c r="Y85" s="690"/>
      <c r="Z85" s="690"/>
      <c r="AA85" s="657"/>
      <c r="AB85" s="690"/>
      <c r="AC85" s="658"/>
      <c r="AD85" s="658"/>
      <c r="AE85" s="658"/>
      <c r="AF85" s="688">
        <f t="shared" si="0"/>
        <v>0</v>
      </c>
    </row>
    <row r="86" spans="1:32">
      <c r="A86" s="620">
        <v>72</v>
      </c>
      <c r="B86" s="326" t="s">
        <v>977</v>
      </c>
      <c r="C86" s="326" t="s">
        <v>421</v>
      </c>
      <c r="D86" s="326" t="s">
        <v>729</v>
      </c>
      <c r="E86" s="605" t="s">
        <v>422</v>
      </c>
      <c r="F86" s="619">
        <v>109738.76</v>
      </c>
      <c r="G86" s="619">
        <v>116759.12</v>
      </c>
      <c r="H86" s="619">
        <v>7020.36</v>
      </c>
      <c r="I86" s="619">
        <v>7020.36</v>
      </c>
      <c r="J86" s="619">
        <v>7020.36</v>
      </c>
      <c r="K86" s="619">
        <v>9.0949470177292804E-13</v>
      </c>
      <c r="L86" s="619">
        <v>9.0949470177292804E-13</v>
      </c>
      <c r="M86" s="619">
        <v>9.0949470177292804E-13</v>
      </c>
      <c r="N86" s="619">
        <v>9.0949470177292804E-13</v>
      </c>
      <c r="O86" s="619">
        <v>9.0949470177292804E-13</v>
      </c>
      <c r="P86" s="619">
        <v>9.0949470177292804E-13</v>
      </c>
      <c r="Q86" s="619">
        <v>9.0949470177292804E-13</v>
      </c>
      <c r="R86" s="619">
        <v>13039.55</v>
      </c>
      <c r="S86" s="498">
        <f t="shared" ref="S86:S94" si="23">((F86+R86)+((G86+H86+I86+J86+K86+L86+M86+N86+O86+P86+Q86)*2))/24</f>
        <v>16600.779583333333</v>
      </c>
      <c r="T86" s="620"/>
      <c r="U86" s="657"/>
      <c r="V86" s="690"/>
      <c r="W86" s="690"/>
      <c r="X86" s="713">
        <f t="shared" si="22"/>
        <v>16600.779583333333</v>
      </c>
      <c r="Y86" s="690"/>
      <c r="Z86" s="690"/>
      <c r="AA86" s="657"/>
      <c r="AB86" s="690">
        <f t="shared" ref="AB86:AB94" si="24">+S86</f>
        <v>16600.779583333333</v>
      </c>
      <c r="AC86" s="658"/>
      <c r="AD86" s="658"/>
      <c r="AE86" s="658"/>
      <c r="AF86" s="688">
        <f t="shared" ref="AF86:AF149" si="25">+U86+V86-AD86</f>
        <v>0</v>
      </c>
    </row>
    <row r="87" spans="1:32">
      <c r="A87" s="620">
        <v>73</v>
      </c>
      <c r="B87" s="326" t="s">
        <v>977</v>
      </c>
      <c r="C87" s="326" t="s">
        <v>421</v>
      </c>
      <c r="D87" s="326" t="s">
        <v>423</v>
      </c>
      <c r="E87" s="605" t="s">
        <v>1405</v>
      </c>
      <c r="F87" s="619">
        <v>0</v>
      </c>
      <c r="G87" s="619">
        <v>0</v>
      </c>
      <c r="H87" s="619">
        <v>109738.76</v>
      </c>
      <c r="I87" s="619">
        <v>73733.149999999994</v>
      </c>
      <c r="J87" s="619">
        <v>73733.149999999994</v>
      </c>
      <c r="K87" s="619">
        <v>73733.149999999994</v>
      </c>
      <c r="L87" s="619">
        <v>73733.149999999994</v>
      </c>
      <c r="M87" s="619">
        <v>20174.68</v>
      </c>
      <c r="N87" s="619">
        <v>19934.080000000002</v>
      </c>
      <c r="O87" s="619">
        <v>-7.2759576141834308E-12</v>
      </c>
      <c r="P87" s="619">
        <v>-7.2759576141834308E-12</v>
      </c>
      <c r="Q87" s="619">
        <v>-7.2759576141834308E-12</v>
      </c>
      <c r="R87" s="619">
        <v>74428.789999999994</v>
      </c>
      <c r="S87" s="498">
        <f t="shared" si="23"/>
        <v>40166.209583333337</v>
      </c>
      <c r="T87" s="620"/>
      <c r="U87" s="657"/>
      <c r="V87" s="690"/>
      <c r="W87" s="690"/>
      <c r="X87" s="713">
        <f t="shared" si="22"/>
        <v>40166.209583333337</v>
      </c>
      <c r="Y87" s="690"/>
      <c r="Z87" s="690"/>
      <c r="AA87" s="657"/>
      <c r="AB87" s="690">
        <f t="shared" si="24"/>
        <v>40166.209583333337</v>
      </c>
      <c r="AC87" s="658"/>
      <c r="AD87" s="658"/>
      <c r="AE87" s="658"/>
      <c r="AF87" s="688">
        <f t="shared" si="25"/>
        <v>0</v>
      </c>
    </row>
    <row r="88" spans="1:32">
      <c r="A88" s="620">
        <v>74</v>
      </c>
      <c r="B88" s="326" t="s">
        <v>977</v>
      </c>
      <c r="C88" s="326" t="s">
        <v>421</v>
      </c>
      <c r="D88" s="326" t="s">
        <v>424</v>
      </c>
      <c r="E88" s="605" t="s">
        <v>1406</v>
      </c>
      <c r="F88" s="619">
        <v>19792.61</v>
      </c>
      <c r="G88" s="619">
        <v>19792.61</v>
      </c>
      <c r="H88" s="619">
        <v>0</v>
      </c>
      <c r="I88" s="619">
        <v>0</v>
      </c>
      <c r="J88" s="619">
        <v>0</v>
      </c>
      <c r="K88" s="619">
        <v>0</v>
      </c>
      <c r="L88" s="619">
        <v>0</v>
      </c>
      <c r="M88" s="619">
        <v>0</v>
      </c>
      <c r="N88" s="619">
        <v>0</v>
      </c>
      <c r="O88" s="619">
        <v>0</v>
      </c>
      <c r="P88" s="619">
        <v>16217.62</v>
      </c>
      <c r="Q88" s="619">
        <v>16217.62</v>
      </c>
      <c r="R88" s="619">
        <v>34554.699999999997</v>
      </c>
      <c r="S88" s="498">
        <f t="shared" si="23"/>
        <v>6616.7920833333337</v>
      </c>
      <c r="T88" s="620"/>
      <c r="U88" s="657"/>
      <c r="V88" s="690"/>
      <c r="W88" s="690"/>
      <c r="X88" s="713">
        <f t="shared" ref="X88:X94" si="26">+S88</f>
        <v>6616.7920833333337</v>
      </c>
      <c r="Y88" s="690"/>
      <c r="Z88" s="690"/>
      <c r="AA88" s="657"/>
      <c r="AB88" s="690">
        <f t="shared" si="24"/>
        <v>6616.7920833333337</v>
      </c>
      <c r="AC88" s="658"/>
      <c r="AD88" s="658"/>
      <c r="AE88" s="658"/>
      <c r="AF88" s="688">
        <f t="shared" si="25"/>
        <v>0</v>
      </c>
    </row>
    <row r="89" spans="1:32">
      <c r="A89" s="620">
        <v>75</v>
      </c>
      <c r="B89" s="326" t="s">
        <v>977</v>
      </c>
      <c r="C89" s="326" t="s">
        <v>421</v>
      </c>
      <c r="D89" s="326" t="s">
        <v>425</v>
      </c>
      <c r="E89" s="605" t="s">
        <v>426</v>
      </c>
      <c r="F89" s="619">
        <v>0</v>
      </c>
      <c r="G89" s="619">
        <v>0</v>
      </c>
      <c r="H89" s="619">
        <v>0</v>
      </c>
      <c r="I89" s="619">
        <v>0</v>
      </c>
      <c r="J89" s="619">
        <v>0</v>
      </c>
      <c r="K89" s="619">
        <v>0</v>
      </c>
      <c r="L89" s="619">
        <v>0</v>
      </c>
      <c r="M89" s="619">
        <v>0</v>
      </c>
      <c r="N89" s="619">
        <v>0</v>
      </c>
      <c r="O89" s="619">
        <v>0</v>
      </c>
      <c r="P89" s="619">
        <v>0</v>
      </c>
      <c r="Q89" s="619">
        <v>0</v>
      </c>
      <c r="R89" s="619">
        <v>0</v>
      </c>
      <c r="S89" s="498">
        <f t="shared" si="23"/>
        <v>0</v>
      </c>
      <c r="T89" s="620"/>
      <c r="U89" s="657"/>
      <c r="V89" s="690"/>
      <c r="W89" s="690"/>
      <c r="X89" s="713">
        <f t="shared" si="26"/>
        <v>0</v>
      </c>
      <c r="Y89" s="690"/>
      <c r="Z89" s="690"/>
      <c r="AA89" s="657"/>
      <c r="AB89" s="690">
        <f t="shared" si="24"/>
        <v>0</v>
      </c>
      <c r="AC89" s="658"/>
      <c r="AD89" s="658"/>
      <c r="AE89" s="658"/>
      <c r="AF89" s="688">
        <f t="shared" si="25"/>
        <v>0</v>
      </c>
    </row>
    <row r="90" spans="1:32">
      <c r="A90" s="620">
        <v>76</v>
      </c>
      <c r="B90" s="326" t="s">
        <v>977</v>
      </c>
      <c r="C90" s="326" t="s">
        <v>421</v>
      </c>
      <c r="D90" s="326" t="s">
        <v>427</v>
      </c>
      <c r="E90" s="605" t="s">
        <v>1876</v>
      </c>
      <c r="F90" s="619">
        <v>0</v>
      </c>
      <c r="G90" s="619">
        <v>0</v>
      </c>
      <c r="H90" s="619">
        <v>0</v>
      </c>
      <c r="I90" s="619">
        <v>0</v>
      </c>
      <c r="J90" s="619">
        <v>0</v>
      </c>
      <c r="K90" s="619">
        <v>0</v>
      </c>
      <c r="L90" s="619">
        <v>0</v>
      </c>
      <c r="M90" s="619">
        <v>0</v>
      </c>
      <c r="N90" s="619">
        <v>0</v>
      </c>
      <c r="O90" s="619">
        <v>0</v>
      </c>
      <c r="P90" s="619">
        <v>0</v>
      </c>
      <c r="Q90" s="619">
        <v>0</v>
      </c>
      <c r="R90" s="619">
        <v>0</v>
      </c>
      <c r="S90" s="498">
        <f t="shared" si="23"/>
        <v>0</v>
      </c>
      <c r="T90" s="620"/>
      <c r="U90" s="657"/>
      <c r="V90" s="690"/>
      <c r="W90" s="690"/>
      <c r="X90" s="713">
        <f t="shared" si="26"/>
        <v>0</v>
      </c>
      <c r="Y90" s="690"/>
      <c r="Z90" s="690"/>
      <c r="AA90" s="657"/>
      <c r="AB90" s="690">
        <f t="shared" si="24"/>
        <v>0</v>
      </c>
      <c r="AC90" s="658"/>
      <c r="AD90" s="658"/>
      <c r="AE90" s="658"/>
      <c r="AF90" s="688">
        <f t="shared" si="25"/>
        <v>0</v>
      </c>
    </row>
    <row r="91" spans="1:32">
      <c r="A91" s="620">
        <v>77</v>
      </c>
      <c r="B91" s="326" t="s">
        <v>977</v>
      </c>
      <c r="C91" s="326" t="s">
        <v>421</v>
      </c>
      <c r="D91" s="326" t="s">
        <v>428</v>
      </c>
      <c r="E91" s="605" t="s">
        <v>429</v>
      </c>
      <c r="F91" s="619">
        <v>0</v>
      </c>
      <c r="G91" s="619">
        <v>0</v>
      </c>
      <c r="H91" s="619">
        <v>0</v>
      </c>
      <c r="I91" s="619">
        <v>0</v>
      </c>
      <c r="J91" s="619">
        <v>0</v>
      </c>
      <c r="K91" s="619">
        <v>0</v>
      </c>
      <c r="L91" s="619">
        <v>0</v>
      </c>
      <c r="M91" s="619">
        <v>0</v>
      </c>
      <c r="N91" s="619">
        <v>0</v>
      </c>
      <c r="O91" s="619">
        <v>0</v>
      </c>
      <c r="P91" s="619">
        <v>0</v>
      </c>
      <c r="Q91" s="619">
        <v>0</v>
      </c>
      <c r="R91" s="619">
        <v>0</v>
      </c>
      <c r="S91" s="498">
        <f t="shared" si="23"/>
        <v>0</v>
      </c>
      <c r="T91" s="620"/>
      <c r="U91" s="657"/>
      <c r="V91" s="690"/>
      <c r="W91" s="690"/>
      <c r="X91" s="713">
        <f t="shared" si="26"/>
        <v>0</v>
      </c>
      <c r="Y91" s="690"/>
      <c r="Z91" s="690"/>
      <c r="AA91" s="657"/>
      <c r="AB91" s="690">
        <f t="shared" si="24"/>
        <v>0</v>
      </c>
      <c r="AC91" s="658"/>
      <c r="AD91" s="658"/>
      <c r="AE91" s="658"/>
      <c r="AF91" s="688">
        <f t="shared" si="25"/>
        <v>0</v>
      </c>
    </row>
    <row r="92" spans="1:32">
      <c r="A92" s="620">
        <v>79</v>
      </c>
      <c r="B92" s="326" t="s">
        <v>977</v>
      </c>
      <c r="C92" s="326" t="s">
        <v>421</v>
      </c>
      <c r="D92" s="326" t="s">
        <v>430</v>
      </c>
      <c r="E92" s="605" t="s">
        <v>431</v>
      </c>
      <c r="F92" s="619">
        <v>0</v>
      </c>
      <c r="G92" s="619">
        <v>0</v>
      </c>
      <c r="H92" s="619">
        <v>0</v>
      </c>
      <c r="I92" s="619">
        <v>0</v>
      </c>
      <c r="J92" s="619">
        <v>0</v>
      </c>
      <c r="K92" s="619">
        <v>0</v>
      </c>
      <c r="L92" s="619">
        <v>813.04</v>
      </c>
      <c r="M92" s="619">
        <v>975.64</v>
      </c>
      <c r="N92" s="619">
        <v>975.64</v>
      </c>
      <c r="O92" s="619">
        <v>1385.39</v>
      </c>
      <c r="P92" s="619">
        <v>1446.87</v>
      </c>
      <c r="Q92" s="619">
        <v>0</v>
      </c>
      <c r="R92" s="619">
        <v>0</v>
      </c>
      <c r="S92" s="498">
        <f t="shared" si="23"/>
        <v>466.38166666666666</v>
      </c>
      <c r="T92" s="620"/>
      <c r="U92" s="657"/>
      <c r="V92" s="690"/>
      <c r="W92" s="690"/>
      <c r="X92" s="713">
        <f t="shared" si="26"/>
        <v>466.38166666666666</v>
      </c>
      <c r="Y92" s="690"/>
      <c r="Z92" s="690"/>
      <c r="AA92" s="657"/>
      <c r="AB92" s="690">
        <f t="shared" si="24"/>
        <v>466.38166666666666</v>
      </c>
      <c r="AC92" s="658"/>
      <c r="AD92" s="658"/>
      <c r="AE92" s="658"/>
      <c r="AF92" s="688">
        <f t="shared" si="25"/>
        <v>0</v>
      </c>
    </row>
    <row r="93" spans="1:32">
      <c r="A93" s="620">
        <v>80</v>
      </c>
      <c r="B93" s="326" t="s">
        <v>977</v>
      </c>
      <c r="C93" s="326" t="s">
        <v>421</v>
      </c>
      <c r="D93" s="326" t="s">
        <v>432</v>
      </c>
      <c r="E93" s="605" t="s">
        <v>433</v>
      </c>
      <c r="F93" s="619">
        <v>0</v>
      </c>
      <c r="G93" s="619">
        <v>0</v>
      </c>
      <c r="H93" s="619">
        <v>0</v>
      </c>
      <c r="I93" s="619">
        <v>0</v>
      </c>
      <c r="J93" s="619">
        <v>0</v>
      </c>
      <c r="K93" s="619">
        <v>0</v>
      </c>
      <c r="L93" s="619">
        <v>0</v>
      </c>
      <c r="M93" s="619">
        <v>0</v>
      </c>
      <c r="N93" s="619">
        <v>0</v>
      </c>
      <c r="O93" s="619">
        <v>0</v>
      </c>
      <c r="P93" s="619">
        <v>0</v>
      </c>
      <c r="Q93" s="619">
        <v>0</v>
      </c>
      <c r="R93" s="619">
        <v>0</v>
      </c>
      <c r="S93" s="498">
        <f t="shared" si="23"/>
        <v>0</v>
      </c>
      <c r="T93" s="620"/>
      <c r="U93" s="657"/>
      <c r="V93" s="690"/>
      <c r="W93" s="690"/>
      <c r="X93" s="713">
        <f t="shared" si="26"/>
        <v>0</v>
      </c>
      <c r="Y93" s="690"/>
      <c r="Z93" s="690"/>
      <c r="AA93" s="657"/>
      <c r="AB93" s="690">
        <f t="shared" si="24"/>
        <v>0</v>
      </c>
      <c r="AC93" s="658"/>
      <c r="AD93" s="658"/>
      <c r="AE93" s="658"/>
      <c r="AF93" s="688">
        <f t="shared" si="25"/>
        <v>0</v>
      </c>
    </row>
    <row r="94" spans="1:32">
      <c r="A94" s="620">
        <v>81</v>
      </c>
      <c r="B94" s="326" t="s">
        <v>977</v>
      </c>
      <c r="C94" s="326" t="s">
        <v>421</v>
      </c>
      <c r="D94" s="326" t="s">
        <v>434</v>
      </c>
      <c r="E94" s="605" t="s">
        <v>435</v>
      </c>
      <c r="F94" s="313">
        <v>0</v>
      </c>
      <c r="G94" s="313">
        <v>0</v>
      </c>
      <c r="H94" s="313">
        <v>0</v>
      </c>
      <c r="I94" s="313">
        <v>0</v>
      </c>
      <c r="J94" s="313">
        <v>0</v>
      </c>
      <c r="K94" s="313">
        <v>0</v>
      </c>
      <c r="L94" s="313">
        <v>0</v>
      </c>
      <c r="M94" s="313">
        <v>0</v>
      </c>
      <c r="N94" s="313">
        <v>0</v>
      </c>
      <c r="O94" s="313">
        <v>0</v>
      </c>
      <c r="P94" s="313">
        <v>0</v>
      </c>
      <c r="Q94" s="313">
        <v>18085.240000000002</v>
      </c>
      <c r="R94" s="313">
        <v>18085.240000000002</v>
      </c>
      <c r="S94" s="498">
        <f t="shared" si="23"/>
        <v>2260.6550000000002</v>
      </c>
      <c r="T94" s="620"/>
      <c r="U94" s="657"/>
      <c r="V94" s="690"/>
      <c r="W94" s="690"/>
      <c r="X94" s="713">
        <f t="shared" si="26"/>
        <v>2260.6550000000002</v>
      </c>
      <c r="Y94" s="690"/>
      <c r="Z94" s="690"/>
      <c r="AA94" s="657"/>
      <c r="AB94" s="690">
        <f t="shared" si="24"/>
        <v>2260.6550000000002</v>
      </c>
      <c r="AC94" s="658"/>
      <c r="AD94" s="658"/>
      <c r="AE94" s="658"/>
      <c r="AF94" s="688">
        <f t="shared" si="25"/>
        <v>0</v>
      </c>
    </row>
    <row r="95" spans="1:32">
      <c r="A95" s="620">
        <v>82</v>
      </c>
      <c r="B95" s="620"/>
      <c r="C95" s="620"/>
      <c r="D95" s="620"/>
      <c r="E95" s="605" t="s">
        <v>436</v>
      </c>
      <c r="F95" s="305">
        <f t="shared" ref="F95:S95" si="27">SUM(F83:F94)</f>
        <v>129531.37</v>
      </c>
      <c r="G95" s="305">
        <f t="shared" si="27"/>
        <v>136551.72999999998</v>
      </c>
      <c r="H95" s="305">
        <f t="shared" si="27"/>
        <v>116759.12</v>
      </c>
      <c r="I95" s="305">
        <f t="shared" si="27"/>
        <v>80753.509999999995</v>
      </c>
      <c r="J95" s="305">
        <f t="shared" si="27"/>
        <v>80753.509999999995</v>
      </c>
      <c r="K95" s="305">
        <f t="shared" si="27"/>
        <v>73733.149999999994</v>
      </c>
      <c r="L95" s="305">
        <f t="shared" si="27"/>
        <v>74546.189999999988</v>
      </c>
      <c r="M95" s="305">
        <f t="shared" si="27"/>
        <v>21150.32</v>
      </c>
      <c r="N95" s="305">
        <f t="shared" si="27"/>
        <v>20909.72</v>
      </c>
      <c r="O95" s="305">
        <f t="shared" si="27"/>
        <v>1385.3899999999937</v>
      </c>
      <c r="P95" s="305">
        <f t="shared" si="27"/>
        <v>17664.489999999994</v>
      </c>
      <c r="Q95" s="305">
        <f t="shared" si="27"/>
        <v>34302.86</v>
      </c>
      <c r="R95" s="305">
        <f t="shared" si="27"/>
        <v>140108.28</v>
      </c>
      <c r="S95" s="500">
        <f t="shared" si="27"/>
        <v>66110.817916666667</v>
      </c>
      <c r="T95" s="620"/>
      <c r="U95" s="657"/>
      <c r="V95" s="690"/>
      <c r="W95" s="690"/>
      <c r="X95" s="713"/>
      <c r="Y95" s="690"/>
      <c r="Z95" s="690"/>
      <c r="AA95" s="657"/>
      <c r="AB95" s="690"/>
      <c r="AC95" s="658"/>
      <c r="AD95" s="658"/>
      <c r="AE95" s="658"/>
      <c r="AF95" s="688">
        <f t="shared" si="25"/>
        <v>0</v>
      </c>
    </row>
    <row r="96" spans="1:32">
      <c r="A96" s="620">
        <v>83</v>
      </c>
      <c r="B96" s="620"/>
      <c r="C96" s="620"/>
      <c r="D96" s="620"/>
      <c r="E96" s="605"/>
      <c r="F96" s="619"/>
      <c r="G96" s="314"/>
      <c r="H96" s="315"/>
      <c r="I96" s="315"/>
      <c r="J96" s="316"/>
      <c r="K96" s="317"/>
      <c r="L96" s="318"/>
      <c r="M96" s="319"/>
      <c r="N96" s="320"/>
      <c r="O96" s="323"/>
      <c r="P96" s="321"/>
      <c r="Q96" s="322"/>
      <c r="R96" s="619"/>
      <c r="S96" s="304"/>
      <c r="T96" s="620"/>
      <c r="U96" s="657"/>
      <c r="V96" s="690"/>
      <c r="W96" s="690"/>
      <c r="X96" s="713"/>
      <c r="Y96" s="690"/>
      <c r="Z96" s="690"/>
      <c r="AA96" s="657"/>
      <c r="AB96" s="690"/>
      <c r="AC96" s="658"/>
      <c r="AD96" s="658"/>
      <c r="AE96" s="658"/>
      <c r="AF96" s="688">
        <f t="shared" si="25"/>
        <v>0</v>
      </c>
    </row>
    <row r="97" spans="1:32">
      <c r="A97" s="620">
        <v>84</v>
      </c>
      <c r="B97" s="326" t="s">
        <v>977</v>
      </c>
      <c r="C97" s="326" t="s">
        <v>437</v>
      </c>
      <c r="D97" s="620"/>
      <c r="E97" s="605" t="s">
        <v>438</v>
      </c>
      <c r="F97" s="619">
        <v>0</v>
      </c>
      <c r="G97" s="619">
        <v>0</v>
      </c>
      <c r="H97" s="619">
        <v>0</v>
      </c>
      <c r="I97" s="619">
        <v>0</v>
      </c>
      <c r="J97" s="619">
        <v>0</v>
      </c>
      <c r="K97" s="619">
        <v>0</v>
      </c>
      <c r="L97" s="619">
        <v>0</v>
      </c>
      <c r="M97" s="619">
        <v>0</v>
      </c>
      <c r="N97" s="619">
        <v>0</v>
      </c>
      <c r="O97" s="619">
        <v>0</v>
      </c>
      <c r="P97" s="619">
        <v>0</v>
      </c>
      <c r="Q97" s="619">
        <v>0</v>
      </c>
      <c r="R97" s="619">
        <v>0</v>
      </c>
      <c r="S97" s="304">
        <f>((F97+R97)+((G97+H97+I97+J97+K97+L97+M97+N97+O97+P97+Q97)*2))/24</f>
        <v>0</v>
      </c>
      <c r="T97" s="620"/>
      <c r="U97" s="657"/>
      <c r="V97" s="690"/>
      <c r="W97" s="690"/>
      <c r="X97" s="713"/>
      <c r="Y97" s="690"/>
      <c r="Z97" s="690"/>
      <c r="AA97" s="657"/>
      <c r="AB97" s="690"/>
      <c r="AC97" s="658"/>
      <c r="AD97" s="658"/>
      <c r="AE97" s="658"/>
      <c r="AF97" s="688">
        <f t="shared" si="25"/>
        <v>0</v>
      </c>
    </row>
    <row r="98" spans="1:32">
      <c r="A98" s="620">
        <v>85</v>
      </c>
      <c r="B98" s="620"/>
      <c r="C98" s="620"/>
      <c r="D98" s="620"/>
      <c r="E98" s="605"/>
      <c r="F98" s="619"/>
      <c r="G98" s="314"/>
      <c r="H98" s="315"/>
      <c r="I98" s="315"/>
      <c r="J98" s="316"/>
      <c r="K98" s="317"/>
      <c r="L98" s="318"/>
      <c r="M98" s="319"/>
      <c r="N98" s="320"/>
      <c r="O98" s="606"/>
      <c r="P98" s="321"/>
      <c r="Q98" s="322"/>
      <c r="R98" s="619"/>
      <c r="S98" s="304"/>
      <c r="T98" s="620"/>
      <c r="U98" s="657"/>
      <c r="V98" s="690"/>
      <c r="W98" s="690"/>
      <c r="X98" s="713"/>
      <c r="Y98" s="690"/>
      <c r="Z98" s="690"/>
      <c r="AA98" s="657"/>
      <c r="AB98" s="690"/>
      <c r="AC98" s="658"/>
      <c r="AD98" s="658"/>
      <c r="AE98" s="658"/>
      <c r="AF98" s="688">
        <f t="shared" si="25"/>
        <v>0</v>
      </c>
    </row>
    <row r="99" spans="1:32">
      <c r="A99" s="620">
        <v>86</v>
      </c>
      <c r="B99" s="620"/>
      <c r="C99" s="620"/>
      <c r="D99" s="620"/>
      <c r="E99" s="605" t="s">
        <v>439</v>
      </c>
      <c r="F99" s="619">
        <f t="shared" ref="F99:S99" si="28">+F97+F95+F81</f>
        <v>19915693.260000002</v>
      </c>
      <c r="G99" s="619">
        <f t="shared" si="28"/>
        <v>32062912.460000005</v>
      </c>
      <c r="H99" s="619">
        <f t="shared" si="28"/>
        <v>32772731.760000002</v>
      </c>
      <c r="I99" s="619">
        <f t="shared" si="28"/>
        <v>26164066.809999999</v>
      </c>
      <c r="J99" s="619">
        <f t="shared" si="28"/>
        <v>27561572.57</v>
      </c>
      <c r="K99" s="619">
        <f t="shared" si="28"/>
        <v>21874739.5</v>
      </c>
      <c r="L99" s="619">
        <f t="shared" si="28"/>
        <v>19661805.380000003</v>
      </c>
      <c r="M99" s="619">
        <f t="shared" si="28"/>
        <v>19221271.530000001</v>
      </c>
      <c r="N99" s="619">
        <f t="shared" si="28"/>
        <v>20134916.27</v>
      </c>
      <c r="O99" s="619">
        <f t="shared" si="28"/>
        <v>18067141.969999999</v>
      </c>
      <c r="P99" s="619">
        <f t="shared" si="28"/>
        <v>21494563.02</v>
      </c>
      <c r="Q99" s="619">
        <f t="shared" si="28"/>
        <v>22366402.489999995</v>
      </c>
      <c r="R99" s="619">
        <f t="shared" si="28"/>
        <v>27239136.870000001</v>
      </c>
      <c r="S99" s="498">
        <f t="shared" si="28"/>
        <v>23746628.235416666</v>
      </c>
      <c r="T99" s="620"/>
      <c r="U99" s="657"/>
      <c r="V99" s="690"/>
      <c r="W99" s="690"/>
      <c r="X99" s="713"/>
      <c r="Y99" s="690"/>
      <c r="Z99" s="690"/>
      <c r="AA99" s="657"/>
      <c r="AB99" s="690"/>
      <c r="AC99" s="658"/>
      <c r="AD99" s="658"/>
      <c r="AE99" s="658"/>
      <c r="AF99" s="688">
        <f t="shared" si="25"/>
        <v>0</v>
      </c>
    </row>
    <row r="100" spans="1:32">
      <c r="A100" s="620">
        <v>87</v>
      </c>
      <c r="B100" s="620"/>
      <c r="C100" s="620"/>
      <c r="D100" s="620"/>
      <c r="E100" s="605"/>
      <c r="F100" s="619"/>
      <c r="G100" s="314"/>
      <c r="H100" s="315"/>
      <c r="I100" s="315"/>
      <c r="J100" s="316"/>
      <c r="K100" s="317"/>
      <c r="L100" s="318"/>
      <c r="M100" s="319"/>
      <c r="N100" s="320"/>
      <c r="O100" s="606"/>
      <c r="P100" s="321"/>
      <c r="Q100" s="322"/>
      <c r="R100" s="619"/>
      <c r="S100" s="304">
        <f>((F100+R100)+((G100+H100+I100+J100+K100+L100+M100+N100+O100+P100+Q100)*2))/24</f>
        <v>0</v>
      </c>
      <c r="T100" s="620"/>
      <c r="U100" s="657"/>
      <c r="V100" s="690"/>
      <c r="W100" s="690"/>
      <c r="X100" s="713"/>
      <c r="Y100" s="690"/>
      <c r="Z100" s="690"/>
      <c r="AA100" s="657"/>
      <c r="AB100" s="690"/>
      <c r="AC100" s="658"/>
      <c r="AD100" s="658"/>
      <c r="AE100" s="658"/>
      <c r="AF100" s="688">
        <f t="shared" si="25"/>
        <v>0</v>
      </c>
    </row>
    <row r="101" spans="1:32">
      <c r="A101" s="620">
        <v>88</v>
      </c>
      <c r="B101" s="326" t="s">
        <v>1005</v>
      </c>
      <c r="C101" s="326" t="s">
        <v>440</v>
      </c>
      <c r="D101" s="326" t="s">
        <v>729</v>
      </c>
      <c r="E101" s="618" t="s">
        <v>1517</v>
      </c>
      <c r="F101" s="619">
        <v>-122637.92</v>
      </c>
      <c r="G101" s="619">
        <v>-124312.5</v>
      </c>
      <c r="H101" s="619">
        <v>-124312.5</v>
      </c>
      <c r="I101" s="619">
        <v>-124312.5</v>
      </c>
      <c r="J101" s="619">
        <v>-124312.5</v>
      </c>
      <c r="K101" s="619">
        <v>-124312.5</v>
      </c>
      <c r="L101" s="619">
        <v>-124312.5</v>
      </c>
      <c r="M101" s="619">
        <v>-124312.5</v>
      </c>
      <c r="N101" s="619">
        <v>-124312.5</v>
      </c>
      <c r="O101" s="619">
        <v>-124312.5</v>
      </c>
      <c r="P101" s="619">
        <v>-124312.5</v>
      </c>
      <c r="Q101" s="619">
        <v>-124312.5</v>
      </c>
      <c r="R101" s="619">
        <v>-124312.5</v>
      </c>
      <c r="S101" s="498">
        <f>((F101+R101)+((G101+H101+I101+J101+K101+L101+M101+N101+O101+P101+Q101)*2))/24</f>
        <v>-124242.72583333333</v>
      </c>
      <c r="T101" s="620"/>
      <c r="U101" s="657">
        <f t="shared" ref="U101:U119" si="29">+S101</f>
        <v>-124242.72583333333</v>
      </c>
      <c r="V101" s="690"/>
      <c r="W101" s="690"/>
      <c r="X101" s="713"/>
      <c r="Y101" s="690"/>
      <c r="Z101" s="690"/>
      <c r="AA101" s="657"/>
      <c r="AB101" s="690"/>
      <c r="AC101" s="658"/>
      <c r="AD101" s="659">
        <f t="shared" ref="AD101:AD119" si="30">+U101</f>
        <v>-124242.72583333333</v>
      </c>
      <c r="AE101" s="658"/>
      <c r="AF101" s="688">
        <f t="shared" si="25"/>
        <v>0</v>
      </c>
    </row>
    <row r="102" spans="1:32">
      <c r="A102" s="620">
        <v>89</v>
      </c>
      <c r="B102" s="326" t="s">
        <v>980</v>
      </c>
      <c r="C102" s="326" t="s">
        <v>440</v>
      </c>
      <c r="D102" s="326" t="s">
        <v>729</v>
      </c>
      <c r="E102" s="618" t="s">
        <v>1517</v>
      </c>
      <c r="F102" s="619">
        <v>-288682.78000000003</v>
      </c>
      <c r="G102" s="619">
        <v>-286609.34000000003</v>
      </c>
      <c r="H102" s="619">
        <v>-286609.34000000003</v>
      </c>
      <c r="I102" s="619">
        <v>-286609.34000000003</v>
      </c>
      <c r="J102" s="619">
        <v>-286609.34000000003</v>
      </c>
      <c r="K102" s="619">
        <v>-286609.34000000003</v>
      </c>
      <c r="L102" s="619">
        <v>-286609.34000000003</v>
      </c>
      <c r="M102" s="619">
        <v>-286609.34000000003</v>
      </c>
      <c r="N102" s="619">
        <v>-286609.34000000003</v>
      </c>
      <c r="O102" s="619">
        <v>-286609.34000000003</v>
      </c>
      <c r="P102" s="619">
        <v>-286609.34000000003</v>
      </c>
      <c r="Q102" s="619">
        <v>-286609.34000000003</v>
      </c>
      <c r="R102" s="619">
        <v>-286609.34000000003</v>
      </c>
      <c r="S102" s="498">
        <f t="shared" ref="S102:S114" si="31">((F102+R102)+((G102+H102+I102+J102+K102+L102+M102+N102+O102+P102+Q102)*2))/24</f>
        <v>-286695.73333333334</v>
      </c>
      <c r="T102" s="620"/>
      <c r="U102" s="657">
        <f t="shared" si="29"/>
        <v>-286695.73333333334</v>
      </c>
      <c r="V102" s="690"/>
      <c r="W102" s="690"/>
      <c r="X102" s="713"/>
      <c r="Y102" s="690"/>
      <c r="Z102" s="690"/>
      <c r="AA102" s="657"/>
      <c r="AB102" s="690"/>
      <c r="AC102" s="658"/>
      <c r="AD102" s="659">
        <f t="shared" si="30"/>
        <v>-286695.73333333334</v>
      </c>
      <c r="AE102" s="658"/>
      <c r="AF102" s="688">
        <f t="shared" si="25"/>
        <v>0</v>
      </c>
    </row>
    <row r="103" spans="1:32">
      <c r="A103" s="620">
        <v>90</v>
      </c>
      <c r="B103" s="326" t="s">
        <v>1005</v>
      </c>
      <c r="C103" s="326" t="s">
        <v>440</v>
      </c>
      <c r="D103" s="326" t="s">
        <v>1137</v>
      </c>
      <c r="E103" s="618" t="s">
        <v>1518</v>
      </c>
      <c r="F103" s="619">
        <v>282955.15999999997</v>
      </c>
      <c r="G103" s="619">
        <v>11327.84</v>
      </c>
      <c r="H103" s="619">
        <v>22213.93</v>
      </c>
      <c r="I103" s="619">
        <v>32387.98</v>
      </c>
      <c r="J103" s="619">
        <v>54779.91</v>
      </c>
      <c r="K103" s="619">
        <v>78665.52</v>
      </c>
      <c r="L103" s="619">
        <v>100681.26</v>
      </c>
      <c r="M103" s="619">
        <v>151328.31</v>
      </c>
      <c r="N103" s="619">
        <v>204997.67</v>
      </c>
      <c r="O103" s="619">
        <v>246804.94</v>
      </c>
      <c r="P103" s="619">
        <v>284071.87</v>
      </c>
      <c r="Q103" s="619">
        <v>310348.12</v>
      </c>
      <c r="R103" s="619">
        <v>325220.74</v>
      </c>
      <c r="S103" s="498">
        <f t="shared" si="31"/>
        <v>150141.27499999999</v>
      </c>
      <c r="T103" s="620"/>
      <c r="U103" s="657">
        <f t="shared" si="29"/>
        <v>150141.27499999999</v>
      </c>
      <c r="V103" s="690"/>
      <c r="W103" s="690"/>
      <c r="X103" s="713"/>
      <c r="Y103" s="690"/>
      <c r="Z103" s="690"/>
      <c r="AA103" s="657"/>
      <c r="AB103" s="690"/>
      <c r="AC103" s="658"/>
      <c r="AD103" s="659">
        <f t="shared" si="30"/>
        <v>150141.27499999999</v>
      </c>
      <c r="AE103" s="658"/>
      <c r="AF103" s="688">
        <f t="shared" si="25"/>
        <v>0</v>
      </c>
    </row>
    <row r="104" spans="1:32">
      <c r="A104" s="620">
        <v>91</v>
      </c>
      <c r="B104" s="326" t="s">
        <v>980</v>
      </c>
      <c r="C104" s="326" t="s">
        <v>440</v>
      </c>
      <c r="D104" s="326" t="s">
        <v>1137</v>
      </c>
      <c r="E104" s="618" t="s">
        <v>1518</v>
      </c>
      <c r="F104" s="619">
        <v>1101392.3700000001</v>
      </c>
      <c r="G104" s="619">
        <v>49071.930000000197</v>
      </c>
      <c r="H104" s="619">
        <v>83217.950000000201</v>
      </c>
      <c r="I104" s="619">
        <v>113578.86</v>
      </c>
      <c r="J104" s="619">
        <v>183011.42</v>
      </c>
      <c r="K104" s="619">
        <v>280115.62</v>
      </c>
      <c r="L104" s="619">
        <v>371146.91</v>
      </c>
      <c r="M104" s="619">
        <v>586783.9</v>
      </c>
      <c r="N104" s="619">
        <v>727245.54</v>
      </c>
      <c r="O104" s="619">
        <v>861027.18</v>
      </c>
      <c r="P104" s="619">
        <v>995353.46</v>
      </c>
      <c r="Q104" s="619">
        <v>1079903.93</v>
      </c>
      <c r="R104" s="619">
        <v>1144052.1599999999</v>
      </c>
      <c r="S104" s="498">
        <f t="shared" si="31"/>
        <v>537764.91374999995</v>
      </c>
      <c r="T104" s="620"/>
      <c r="U104" s="657">
        <f t="shared" si="29"/>
        <v>537764.91374999995</v>
      </c>
      <c r="V104" s="690"/>
      <c r="W104" s="690"/>
      <c r="X104" s="713"/>
      <c r="Y104" s="690"/>
      <c r="Z104" s="690"/>
      <c r="AA104" s="657"/>
      <c r="AB104" s="690"/>
      <c r="AC104" s="658"/>
      <c r="AD104" s="659">
        <f t="shared" si="30"/>
        <v>537764.91374999995</v>
      </c>
      <c r="AE104" s="658"/>
      <c r="AF104" s="688">
        <f t="shared" si="25"/>
        <v>0</v>
      </c>
    </row>
    <row r="105" spans="1:32">
      <c r="A105" s="620">
        <v>92</v>
      </c>
      <c r="B105" s="326" t="s">
        <v>1005</v>
      </c>
      <c r="C105" s="326" t="s">
        <v>440</v>
      </c>
      <c r="D105" s="326" t="s">
        <v>985</v>
      </c>
      <c r="E105" s="618" t="s">
        <v>1519</v>
      </c>
      <c r="F105" s="619">
        <v>-109625.87</v>
      </c>
      <c r="G105" s="619">
        <v>-5087.0099999999902</v>
      </c>
      <c r="H105" s="619">
        <v>-11592.06</v>
      </c>
      <c r="I105" s="619">
        <v>-22824.77</v>
      </c>
      <c r="J105" s="619">
        <v>-33531.83</v>
      </c>
      <c r="K105" s="619">
        <v>-39091.54</v>
      </c>
      <c r="L105" s="619">
        <v>-46511.82</v>
      </c>
      <c r="M105" s="619">
        <v>-56105.72</v>
      </c>
      <c r="N105" s="619">
        <v>-61630.54</v>
      </c>
      <c r="O105" s="619">
        <v>-72130.33</v>
      </c>
      <c r="P105" s="619">
        <v>-89524.45</v>
      </c>
      <c r="Q105" s="619">
        <v>-98226.01</v>
      </c>
      <c r="R105" s="619">
        <v>-105119.37</v>
      </c>
      <c r="S105" s="498">
        <f t="shared" si="31"/>
        <v>-53635.724999999999</v>
      </c>
      <c r="T105" s="620"/>
      <c r="U105" s="657">
        <f t="shared" si="29"/>
        <v>-53635.724999999999</v>
      </c>
      <c r="V105" s="690"/>
      <c r="W105" s="690"/>
      <c r="X105" s="713"/>
      <c r="Y105" s="690"/>
      <c r="Z105" s="690"/>
      <c r="AA105" s="657"/>
      <c r="AB105" s="690"/>
      <c r="AC105" s="658"/>
      <c r="AD105" s="659">
        <f t="shared" si="30"/>
        <v>-53635.724999999999</v>
      </c>
      <c r="AE105" s="658"/>
      <c r="AF105" s="688">
        <f t="shared" si="25"/>
        <v>0</v>
      </c>
    </row>
    <row r="106" spans="1:32">
      <c r="A106" s="620">
        <v>93</v>
      </c>
      <c r="B106" s="326" t="s">
        <v>980</v>
      </c>
      <c r="C106" s="326" t="s">
        <v>440</v>
      </c>
      <c r="D106" s="326" t="s">
        <v>985</v>
      </c>
      <c r="E106" s="618" t="s">
        <v>1519</v>
      </c>
      <c r="F106" s="619">
        <v>-420596.92</v>
      </c>
      <c r="G106" s="619">
        <v>-21507.34</v>
      </c>
      <c r="H106" s="619">
        <v>-43443.11</v>
      </c>
      <c r="I106" s="619">
        <v>-59322.21</v>
      </c>
      <c r="J106" s="619">
        <v>-74592.69</v>
      </c>
      <c r="K106" s="619">
        <v>-89640.48</v>
      </c>
      <c r="L106" s="619">
        <v>-101404.6</v>
      </c>
      <c r="M106" s="619">
        <v>-124327.71</v>
      </c>
      <c r="N106" s="619">
        <v>-139121.70000000001</v>
      </c>
      <c r="O106" s="619">
        <v>-160352.97</v>
      </c>
      <c r="P106" s="619">
        <v>-203725.22</v>
      </c>
      <c r="Q106" s="619">
        <v>-225037.69</v>
      </c>
      <c r="R106" s="619">
        <v>-247474.88</v>
      </c>
      <c r="S106" s="498">
        <f t="shared" si="31"/>
        <v>-131375.96833333335</v>
      </c>
      <c r="T106" s="620"/>
      <c r="U106" s="657">
        <f t="shared" si="29"/>
        <v>-131375.96833333335</v>
      </c>
      <c r="V106" s="690"/>
      <c r="W106" s="690"/>
      <c r="X106" s="713"/>
      <c r="Y106" s="690"/>
      <c r="Z106" s="690"/>
      <c r="AA106" s="657"/>
      <c r="AB106" s="690"/>
      <c r="AC106" s="658"/>
      <c r="AD106" s="659">
        <f t="shared" si="30"/>
        <v>-131375.96833333335</v>
      </c>
      <c r="AE106" s="658"/>
      <c r="AF106" s="688">
        <f t="shared" si="25"/>
        <v>0</v>
      </c>
    </row>
    <row r="107" spans="1:32">
      <c r="A107" s="620">
        <v>94</v>
      </c>
      <c r="B107" s="326" t="s">
        <v>1005</v>
      </c>
      <c r="C107" s="326" t="s">
        <v>440</v>
      </c>
      <c r="D107" s="326" t="s">
        <v>1138</v>
      </c>
      <c r="E107" s="618" t="s">
        <v>1520</v>
      </c>
      <c r="F107" s="619">
        <v>-175003.87</v>
      </c>
      <c r="G107" s="619">
        <v>-38111.449999999997</v>
      </c>
      <c r="H107" s="619">
        <v>-39869.29</v>
      </c>
      <c r="I107" s="619">
        <v>-61466.66</v>
      </c>
      <c r="J107" s="619">
        <v>-40298.74</v>
      </c>
      <c r="K107" s="619">
        <v>-59310.23</v>
      </c>
      <c r="L107" s="619">
        <v>-56447.34</v>
      </c>
      <c r="M107" s="619">
        <v>-92652.3</v>
      </c>
      <c r="N107" s="619">
        <v>-117529.4</v>
      </c>
      <c r="O107" s="619">
        <v>-142688.54</v>
      </c>
      <c r="P107" s="619">
        <v>-162904.01</v>
      </c>
      <c r="Q107" s="619">
        <v>-191713.73</v>
      </c>
      <c r="R107" s="619">
        <v>-223987.58</v>
      </c>
      <c r="S107" s="498">
        <f t="shared" si="31"/>
        <v>-100207.28458333334</v>
      </c>
      <c r="T107" s="620"/>
      <c r="U107" s="657">
        <f t="shared" si="29"/>
        <v>-100207.28458333334</v>
      </c>
      <c r="V107" s="690"/>
      <c r="W107" s="690"/>
      <c r="X107" s="713"/>
      <c r="Y107" s="690"/>
      <c r="Z107" s="690"/>
      <c r="AA107" s="657"/>
      <c r="AB107" s="690"/>
      <c r="AC107" s="658"/>
      <c r="AD107" s="659">
        <f t="shared" si="30"/>
        <v>-100207.28458333334</v>
      </c>
      <c r="AE107" s="658"/>
      <c r="AF107" s="688">
        <f t="shared" si="25"/>
        <v>0</v>
      </c>
    </row>
    <row r="108" spans="1:32">
      <c r="A108" s="620">
        <v>95</v>
      </c>
      <c r="B108" s="326" t="s">
        <v>980</v>
      </c>
      <c r="C108" s="326" t="s">
        <v>440</v>
      </c>
      <c r="D108" s="326" t="s">
        <v>1138</v>
      </c>
      <c r="E108" s="618" t="s">
        <v>1520</v>
      </c>
      <c r="F108" s="619">
        <v>-678722.01</v>
      </c>
      <c r="G108" s="619">
        <v>-145961.84</v>
      </c>
      <c r="H108" s="619">
        <v>-177647.74</v>
      </c>
      <c r="I108" s="619">
        <v>-269231.44</v>
      </c>
      <c r="J108" s="619">
        <v>-215433.89</v>
      </c>
      <c r="K108" s="619">
        <v>-225081.71</v>
      </c>
      <c r="L108" s="619">
        <v>-269526.67</v>
      </c>
      <c r="M108" s="619">
        <v>-402230.81</v>
      </c>
      <c r="N108" s="619">
        <v>-482900.77</v>
      </c>
      <c r="O108" s="619">
        <v>-593285.81000000006</v>
      </c>
      <c r="P108" s="619">
        <v>-682880.71</v>
      </c>
      <c r="Q108" s="619">
        <v>-802882.52</v>
      </c>
      <c r="R108" s="619">
        <v>-950124.39</v>
      </c>
      <c r="S108" s="498">
        <f t="shared" si="31"/>
        <v>-423457.25916666671</v>
      </c>
      <c r="T108" s="620"/>
      <c r="U108" s="657">
        <f t="shared" si="29"/>
        <v>-423457.25916666671</v>
      </c>
      <c r="V108" s="690"/>
      <c r="W108" s="690"/>
      <c r="X108" s="713"/>
      <c r="Y108" s="690"/>
      <c r="Z108" s="690"/>
      <c r="AA108" s="657"/>
      <c r="AB108" s="690"/>
      <c r="AC108" s="658"/>
      <c r="AD108" s="659">
        <f t="shared" si="30"/>
        <v>-423457.25916666671</v>
      </c>
      <c r="AE108" s="658"/>
      <c r="AF108" s="688">
        <f t="shared" si="25"/>
        <v>0</v>
      </c>
    </row>
    <row r="109" spans="1:32">
      <c r="A109" s="620">
        <v>96</v>
      </c>
      <c r="B109" s="326" t="s">
        <v>1005</v>
      </c>
      <c r="C109" s="326" t="s">
        <v>441</v>
      </c>
      <c r="D109" s="326" t="s">
        <v>729</v>
      </c>
      <c r="E109" s="618" t="s">
        <v>1521</v>
      </c>
      <c r="F109" s="619">
        <v>-9984</v>
      </c>
      <c r="G109" s="619">
        <v>-10060</v>
      </c>
      <c r="H109" s="619">
        <v>-10060</v>
      </c>
      <c r="I109" s="619">
        <v>-10060</v>
      </c>
      <c r="J109" s="619">
        <v>-10060</v>
      </c>
      <c r="K109" s="619">
        <v>-10060</v>
      </c>
      <c r="L109" s="619">
        <v>-10060</v>
      </c>
      <c r="M109" s="619">
        <v>-10060</v>
      </c>
      <c r="N109" s="619">
        <v>-10060</v>
      </c>
      <c r="O109" s="619">
        <v>-10060</v>
      </c>
      <c r="P109" s="619">
        <v>-10060</v>
      </c>
      <c r="Q109" s="619">
        <v>-10060</v>
      </c>
      <c r="R109" s="619">
        <v>-10060</v>
      </c>
      <c r="S109" s="498">
        <f t="shared" si="31"/>
        <v>-10056.833333333334</v>
      </c>
      <c r="T109" s="620"/>
      <c r="U109" s="657">
        <f t="shared" si="29"/>
        <v>-10056.833333333334</v>
      </c>
      <c r="V109" s="690"/>
      <c r="W109" s="690"/>
      <c r="X109" s="713"/>
      <c r="Y109" s="690"/>
      <c r="Z109" s="690"/>
      <c r="AA109" s="657"/>
      <c r="AB109" s="690"/>
      <c r="AC109" s="658"/>
      <c r="AD109" s="659">
        <f t="shared" si="30"/>
        <v>-10056.833333333334</v>
      </c>
      <c r="AE109" s="658"/>
      <c r="AF109" s="688">
        <f t="shared" si="25"/>
        <v>0</v>
      </c>
    </row>
    <row r="110" spans="1:32">
      <c r="A110" s="620">
        <v>97</v>
      </c>
      <c r="B110" s="326" t="s">
        <v>980</v>
      </c>
      <c r="C110" s="326" t="s">
        <v>441</v>
      </c>
      <c r="D110" s="326" t="s">
        <v>729</v>
      </c>
      <c r="E110" s="618" t="s">
        <v>1521</v>
      </c>
      <c r="F110" s="619">
        <v>-30016</v>
      </c>
      <c r="G110" s="619">
        <v>-29940</v>
      </c>
      <c r="H110" s="619">
        <v>-29940</v>
      </c>
      <c r="I110" s="619">
        <v>-29940</v>
      </c>
      <c r="J110" s="619">
        <v>-29940</v>
      </c>
      <c r="K110" s="619">
        <v>-29940</v>
      </c>
      <c r="L110" s="619">
        <v>-29940</v>
      </c>
      <c r="M110" s="619">
        <v>-29940</v>
      </c>
      <c r="N110" s="619">
        <v>-29940</v>
      </c>
      <c r="O110" s="619">
        <v>-29940</v>
      </c>
      <c r="P110" s="619">
        <v>-29940</v>
      </c>
      <c r="Q110" s="619">
        <v>-29940</v>
      </c>
      <c r="R110" s="619">
        <v>-29940</v>
      </c>
      <c r="S110" s="498">
        <f t="shared" si="31"/>
        <v>-29943.166666666668</v>
      </c>
      <c r="T110" s="620"/>
      <c r="U110" s="657">
        <f t="shared" si="29"/>
        <v>-29943.166666666668</v>
      </c>
      <c r="V110" s="690"/>
      <c r="W110" s="690"/>
      <c r="X110" s="713"/>
      <c r="Y110" s="690"/>
      <c r="Z110" s="690"/>
      <c r="AA110" s="657"/>
      <c r="AB110" s="690"/>
      <c r="AC110" s="658"/>
      <c r="AD110" s="659">
        <f t="shared" si="30"/>
        <v>-29943.166666666668</v>
      </c>
      <c r="AE110" s="658"/>
      <c r="AF110" s="688">
        <f t="shared" si="25"/>
        <v>0</v>
      </c>
    </row>
    <row r="111" spans="1:32">
      <c r="A111" s="620">
        <v>98</v>
      </c>
      <c r="B111" s="326" t="s">
        <v>1005</v>
      </c>
      <c r="C111" s="326" t="s">
        <v>441</v>
      </c>
      <c r="D111" s="326" t="s">
        <v>1137</v>
      </c>
      <c r="E111" s="618" t="s">
        <v>1523</v>
      </c>
      <c r="F111" s="619">
        <v>0</v>
      </c>
      <c r="G111" s="619">
        <v>0</v>
      </c>
      <c r="H111" s="619">
        <v>0</v>
      </c>
      <c r="I111" s="619">
        <v>0</v>
      </c>
      <c r="J111" s="619">
        <v>0</v>
      </c>
      <c r="K111" s="619">
        <v>0</v>
      </c>
      <c r="L111" s="619">
        <v>0</v>
      </c>
      <c r="M111" s="619">
        <v>0</v>
      </c>
      <c r="N111" s="619">
        <v>0</v>
      </c>
      <c r="O111" s="619">
        <v>0</v>
      </c>
      <c r="P111" s="619">
        <v>0</v>
      </c>
      <c r="Q111" s="619">
        <v>0</v>
      </c>
      <c r="R111" s="619">
        <v>0</v>
      </c>
      <c r="S111" s="498">
        <f>((F111+R111)+((G111+H111+I111+J111+K111+L111+M111+N111+O111+P111+Q111)*2))/24</f>
        <v>0</v>
      </c>
      <c r="T111" s="620"/>
      <c r="U111" s="657">
        <f t="shared" si="29"/>
        <v>0</v>
      </c>
      <c r="V111" s="690"/>
      <c r="W111" s="690"/>
      <c r="X111" s="713"/>
      <c r="Y111" s="690"/>
      <c r="Z111" s="690"/>
      <c r="AA111" s="657"/>
      <c r="AB111" s="690"/>
      <c r="AC111" s="658"/>
      <c r="AD111" s="659">
        <f t="shared" si="30"/>
        <v>0</v>
      </c>
      <c r="AE111" s="658"/>
      <c r="AF111" s="688">
        <f t="shared" si="25"/>
        <v>0</v>
      </c>
    </row>
    <row r="112" spans="1:32">
      <c r="A112" s="620">
        <v>99</v>
      </c>
      <c r="B112" s="326" t="s">
        <v>980</v>
      </c>
      <c r="C112" s="326" t="s">
        <v>441</v>
      </c>
      <c r="D112" s="326" t="s">
        <v>1137</v>
      </c>
      <c r="E112" s="618" t="s">
        <v>1523</v>
      </c>
      <c r="F112" s="619">
        <v>0</v>
      </c>
      <c r="G112" s="619">
        <v>0</v>
      </c>
      <c r="H112" s="619">
        <v>0</v>
      </c>
      <c r="I112" s="619">
        <v>0</v>
      </c>
      <c r="J112" s="619">
        <v>0</v>
      </c>
      <c r="K112" s="619">
        <v>182.61</v>
      </c>
      <c r="L112" s="619">
        <v>1543.52</v>
      </c>
      <c r="M112" s="619">
        <v>1543.52</v>
      </c>
      <c r="N112" s="619">
        <v>1543.52</v>
      </c>
      <c r="O112" s="619">
        <v>21528.560000000001</v>
      </c>
      <c r="P112" s="619">
        <v>21528.560000000001</v>
      </c>
      <c r="Q112" s="619">
        <v>21528.560000000001</v>
      </c>
      <c r="R112" s="619">
        <v>21528.560000000001</v>
      </c>
      <c r="S112" s="498">
        <f t="shared" si="31"/>
        <v>6680.2608333333337</v>
      </c>
      <c r="T112" s="620"/>
      <c r="U112" s="657">
        <f t="shared" si="29"/>
        <v>6680.2608333333337</v>
      </c>
      <c r="V112" s="690"/>
      <c r="W112" s="690"/>
      <c r="X112" s="713"/>
      <c r="Y112" s="690"/>
      <c r="Z112" s="690"/>
      <c r="AA112" s="657"/>
      <c r="AB112" s="690"/>
      <c r="AC112" s="658"/>
      <c r="AD112" s="659">
        <f t="shared" si="30"/>
        <v>6680.2608333333337</v>
      </c>
      <c r="AE112" s="658"/>
      <c r="AF112" s="688">
        <f t="shared" si="25"/>
        <v>0</v>
      </c>
    </row>
    <row r="113" spans="1:32">
      <c r="A113" s="620">
        <v>100</v>
      </c>
      <c r="B113" s="326" t="s">
        <v>980</v>
      </c>
      <c r="C113" s="326" t="s">
        <v>441</v>
      </c>
      <c r="D113" s="326" t="s">
        <v>985</v>
      </c>
      <c r="E113" s="618" t="s">
        <v>1524</v>
      </c>
      <c r="F113" s="619">
        <v>0</v>
      </c>
      <c r="G113" s="619">
        <v>0</v>
      </c>
      <c r="H113" s="619">
        <v>0</v>
      </c>
      <c r="I113" s="619">
        <v>0</v>
      </c>
      <c r="J113" s="619">
        <v>0</v>
      </c>
      <c r="K113" s="619">
        <v>0</v>
      </c>
      <c r="L113" s="619">
        <v>0</v>
      </c>
      <c r="M113" s="619">
        <v>0</v>
      </c>
      <c r="N113" s="619">
        <v>0</v>
      </c>
      <c r="O113" s="619">
        <v>0</v>
      </c>
      <c r="P113" s="619">
        <v>0</v>
      </c>
      <c r="Q113" s="619">
        <v>0</v>
      </c>
      <c r="R113" s="619">
        <v>0</v>
      </c>
      <c r="S113" s="498">
        <f t="shared" si="31"/>
        <v>0</v>
      </c>
      <c r="T113" s="620"/>
      <c r="U113" s="657">
        <f t="shared" si="29"/>
        <v>0</v>
      </c>
      <c r="V113" s="690"/>
      <c r="W113" s="690"/>
      <c r="X113" s="713"/>
      <c r="Y113" s="690"/>
      <c r="Z113" s="690"/>
      <c r="AA113" s="657"/>
      <c r="AB113" s="690"/>
      <c r="AC113" s="658"/>
      <c r="AD113" s="659">
        <f t="shared" si="30"/>
        <v>0</v>
      </c>
      <c r="AE113" s="658"/>
      <c r="AF113" s="688">
        <f t="shared" si="25"/>
        <v>0</v>
      </c>
    </row>
    <row r="114" spans="1:32">
      <c r="A114" s="620">
        <v>101</v>
      </c>
      <c r="B114" s="326" t="s">
        <v>1005</v>
      </c>
      <c r="C114" s="326" t="s">
        <v>441</v>
      </c>
      <c r="D114" s="326" t="s">
        <v>1138</v>
      </c>
      <c r="E114" s="618" t="s">
        <v>1522</v>
      </c>
      <c r="F114" s="619">
        <v>-76</v>
      </c>
      <c r="G114" s="619">
        <v>0</v>
      </c>
      <c r="H114" s="619">
        <v>0</v>
      </c>
      <c r="I114" s="619">
        <v>0</v>
      </c>
      <c r="J114" s="619">
        <v>0</v>
      </c>
      <c r="K114" s="619">
        <v>0</v>
      </c>
      <c r="L114" s="619">
        <v>0</v>
      </c>
      <c r="M114" s="619">
        <v>0</v>
      </c>
      <c r="N114" s="619">
        <v>0</v>
      </c>
      <c r="O114" s="619">
        <v>0</v>
      </c>
      <c r="P114" s="619">
        <v>0</v>
      </c>
      <c r="Q114" s="619">
        <v>0</v>
      </c>
      <c r="R114" s="619">
        <v>2611</v>
      </c>
      <c r="S114" s="498">
        <f t="shared" si="31"/>
        <v>105.625</v>
      </c>
      <c r="T114" s="620"/>
      <c r="U114" s="657">
        <f t="shared" si="29"/>
        <v>105.625</v>
      </c>
      <c r="V114" s="690"/>
      <c r="W114" s="690"/>
      <c r="X114" s="713"/>
      <c r="Y114" s="690"/>
      <c r="Z114" s="690"/>
      <c r="AA114" s="657"/>
      <c r="AB114" s="690"/>
      <c r="AC114" s="658"/>
      <c r="AD114" s="659">
        <f t="shared" si="30"/>
        <v>105.625</v>
      </c>
      <c r="AE114" s="658"/>
      <c r="AF114" s="688">
        <f t="shared" si="25"/>
        <v>0</v>
      </c>
    </row>
    <row r="115" spans="1:32">
      <c r="A115" s="620">
        <v>102</v>
      </c>
      <c r="B115" s="326" t="s">
        <v>980</v>
      </c>
      <c r="C115" s="326" t="s">
        <v>441</v>
      </c>
      <c r="D115" s="326" t="s">
        <v>1138</v>
      </c>
      <c r="E115" s="618" t="s">
        <v>1522</v>
      </c>
      <c r="F115" s="619">
        <v>76</v>
      </c>
      <c r="G115" s="619">
        <v>0</v>
      </c>
      <c r="H115" s="619">
        <v>0</v>
      </c>
      <c r="I115" s="619">
        <v>0</v>
      </c>
      <c r="J115" s="619">
        <v>0</v>
      </c>
      <c r="K115" s="619">
        <v>0</v>
      </c>
      <c r="L115" s="619">
        <v>0</v>
      </c>
      <c r="M115" s="619">
        <v>0</v>
      </c>
      <c r="N115" s="619">
        <v>0</v>
      </c>
      <c r="O115" s="619">
        <v>0</v>
      </c>
      <c r="P115" s="619">
        <v>0</v>
      </c>
      <c r="Q115" s="619">
        <v>0</v>
      </c>
      <c r="R115" s="619">
        <v>-14139.56</v>
      </c>
      <c r="S115" s="498">
        <f>((F115+R115)+((G115+H115+I115+J115+K115+L115+M115+N115+O115+P115+Q115)*2))/24</f>
        <v>-585.98166666666668</v>
      </c>
      <c r="T115" s="620"/>
      <c r="U115" s="657">
        <f t="shared" si="29"/>
        <v>-585.98166666666668</v>
      </c>
      <c r="V115" s="690"/>
      <c r="W115" s="690"/>
      <c r="X115" s="713"/>
      <c r="Y115" s="690"/>
      <c r="Z115" s="690"/>
      <c r="AA115" s="657"/>
      <c r="AB115" s="690"/>
      <c r="AC115" s="658"/>
      <c r="AD115" s="659">
        <f t="shared" si="30"/>
        <v>-585.98166666666668</v>
      </c>
      <c r="AE115" s="658"/>
      <c r="AF115" s="688">
        <f t="shared" si="25"/>
        <v>0</v>
      </c>
    </row>
    <row r="116" spans="1:32">
      <c r="A116" s="620">
        <v>103</v>
      </c>
      <c r="B116" s="326" t="s">
        <v>977</v>
      </c>
      <c r="C116" s="326" t="s">
        <v>442</v>
      </c>
      <c r="D116" s="326" t="s">
        <v>729</v>
      </c>
      <c r="E116" s="618" t="s">
        <v>1513</v>
      </c>
      <c r="F116" s="619">
        <v>-20000</v>
      </c>
      <c r="G116" s="619">
        <v>-10000</v>
      </c>
      <c r="H116" s="619">
        <v>-10000</v>
      </c>
      <c r="I116" s="619">
        <v>-10000</v>
      </c>
      <c r="J116" s="619">
        <v>-10000</v>
      </c>
      <c r="K116" s="619">
        <v>-10000</v>
      </c>
      <c r="L116" s="619">
        <v>-10000</v>
      </c>
      <c r="M116" s="619">
        <v>-10000</v>
      </c>
      <c r="N116" s="619">
        <v>-10000</v>
      </c>
      <c r="O116" s="619">
        <v>-10000</v>
      </c>
      <c r="P116" s="619">
        <v>-10000</v>
      </c>
      <c r="Q116" s="619">
        <v>-10000</v>
      </c>
      <c r="R116" s="619">
        <v>-10000</v>
      </c>
      <c r="S116" s="498">
        <f>((F116+R116)+((G116+H116+I116+J116+K116+L116+M116+N116+O116+P116+Q116)*2))/24</f>
        <v>-10416.666666666666</v>
      </c>
      <c r="T116" s="620"/>
      <c r="U116" s="657">
        <f t="shared" si="29"/>
        <v>-10416.666666666666</v>
      </c>
      <c r="V116" s="690"/>
      <c r="W116" s="690"/>
      <c r="X116" s="713"/>
      <c r="Y116" s="690"/>
      <c r="Z116" s="690"/>
      <c r="AA116" s="657"/>
      <c r="AB116" s="690"/>
      <c r="AC116" s="658"/>
      <c r="AD116" s="659">
        <f t="shared" si="30"/>
        <v>-10416.666666666666</v>
      </c>
      <c r="AE116" s="658"/>
      <c r="AF116" s="688">
        <f t="shared" si="25"/>
        <v>0</v>
      </c>
    </row>
    <row r="117" spans="1:32">
      <c r="A117" s="620">
        <v>104</v>
      </c>
      <c r="B117" s="326" t="s">
        <v>977</v>
      </c>
      <c r="C117" s="326" t="s">
        <v>442</v>
      </c>
      <c r="D117" s="326" t="s">
        <v>1137</v>
      </c>
      <c r="E117" s="618" t="s">
        <v>1514</v>
      </c>
      <c r="F117" s="619">
        <v>32877.919999999998</v>
      </c>
      <c r="G117" s="619">
        <v>1003.22</v>
      </c>
      <c r="H117" s="619">
        <v>1003.22</v>
      </c>
      <c r="I117" s="619">
        <v>1708.18</v>
      </c>
      <c r="J117" s="619">
        <v>1708.18</v>
      </c>
      <c r="K117" s="619">
        <v>3677.61</v>
      </c>
      <c r="L117" s="619">
        <v>25095.45</v>
      </c>
      <c r="M117" s="619">
        <v>25095.45</v>
      </c>
      <c r="N117" s="619">
        <v>25095.45</v>
      </c>
      <c r="O117" s="619">
        <v>31605.26</v>
      </c>
      <c r="P117" s="619">
        <v>31605.26</v>
      </c>
      <c r="Q117" s="619">
        <v>34847.89</v>
      </c>
      <c r="R117" s="619">
        <v>34847.89</v>
      </c>
      <c r="S117" s="498">
        <f>((F117+R117)+((G117+H117+I117+J117+K117+L117+M117+N117+O117+P117+Q117)*2))/24</f>
        <v>18025.672916666666</v>
      </c>
      <c r="T117" s="620"/>
      <c r="U117" s="657">
        <f t="shared" si="29"/>
        <v>18025.672916666666</v>
      </c>
      <c r="V117" s="690"/>
      <c r="W117" s="690"/>
      <c r="X117" s="713"/>
      <c r="Y117" s="690"/>
      <c r="Z117" s="690"/>
      <c r="AA117" s="657"/>
      <c r="AB117" s="690"/>
      <c r="AC117" s="658"/>
      <c r="AD117" s="659">
        <f t="shared" si="30"/>
        <v>18025.672916666666</v>
      </c>
      <c r="AE117" s="658"/>
      <c r="AF117" s="688">
        <f t="shared" si="25"/>
        <v>0</v>
      </c>
    </row>
    <row r="118" spans="1:32">
      <c r="A118" s="620">
        <v>105</v>
      </c>
      <c r="B118" s="326" t="s">
        <v>977</v>
      </c>
      <c r="C118" s="326" t="s">
        <v>442</v>
      </c>
      <c r="D118" s="326" t="s">
        <v>985</v>
      </c>
      <c r="E118" s="618" t="s">
        <v>1515</v>
      </c>
      <c r="F118" s="619">
        <v>-916.75</v>
      </c>
      <c r="G118" s="619">
        <v>0</v>
      </c>
      <c r="H118" s="619">
        <v>0</v>
      </c>
      <c r="I118" s="619">
        <v>0</v>
      </c>
      <c r="J118" s="619">
        <v>0</v>
      </c>
      <c r="K118" s="619">
        <v>0</v>
      </c>
      <c r="L118" s="619">
        <v>0</v>
      </c>
      <c r="M118" s="619">
        <v>0</v>
      </c>
      <c r="N118" s="619">
        <v>0</v>
      </c>
      <c r="O118" s="619">
        <v>0</v>
      </c>
      <c r="P118" s="619">
        <v>0</v>
      </c>
      <c r="Q118" s="619">
        <v>0</v>
      </c>
      <c r="R118" s="619">
        <v>0</v>
      </c>
      <c r="S118" s="498">
        <f>((F118+R118)+((G118+H118+I118+J118+K118+L118+M118+N118+O118+P118+Q118)*2))/24</f>
        <v>-38.197916666666664</v>
      </c>
      <c r="T118" s="620"/>
      <c r="U118" s="657">
        <f t="shared" si="29"/>
        <v>-38.197916666666664</v>
      </c>
      <c r="V118" s="690"/>
      <c r="W118" s="690"/>
      <c r="X118" s="713"/>
      <c r="Y118" s="690"/>
      <c r="Z118" s="690"/>
      <c r="AA118" s="657"/>
      <c r="AB118" s="690"/>
      <c r="AC118" s="658"/>
      <c r="AD118" s="659">
        <f t="shared" si="30"/>
        <v>-38.197916666666664</v>
      </c>
      <c r="AE118" s="658"/>
      <c r="AF118" s="688">
        <f t="shared" si="25"/>
        <v>0</v>
      </c>
    </row>
    <row r="119" spans="1:32">
      <c r="A119" s="620">
        <v>106</v>
      </c>
      <c r="B119" s="326" t="s">
        <v>977</v>
      </c>
      <c r="C119" s="326" t="s">
        <v>442</v>
      </c>
      <c r="D119" s="326" t="s">
        <v>1138</v>
      </c>
      <c r="E119" s="618" t="s">
        <v>1516</v>
      </c>
      <c r="F119" s="313">
        <v>-21961.17</v>
      </c>
      <c r="G119" s="313">
        <v>0</v>
      </c>
      <c r="H119" s="313">
        <v>0</v>
      </c>
      <c r="I119" s="313">
        <v>0</v>
      </c>
      <c r="J119" s="313">
        <v>0</v>
      </c>
      <c r="K119" s="313">
        <v>0</v>
      </c>
      <c r="L119" s="313">
        <v>-30095.45</v>
      </c>
      <c r="M119" s="313">
        <v>-30095.45</v>
      </c>
      <c r="N119" s="313">
        <v>-30095.45</v>
      </c>
      <c r="O119" s="313">
        <v>-30095.45</v>
      </c>
      <c r="P119" s="313">
        <v>-30095.45</v>
      </c>
      <c r="Q119" s="313">
        <v>-30095.45</v>
      </c>
      <c r="R119" s="313">
        <v>-39847.89</v>
      </c>
      <c r="S119" s="499">
        <f>((F119+R119)+((G119+H119+I119+J119+K119+L119+M119+N119+O119+P119+Q119)*2))/24</f>
        <v>-17623.102500000001</v>
      </c>
      <c r="T119" s="620"/>
      <c r="U119" s="657">
        <f t="shared" si="29"/>
        <v>-17623.102500000001</v>
      </c>
      <c r="V119" s="690"/>
      <c r="W119" s="690"/>
      <c r="X119" s="713"/>
      <c r="Y119" s="690"/>
      <c r="Z119" s="690"/>
      <c r="AA119" s="657"/>
      <c r="AB119" s="690"/>
      <c r="AC119" s="658"/>
      <c r="AD119" s="659">
        <f t="shared" si="30"/>
        <v>-17623.102500000001</v>
      </c>
      <c r="AE119" s="658"/>
      <c r="AF119" s="688">
        <f t="shared" si="25"/>
        <v>0</v>
      </c>
    </row>
    <row r="120" spans="1:32">
      <c r="A120" s="620">
        <v>107</v>
      </c>
      <c r="B120" s="620"/>
      <c r="C120" s="620"/>
      <c r="D120" s="620"/>
      <c r="E120" s="605" t="s">
        <v>443</v>
      </c>
      <c r="F120" s="617">
        <f t="shared" ref="F120:S120" si="32">SUM(F101:F119)</f>
        <v>-460921.83999999991</v>
      </c>
      <c r="G120" s="617">
        <f t="shared" si="32"/>
        <v>-610186.48999999987</v>
      </c>
      <c r="H120" s="617">
        <f t="shared" si="32"/>
        <v>-627038.93999999983</v>
      </c>
      <c r="I120" s="617">
        <f t="shared" si="32"/>
        <v>-726091.9</v>
      </c>
      <c r="J120" s="617">
        <f t="shared" si="32"/>
        <v>-585279.48</v>
      </c>
      <c r="K120" s="617">
        <f t="shared" si="32"/>
        <v>-511404.44000000006</v>
      </c>
      <c r="L120" s="617">
        <f t="shared" si="32"/>
        <v>-466440.58</v>
      </c>
      <c r="M120" s="617">
        <f t="shared" si="32"/>
        <v>-401582.64999999997</v>
      </c>
      <c r="N120" s="617">
        <f t="shared" si="32"/>
        <v>-333317.52</v>
      </c>
      <c r="O120" s="617">
        <f t="shared" si="32"/>
        <v>-298509</v>
      </c>
      <c r="P120" s="617">
        <f t="shared" si="32"/>
        <v>-297492.52999999991</v>
      </c>
      <c r="Q120" s="617">
        <f t="shared" si="32"/>
        <v>-362248.74</v>
      </c>
      <c r="R120" s="617">
        <f t="shared" si="32"/>
        <v>-513355.16000000015</v>
      </c>
      <c r="S120" s="501">
        <f t="shared" si="32"/>
        <v>-475560.8975000002</v>
      </c>
      <c r="T120" s="620"/>
      <c r="U120" s="657"/>
      <c r="V120" s="690"/>
      <c r="W120" s="690"/>
      <c r="X120" s="713"/>
      <c r="Y120" s="690"/>
      <c r="Z120" s="690"/>
      <c r="AA120" s="657"/>
      <c r="AB120" s="690"/>
      <c r="AC120" s="658"/>
      <c r="AD120" s="658"/>
      <c r="AE120" s="658"/>
      <c r="AF120" s="688">
        <f t="shared" si="25"/>
        <v>0</v>
      </c>
    </row>
    <row r="121" spans="1:32">
      <c r="A121" s="620">
        <v>108</v>
      </c>
      <c r="B121" s="620"/>
      <c r="C121" s="620"/>
      <c r="D121" s="620"/>
      <c r="E121" s="605"/>
      <c r="F121" s="306"/>
      <c r="G121" s="306"/>
      <c r="H121" s="306"/>
      <c r="I121" s="306"/>
      <c r="J121" s="306"/>
      <c r="K121" s="306"/>
      <c r="L121" s="306"/>
      <c r="M121" s="306"/>
      <c r="N121" s="306"/>
      <c r="O121" s="306"/>
      <c r="P121" s="306"/>
      <c r="Q121" s="306"/>
      <c r="R121" s="306"/>
      <c r="S121" s="304"/>
      <c r="T121" s="620"/>
      <c r="U121" s="657"/>
      <c r="V121" s="690"/>
      <c r="W121" s="690"/>
      <c r="X121" s="713"/>
      <c r="Y121" s="690"/>
      <c r="Z121" s="690"/>
      <c r="AA121" s="657"/>
      <c r="AB121" s="690"/>
      <c r="AC121" s="658"/>
      <c r="AD121" s="658"/>
      <c r="AE121" s="658"/>
      <c r="AF121" s="688">
        <f t="shared" si="25"/>
        <v>0</v>
      </c>
    </row>
    <row r="122" spans="1:32">
      <c r="A122" s="620">
        <v>109</v>
      </c>
      <c r="B122" s="620"/>
      <c r="C122" s="620"/>
      <c r="D122" s="620"/>
      <c r="E122" s="605" t="s">
        <v>444</v>
      </c>
      <c r="F122" s="305">
        <f t="shared" ref="F122:S122" si="33">+F99+F120</f>
        <v>19454771.420000002</v>
      </c>
      <c r="G122" s="305">
        <f t="shared" si="33"/>
        <v>31452725.970000006</v>
      </c>
      <c r="H122" s="305">
        <f t="shared" si="33"/>
        <v>32145692.82</v>
      </c>
      <c r="I122" s="305">
        <f t="shared" si="33"/>
        <v>25437974.91</v>
      </c>
      <c r="J122" s="305">
        <f t="shared" si="33"/>
        <v>26976293.09</v>
      </c>
      <c r="K122" s="305">
        <f t="shared" si="33"/>
        <v>21363335.059999999</v>
      </c>
      <c r="L122" s="305">
        <f t="shared" si="33"/>
        <v>19195364.800000004</v>
      </c>
      <c r="M122" s="305">
        <f t="shared" si="33"/>
        <v>18819688.880000003</v>
      </c>
      <c r="N122" s="305">
        <f t="shared" si="33"/>
        <v>19801598.75</v>
      </c>
      <c r="O122" s="305">
        <f t="shared" si="33"/>
        <v>17768632.969999999</v>
      </c>
      <c r="P122" s="305">
        <f t="shared" si="33"/>
        <v>21197070.489999998</v>
      </c>
      <c r="Q122" s="305">
        <f t="shared" si="33"/>
        <v>22004153.749999996</v>
      </c>
      <c r="R122" s="305">
        <f t="shared" si="33"/>
        <v>26725781.710000001</v>
      </c>
      <c r="S122" s="500">
        <f t="shared" si="33"/>
        <v>23271067.337916665</v>
      </c>
      <c r="T122" s="620"/>
      <c r="U122" s="657"/>
      <c r="V122" s="690"/>
      <c r="W122" s="690"/>
      <c r="X122" s="713"/>
      <c r="Y122" s="690"/>
      <c r="Z122" s="690"/>
      <c r="AA122" s="657"/>
      <c r="AB122" s="690"/>
      <c r="AC122" s="658"/>
      <c r="AD122" s="658"/>
      <c r="AE122" s="658"/>
      <c r="AF122" s="688">
        <f t="shared" si="25"/>
        <v>0</v>
      </c>
    </row>
    <row r="123" spans="1:32">
      <c r="A123" s="620">
        <v>110</v>
      </c>
      <c r="B123" s="620"/>
      <c r="C123" s="620"/>
      <c r="D123" s="620"/>
      <c r="E123" s="605"/>
      <c r="F123" s="619"/>
      <c r="G123" s="314"/>
      <c r="H123" s="315"/>
      <c r="I123" s="315"/>
      <c r="J123" s="316"/>
      <c r="K123" s="317"/>
      <c r="L123" s="318"/>
      <c r="M123" s="319"/>
      <c r="N123" s="320"/>
      <c r="O123" s="606"/>
      <c r="P123" s="321"/>
      <c r="Q123" s="322"/>
      <c r="R123" s="619"/>
      <c r="S123" s="304"/>
      <c r="T123" s="620"/>
      <c r="U123" s="657"/>
      <c r="V123" s="690"/>
      <c r="W123" s="690"/>
      <c r="X123" s="713"/>
      <c r="Y123" s="690"/>
      <c r="Z123" s="690"/>
      <c r="AA123" s="657"/>
      <c r="AB123" s="690"/>
      <c r="AC123" s="658"/>
      <c r="AD123" s="658"/>
      <c r="AE123" s="658"/>
      <c r="AF123" s="688">
        <f t="shared" si="25"/>
        <v>0</v>
      </c>
    </row>
    <row r="124" spans="1:32">
      <c r="A124" s="620">
        <v>111</v>
      </c>
      <c r="B124" s="326" t="s">
        <v>977</v>
      </c>
      <c r="C124" s="326" t="s">
        <v>445</v>
      </c>
      <c r="D124" s="326" t="s">
        <v>629</v>
      </c>
      <c r="E124" s="618" t="s">
        <v>1525</v>
      </c>
      <c r="F124" s="619">
        <v>1148188.3600000001</v>
      </c>
      <c r="G124" s="619">
        <v>1066587.8600000001</v>
      </c>
      <c r="H124" s="619">
        <v>1095338.69</v>
      </c>
      <c r="I124" s="619">
        <v>1107745.56</v>
      </c>
      <c r="J124" s="619">
        <v>1038046.72</v>
      </c>
      <c r="K124" s="619">
        <v>1078038.79</v>
      </c>
      <c r="L124" s="619">
        <v>1054031.1299999999</v>
      </c>
      <c r="M124" s="619">
        <v>1071865.8899999999</v>
      </c>
      <c r="N124" s="619">
        <v>1036434.56</v>
      </c>
      <c r="O124" s="619">
        <v>985139.99</v>
      </c>
      <c r="P124" s="619">
        <v>1046597.64</v>
      </c>
      <c r="Q124" s="619">
        <v>1045860.97</v>
      </c>
      <c r="R124" s="619">
        <v>1079770.6299999999</v>
      </c>
      <c r="S124" s="498">
        <f>((F124+R124)+((G124+H124+I124+J124+K124+L124+M124+N124+O124+P124+Q124)*2))/24</f>
        <v>1061638.9412500001</v>
      </c>
      <c r="T124" s="620"/>
      <c r="U124" s="657">
        <f t="shared" ref="U124:U148" si="34">+S124</f>
        <v>1061638.9412500001</v>
      </c>
      <c r="V124" s="690"/>
      <c r="W124" s="690"/>
      <c r="X124" s="713"/>
      <c r="Y124" s="690"/>
      <c r="Z124" s="690"/>
      <c r="AA124" s="657"/>
      <c r="AB124" s="690"/>
      <c r="AC124" s="658"/>
      <c r="AD124" s="659">
        <f t="shared" ref="AD124:AD148" si="35">+U124</f>
        <v>1061638.9412500001</v>
      </c>
      <c r="AE124" s="658"/>
      <c r="AF124" s="688">
        <f t="shared" si="25"/>
        <v>0</v>
      </c>
    </row>
    <row r="125" spans="1:32">
      <c r="A125" s="620">
        <v>112</v>
      </c>
      <c r="B125" s="326" t="s">
        <v>1139</v>
      </c>
      <c r="C125" s="326" t="s">
        <v>445</v>
      </c>
      <c r="D125" s="326" t="s">
        <v>629</v>
      </c>
      <c r="E125" s="618" t="s">
        <v>1526</v>
      </c>
      <c r="F125" s="619">
        <v>286270.45</v>
      </c>
      <c r="G125" s="619">
        <v>296702.57</v>
      </c>
      <c r="H125" s="619">
        <v>296956.48</v>
      </c>
      <c r="I125" s="619">
        <v>311992.88</v>
      </c>
      <c r="J125" s="619">
        <v>313145.15999999997</v>
      </c>
      <c r="K125" s="619">
        <v>316290.89</v>
      </c>
      <c r="L125" s="619">
        <v>313205.25</v>
      </c>
      <c r="M125" s="619">
        <v>317461.34999999998</v>
      </c>
      <c r="N125" s="619">
        <v>310609.33</v>
      </c>
      <c r="O125" s="619">
        <v>314118.74</v>
      </c>
      <c r="P125" s="619">
        <v>367328.16</v>
      </c>
      <c r="Q125" s="619">
        <v>362816.84</v>
      </c>
      <c r="R125" s="619">
        <v>369715.35</v>
      </c>
      <c r="S125" s="498">
        <f t="shared" ref="S125:S142" si="36">((F125+R125)+((G125+H125+I125+J125+K125+L125+M125+N125+O125+P125+Q125)*2))/24</f>
        <v>320718.37916666671</v>
      </c>
      <c r="T125" s="620"/>
      <c r="U125" s="657">
        <f t="shared" si="34"/>
        <v>320718.37916666671</v>
      </c>
      <c r="V125" s="690"/>
      <c r="W125" s="690"/>
      <c r="X125" s="713"/>
      <c r="Y125" s="690"/>
      <c r="Z125" s="690"/>
      <c r="AA125" s="657"/>
      <c r="AB125" s="690"/>
      <c r="AC125" s="658"/>
      <c r="AD125" s="659">
        <f t="shared" si="35"/>
        <v>320718.37916666671</v>
      </c>
      <c r="AE125" s="658"/>
      <c r="AF125" s="688">
        <f t="shared" si="25"/>
        <v>0</v>
      </c>
    </row>
    <row r="126" spans="1:32">
      <c r="A126" s="620">
        <v>113</v>
      </c>
      <c r="B126" s="326" t="s">
        <v>1140</v>
      </c>
      <c r="C126" s="326" t="s">
        <v>445</v>
      </c>
      <c r="D126" s="326" t="s">
        <v>629</v>
      </c>
      <c r="E126" s="618" t="s">
        <v>1527</v>
      </c>
      <c r="F126" s="619">
        <v>565509.80000000005</v>
      </c>
      <c r="G126" s="619">
        <v>557942.81000000006</v>
      </c>
      <c r="H126" s="619">
        <v>529928.81999999995</v>
      </c>
      <c r="I126" s="619">
        <v>548886.77</v>
      </c>
      <c r="J126" s="619">
        <v>632294.38</v>
      </c>
      <c r="K126" s="619">
        <v>752330.31</v>
      </c>
      <c r="L126" s="619">
        <v>763438.39</v>
      </c>
      <c r="M126" s="619">
        <v>793373.22</v>
      </c>
      <c r="N126" s="619">
        <v>785538.39</v>
      </c>
      <c r="O126" s="619">
        <v>840933.18</v>
      </c>
      <c r="P126" s="619">
        <v>784135.39</v>
      </c>
      <c r="Q126" s="619">
        <v>823376.38</v>
      </c>
      <c r="R126" s="619">
        <v>759358.35</v>
      </c>
      <c r="S126" s="498">
        <f t="shared" si="36"/>
        <v>706217.6762499999</v>
      </c>
      <c r="T126" s="620"/>
      <c r="U126" s="657">
        <f t="shared" si="34"/>
        <v>706217.6762499999</v>
      </c>
      <c r="V126" s="690"/>
      <c r="W126" s="690"/>
      <c r="X126" s="713"/>
      <c r="Y126" s="690"/>
      <c r="Z126" s="690"/>
      <c r="AA126" s="657"/>
      <c r="AB126" s="690"/>
      <c r="AC126" s="658"/>
      <c r="AD126" s="659">
        <f t="shared" si="35"/>
        <v>706217.6762499999</v>
      </c>
      <c r="AE126" s="658"/>
      <c r="AF126" s="688">
        <f t="shared" si="25"/>
        <v>0</v>
      </c>
    </row>
    <row r="127" spans="1:32">
      <c r="A127" s="620">
        <v>114</v>
      </c>
      <c r="B127" s="326" t="s">
        <v>1141</v>
      </c>
      <c r="C127" s="326" t="s">
        <v>445</v>
      </c>
      <c r="D127" s="326" t="s">
        <v>629</v>
      </c>
      <c r="E127" s="618" t="s">
        <v>1528</v>
      </c>
      <c r="F127" s="619">
        <v>487398.36</v>
      </c>
      <c r="G127" s="619">
        <v>520148.81</v>
      </c>
      <c r="H127" s="619">
        <v>530813.31000000006</v>
      </c>
      <c r="I127" s="619">
        <v>528475.22</v>
      </c>
      <c r="J127" s="619">
        <v>522217.27</v>
      </c>
      <c r="K127" s="619">
        <v>513403.15</v>
      </c>
      <c r="L127" s="619">
        <v>490312.09</v>
      </c>
      <c r="M127" s="619">
        <v>558594.31000000006</v>
      </c>
      <c r="N127" s="619">
        <v>713660.09</v>
      </c>
      <c r="O127" s="619">
        <v>565130.98</v>
      </c>
      <c r="P127" s="619">
        <v>565532.80000000005</v>
      </c>
      <c r="Q127" s="619">
        <v>554393.81000000006</v>
      </c>
      <c r="R127" s="619">
        <v>555522.68999999994</v>
      </c>
      <c r="S127" s="498">
        <f t="shared" si="36"/>
        <v>548678.53041666665</v>
      </c>
      <c r="T127" s="620"/>
      <c r="U127" s="657">
        <f t="shared" si="34"/>
        <v>548678.53041666665</v>
      </c>
      <c r="V127" s="690"/>
      <c r="W127" s="690"/>
      <c r="X127" s="713"/>
      <c r="Y127" s="690"/>
      <c r="Z127" s="690"/>
      <c r="AA127" s="657"/>
      <c r="AB127" s="690"/>
      <c r="AC127" s="658"/>
      <c r="AD127" s="659">
        <f t="shared" si="35"/>
        <v>548678.53041666665</v>
      </c>
      <c r="AE127" s="658"/>
      <c r="AF127" s="688">
        <f t="shared" si="25"/>
        <v>0</v>
      </c>
    </row>
    <row r="128" spans="1:32">
      <c r="A128" s="620">
        <v>115</v>
      </c>
      <c r="B128" s="326" t="s">
        <v>1142</v>
      </c>
      <c r="C128" s="326" t="s">
        <v>445</v>
      </c>
      <c r="D128" s="326" t="s">
        <v>629</v>
      </c>
      <c r="E128" s="618" t="s">
        <v>1529</v>
      </c>
      <c r="F128" s="619">
        <v>407258.54</v>
      </c>
      <c r="G128" s="619">
        <v>422847.83</v>
      </c>
      <c r="H128" s="619">
        <v>439067.36</v>
      </c>
      <c r="I128" s="619">
        <v>431343.95</v>
      </c>
      <c r="J128" s="619">
        <v>463934.18</v>
      </c>
      <c r="K128" s="619">
        <v>471312.56</v>
      </c>
      <c r="L128" s="619">
        <v>485744.1</v>
      </c>
      <c r="M128" s="619">
        <v>450857.4</v>
      </c>
      <c r="N128" s="619">
        <v>463587.29</v>
      </c>
      <c r="O128" s="619">
        <v>474397.51</v>
      </c>
      <c r="P128" s="619">
        <v>475167.87</v>
      </c>
      <c r="Q128" s="619">
        <v>471439.59</v>
      </c>
      <c r="R128" s="619">
        <v>441378.52</v>
      </c>
      <c r="S128" s="498">
        <f t="shared" si="36"/>
        <v>456168.18083333335</v>
      </c>
      <c r="T128" s="620"/>
      <c r="U128" s="657">
        <f t="shared" si="34"/>
        <v>456168.18083333335</v>
      </c>
      <c r="V128" s="690"/>
      <c r="W128" s="690"/>
      <c r="X128" s="713"/>
      <c r="Y128" s="690"/>
      <c r="Z128" s="690"/>
      <c r="AA128" s="657"/>
      <c r="AB128" s="690"/>
      <c r="AC128" s="658"/>
      <c r="AD128" s="659">
        <f t="shared" si="35"/>
        <v>456168.18083333335</v>
      </c>
      <c r="AE128" s="658"/>
      <c r="AF128" s="688">
        <f t="shared" si="25"/>
        <v>0</v>
      </c>
    </row>
    <row r="129" spans="1:32">
      <c r="A129" s="620">
        <v>116</v>
      </c>
      <c r="B129" s="326" t="s">
        <v>1143</v>
      </c>
      <c r="C129" s="326" t="s">
        <v>445</v>
      </c>
      <c r="D129" s="326" t="s">
        <v>629</v>
      </c>
      <c r="E129" s="618" t="s">
        <v>1530</v>
      </c>
      <c r="F129" s="619">
        <v>135918.65</v>
      </c>
      <c r="G129" s="619">
        <v>142005.07999999999</v>
      </c>
      <c r="H129" s="619">
        <v>136239.81</v>
      </c>
      <c r="I129" s="619">
        <v>133922.47</v>
      </c>
      <c r="J129" s="619">
        <v>133522.87</v>
      </c>
      <c r="K129" s="619">
        <v>135561.39000000001</v>
      </c>
      <c r="L129" s="619">
        <v>114554.61</v>
      </c>
      <c r="M129" s="619">
        <v>121688.17</v>
      </c>
      <c r="N129" s="619">
        <v>121049.79</v>
      </c>
      <c r="O129" s="619">
        <v>119420.88</v>
      </c>
      <c r="P129" s="619">
        <v>121183.77</v>
      </c>
      <c r="Q129" s="619">
        <v>127331.22</v>
      </c>
      <c r="R129" s="619">
        <v>107415.88</v>
      </c>
      <c r="S129" s="498">
        <f t="shared" si="36"/>
        <v>127345.61041666666</v>
      </c>
      <c r="T129" s="620"/>
      <c r="U129" s="657">
        <f t="shared" si="34"/>
        <v>127345.61041666666</v>
      </c>
      <c r="V129" s="690"/>
      <c r="W129" s="690"/>
      <c r="X129" s="713"/>
      <c r="Y129" s="690"/>
      <c r="Z129" s="690"/>
      <c r="AA129" s="657"/>
      <c r="AB129" s="690"/>
      <c r="AC129" s="658"/>
      <c r="AD129" s="659">
        <f t="shared" si="35"/>
        <v>127345.61041666666</v>
      </c>
      <c r="AE129" s="658"/>
      <c r="AF129" s="688">
        <f t="shared" si="25"/>
        <v>0</v>
      </c>
    </row>
    <row r="130" spans="1:32">
      <c r="A130" s="620">
        <v>117</v>
      </c>
      <c r="B130" s="326" t="s">
        <v>1144</v>
      </c>
      <c r="C130" s="326" t="s">
        <v>445</v>
      </c>
      <c r="D130" s="326" t="s">
        <v>629</v>
      </c>
      <c r="E130" s="618" t="s">
        <v>1531</v>
      </c>
      <c r="F130" s="619">
        <v>291155.42</v>
      </c>
      <c r="G130" s="619">
        <v>256774.73</v>
      </c>
      <c r="H130" s="619">
        <v>257911.49</v>
      </c>
      <c r="I130" s="619">
        <v>291273.14</v>
      </c>
      <c r="J130" s="619">
        <v>323272.15000000002</v>
      </c>
      <c r="K130" s="619">
        <v>288981.40000000002</v>
      </c>
      <c r="L130" s="619">
        <v>302630.07</v>
      </c>
      <c r="M130" s="619">
        <v>298178.46000000002</v>
      </c>
      <c r="N130" s="619">
        <v>339653.89</v>
      </c>
      <c r="O130" s="619">
        <v>271255.34000000003</v>
      </c>
      <c r="P130" s="619">
        <v>313485.19</v>
      </c>
      <c r="Q130" s="619">
        <v>342981.09</v>
      </c>
      <c r="R130" s="619">
        <v>304137.73</v>
      </c>
      <c r="S130" s="498">
        <f t="shared" si="36"/>
        <v>298670.29374999995</v>
      </c>
      <c r="T130" s="620"/>
      <c r="U130" s="657">
        <f t="shared" si="34"/>
        <v>298670.29374999995</v>
      </c>
      <c r="V130" s="690"/>
      <c r="W130" s="690"/>
      <c r="X130" s="713"/>
      <c r="Y130" s="690"/>
      <c r="Z130" s="690"/>
      <c r="AA130" s="657"/>
      <c r="AB130" s="690"/>
      <c r="AC130" s="658"/>
      <c r="AD130" s="659">
        <f t="shared" si="35"/>
        <v>298670.29374999995</v>
      </c>
      <c r="AE130" s="658"/>
      <c r="AF130" s="688">
        <f t="shared" si="25"/>
        <v>0</v>
      </c>
    </row>
    <row r="131" spans="1:32">
      <c r="A131" s="620">
        <v>118</v>
      </c>
      <c r="B131" s="326" t="s">
        <v>1145</v>
      </c>
      <c r="C131" s="326" t="s">
        <v>445</v>
      </c>
      <c r="D131" s="326" t="s">
        <v>629</v>
      </c>
      <c r="E131" s="618" t="s">
        <v>1532</v>
      </c>
      <c r="F131" s="619">
        <v>363923.37</v>
      </c>
      <c r="G131" s="619">
        <v>364023.92</v>
      </c>
      <c r="H131" s="619">
        <v>361795.99</v>
      </c>
      <c r="I131" s="619">
        <v>362910.55</v>
      </c>
      <c r="J131" s="619">
        <v>295140.8</v>
      </c>
      <c r="K131" s="619">
        <v>330264.78000000003</v>
      </c>
      <c r="L131" s="619">
        <v>353339.79</v>
      </c>
      <c r="M131" s="619">
        <v>544471.72</v>
      </c>
      <c r="N131" s="619">
        <v>716071.25</v>
      </c>
      <c r="O131" s="619">
        <v>536277.96</v>
      </c>
      <c r="P131" s="619">
        <v>485547.63</v>
      </c>
      <c r="Q131" s="619">
        <v>472140.26</v>
      </c>
      <c r="R131" s="619">
        <v>377671.84</v>
      </c>
      <c r="S131" s="498">
        <f t="shared" si="36"/>
        <v>432731.85458333325</v>
      </c>
      <c r="T131" s="620"/>
      <c r="U131" s="657">
        <f t="shared" si="34"/>
        <v>432731.85458333325</v>
      </c>
      <c r="V131" s="690"/>
      <c r="W131" s="690"/>
      <c r="X131" s="713"/>
      <c r="Y131" s="690"/>
      <c r="Z131" s="690"/>
      <c r="AA131" s="657"/>
      <c r="AB131" s="690"/>
      <c r="AC131" s="658"/>
      <c r="AD131" s="659">
        <f t="shared" si="35"/>
        <v>432731.85458333325</v>
      </c>
      <c r="AE131" s="658"/>
      <c r="AF131" s="688">
        <f t="shared" si="25"/>
        <v>0</v>
      </c>
    </row>
    <row r="132" spans="1:32">
      <c r="A132" s="620">
        <v>119</v>
      </c>
      <c r="B132" s="326" t="s">
        <v>1146</v>
      </c>
      <c r="C132" s="326" t="s">
        <v>445</v>
      </c>
      <c r="D132" s="326" t="s">
        <v>629</v>
      </c>
      <c r="E132" s="618" t="s">
        <v>1533</v>
      </c>
      <c r="F132" s="619">
        <v>75781.679999999993</v>
      </c>
      <c r="G132" s="619">
        <v>91002.5</v>
      </c>
      <c r="H132" s="619">
        <v>90986.23</v>
      </c>
      <c r="I132" s="619">
        <v>80120.36</v>
      </c>
      <c r="J132" s="619">
        <v>79391.5</v>
      </c>
      <c r="K132" s="619">
        <v>79384.240000000005</v>
      </c>
      <c r="L132" s="619">
        <v>88942.11</v>
      </c>
      <c r="M132" s="619">
        <v>96893.64</v>
      </c>
      <c r="N132" s="619">
        <v>105341.28</v>
      </c>
      <c r="O132" s="619">
        <v>104635.52</v>
      </c>
      <c r="P132" s="619">
        <v>99291.48</v>
      </c>
      <c r="Q132" s="619">
        <v>132638.14000000001</v>
      </c>
      <c r="R132" s="619">
        <v>132295.67999999999</v>
      </c>
      <c r="S132" s="498">
        <f t="shared" si="36"/>
        <v>96055.473333333328</v>
      </c>
      <c r="T132" s="620"/>
      <c r="U132" s="657">
        <f t="shared" si="34"/>
        <v>96055.473333333328</v>
      </c>
      <c r="V132" s="690"/>
      <c r="W132" s="690"/>
      <c r="X132" s="713"/>
      <c r="Y132" s="690"/>
      <c r="Z132" s="690"/>
      <c r="AA132" s="657"/>
      <c r="AB132" s="690"/>
      <c r="AC132" s="658"/>
      <c r="AD132" s="659">
        <f t="shared" si="35"/>
        <v>96055.473333333328</v>
      </c>
      <c r="AE132" s="658"/>
      <c r="AF132" s="688">
        <f t="shared" si="25"/>
        <v>0</v>
      </c>
    </row>
    <row r="133" spans="1:32">
      <c r="A133" s="620">
        <v>120</v>
      </c>
      <c r="B133" s="326" t="s">
        <v>1147</v>
      </c>
      <c r="C133" s="326" t="s">
        <v>445</v>
      </c>
      <c r="D133" s="326" t="s">
        <v>629</v>
      </c>
      <c r="E133" s="618" t="s">
        <v>1534</v>
      </c>
      <c r="F133" s="619">
        <v>476417.96</v>
      </c>
      <c r="G133" s="619">
        <v>467459.95</v>
      </c>
      <c r="H133" s="619">
        <v>472879.54</v>
      </c>
      <c r="I133" s="619">
        <v>492583.51</v>
      </c>
      <c r="J133" s="619">
        <v>492493.29</v>
      </c>
      <c r="K133" s="619">
        <v>569146.01</v>
      </c>
      <c r="L133" s="619">
        <v>611348.47999999998</v>
      </c>
      <c r="M133" s="619">
        <v>688643.7</v>
      </c>
      <c r="N133" s="619">
        <v>656213.01</v>
      </c>
      <c r="O133" s="619">
        <v>673920.71</v>
      </c>
      <c r="P133" s="619">
        <v>712010.12</v>
      </c>
      <c r="Q133" s="619">
        <v>712732.27</v>
      </c>
      <c r="R133" s="619">
        <v>748426.94</v>
      </c>
      <c r="S133" s="498">
        <f t="shared" si="36"/>
        <v>596821.08666666667</v>
      </c>
      <c r="T133" s="620"/>
      <c r="U133" s="657">
        <f t="shared" si="34"/>
        <v>596821.08666666667</v>
      </c>
      <c r="V133" s="690"/>
      <c r="W133" s="690"/>
      <c r="X133" s="713"/>
      <c r="Y133" s="690"/>
      <c r="Z133" s="690"/>
      <c r="AA133" s="657"/>
      <c r="AB133" s="690"/>
      <c r="AC133" s="658"/>
      <c r="AD133" s="659">
        <f t="shared" si="35"/>
        <v>596821.08666666667</v>
      </c>
      <c r="AE133" s="658"/>
      <c r="AF133" s="688">
        <f t="shared" si="25"/>
        <v>0</v>
      </c>
    </row>
    <row r="134" spans="1:32">
      <c r="A134" s="620">
        <v>121</v>
      </c>
      <c r="B134" s="326" t="s">
        <v>1407</v>
      </c>
      <c r="C134" s="326" t="s">
        <v>445</v>
      </c>
      <c r="D134" s="326" t="s">
        <v>629</v>
      </c>
      <c r="E134" s="618" t="s">
        <v>1535</v>
      </c>
      <c r="F134" s="619">
        <v>536.36</v>
      </c>
      <c r="G134" s="619">
        <v>-9.9999999999909103E-3</v>
      </c>
      <c r="H134" s="619">
        <v>-9.9999999999909103E-3</v>
      </c>
      <c r="I134" s="619">
        <v>-0.119999999999991</v>
      </c>
      <c r="J134" s="619">
        <v>-0.119999999999991</v>
      </c>
      <c r="K134" s="619">
        <v>-0.119999999999991</v>
      </c>
      <c r="L134" s="619">
        <v>-0.12999999999999101</v>
      </c>
      <c r="M134" s="619">
        <v>-0.12999999999999101</v>
      </c>
      <c r="N134" s="619">
        <v>-0.12999999999999101</v>
      </c>
      <c r="O134" s="619">
        <v>-0.12999999999999101</v>
      </c>
      <c r="P134" s="619">
        <v>438.24</v>
      </c>
      <c r="Q134" s="619">
        <v>301</v>
      </c>
      <c r="R134" s="619">
        <v>0</v>
      </c>
      <c r="S134" s="498">
        <f t="shared" si="36"/>
        <v>83.876666666666679</v>
      </c>
      <c r="T134" s="620"/>
      <c r="U134" s="657">
        <f t="shared" si="34"/>
        <v>83.876666666666679</v>
      </c>
      <c r="V134" s="690"/>
      <c r="W134" s="690"/>
      <c r="X134" s="713"/>
      <c r="Y134" s="690"/>
      <c r="Z134" s="690"/>
      <c r="AA134" s="657"/>
      <c r="AB134" s="690"/>
      <c r="AC134" s="658"/>
      <c r="AD134" s="659">
        <f t="shared" si="35"/>
        <v>83.876666666666679</v>
      </c>
      <c r="AE134" s="658"/>
      <c r="AF134" s="688">
        <f t="shared" si="25"/>
        <v>0</v>
      </c>
    </row>
    <row r="135" spans="1:32">
      <c r="A135" s="620">
        <v>122</v>
      </c>
      <c r="B135" s="326" t="s">
        <v>1148</v>
      </c>
      <c r="C135" s="326" t="s">
        <v>445</v>
      </c>
      <c r="D135" s="326" t="s">
        <v>629</v>
      </c>
      <c r="E135" s="618" t="s">
        <v>1536</v>
      </c>
      <c r="F135" s="619">
        <v>307766.09000000003</v>
      </c>
      <c r="G135" s="619">
        <v>333531.90999999997</v>
      </c>
      <c r="H135" s="619">
        <v>337831.14</v>
      </c>
      <c r="I135" s="619">
        <v>376089.57</v>
      </c>
      <c r="J135" s="619">
        <v>373404.21</v>
      </c>
      <c r="K135" s="619">
        <v>400312.55</v>
      </c>
      <c r="L135" s="619">
        <v>401400.87</v>
      </c>
      <c r="M135" s="619">
        <v>394222.13</v>
      </c>
      <c r="N135" s="619">
        <v>334060.74</v>
      </c>
      <c r="O135" s="619">
        <v>334039.48</v>
      </c>
      <c r="P135" s="619">
        <v>327504.84999999998</v>
      </c>
      <c r="Q135" s="619">
        <v>342023.69</v>
      </c>
      <c r="R135" s="619">
        <v>335701.16</v>
      </c>
      <c r="S135" s="498">
        <f t="shared" si="36"/>
        <v>356346.23041666672</v>
      </c>
      <c r="T135" s="620"/>
      <c r="U135" s="657">
        <f t="shared" si="34"/>
        <v>356346.23041666672</v>
      </c>
      <c r="V135" s="690"/>
      <c r="W135" s="690"/>
      <c r="X135" s="713"/>
      <c r="Y135" s="690"/>
      <c r="Z135" s="690"/>
      <c r="AA135" s="657"/>
      <c r="AB135" s="690"/>
      <c r="AC135" s="658"/>
      <c r="AD135" s="659">
        <f t="shared" si="35"/>
        <v>356346.23041666672</v>
      </c>
      <c r="AE135" s="658"/>
      <c r="AF135" s="688">
        <f t="shared" si="25"/>
        <v>0</v>
      </c>
    </row>
    <row r="136" spans="1:32">
      <c r="A136" s="620">
        <v>123</v>
      </c>
      <c r="B136" s="326" t="s">
        <v>1149</v>
      </c>
      <c r="C136" s="326" t="s">
        <v>445</v>
      </c>
      <c r="D136" s="326" t="s">
        <v>629</v>
      </c>
      <c r="E136" s="618" t="s">
        <v>1537</v>
      </c>
      <c r="F136" s="619">
        <v>348930.45</v>
      </c>
      <c r="G136" s="619">
        <v>316020.49</v>
      </c>
      <c r="H136" s="619">
        <v>311190.42</v>
      </c>
      <c r="I136" s="619">
        <v>313079.14</v>
      </c>
      <c r="J136" s="619">
        <v>308208.81</v>
      </c>
      <c r="K136" s="619">
        <v>333227.8</v>
      </c>
      <c r="L136" s="619">
        <v>325831.02</v>
      </c>
      <c r="M136" s="619">
        <v>318188.95</v>
      </c>
      <c r="N136" s="619">
        <v>310247.08</v>
      </c>
      <c r="O136" s="619">
        <v>318837.53000000003</v>
      </c>
      <c r="P136" s="619">
        <v>339435.53</v>
      </c>
      <c r="Q136" s="619">
        <v>338797.96</v>
      </c>
      <c r="R136" s="619">
        <v>251761.23</v>
      </c>
      <c r="S136" s="498">
        <f t="shared" si="36"/>
        <v>319450.88083333336</v>
      </c>
      <c r="T136" s="620"/>
      <c r="U136" s="657">
        <f t="shared" si="34"/>
        <v>319450.88083333336</v>
      </c>
      <c r="V136" s="690"/>
      <c r="W136" s="690"/>
      <c r="X136" s="713"/>
      <c r="Y136" s="690"/>
      <c r="Z136" s="690"/>
      <c r="AA136" s="657"/>
      <c r="AB136" s="690"/>
      <c r="AC136" s="658"/>
      <c r="AD136" s="659">
        <f t="shared" si="35"/>
        <v>319450.88083333336</v>
      </c>
      <c r="AE136" s="658"/>
      <c r="AF136" s="688">
        <f t="shared" si="25"/>
        <v>0</v>
      </c>
    </row>
    <row r="137" spans="1:32">
      <c r="A137" s="620">
        <v>124</v>
      </c>
      <c r="B137" s="326" t="s">
        <v>1150</v>
      </c>
      <c r="C137" s="326" t="s">
        <v>445</v>
      </c>
      <c r="D137" s="326" t="s">
        <v>629</v>
      </c>
      <c r="E137" s="618" t="s">
        <v>1538</v>
      </c>
      <c r="F137" s="619">
        <v>144477.1</v>
      </c>
      <c r="G137" s="619">
        <v>141959.82</v>
      </c>
      <c r="H137" s="619">
        <v>143740.49</v>
      </c>
      <c r="I137" s="619">
        <v>148297.29999999999</v>
      </c>
      <c r="J137" s="619">
        <v>148045.94</v>
      </c>
      <c r="K137" s="619">
        <v>147676.54</v>
      </c>
      <c r="L137" s="619">
        <v>143696.63</v>
      </c>
      <c r="M137" s="619">
        <v>138270.57999999999</v>
      </c>
      <c r="N137" s="619">
        <v>150672.95999999999</v>
      </c>
      <c r="O137" s="619">
        <v>153418.91</v>
      </c>
      <c r="P137" s="619">
        <v>141472.29</v>
      </c>
      <c r="Q137" s="619">
        <v>143707.03</v>
      </c>
      <c r="R137" s="619">
        <v>142314.16</v>
      </c>
      <c r="S137" s="498">
        <f t="shared" si="36"/>
        <v>145362.84333333335</v>
      </c>
      <c r="T137" s="620"/>
      <c r="U137" s="657">
        <f t="shared" si="34"/>
        <v>145362.84333333335</v>
      </c>
      <c r="V137" s="690"/>
      <c r="W137" s="690"/>
      <c r="X137" s="713"/>
      <c r="Y137" s="690"/>
      <c r="Z137" s="690"/>
      <c r="AA137" s="657"/>
      <c r="AB137" s="690"/>
      <c r="AC137" s="658"/>
      <c r="AD137" s="659">
        <f t="shared" si="35"/>
        <v>145362.84333333335</v>
      </c>
      <c r="AE137" s="658"/>
      <c r="AF137" s="688">
        <f t="shared" si="25"/>
        <v>0</v>
      </c>
    </row>
    <row r="138" spans="1:32">
      <c r="A138" s="620">
        <v>125</v>
      </c>
      <c r="B138" s="326" t="s">
        <v>1151</v>
      </c>
      <c r="C138" s="326" t="s">
        <v>445</v>
      </c>
      <c r="D138" s="326" t="s">
        <v>629</v>
      </c>
      <c r="E138" s="618" t="s">
        <v>1539</v>
      </c>
      <c r="F138" s="619">
        <v>58203.88</v>
      </c>
      <c r="G138" s="619">
        <v>59485.39</v>
      </c>
      <c r="H138" s="619">
        <v>59610.83</v>
      </c>
      <c r="I138" s="619">
        <v>59165.21</v>
      </c>
      <c r="J138" s="619">
        <v>58764.37</v>
      </c>
      <c r="K138" s="619">
        <v>56733.97</v>
      </c>
      <c r="L138" s="619">
        <v>56958.17</v>
      </c>
      <c r="M138" s="619">
        <v>55829.18</v>
      </c>
      <c r="N138" s="619">
        <v>56518.74</v>
      </c>
      <c r="O138" s="619">
        <v>55774.22</v>
      </c>
      <c r="P138" s="619">
        <v>66490.77</v>
      </c>
      <c r="Q138" s="619">
        <v>62884.21</v>
      </c>
      <c r="R138" s="619">
        <v>62373.23</v>
      </c>
      <c r="S138" s="498">
        <f t="shared" si="36"/>
        <v>59041.967916666668</v>
      </c>
      <c r="T138" s="620"/>
      <c r="U138" s="657">
        <f t="shared" si="34"/>
        <v>59041.967916666668</v>
      </c>
      <c r="V138" s="690"/>
      <c r="W138" s="690"/>
      <c r="X138" s="713"/>
      <c r="Y138" s="690"/>
      <c r="Z138" s="690"/>
      <c r="AA138" s="657"/>
      <c r="AB138" s="690"/>
      <c r="AC138" s="658"/>
      <c r="AD138" s="659">
        <f t="shared" si="35"/>
        <v>59041.967916666668</v>
      </c>
      <c r="AE138" s="658"/>
      <c r="AF138" s="688">
        <f t="shared" si="25"/>
        <v>0</v>
      </c>
    </row>
    <row r="139" spans="1:32">
      <c r="A139" s="620">
        <v>126</v>
      </c>
      <c r="B139" s="326" t="s">
        <v>1152</v>
      </c>
      <c r="C139" s="326" t="s">
        <v>445</v>
      </c>
      <c r="D139" s="326" t="s">
        <v>629</v>
      </c>
      <c r="E139" s="618" t="s">
        <v>1540</v>
      </c>
      <c r="F139" s="619">
        <v>255478.3</v>
      </c>
      <c r="G139" s="619">
        <v>259044.32</v>
      </c>
      <c r="H139" s="619">
        <v>252470.7</v>
      </c>
      <c r="I139" s="619">
        <v>319141.57</v>
      </c>
      <c r="J139" s="619">
        <v>328578.74</v>
      </c>
      <c r="K139" s="619">
        <v>321366.49</v>
      </c>
      <c r="L139" s="619">
        <v>253625.88</v>
      </c>
      <c r="M139" s="619">
        <v>256666.02</v>
      </c>
      <c r="N139" s="619">
        <v>222846.84</v>
      </c>
      <c r="O139" s="619">
        <v>250737.87</v>
      </c>
      <c r="P139" s="619">
        <v>378460.07</v>
      </c>
      <c r="Q139" s="619">
        <v>402588.21</v>
      </c>
      <c r="R139" s="619">
        <v>446580.76</v>
      </c>
      <c r="S139" s="498">
        <f t="shared" si="36"/>
        <v>299713.02</v>
      </c>
      <c r="T139" s="620"/>
      <c r="U139" s="657">
        <f t="shared" si="34"/>
        <v>299713.02</v>
      </c>
      <c r="V139" s="690"/>
      <c r="W139" s="690"/>
      <c r="X139" s="713"/>
      <c r="Y139" s="690"/>
      <c r="Z139" s="690"/>
      <c r="AA139" s="657"/>
      <c r="AB139" s="690"/>
      <c r="AC139" s="658"/>
      <c r="AD139" s="659">
        <f t="shared" si="35"/>
        <v>299713.02</v>
      </c>
      <c r="AE139" s="658"/>
      <c r="AF139" s="688">
        <f t="shared" si="25"/>
        <v>0</v>
      </c>
    </row>
    <row r="140" spans="1:32">
      <c r="A140" s="620">
        <v>127</v>
      </c>
      <c r="B140" s="326" t="s">
        <v>1408</v>
      </c>
      <c r="C140" s="326" t="s">
        <v>445</v>
      </c>
      <c r="D140" s="326" t="s">
        <v>629</v>
      </c>
      <c r="E140" s="618" t="s">
        <v>1541</v>
      </c>
      <c r="F140" s="619">
        <v>-1541.61</v>
      </c>
      <c r="G140" s="619">
        <v>0</v>
      </c>
      <c r="H140" s="619">
        <v>0</v>
      </c>
      <c r="I140" s="619">
        <v>-0.01</v>
      </c>
      <c r="J140" s="619">
        <v>-0.01</v>
      </c>
      <c r="K140" s="619">
        <v>9811.2099999999991</v>
      </c>
      <c r="L140" s="619">
        <v>-1.00000000002183E-2</v>
      </c>
      <c r="M140" s="619">
        <v>-1.00000000002183E-2</v>
      </c>
      <c r="N140" s="619">
        <v>-1.00000000002183E-2</v>
      </c>
      <c r="O140" s="619">
        <v>-1.00000000002183E-2</v>
      </c>
      <c r="P140" s="619">
        <v>-1.00000000002183E-2</v>
      </c>
      <c r="Q140" s="619">
        <v>-1.00000000002183E-2</v>
      </c>
      <c r="R140" s="619">
        <v>-2.1827852025868599E-13</v>
      </c>
      <c r="S140" s="498">
        <f t="shared" si="36"/>
        <v>753.36041666666642</v>
      </c>
      <c r="T140" s="620"/>
      <c r="U140" s="657">
        <f t="shared" si="34"/>
        <v>753.36041666666642</v>
      </c>
      <c r="V140" s="690"/>
      <c r="W140" s="690"/>
      <c r="X140" s="713"/>
      <c r="Y140" s="690"/>
      <c r="Z140" s="690"/>
      <c r="AA140" s="657"/>
      <c r="AB140" s="690"/>
      <c r="AC140" s="658"/>
      <c r="AD140" s="659">
        <f t="shared" si="35"/>
        <v>753.36041666666642</v>
      </c>
      <c r="AE140" s="658"/>
      <c r="AF140" s="688">
        <f t="shared" si="25"/>
        <v>0</v>
      </c>
    </row>
    <row r="141" spans="1:32">
      <c r="A141" s="620">
        <v>128</v>
      </c>
      <c r="B141" s="326" t="s">
        <v>977</v>
      </c>
      <c r="C141" s="326" t="s">
        <v>445</v>
      </c>
      <c r="D141" s="326" t="s">
        <v>1153</v>
      </c>
      <c r="E141" s="618" t="s">
        <v>1542</v>
      </c>
      <c r="F141" s="619">
        <v>342609.97</v>
      </c>
      <c r="G141" s="619">
        <v>270974.21000000002</v>
      </c>
      <c r="H141" s="619">
        <v>314373.59999999998</v>
      </c>
      <c r="I141" s="619">
        <v>314373.59999999998</v>
      </c>
      <c r="J141" s="619">
        <v>360932.07</v>
      </c>
      <c r="K141" s="619">
        <v>366522.79</v>
      </c>
      <c r="L141" s="619">
        <v>366522.79</v>
      </c>
      <c r="M141" s="619">
        <v>305781.68</v>
      </c>
      <c r="N141" s="619">
        <v>309144.18</v>
      </c>
      <c r="O141" s="619">
        <v>428507.61</v>
      </c>
      <c r="P141" s="619">
        <v>362627.49</v>
      </c>
      <c r="Q141" s="619">
        <v>361977.49</v>
      </c>
      <c r="R141" s="619">
        <v>361977.49</v>
      </c>
      <c r="S141" s="498">
        <f t="shared" si="36"/>
        <v>342835.9366666667</v>
      </c>
      <c r="T141" s="620"/>
      <c r="U141" s="657">
        <f t="shared" si="34"/>
        <v>342835.9366666667</v>
      </c>
      <c r="V141" s="690"/>
      <c r="W141" s="690"/>
      <c r="X141" s="713"/>
      <c r="Y141" s="690"/>
      <c r="Z141" s="690"/>
      <c r="AA141" s="657"/>
      <c r="AB141" s="690"/>
      <c r="AC141" s="658"/>
      <c r="AD141" s="659">
        <f t="shared" si="35"/>
        <v>342835.9366666667</v>
      </c>
      <c r="AE141" s="658"/>
      <c r="AF141" s="688">
        <f t="shared" si="25"/>
        <v>0</v>
      </c>
    </row>
    <row r="142" spans="1:32">
      <c r="A142" s="620"/>
      <c r="B142" s="326"/>
      <c r="C142" s="326" t="s">
        <v>445</v>
      </c>
      <c r="D142" s="326" t="s">
        <v>1154</v>
      </c>
      <c r="E142" s="618" t="s">
        <v>1877</v>
      </c>
      <c r="F142" s="619">
        <v>0</v>
      </c>
      <c r="G142" s="619">
        <v>0</v>
      </c>
      <c r="H142" s="619">
        <v>0</v>
      </c>
      <c r="I142" s="619">
        <v>0</v>
      </c>
      <c r="J142" s="619">
        <v>0</v>
      </c>
      <c r="K142" s="619">
        <v>30.08</v>
      </c>
      <c r="L142" s="619">
        <v>30.08</v>
      </c>
      <c r="M142" s="619">
        <v>30.08</v>
      </c>
      <c r="N142" s="619">
        <v>30.08</v>
      </c>
      <c r="O142" s="619">
        <v>0</v>
      </c>
      <c r="P142" s="619">
        <v>0</v>
      </c>
      <c r="Q142" s="619">
        <v>0</v>
      </c>
      <c r="R142" s="619">
        <v>0</v>
      </c>
      <c r="S142" s="498">
        <f t="shared" si="36"/>
        <v>10.026666666666666</v>
      </c>
      <c r="T142" s="620"/>
      <c r="U142" s="657">
        <f>+S142</f>
        <v>10.026666666666666</v>
      </c>
      <c r="V142" s="690"/>
      <c r="W142" s="690"/>
      <c r="X142" s="713"/>
      <c r="Y142" s="690"/>
      <c r="Z142" s="690"/>
      <c r="AA142" s="657"/>
      <c r="AB142" s="690"/>
      <c r="AC142" s="658"/>
      <c r="AD142" s="659">
        <f t="shared" si="35"/>
        <v>10.026666666666666</v>
      </c>
      <c r="AE142" s="658"/>
      <c r="AF142" s="688">
        <f t="shared" si="25"/>
        <v>0</v>
      </c>
    </row>
    <row r="143" spans="1:32">
      <c r="A143" s="620">
        <v>129</v>
      </c>
      <c r="B143" s="326" t="s">
        <v>977</v>
      </c>
      <c r="C143" s="326" t="s">
        <v>446</v>
      </c>
      <c r="D143" s="326" t="s">
        <v>1155</v>
      </c>
      <c r="E143" s="618" t="s">
        <v>1543</v>
      </c>
      <c r="F143" s="619">
        <v>0</v>
      </c>
      <c r="G143" s="619">
        <v>5554.66</v>
      </c>
      <c r="H143" s="619">
        <v>7006</v>
      </c>
      <c r="I143" s="619">
        <v>12453.95</v>
      </c>
      <c r="J143" s="619">
        <v>24053.51</v>
      </c>
      <c r="K143" s="619">
        <v>31758.91</v>
      </c>
      <c r="L143" s="619">
        <v>35174.400000000001</v>
      </c>
      <c r="M143" s="619">
        <v>40466.97</v>
      </c>
      <c r="N143" s="619">
        <v>46492.78</v>
      </c>
      <c r="O143" s="619">
        <v>49842.92</v>
      </c>
      <c r="P143" s="619">
        <v>52568.959999999999</v>
      </c>
      <c r="Q143" s="619">
        <v>56544.08</v>
      </c>
      <c r="R143" s="619">
        <v>0</v>
      </c>
      <c r="S143" s="498">
        <f t="shared" ref="S143:S148" si="37">((F143+R143)+((G143+H143+I143+J143+K143+L143+M143+N143+O143+P143+Q143)*2))/24</f>
        <v>30159.761666666669</v>
      </c>
      <c r="T143" s="620"/>
      <c r="U143" s="657">
        <f t="shared" si="34"/>
        <v>30159.761666666669</v>
      </c>
      <c r="V143" s="690"/>
      <c r="W143" s="690"/>
      <c r="X143" s="713"/>
      <c r="Y143" s="690"/>
      <c r="Z143" s="690"/>
      <c r="AA143" s="657"/>
      <c r="AB143" s="690"/>
      <c r="AC143" s="658"/>
      <c r="AD143" s="659">
        <f t="shared" si="35"/>
        <v>30159.761666666669</v>
      </c>
      <c r="AE143" s="658"/>
      <c r="AF143" s="688">
        <f t="shared" si="25"/>
        <v>0</v>
      </c>
    </row>
    <row r="144" spans="1:32">
      <c r="A144" s="620">
        <v>130</v>
      </c>
      <c r="B144" s="326" t="s">
        <v>977</v>
      </c>
      <c r="C144" s="326" t="s">
        <v>446</v>
      </c>
      <c r="D144" s="326" t="s">
        <v>1156</v>
      </c>
      <c r="E144" s="618" t="s">
        <v>1878</v>
      </c>
      <c r="F144" s="619">
        <v>0</v>
      </c>
      <c r="G144" s="619">
        <v>1200.6099999999999</v>
      </c>
      <c r="H144" s="619">
        <v>0</v>
      </c>
      <c r="I144" s="619">
        <v>0</v>
      </c>
      <c r="J144" s="619">
        <v>0</v>
      </c>
      <c r="K144" s="619">
        <v>0</v>
      </c>
      <c r="L144" s="619">
        <v>0</v>
      </c>
      <c r="M144" s="619">
        <v>0</v>
      </c>
      <c r="N144" s="619">
        <v>0</v>
      </c>
      <c r="O144" s="619">
        <v>0</v>
      </c>
      <c r="P144" s="619">
        <v>0</v>
      </c>
      <c r="Q144" s="619">
        <v>0</v>
      </c>
      <c r="R144" s="619">
        <v>0</v>
      </c>
      <c r="S144" s="498">
        <f t="shared" si="37"/>
        <v>100.05083333333333</v>
      </c>
      <c r="T144" s="620"/>
      <c r="U144" s="657">
        <f t="shared" si="34"/>
        <v>100.05083333333333</v>
      </c>
      <c r="V144" s="690"/>
      <c r="W144" s="690"/>
      <c r="X144" s="713"/>
      <c r="Y144" s="690"/>
      <c r="Z144" s="690"/>
      <c r="AA144" s="657"/>
      <c r="AB144" s="690"/>
      <c r="AC144" s="658"/>
      <c r="AD144" s="659">
        <f t="shared" si="35"/>
        <v>100.05083333333333</v>
      </c>
      <c r="AE144" s="658"/>
      <c r="AF144" s="688">
        <f t="shared" si="25"/>
        <v>0</v>
      </c>
    </row>
    <row r="145" spans="1:32">
      <c r="A145" s="620">
        <v>131</v>
      </c>
      <c r="B145" s="326" t="s">
        <v>977</v>
      </c>
      <c r="C145" s="326" t="s">
        <v>446</v>
      </c>
      <c r="D145" s="326" t="s">
        <v>1157</v>
      </c>
      <c r="E145" s="618" t="s">
        <v>1544</v>
      </c>
      <c r="F145" s="619">
        <v>1.45519152283669E-11</v>
      </c>
      <c r="G145" s="619">
        <v>5491.47</v>
      </c>
      <c r="H145" s="619">
        <v>4727.83</v>
      </c>
      <c r="I145" s="619">
        <v>5058.41</v>
      </c>
      <c r="J145" s="619">
        <v>16509</v>
      </c>
      <c r="K145" s="619">
        <v>265880.13</v>
      </c>
      <c r="L145" s="619">
        <v>0</v>
      </c>
      <c r="M145" s="619">
        <v>170.96</v>
      </c>
      <c r="N145" s="619">
        <v>4905.74</v>
      </c>
      <c r="O145" s="619">
        <v>4968.67</v>
      </c>
      <c r="P145" s="619">
        <v>4861.63</v>
      </c>
      <c r="Q145" s="619">
        <v>5867.16</v>
      </c>
      <c r="R145" s="619">
        <v>0</v>
      </c>
      <c r="S145" s="498">
        <f t="shared" si="37"/>
        <v>26536.75</v>
      </c>
      <c r="T145" s="620"/>
      <c r="U145" s="657">
        <f t="shared" si="34"/>
        <v>26536.75</v>
      </c>
      <c r="V145" s="690"/>
      <c r="W145" s="690"/>
      <c r="X145" s="713"/>
      <c r="Y145" s="690"/>
      <c r="Z145" s="690"/>
      <c r="AA145" s="657"/>
      <c r="AB145" s="690"/>
      <c r="AC145" s="658"/>
      <c r="AD145" s="659">
        <f t="shared" si="35"/>
        <v>26536.75</v>
      </c>
      <c r="AE145" s="658"/>
      <c r="AF145" s="688">
        <f t="shared" si="25"/>
        <v>0</v>
      </c>
    </row>
    <row r="146" spans="1:32">
      <c r="A146" s="620">
        <v>132</v>
      </c>
      <c r="B146" s="326" t="s">
        <v>977</v>
      </c>
      <c r="C146" s="326" t="s">
        <v>447</v>
      </c>
      <c r="D146" s="326" t="s">
        <v>448</v>
      </c>
      <c r="E146" s="618" t="s">
        <v>449</v>
      </c>
      <c r="F146" s="619">
        <v>299383.02</v>
      </c>
      <c r="G146" s="619">
        <v>352269.37</v>
      </c>
      <c r="H146" s="619">
        <v>0</v>
      </c>
      <c r="I146" s="619">
        <v>1962286.41</v>
      </c>
      <c r="J146" s="619">
        <v>174242.51</v>
      </c>
      <c r="K146" s="619">
        <v>45156.81</v>
      </c>
      <c r="L146" s="619">
        <v>52366.44</v>
      </c>
      <c r="M146" s="619">
        <v>28125.27</v>
      </c>
      <c r="N146" s="619">
        <v>74226.77</v>
      </c>
      <c r="O146" s="619">
        <v>86273</v>
      </c>
      <c r="P146" s="619">
        <v>1.45519152283669E-11</v>
      </c>
      <c r="Q146" s="619">
        <v>85807.33</v>
      </c>
      <c r="R146" s="619">
        <v>792674.16</v>
      </c>
      <c r="S146" s="498">
        <f t="shared" si="37"/>
        <v>283898.54166666669</v>
      </c>
      <c r="T146" s="620"/>
      <c r="U146" s="657">
        <f t="shared" si="34"/>
        <v>283898.54166666669</v>
      </c>
      <c r="V146" s="690"/>
      <c r="W146" s="690"/>
      <c r="X146" s="713"/>
      <c r="Y146" s="690"/>
      <c r="Z146" s="690"/>
      <c r="AA146" s="657"/>
      <c r="AB146" s="690"/>
      <c r="AC146" s="658"/>
      <c r="AD146" s="659">
        <f t="shared" si="35"/>
        <v>283898.54166666669</v>
      </c>
      <c r="AE146" s="658"/>
      <c r="AF146" s="688">
        <f t="shared" si="25"/>
        <v>0</v>
      </c>
    </row>
    <row r="147" spans="1:32">
      <c r="A147" s="620">
        <v>133</v>
      </c>
      <c r="B147" s="326" t="s">
        <v>977</v>
      </c>
      <c r="C147" s="326" t="s">
        <v>447</v>
      </c>
      <c r="D147" s="326" t="s">
        <v>493</v>
      </c>
      <c r="E147" s="618" t="s">
        <v>726</v>
      </c>
      <c r="F147" s="619">
        <v>97275.8</v>
      </c>
      <c r="G147" s="619">
        <v>124685.06</v>
      </c>
      <c r="H147" s="619">
        <v>152853.23000000001</v>
      </c>
      <c r="I147" s="619">
        <v>96949.61</v>
      </c>
      <c r="J147" s="619">
        <v>107933.45</v>
      </c>
      <c r="K147" s="619">
        <v>117734.06</v>
      </c>
      <c r="L147" s="619">
        <v>134136.34</v>
      </c>
      <c r="M147" s="619">
        <v>89459.73</v>
      </c>
      <c r="N147" s="619">
        <v>109607.47</v>
      </c>
      <c r="O147" s="619">
        <v>133693.88</v>
      </c>
      <c r="P147" s="619">
        <v>44634.29</v>
      </c>
      <c r="Q147" s="619">
        <v>71995.61</v>
      </c>
      <c r="R147" s="619">
        <v>100984.61</v>
      </c>
      <c r="S147" s="498">
        <f t="shared" si="37"/>
        <v>106901.07791666669</v>
      </c>
      <c r="T147" s="620"/>
      <c r="U147" s="657">
        <f t="shared" si="34"/>
        <v>106901.07791666669</v>
      </c>
      <c r="V147" s="690"/>
      <c r="W147" s="690"/>
      <c r="X147" s="713"/>
      <c r="Y147" s="690"/>
      <c r="Z147" s="690"/>
      <c r="AA147" s="657"/>
      <c r="AB147" s="690"/>
      <c r="AC147" s="658"/>
      <c r="AD147" s="659">
        <f t="shared" si="35"/>
        <v>106901.07791666669</v>
      </c>
      <c r="AE147" s="658"/>
      <c r="AF147" s="688">
        <f t="shared" si="25"/>
        <v>0</v>
      </c>
    </row>
    <row r="148" spans="1:32">
      <c r="A148" s="620">
        <v>134</v>
      </c>
      <c r="B148" s="326" t="s">
        <v>977</v>
      </c>
      <c r="C148" s="326" t="s">
        <v>450</v>
      </c>
      <c r="D148" s="326" t="s">
        <v>461</v>
      </c>
      <c r="E148" s="618" t="s">
        <v>451</v>
      </c>
      <c r="F148" s="619">
        <v>1940548.63</v>
      </c>
      <c r="G148" s="619">
        <v>1806480.37</v>
      </c>
      <c r="H148" s="619">
        <v>459068.21</v>
      </c>
      <c r="I148" s="619">
        <v>151095.42000000001</v>
      </c>
      <c r="J148" s="619">
        <v>480683.88</v>
      </c>
      <c r="K148" s="619">
        <v>826643.67</v>
      </c>
      <c r="L148" s="619">
        <v>1367391.12</v>
      </c>
      <c r="M148" s="619">
        <v>1817922.09</v>
      </c>
      <c r="N148" s="619">
        <v>2343168.5299999998</v>
      </c>
      <c r="O148" s="619">
        <v>3003087.8</v>
      </c>
      <c r="P148" s="619">
        <v>3407746.16</v>
      </c>
      <c r="Q148" s="619">
        <v>3032829.84</v>
      </c>
      <c r="R148" s="619">
        <v>1844137.53</v>
      </c>
      <c r="S148" s="498">
        <f t="shared" si="37"/>
        <v>1715705.0141666669</v>
      </c>
      <c r="T148" s="620"/>
      <c r="U148" s="657">
        <f t="shared" si="34"/>
        <v>1715705.0141666669</v>
      </c>
      <c r="V148" s="690"/>
      <c r="W148" s="690"/>
      <c r="X148" s="713"/>
      <c r="Y148" s="690"/>
      <c r="Z148" s="690"/>
      <c r="AA148" s="657"/>
      <c r="AB148" s="690"/>
      <c r="AC148" s="658"/>
      <c r="AD148" s="659">
        <f t="shared" si="35"/>
        <v>1715705.0141666669</v>
      </c>
      <c r="AE148" s="658"/>
      <c r="AF148" s="688">
        <f t="shared" si="25"/>
        <v>0</v>
      </c>
    </row>
    <row r="149" spans="1:32">
      <c r="A149" s="620">
        <v>135</v>
      </c>
      <c r="B149" s="620"/>
      <c r="C149" s="620"/>
      <c r="D149" s="620"/>
      <c r="E149" s="618" t="s">
        <v>452</v>
      </c>
      <c r="F149" s="305">
        <f t="shared" ref="F149:S149" si="38">SUM(F124:F148)</f>
        <v>8031490.5800000001</v>
      </c>
      <c r="G149" s="305">
        <f t="shared" si="38"/>
        <v>7862193.7300000014</v>
      </c>
      <c r="H149" s="305">
        <f t="shared" si="38"/>
        <v>6254790.1600000001</v>
      </c>
      <c r="I149" s="305">
        <f t="shared" si="38"/>
        <v>8047244.4700000007</v>
      </c>
      <c r="J149" s="305">
        <f t="shared" si="38"/>
        <v>6674814.6799999997</v>
      </c>
      <c r="K149" s="305">
        <f t="shared" si="38"/>
        <v>7457568.4099999992</v>
      </c>
      <c r="L149" s="305">
        <f t="shared" si="38"/>
        <v>7714679.6200000001</v>
      </c>
      <c r="M149" s="305">
        <f t="shared" si="38"/>
        <v>8387161.3599999985</v>
      </c>
      <c r="N149" s="305">
        <f t="shared" si="38"/>
        <v>9210080.6500000004</v>
      </c>
      <c r="O149" s="305">
        <f t="shared" si="38"/>
        <v>9704412.5600000005</v>
      </c>
      <c r="P149" s="305">
        <f t="shared" si="38"/>
        <v>10096520.32</v>
      </c>
      <c r="Q149" s="305">
        <f t="shared" si="38"/>
        <v>9951034.1700000018</v>
      </c>
      <c r="R149" s="305">
        <f t="shared" si="38"/>
        <v>9214197.9400000013</v>
      </c>
      <c r="S149" s="500">
        <f t="shared" si="38"/>
        <v>8331945.3658333337</v>
      </c>
      <c r="T149" s="620"/>
      <c r="U149" s="657"/>
      <c r="V149" s="690"/>
      <c r="W149" s="690"/>
      <c r="X149" s="713"/>
      <c r="Y149" s="690"/>
      <c r="Z149" s="690"/>
      <c r="AA149" s="657"/>
      <c r="AB149" s="690"/>
      <c r="AC149" s="658"/>
      <c r="AD149" s="658"/>
      <c r="AE149" s="658"/>
      <c r="AF149" s="688">
        <f t="shared" si="25"/>
        <v>0</v>
      </c>
    </row>
    <row r="150" spans="1:32">
      <c r="A150" s="620">
        <v>136</v>
      </c>
      <c r="B150" s="620"/>
      <c r="C150" s="620"/>
      <c r="D150" s="620"/>
      <c r="E150" s="605"/>
      <c r="F150" s="619"/>
      <c r="G150" s="314"/>
      <c r="H150" s="315"/>
      <c r="I150" s="315"/>
      <c r="J150" s="316"/>
      <c r="K150" s="317"/>
      <c r="L150" s="318"/>
      <c r="M150" s="319"/>
      <c r="N150" s="320"/>
      <c r="O150" s="606"/>
      <c r="P150" s="321"/>
      <c r="Q150" s="322"/>
      <c r="R150" s="619"/>
      <c r="S150" s="304"/>
      <c r="T150" s="620"/>
      <c r="U150" s="657"/>
      <c r="V150" s="690"/>
      <c r="W150" s="690"/>
      <c r="X150" s="713"/>
      <c r="Y150" s="690"/>
      <c r="Z150" s="690"/>
      <c r="AA150" s="657"/>
      <c r="AB150" s="690"/>
      <c r="AC150" s="658"/>
      <c r="AD150" s="658"/>
      <c r="AE150" s="658"/>
      <c r="AF150" s="688">
        <f t="shared" ref="AF150:AF224" si="39">+U150+V150-AD150</f>
        <v>0</v>
      </c>
    </row>
    <row r="151" spans="1:32">
      <c r="A151" s="620">
        <v>137</v>
      </c>
      <c r="B151" s="326" t="s">
        <v>977</v>
      </c>
      <c r="C151" s="326" t="s">
        <v>453</v>
      </c>
      <c r="D151" s="326" t="s">
        <v>970</v>
      </c>
      <c r="E151" s="618" t="s">
        <v>1879</v>
      </c>
      <c r="F151" s="619">
        <v>130504.06</v>
      </c>
      <c r="G151" s="619">
        <v>1134528.29</v>
      </c>
      <c r="H151" s="619">
        <v>1068508.95</v>
      </c>
      <c r="I151" s="619">
        <v>1009952.35</v>
      </c>
      <c r="J151" s="619">
        <v>853139</v>
      </c>
      <c r="K151" s="619">
        <v>744691.34</v>
      </c>
      <c r="L151" s="619">
        <v>645685.64</v>
      </c>
      <c r="M151" s="619">
        <v>527132.48</v>
      </c>
      <c r="N151" s="619">
        <v>408579.32</v>
      </c>
      <c r="O151" s="619">
        <v>329784.62</v>
      </c>
      <c r="P151" s="619">
        <v>211491.97</v>
      </c>
      <c r="Q151" s="619">
        <v>257118.74</v>
      </c>
      <c r="R151" s="619">
        <v>138018.51999999999</v>
      </c>
      <c r="S151" s="498">
        <f t="shared" ref="S151:S168" si="40">((F151+R151)+((G151+H151+I151+J151+K151+L151+M151+N151+O151+P151+Q151)*2))/24</f>
        <v>610406.16583333339</v>
      </c>
      <c r="T151" s="620"/>
      <c r="U151" s="657">
        <f t="shared" ref="U151:U166" si="41">+S151</f>
        <v>610406.16583333339</v>
      </c>
      <c r="V151" s="690"/>
      <c r="W151" s="690"/>
      <c r="X151" s="713"/>
      <c r="Y151" s="690"/>
      <c r="Z151" s="690"/>
      <c r="AA151" s="657"/>
      <c r="AB151" s="690"/>
      <c r="AC151" s="658"/>
      <c r="AD151" s="659">
        <f t="shared" ref="AD151:AD168" si="42">+U151</f>
        <v>610406.16583333339</v>
      </c>
      <c r="AE151" s="658"/>
      <c r="AF151" s="688">
        <f t="shared" si="39"/>
        <v>0</v>
      </c>
    </row>
    <row r="152" spans="1:32">
      <c r="A152" s="620">
        <v>138</v>
      </c>
      <c r="B152" s="326" t="s">
        <v>977</v>
      </c>
      <c r="C152" s="326" t="s">
        <v>454</v>
      </c>
      <c r="D152" s="326" t="s">
        <v>477</v>
      </c>
      <c r="E152" s="608" t="s">
        <v>1547</v>
      </c>
      <c r="F152" s="619">
        <v>10266422.640000001</v>
      </c>
      <c r="G152" s="619">
        <v>0</v>
      </c>
      <c r="H152" s="619">
        <v>0</v>
      </c>
      <c r="I152" s="619">
        <v>0</v>
      </c>
      <c r="J152" s="619">
        <v>0</v>
      </c>
      <c r="K152" s="619">
        <v>0</v>
      </c>
      <c r="L152" s="619">
        <v>0</v>
      </c>
      <c r="M152" s="619">
        <v>0</v>
      </c>
      <c r="N152" s="619">
        <v>0</v>
      </c>
      <c r="O152" s="619">
        <v>0</v>
      </c>
      <c r="P152" s="619">
        <v>0</v>
      </c>
      <c r="Q152" s="619">
        <v>0</v>
      </c>
      <c r="R152" s="619">
        <v>0</v>
      </c>
      <c r="S152" s="498">
        <f t="shared" si="40"/>
        <v>427767.61000000004</v>
      </c>
      <c r="T152" s="620"/>
      <c r="U152" s="657">
        <f t="shared" si="41"/>
        <v>427767.61000000004</v>
      </c>
      <c r="V152" s="690"/>
      <c r="W152" s="690"/>
      <c r="X152" s="713"/>
      <c r="Y152" s="690"/>
      <c r="Z152" s="690"/>
      <c r="AA152" s="657"/>
      <c r="AB152" s="690"/>
      <c r="AC152" s="658"/>
      <c r="AD152" s="659">
        <f t="shared" si="42"/>
        <v>427767.61000000004</v>
      </c>
      <c r="AE152" s="658"/>
      <c r="AF152" s="688">
        <f t="shared" si="39"/>
        <v>0</v>
      </c>
    </row>
    <row r="153" spans="1:32">
      <c r="A153" s="620">
        <v>139</v>
      </c>
      <c r="B153" s="326" t="s">
        <v>1005</v>
      </c>
      <c r="C153" s="326" t="s">
        <v>454</v>
      </c>
      <c r="D153" s="326" t="s">
        <v>479</v>
      </c>
      <c r="E153" s="608" t="s">
        <v>1552</v>
      </c>
      <c r="F153" s="619">
        <v>810941.04</v>
      </c>
      <c r="G153" s="619">
        <v>0</v>
      </c>
      <c r="H153" s="619">
        <v>0</v>
      </c>
      <c r="I153" s="619">
        <v>0</v>
      </c>
      <c r="J153" s="619">
        <v>0</v>
      </c>
      <c r="K153" s="619">
        <v>0</v>
      </c>
      <c r="L153" s="619">
        <v>0</v>
      </c>
      <c r="M153" s="619">
        <v>0</v>
      </c>
      <c r="N153" s="619">
        <v>0</v>
      </c>
      <c r="O153" s="619">
        <v>0</v>
      </c>
      <c r="P153" s="619">
        <v>0</v>
      </c>
      <c r="Q153" s="619">
        <v>0</v>
      </c>
      <c r="R153" s="619">
        <v>0</v>
      </c>
      <c r="S153" s="498">
        <f t="shared" si="40"/>
        <v>33789.21</v>
      </c>
      <c r="T153" s="620"/>
      <c r="U153" s="657">
        <f t="shared" si="41"/>
        <v>33789.21</v>
      </c>
      <c r="V153" s="690"/>
      <c r="W153" s="690"/>
      <c r="X153" s="713"/>
      <c r="Y153" s="690"/>
      <c r="Z153" s="690"/>
      <c r="AA153" s="657"/>
      <c r="AB153" s="690"/>
      <c r="AC153" s="658"/>
      <c r="AD153" s="659">
        <f t="shared" si="42"/>
        <v>33789.21</v>
      </c>
      <c r="AE153" s="658"/>
      <c r="AF153" s="688">
        <f t="shared" si="39"/>
        <v>0</v>
      </c>
    </row>
    <row r="154" spans="1:32">
      <c r="A154" s="620">
        <v>140</v>
      </c>
      <c r="B154" s="326" t="s">
        <v>977</v>
      </c>
      <c r="C154" s="326" t="s">
        <v>454</v>
      </c>
      <c r="D154" s="326" t="s">
        <v>481</v>
      </c>
      <c r="E154" s="608" t="s">
        <v>1548</v>
      </c>
      <c r="F154" s="619">
        <v>-71714</v>
      </c>
      <c r="G154" s="619">
        <v>0</v>
      </c>
      <c r="H154" s="619">
        <v>0</v>
      </c>
      <c r="I154" s="619">
        <v>0</v>
      </c>
      <c r="J154" s="619">
        <v>0</v>
      </c>
      <c r="K154" s="619">
        <v>0</v>
      </c>
      <c r="L154" s="619">
        <v>0</v>
      </c>
      <c r="M154" s="619">
        <v>0</v>
      </c>
      <c r="N154" s="619">
        <v>0</v>
      </c>
      <c r="O154" s="619">
        <v>0</v>
      </c>
      <c r="P154" s="619">
        <v>0</v>
      </c>
      <c r="Q154" s="619">
        <v>0</v>
      </c>
      <c r="R154" s="619">
        <v>0</v>
      </c>
      <c r="S154" s="498">
        <f t="shared" si="40"/>
        <v>-2988.0833333333335</v>
      </c>
      <c r="T154" s="620"/>
      <c r="U154" s="657">
        <f t="shared" si="41"/>
        <v>-2988.0833333333335</v>
      </c>
      <c r="V154" s="690"/>
      <c r="W154" s="690"/>
      <c r="X154" s="713"/>
      <c r="Y154" s="690"/>
      <c r="Z154" s="690"/>
      <c r="AA154" s="657"/>
      <c r="AB154" s="690"/>
      <c r="AC154" s="658"/>
      <c r="AD154" s="659">
        <f t="shared" si="42"/>
        <v>-2988.0833333333335</v>
      </c>
      <c r="AE154" s="658"/>
      <c r="AF154" s="688">
        <f t="shared" si="39"/>
        <v>0</v>
      </c>
    </row>
    <row r="155" spans="1:32">
      <c r="A155" s="620">
        <v>141</v>
      </c>
      <c r="B155" s="326" t="s">
        <v>977</v>
      </c>
      <c r="C155" s="326" t="s">
        <v>454</v>
      </c>
      <c r="D155" s="326" t="s">
        <v>455</v>
      </c>
      <c r="E155" s="608" t="s">
        <v>456</v>
      </c>
      <c r="F155" s="619">
        <v>3059262.74</v>
      </c>
      <c r="G155" s="619">
        <v>1737616.51</v>
      </c>
      <c r="H155" s="619">
        <v>419291.36</v>
      </c>
      <c r="I155" s="619">
        <v>3271523.49</v>
      </c>
      <c r="J155" s="619">
        <v>3808129.94</v>
      </c>
      <c r="K155" s="619">
        <v>3919844.69</v>
      </c>
      <c r="L155" s="619">
        <v>4186822.04</v>
      </c>
      <c r="M155" s="619">
        <v>4639280.42</v>
      </c>
      <c r="N155" s="619">
        <v>4836448.09</v>
      </c>
      <c r="O155" s="619">
        <v>4927090.6100000003</v>
      </c>
      <c r="P155" s="619">
        <v>4366986.1399999997</v>
      </c>
      <c r="Q155" s="619">
        <v>3550736.14</v>
      </c>
      <c r="R155" s="619">
        <v>3853770.95</v>
      </c>
      <c r="S155" s="498">
        <f t="shared" si="40"/>
        <v>3593357.1895833332</v>
      </c>
      <c r="T155" s="620"/>
      <c r="U155" s="657">
        <f t="shared" si="41"/>
        <v>3593357.1895833332</v>
      </c>
      <c r="V155" s="690"/>
      <c r="W155" s="690"/>
      <c r="X155" s="713"/>
      <c r="Y155" s="690"/>
      <c r="Z155" s="690"/>
      <c r="AA155" s="657"/>
      <c r="AB155" s="690"/>
      <c r="AC155" s="658"/>
      <c r="AD155" s="659">
        <f t="shared" si="42"/>
        <v>3593357.1895833332</v>
      </c>
      <c r="AE155" s="658"/>
      <c r="AF155" s="688">
        <f t="shared" si="39"/>
        <v>0</v>
      </c>
    </row>
    <row r="156" spans="1:32">
      <c r="A156" s="620">
        <v>142</v>
      </c>
      <c r="B156" s="326" t="s">
        <v>977</v>
      </c>
      <c r="C156" s="326" t="s">
        <v>454</v>
      </c>
      <c r="D156" s="326" t="s">
        <v>486</v>
      </c>
      <c r="E156" s="608" t="s">
        <v>1410</v>
      </c>
      <c r="F156" s="619">
        <v>218269.33</v>
      </c>
      <c r="G156" s="619">
        <v>0</v>
      </c>
      <c r="H156" s="619">
        <v>0</v>
      </c>
      <c r="I156" s="619">
        <v>0</v>
      </c>
      <c r="J156" s="619">
        <v>0</v>
      </c>
      <c r="K156" s="619">
        <v>0</v>
      </c>
      <c r="L156" s="619">
        <v>0</v>
      </c>
      <c r="M156" s="619">
        <v>0</v>
      </c>
      <c r="N156" s="619">
        <v>0</v>
      </c>
      <c r="O156" s="619">
        <v>0</v>
      </c>
      <c r="P156" s="619">
        <v>0</v>
      </c>
      <c r="Q156" s="619">
        <v>45364.26</v>
      </c>
      <c r="R156" s="619">
        <v>319155.09999999998</v>
      </c>
      <c r="S156" s="498">
        <f t="shared" si="40"/>
        <v>26173.039583333331</v>
      </c>
      <c r="T156" s="620"/>
      <c r="U156" s="657">
        <f t="shared" si="41"/>
        <v>26173.039583333331</v>
      </c>
      <c r="V156" s="690"/>
      <c r="W156" s="690"/>
      <c r="X156" s="713"/>
      <c r="Y156" s="690"/>
      <c r="Z156" s="690"/>
      <c r="AA156" s="657"/>
      <c r="AB156" s="690"/>
      <c r="AC156" s="658"/>
      <c r="AD156" s="659">
        <f t="shared" si="42"/>
        <v>26173.039583333331</v>
      </c>
      <c r="AE156" s="658"/>
      <c r="AF156" s="688">
        <f t="shared" si="39"/>
        <v>0</v>
      </c>
    </row>
    <row r="157" spans="1:32">
      <c r="A157" s="620">
        <v>143</v>
      </c>
      <c r="B157" s="326" t="s">
        <v>977</v>
      </c>
      <c r="C157" s="326" t="s">
        <v>454</v>
      </c>
      <c r="D157" s="326" t="s">
        <v>1158</v>
      </c>
      <c r="E157" s="618" t="s">
        <v>1411</v>
      </c>
      <c r="F157" s="619">
        <v>157660.22</v>
      </c>
      <c r="G157" s="619">
        <v>0</v>
      </c>
      <c r="H157" s="619">
        <v>0</v>
      </c>
      <c r="I157" s="619">
        <v>0</v>
      </c>
      <c r="J157" s="619">
        <v>0</v>
      </c>
      <c r="K157" s="619">
        <v>0</v>
      </c>
      <c r="L157" s="619">
        <v>0</v>
      </c>
      <c r="M157" s="619">
        <v>0</v>
      </c>
      <c r="N157" s="619">
        <v>0</v>
      </c>
      <c r="O157" s="619">
        <v>0</v>
      </c>
      <c r="P157" s="619">
        <v>0</v>
      </c>
      <c r="Q157" s="619">
        <v>28021.95</v>
      </c>
      <c r="R157" s="619">
        <v>167630.71</v>
      </c>
      <c r="S157" s="498">
        <f t="shared" si="40"/>
        <v>15888.95125</v>
      </c>
      <c r="T157" s="620"/>
      <c r="U157" s="657">
        <f t="shared" si="41"/>
        <v>15888.95125</v>
      </c>
      <c r="V157" s="690"/>
      <c r="W157" s="690"/>
      <c r="X157" s="713"/>
      <c r="Y157" s="690"/>
      <c r="Z157" s="690"/>
      <c r="AA157" s="657"/>
      <c r="AB157" s="690"/>
      <c r="AC157" s="658"/>
      <c r="AD157" s="659">
        <f t="shared" si="42"/>
        <v>15888.95125</v>
      </c>
      <c r="AE157" s="658"/>
      <c r="AF157" s="688">
        <f t="shared" si="39"/>
        <v>0</v>
      </c>
    </row>
    <row r="158" spans="1:32">
      <c r="A158" s="620">
        <v>144</v>
      </c>
      <c r="B158" s="326" t="s">
        <v>977</v>
      </c>
      <c r="C158" s="326" t="s">
        <v>454</v>
      </c>
      <c r="D158" s="326" t="s">
        <v>1409</v>
      </c>
      <c r="E158" s="618" t="s">
        <v>1546</v>
      </c>
      <c r="F158" s="619">
        <v>0</v>
      </c>
      <c r="G158" s="619">
        <v>0</v>
      </c>
      <c r="H158" s="619">
        <v>0</v>
      </c>
      <c r="I158" s="619">
        <v>0</v>
      </c>
      <c r="J158" s="619">
        <v>0</v>
      </c>
      <c r="K158" s="619">
        <v>0</v>
      </c>
      <c r="L158" s="619">
        <v>0</v>
      </c>
      <c r="M158" s="619">
        <v>0</v>
      </c>
      <c r="N158" s="619">
        <v>0</v>
      </c>
      <c r="O158" s="619">
        <v>0</v>
      </c>
      <c r="P158" s="619">
        <v>0</v>
      </c>
      <c r="Q158" s="619">
        <v>0</v>
      </c>
      <c r="R158" s="619">
        <v>0</v>
      </c>
      <c r="S158" s="498">
        <f t="shared" si="40"/>
        <v>0</v>
      </c>
      <c r="T158" s="620"/>
      <c r="U158" s="657">
        <f t="shared" si="41"/>
        <v>0</v>
      </c>
      <c r="V158" s="690"/>
      <c r="W158" s="690"/>
      <c r="X158" s="713"/>
      <c r="Y158" s="690"/>
      <c r="Z158" s="690"/>
      <c r="AA158" s="657"/>
      <c r="AB158" s="690"/>
      <c r="AC158" s="658"/>
      <c r="AD158" s="659">
        <f t="shared" si="42"/>
        <v>0</v>
      </c>
      <c r="AE158" s="658"/>
      <c r="AF158" s="688">
        <f t="shared" si="39"/>
        <v>0</v>
      </c>
    </row>
    <row r="159" spans="1:32">
      <c r="A159" s="620">
        <v>145</v>
      </c>
      <c r="B159" s="326" t="s">
        <v>1005</v>
      </c>
      <c r="C159" s="326" t="s">
        <v>454</v>
      </c>
      <c r="D159" s="326" t="s">
        <v>461</v>
      </c>
      <c r="E159" s="618" t="s">
        <v>1549</v>
      </c>
      <c r="F159" s="619">
        <v>-3.2741809263825397E-11</v>
      </c>
      <c r="G159" s="619">
        <v>0</v>
      </c>
      <c r="H159" s="619">
        <v>0</v>
      </c>
      <c r="I159" s="619">
        <v>139384.79999999999</v>
      </c>
      <c r="J159" s="619">
        <v>123897.54</v>
      </c>
      <c r="K159" s="619">
        <v>108410.28</v>
      </c>
      <c r="L159" s="619">
        <v>92923.02</v>
      </c>
      <c r="M159" s="619">
        <v>77435.759999999995</v>
      </c>
      <c r="N159" s="619">
        <v>61948.5</v>
      </c>
      <c r="O159" s="619">
        <v>46461.24</v>
      </c>
      <c r="P159" s="619">
        <v>30973.98</v>
      </c>
      <c r="Q159" s="619">
        <v>15486.72</v>
      </c>
      <c r="R159" s="619">
        <v>-0.53999999999723503</v>
      </c>
      <c r="S159" s="498">
        <f t="shared" si="40"/>
        <v>58076.797499999993</v>
      </c>
      <c r="T159" s="620"/>
      <c r="U159" s="657">
        <f t="shared" si="41"/>
        <v>58076.797499999993</v>
      </c>
      <c r="V159" s="690"/>
      <c r="W159" s="690"/>
      <c r="X159" s="713"/>
      <c r="Y159" s="690"/>
      <c r="Z159" s="690"/>
      <c r="AA159" s="657"/>
      <c r="AB159" s="690"/>
      <c r="AC159" s="658"/>
      <c r="AD159" s="659">
        <f t="shared" si="42"/>
        <v>58076.797499999993</v>
      </c>
      <c r="AE159" s="658"/>
      <c r="AF159" s="688">
        <f t="shared" si="39"/>
        <v>0</v>
      </c>
    </row>
    <row r="160" spans="1:32">
      <c r="A160" s="620">
        <v>146</v>
      </c>
      <c r="B160" s="326" t="s">
        <v>1005</v>
      </c>
      <c r="C160" s="326" t="s">
        <v>454</v>
      </c>
      <c r="D160" s="326" t="s">
        <v>448</v>
      </c>
      <c r="E160" s="618" t="s">
        <v>1550</v>
      </c>
      <c r="F160" s="619">
        <v>34487.9</v>
      </c>
      <c r="G160" s="619">
        <v>27590.32</v>
      </c>
      <c r="H160" s="619">
        <v>20692.740000000002</v>
      </c>
      <c r="I160" s="619">
        <v>13795.16</v>
      </c>
      <c r="J160" s="619">
        <v>6897.58</v>
      </c>
      <c r="K160" s="619">
        <v>-1.8189894035458601E-12</v>
      </c>
      <c r="L160" s="619">
        <v>-1.8189894035458601E-12</v>
      </c>
      <c r="M160" s="619">
        <v>-1.8189894035458601E-12</v>
      </c>
      <c r="N160" s="619">
        <v>-1.8189894035458601E-12</v>
      </c>
      <c r="O160" s="619">
        <v>48622.28</v>
      </c>
      <c r="P160" s="619">
        <v>42544.5</v>
      </c>
      <c r="Q160" s="619">
        <v>36466.720000000001</v>
      </c>
      <c r="R160" s="619">
        <v>30388.94</v>
      </c>
      <c r="S160" s="498">
        <f t="shared" si="40"/>
        <v>19087.310000000001</v>
      </c>
      <c r="T160" s="620"/>
      <c r="U160" s="657">
        <f t="shared" si="41"/>
        <v>19087.310000000001</v>
      </c>
      <c r="V160" s="690"/>
      <c r="W160" s="690"/>
      <c r="X160" s="713"/>
      <c r="Y160" s="690"/>
      <c r="Z160" s="690"/>
      <c r="AA160" s="657"/>
      <c r="AB160" s="690"/>
      <c r="AC160" s="658"/>
      <c r="AD160" s="659">
        <f t="shared" si="42"/>
        <v>19087.310000000001</v>
      </c>
      <c r="AE160" s="658"/>
      <c r="AF160" s="688">
        <f t="shared" si="39"/>
        <v>0</v>
      </c>
    </row>
    <row r="161" spans="1:32">
      <c r="A161" s="620">
        <v>147</v>
      </c>
      <c r="B161" s="326" t="s">
        <v>1005</v>
      </c>
      <c r="C161" s="326" t="s">
        <v>454</v>
      </c>
      <c r="D161" s="326" t="s">
        <v>492</v>
      </c>
      <c r="E161" s="618" t="s">
        <v>1551</v>
      </c>
      <c r="F161" s="619">
        <v>843102</v>
      </c>
      <c r="G161" s="619">
        <v>702585</v>
      </c>
      <c r="H161" s="619">
        <v>562068</v>
      </c>
      <c r="I161" s="619">
        <v>421551</v>
      </c>
      <c r="J161" s="619">
        <v>281034</v>
      </c>
      <c r="K161" s="619">
        <v>140517</v>
      </c>
      <c r="L161" s="619">
        <v>0</v>
      </c>
      <c r="M161" s="619">
        <v>0</v>
      </c>
      <c r="N161" s="619">
        <v>0</v>
      </c>
      <c r="O161" s="619">
        <v>0</v>
      </c>
      <c r="P161" s="619">
        <v>0</v>
      </c>
      <c r="Q161" s="619">
        <v>1095682</v>
      </c>
      <c r="R161" s="619">
        <v>939156</v>
      </c>
      <c r="S161" s="498">
        <f t="shared" si="40"/>
        <v>341213.83333333331</v>
      </c>
      <c r="T161" s="620"/>
      <c r="U161" s="657">
        <f t="shared" si="41"/>
        <v>341213.83333333331</v>
      </c>
      <c r="V161" s="690"/>
      <c r="W161" s="690"/>
      <c r="X161" s="713"/>
      <c r="Y161" s="690"/>
      <c r="Z161" s="690"/>
      <c r="AA161" s="657"/>
      <c r="AB161" s="690"/>
      <c r="AC161" s="658"/>
      <c r="AD161" s="659">
        <f t="shared" si="42"/>
        <v>341213.83333333331</v>
      </c>
      <c r="AE161" s="658"/>
      <c r="AF161" s="688">
        <f t="shared" si="39"/>
        <v>0</v>
      </c>
    </row>
    <row r="162" spans="1:32">
      <c r="A162" s="620">
        <v>148</v>
      </c>
      <c r="B162" s="326" t="s">
        <v>977</v>
      </c>
      <c r="C162" s="326" t="s">
        <v>454</v>
      </c>
      <c r="D162" s="326" t="s">
        <v>493</v>
      </c>
      <c r="E162" s="618" t="s">
        <v>1545</v>
      </c>
      <c r="F162" s="619">
        <v>54001.75</v>
      </c>
      <c r="G162" s="619">
        <v>0</v>
      </c>
      <c r="H162" s="619">
        <v>0</v>
      </c>
      <c r="I162" s="619">
        <v>0</v>
      </c>
      <c r="J162" s="619">
        <v>0</v>
      </c>
      <c r="K162" s="619">
        <v>0</v>
      </c>
      <c r="L162" s="619">
        <v>0</v>
      </c>
      <c r="M162" s="619">
        <v>0</v>
      </c>
      <c r="N162" s="619">
        <v>0</v>
      </c>
      <c r="O162" s="619">
        <v>0</v>
      </c>
      <c r="P162" s="619">
        <v>0</v>
      </c>
      <c r="Q162" s="619">
        <v>0</v>
      </c>
      <c r="R162" s="619">
        <v>54525.75</v>
      </c>
      <c r="S162" s="498">
        <f t="shared" si="40"/>
        <v>4521.979166666667</v>
      </c>
      <c r="T162" s="620"/>
      <c r="U162" s="657">
        <f t="shared" si="41"/>
        <v>4521.979166666667</v>
      </c>
      <c r="V162" s="690"/>
      <c r="W162" s="690"/>
      <c r="X162" s="713"/>
      <c r="Y162" s="690"/>
      <c r="Z162" s="690"/>
      <c r="AA162" s="657"/>
      <c r="AB162" s="690"/>
      <c r="AC162" s="658"/>
      <c r="AD162" s="659">
        <f t="shared" si="42"/>
        <v>4521.979166666667</v>
      </c>
      <c r="AE162" s="658"/>
      <c r="AF162" s="688">
        <f t="shared" si="39"/>
        <v>0</v>
      </c>
    </row>
    <row r="163" spans="1:32">
      <c r="A163" s="620">
        <v>149</v>
      </c>
      <c r="B163" s="326" t="s">
        <v>1005</v>
      </c>
      <c r="C163" s="326" t="s">
        <v>457</v>
      </c>
      <c r="D163" s="326" t="s">
        <v>1159</v>
      </c>
      <c r="E163" s="618" t="s">
        <v>1553</v>
      </c>
      <c r="F163" s="619">
        <v>0</v>
      </c>
      <c r="G163" s="619">
        <v>0</v>
      </c>
      <c r="H163" s="619">
        <v>0</v>
      </c>
      <c r="I163" s="619">
        <v>0</v>
      </c>
      <c r="J163" s="619">
        <v>0</v>
      </c>
      <c r="K163" s="619">
        <v>0</v>
      </c>
      <c r="L163" s="619">
        <v>0</v>
      </c>
      <c r="M163" s="619">
        <v>0</v>
      </c>
      <c r="N163" s="619">
        <v>0</v>
      </c>
      <c r="O163" s="619">
        <v>0</v>
      </c>
      <c r="P163" s="619">
        <v>0</v>
      </c>
      <c r="Q163" s="619">
        <v>179.76</v>
      </c>
      <c r="R163" s="619">
        <v>0</v>
      </c>
      <c r="S163" s="498">
        <f t="shared" si="40"/>
        <v>14.979999999999999</v>
      </c>
      <c r="T163" s="620"/>
      <c r="U163" s="657">
        <f t="shared" si="41"/>
        <v>14.979999999999999</v>
      </c>
      <c r="V163" s="690"/>
      <c r="W163" s="690"/>
      <c r="X163" s="713"/>
      <c r="Y163" s="690"/>
      <c r="Z163" s="690"/>
      <c r="AA163" s="657"/>
      <c r="AB163" s="690"/>
      <c r="AC163" s="658"/>
      <c r="AD163" s="659">
        <f t="shared" si="42"/>
        <v>14.979999999999999</v>
      </c>
      <c r="AE163" s="658"/>
      <c r="AF163" s="688">
        <f t="shared" si="39"/>
        <v>0</v>
      </c>
    </row>
    <row r="164" spans="1:32">
      <c r="A164" s="620">
        <v>150</v>
      </c>
      <c r="B164" s="326" t="s">
        <v>980</v>
      </c>
      <c r="C164" s="326" t="s">
        <v>457</v>
      </c>
      <c r="D164" s="326" t="s">
        <v>1160</v>
      </c>
      <c r="E164" s="618" t="s">
        <v>1553</v>
      </c>
      <c r="F164" s="619">
        <v>0</v>
      </c>
      <c r="G164" s="619">
        <v>0</v>
      </c>
      <c r="H164" s="619">
        <v>0</v>
      </c>
      <c r="I164" s="619">
        <v>0</v>
      </c>
      <c r="J164" s="619">
        <v>0</v>
      </c>
      <c r="K164" s="619">
        <v>0</v>
      </c>
      <c r="L164" s="619">
        <v>0</v>
      </c>
      <c r="M164" s="619">
        <v>0</v>
      </c>
      <c r="N164" s="619">
        <v>0</v>
      </c>
      <c r="O164" s="619">
        <v>0</v>
      </c>
      <c r="P164" s="619">
        <v>0</v>
      </c>
      <c r="Q164" s="619">
        <v>650.24</v>
      </c>
      <c r="R164" s="619">
        <v>0</v>
      </c>
      <c r="S164" s="498">
        <f t="shared" si="40"/>
        <v>54.186666666666667</v>
      </c>
      <c r="T164" s="620"/>
      <c r="U164" s="657">
        <f t="shared" si="41"/>
        <v>54.186666666666667</v>
      </c>
      <c r="V164" s="690"/>
      <c r="W164" s="690"/>
      <c r="X164" s="713"/>
      <c r="Y164" s="690"/>
      <c r="Z164" s="690"/>
      <c r="AA164" s="657"/>
      <c r="AB164" s="690"/>
      <c r="AC164" s="658"/>
      <c r="AD164" s="659">
        <f t="shared" si="42"/>
        <v>54.186666666666667</v>
      </c>
      <c r="AE164" s="658"/>
      <c r="AF164" s="688">
        <f t="shared" si="39"/>
        <v>0</v>
      </c>
    </row>
    <row r="165" spans="1:32">
      <c r="A165" s="620">
        <v>151</v>
      </c>
      <c r="B165" s="326" t="s">
        <v>977</v>
      </c>
      <c r="C165" s="326" t="s">
        <v>458</v>
      </c>
      <c r="D165" s="326" t="s">
        <v>461</v>
      </c>
      <c r="E165" s="618" t="s">
        <v>459</v>
      </c>
      <c r="F165" s="619">
        <v>0</v>
      </c>
      <c r="G165" s="619">
        <v>0</v>
      </c>
      <c r="H165" s="619">
        <v>0</v>
      </c>
      <c r="I165" s="619">
        <v>0</v>
      </c>
      <c r="J165" s="619">
        <v>0</v>
      </c>
      <c r="K165" s="619">
        <v>0</v>
      </c>
      <c r="L165" s="619">
        <v>0</v>
      </c>
      <c r="M165" s="619">
        <v>0</v>
      </c>
      <c r="N165" s="619">
        <v>0</v>
      </c>
      <c r="O165" s="619">
        <v>0</v>
      </c>
      <c r="P165" s="619">
        <v>0</v>
      </c>
      <c r="Q165" s="619">
        <v>0</v>
      </c>
      <c r="R165" s="619">
        <v>0</v>
      </c>
      <c r="S165" s="498">
        <f t="shared" si="40"/>
        <v>0</v>
      </c>
      <c r="T165" s="620"/>
      <c r="U165" s="657">
        <f t="shared" si="41"/>
        <v>0</v>
      </c>
      <c r="V165" s="690"/>
      <c r="W165" s="690"/>
      <c r="X165" s="713"/>
      <c r="Y165" s="690"/>
      <c r="Z165" s="690"/>
      <c r="AA165" s="657"/>
      <c r="AB165" s="690"/>
      <c r="AC165" s="658"/>
      <c r="AD165" s="659">
        <f t="shared" si="42"/>
        <v>0</v>
      </c>
      <c r="AE165" s="658"/>
      <c r="AF165" s="688">
        <f t="shared" si="39"/>
        <v>0</v>
      </c>
    </row>
    <row r="166" spans="1:32">
      <c r="A166" s="620">
        <v>152</v>
      </c>
      <c r="B166" s="326" t="s">
        <v>977</v>
      </c>
      <c r="C166" s="326" t="s">
        <v>460</v>
      </c>
      <c r="D166" s="326" t="s">
        <v>461</v>
      </c>
      <c r="E166" s="618" t="s">
        <v>462</v>
      </c>
      <c r="F166" s="619">
        <v>0</v>
      </c>
      <c r="G166" s="619">
        <v>0</v>
      </c>
      <c r="H166" s="619">
        <v>0</v>
      </c>
      <c r="I166" s="619">
        <v>0</v>
      </c>
      <c r="J166" s="619">
        <v>0</v>
      </c>
      <c r="K166" s="619">
        <v>0</v>
      </c>
      <c r="L166" s="619">
        <v>0</v>
      </c>
      <c r="M166" s="619">
        <v>0</v>
      </c>
      <c r="N166" s="619">
        <v>0</v>
      </c>
      <c r="O166" s="619">
        <v>0</v>
      </c>
      <c r="P166" s="619">
        <v>970</v>
      </c>
      <c r="Q166" s="619">
        <v>0</v>
      </c>
      <c r="R166" s="619">
        <v>138098</v>
      </c>
      <c r="S166" s="498">
        <f t="shared" si="40"/>
        <v>5834.916666666667</v>
      </c>
      <c r="T166" s="620"/>
      <c r="U166" s="657">
        <f t="shared" si="41"/>
        <v>5834.916666666667</v>
      </c>
      <c r="V166" s="690"/>
      <c r="W166" s="690"/>
      <c r="X166" s="713"/>
      <c r="Y166" s="690"/>
      <c r="Z166" s="690"/>
      <c r="AA166" s="657"/>
      <c r="AB166" s="690"/>
      <c r="AC166" s="658"/>
      <c r="AD166" s="659">
        <f t="shared" si="42"/>
        <v>5834.916666666667</v>
      </c>
      <c r="AE166" s="658"/>
      <c r="AF166" s="688">
        <f t="shared" si="39"/>
        <v>0</v>
      </c>
    </row>
    <row r="167" spans="1:32">
      <c r="A167" s="620">
        <v>153</v>
      </c>
      <c r="B167" s="326" t="s">
        <v>1874</v>
      </c>
      <c r="C167" s="326" t="s">
        <v>454</v>
      </c>
      <c r="D167" s="326" t="s">
        <v>1137</v>
      </c>
      <c r="E167" s="618" t="s">
        <v>1880</v>
      </c>
      <c r="F167" s="619">
        <v>0</v>
      </c>
      <c r="G167" s="619">
        <v>0</v>
      </c>
      <c r="H167" s="619">
        <v>0</v>
      </c>
      <c r="I167" s="619">
        <v>12407398.130000001</v>
      </c>
      <c r="J167" s="619">
        <v>0</v>
      </c>
      <c r="K167" s="619">
        <v>0</v>
      </c>
      <c r="L167" s="619">
        <v>0</v>
      </c>
      <c r="M167" s="619">
        <v>0</v>
      </c>
      <c r="N167" s="619">
        <v>0</v>
      </c>
      <c r="O167" s="619">
        <v>0</v>
      </c>
      <c r="P167" s="619">
        <v>0</v>
      </c>
      <c r="Q167" s="619">
        <v>0</v>
      </c>
      <c r="R167" s="619">
        <v>0</v>
      </c>
      <c r="S167" s="498">
        <f t="shared" si="40"/>
        <v>1033949.8441666667</v>
      </c>
      <c r="T167" s="620"/>
      <c r="U167" s="657">
        <f>+S167</f>
        <v>1033949.8441666667</v>
      </c>
      <c r="V167" s="690"/>
      <c r="W167" s="690"/>
      <c r="X167" s="713"/>
      <c r="Y167" s="690"/>
      <c r="Z167" s="690"/>
      <c r="AA167" s="657"/>
      <c r="AB167" s="690"/>
      <c r="AC167" s="658"/>
      <c r="AD167" s="659">
        <f t="shared" si="42"/>
        <v>1033949.8441666667</v>
      </c>
      <c r="AE167" s="658"/>
      <c r="AF167" s="688">
        <f t="shared" si="39"/>
        <v>0</v>
      </c>
    </row>
    <row r="168" spans="1:32">
      <c r="A168" s="620">
        <v>154</v>
      </c>
      <c r="B168" s="326" t="s">
        <v>1874</v>
      </c>
      <c r="C168" s="326" t="s">
        <v>458</v>
      </c>
      <c r="D168" s="326" t="s">
        <v>380</v>
      </c>
      <c r="E168" s="618" t="s">
        <v>459</v>
      </c>
      <c r="F168" s="619">
        <v>0</v>
      </c>
      <c r="G168" s="619">
        <v>6608847.7199999997</v>
      </c>
      <c r="H168" s="619">
        <v>5786788.9500000002</v>
      </c>
      <c r="I168" s="619">
        <v>5526639.8300000001</v>
      </c>
      <c r="J168" s="619">
        <v>5959971.2999999998</v>
      </c>
      <c r="K168" s="619">
        <v>6195366.1200000001</v>
      </c>
      <c r="L168" s="619">
        <v>6744853.4000000004</v>
      </c>
      <c r="M168" s="619">
        <v>7218543.9699999997</v>
      </c>
      <c r="N168" s="619">
        <v>7648108.7699999996</v>
      </c>
      <c r="O168" s="619">
        <v>8128912.3099999996</v>
      </c>
      <c r="P168" s="619">
        <v>8088749.96</v>
      </c>
      <c r="Q168" s="619">
        <v>7546135.9699999997</v>
      </c>
      <c r="R168" s="619">
        <v>7163930.3700000001</v>
      </c>
      <c r="S168" s="498">
        <f t="shared" si="40"/>
        <v>6586240.2904166663</v>
      </c>
      <c r="T168" s="620"/>
      <c r="U168" s="657">
        <f>+S168</f>
        <v>6586240.2904166663</v>
      </c>
      <c r="V168" s="690"/>
      <c r="W168" s="690"/>
      <c r="X168" s="713"/>
      <c r="Y168" s="690"/>
      <c r="Z168" s="690"/>
      <c r="AA168" s="657"/>
      <c r="AB168" s="690"/>
      <c r="AC168" s="658"/>
      <c r="AD168" s="659">
        <f t="shared" si="42"/>
        <v>6586240.2904166663</v>
      </c>
      <c r="AE168" s="658"/>
      <c r="AF168" s="688">
        <f t="shared" si="39"/>
        <v>0</v>
      </c>
    </row>
    <row r="169" spans="1:32">
      <c r="A169" s="620">
        <v>155</v>
      </c>
      <c r="B169" s="620"/>
      <c r="C169" s="620"/>
      <c r="D169" s="620"/>
      <c r="E169" s="618" t="s">
        <v>463</v>
      </c>
      <c r="F169" s="500">
        <f t="shared" ref="F169:R169" si="43">SUM(F151:F168)</f>
        <v>15502937.680000003</v>
      </c>
      <c r="G169" s="500">
        <f t="shared" si="43"/>
        <v>10211167.84</v>
      </c>
      <c r="H169" s="500">
        <f t="shared" si="43"/>
        <v>7857350</v>
      </c>
      <c r="I169" s="500">
        <f t="shared" si="43"/>
        <v>22790244.759999998</v>
      </c>
      <c r="J169" s="500">
        <f t="shared" si="43"/>
        <v>11033069.359999999</v>
      </c>
      <c r="K169" s="500">
        <f t="shared" si="43"/>
        <v>11108829.43</v>
      </c>
      <c r="L169" s="500">
        <f t="shared" si="43"/>
        <v>11670284.1</v>
      </c>
      <c r="M169" s="500">
        <f t="shared" si="43"/>
        <v>12462392.629999999</v>
      </c>
      <c r="N169" s="500">
        <f t="shared" si="43"/>
        <v>12955084.68</v>
      </c>
      <c r="O169" s="500">
        <f t="shared" si="43"/>
        <v>13480871.060000001</v>
      </c>
      <c r="P169" s="500">
        <f t="shared" si="43"/>
        <v>12741716.550000001</v>
      </c>
      <c r="Q169" s="500">
        <f t="shared" si="43"/>
        <v>12575842.5</v>
      </c>
      <c r="R169" s="500">
        <f t="shared" si="43"/>
        <v>12804673.800000001</v>
      </c>
      <c r="S169" s="500">
        <f>SUM(S151:S168)</f>
        <v>12753388.220833335</v>
      </c>
      <c r="T169" s="620"/>
      <c r="U169" s="657"/>
      <c r="V169" s="690"/>
      <c r="W169" s="690"/>
      <c r="X169" s="713"/>
      <c r="Y169" s="690"/>
      <c r="Z169" s="690"/>
      <c r="AA169" s="657"/>
      <c r="AB169" s="690"/>
      <c r="AC169" s="658"/>
      <c r="AD169" s="658"/>
      <c r="AE169" s="658"/>
      <c r="AF169" s="688">
        <f t="shared" si="39"/>
        <v>0</v>
      </c>
    </row>
    <row r="170" spans="1:32">
      <c r="A170" s="620">
        <v>156</v>
      </c>
      <c r="B170" s="620"/>
      <c r="C170" s="620"/>
      <c r="D170" s="620"/>
      <c r="E170" s="605"/>
      <c r="F170" s="619"/>
      <c r="G170" s="324"/>
      <c r="H170" s="315"/>
      <c r="I170" s="315"/>
      <c r="J170" s="316"/>
      <c r="K170" s="317"/>
      <c r="L170" s="318"/>
      <c r="M170" s="319"/>
      <c r="N170" s="320"/>
      <c r="O170" s="606"/>
      <c r="P170" s="321"/>
      <c r="Q170" s="325"/>
      <c r="R170" s="619"/>
      <c r="S170" s="304"/>
      <c r="T170" s="620"/>
      <c r="U170" s="657"/>
      <c r="V170" s="690"/>
      <c r="W170" s="690"/>
      <c r="X170" s="713"/>
      <c r="Y170" s="690"/>
      <c r="Z170" s="690"/>
      <c r="AA170" s="657"/>
      <c r="AB170" s="690"/>
      <c r="AC170" s="658"/>
      <c r="AD170" s="658"/>
      <c r="AE170" s="658"/>
      <c r="AF170" s="688">
        <f t="shared" si="39"/>
        <v>0</v>
      </c>
    </row>
    <row r="171" spans="1:32">
      <c r="A171" s="620">
        <v>157</v>
      </c>
      <c r="B171" s="326" t="s">
        <v>1005</v>
      </c>
      <c r="C171" s="326" t="s">
        <v>464</v>
      </c>
      <c r="D171" s="326" t="s">
        <v>461</v>
      </c>
      <c r="E171" s="618" t="s">
        <v>1554</v>
      </c>
      <c r="F171" s="619">
        <v>3996207.51</v>
      </c>
      <c r="G171" s="619">
        <v>4142082.6</v>
      </c>
      <c r="H171" s="619">
        <v>4519025.45</v>
      </c>
      <c r="I171" s="619">
        <v>3009326.44</v>
      </c>
      <c r="J171" s="619">
        <v>1956278.65</v>
      </c>
      <c r="K171" s="619">
        <v>962759.14999999898</v>
      </c>
      <c r="L171" s="619">
        <v>731962.76999999897</v>
      </c>
      <c r="M171" s="619">
        <v>565739.179999999</v>
      </c>
      <c r="N171" s="619">
        <v>288823.299999999</v>
      </c>
      <c r="O171" s="619">
        <v>718108.98</v>
      </c>
      <c r="P171" s="619">
        <v>2314646.5499999998</v>
      </c>
      <c r="Q171" s="619">
        <v>3445820.69</v>
      </c>
      <c r="R171" s="619">
        <v>3995882.3</v>
      </c>
      <c r="S171" s="498">
        <f>((F171+R171)+((G171+H171+I171+J171+K171+L171+M171+N171+O171+P171+Q171)*2))/24</f>
        <v>2220884.8887499999</v>
      </c>
      <c r="T171" s="620"/>
      <c r="U171" s="657">
        <f t="shared" ref="U171:U180" si="44">+S171</f>
        <v>2220884.8887499999</v>
      </c>
      <c r="V171" s="690"/>
      <c r="W171" s="690"/>
      <c r="X171" s="713"/>
      <c r="Y171" s="690"/>
      <c r="Z171" s="690"/>
      <c r="AA171" s="657"/>
      <c r="AB171" s="690"/>
      <c r="AC171" s="658"/>
      <c r="AD171" s="659">
        <f t="shared" ref="AD171:AD180" si="45">+U171</f>
        <v>2220884.8887499999</v>
      </c>
      <c r="AE171" s="658"/>
      <c r="AF171" s="688">
        <f t="shared" si="39"/>
        <v>0</v>
      </c>
    </row>
    <row r="172" spans="1:32">
      <c r="A172" s="620">
        <v>158</v>
      </c>
      <c r="B172" s="326" t="s">
        <v>980</v>
      </c>
      <c r="C172" s="326" t="s">
        <v>464</v>
      </c>
      <c r="D172" s="326" t="s">
        <v>461</v>
      </c>
      <c r="E172" s="618" t="s">
        <v>1554</v>
      </c>
      <c r="F172" s="619">
        <v>9812907.4100000001</v>
      </c>
      <c r="G172" s="619">
        <v>9814210.4800000004</v>
      </c>
      <c r="H172" s="619">
        <v>12289714.92</v>
      </c>
      <c r="I172" s="619">
        <v>7916537.5599999996</v>
      </c>
      <c r="J172" s="619">
        <v>4541958.57</v>
      </c>
      <c r="K172" s="619">
        <v>2644109.17</v>
      </c>
      <c r="L172" s="619">
        <v>1735971.12</v>
      </c>
      <c r="M172" s="619">
        <v>1633900.5</v>
      </c>
      <c r="N172" s="619">
        <v>873816.87</v>
      </c>
      <c r="O172" s="619">
        <v>2140292.2200000002</v>
      </c>
      <c r="P172" s="619">
        <v>5885722.04</v>
      </c>
      <c r="Q172" s="619">
        <v>10448165.050000001</v>
      </c>
      <c r="R172" s="619">
        <v>12363365.84</v>
      </c>
      <c r="S172" s="498">
        <f t="shared" ref="S172:S179" si="46">((F172+R172)+((G172+H172+I172+J172+K172+L172+M172+N172+O172+P172+Q172)*2))/24</f>
        <v>5917711.260416667</v>
      </c>
      <c r="T172" s="620"/>
      <c r="U172" s="657">
        <f t="shared" si="44"/>
        <v>5917711.260416667</v>
      </c>
      <c r="V172" s="690"/>
      <c r="W172" s="690"/>
      <c r="X172" s="713"/>
      <c r="Y172" s="690"/>
      <c r="Z172" s="690"/>
      <c r="AA172" s="657"/>
      <c r="AB172" s="690"/>
      <c r="AC172" s="658"/>
      <c r="AD172" s="659">
        <f t="shared" si="45"/>
        <v>5917711.260416667</v>
      </c>
      <c r="AE172" s="658"/>
      <c r="AF172" s="688">
        <f t="shared" si="39"/>
        <v>0</v>
      </c>
    </row>
    <row r="173" spans="1:32">
      <c r="A173" s="620">
        <v>159</v>
      </c>
      <c r="B173" s="326" t="s">
        <v>1005</v>
      </c>
      <c r="C173" s="326" t="s">
        <v>464</v>
      </c>
      <c r="D173" s="326" t="s">
        <v>448</v>
      </c>
      <c r="E173" s="618" t="s">
        <v>1555</v>
      </c>
      <c r="F173" s="619">
        <v>2076923.47</v>
      </c>
      <c r="G173" s="619">
        <v>2053249.37</v>
      </c>
      <c r="H173" s="619">
        <v>2290904.6800000002</v>
      </c>
      <c r="I173" s="619">
        <v>1537587.61</v>
      </c>
      <c r="J173" s="619">
        <v>967695.83</v>
      </c>
      <c r="K173" s="619">
        <v>498879.2</v>
      </c>
      <c r="L173" s="619">
        <v>403631.59</v>
      </c>
      <c r="M173" s="619">
        <v>376763.13</v>
      </c>
      <c r="N173" s="619">
        <v>205193.59</v>
      </c>
      <c r="O173" s="619">
        <v>492757.75</v>
      </c>
      <c r="P173" s="619">
        <v>1334048.1200000001</v>
      </c>
      <c r="Q173" s="619">
        <v>2147785.9700000002</v>
      </c>
      <c r="R173" s="619">
        <v>2358929.9900000002</v>
      </c>
      <c r="S173" s="498">
        <f t="shared" si="46"/>
        <v>1210535.2975000001</v>
      </c>
      <c r="T173" s="620"/>
      <c r="U173" s="657">
        <f t="shared" si="44"/>
        <v>1210535.2975000001</v>
      </c>
      <c r="V173" s="690"/>
      <c r="W173" s="690"/>
      <c r="X173" s="713"/>
      <c r="Y173" s="690"/>
      <c r="Z173" s="690"/>
      <c r="AA173" s="657"/>
      <c r="AB173" s="690"/>
      <c r="AC173" s="658"/>
      <c r="AD173" s="659">
        <f t="shared" si="45"/>
        <v>1210535.2975000001</v>
      </c>
      <c r="AE173" s="658"/>
      <c r="AF173" s="688">
        <f t="shared" si="39"/>
        <v>0</v>
      </c>
    </row>
    <row r="174" spans="1:32">
      <c r="A174" s="620">
        <v>160</v>
      </c>
      <c r="B174" s="326" t="s">
        <v>980</v>
      </c>
      <c r="C174" s="326" t="s">
        <v>464</v>
      </c>
      <c r="D174" s="326" t="s">
        <v>448</v>
      </c>
      <c r="E174" s="618" t="s">
        <v>1555</v>
      </c>
      <c r="F174" s="619">
        <v>6666508.6600000001</v>
      </c>
      <c r="G174" s="619">
        <v>6649850.4900000002</v>
      </c>
      <c r="H174" s="619">
        <v>8273711.4400000004</v>
      </c>
      <c r="I174" s="619">
        <v>5636600.1699999999</v>
      </c>
      <c r="J174" s="619">
        <v>3435315.38</v>
      </c>
      <c r="K174" s="619">
        <v>1959769.25</v>
      </c>
      <c r="L174" s="619">
        <v>1523835.36</v>
      </c>
      <c r="M174" s="619">
        <v>1586638.99</v>
      </c>
      <c r="N174" s="619">
        <v>901948.3</v>
      </c>
      <c r="O174" s="619">
        <v>2164917.37</v>
      </c>
      <c r="P174" s="619">
        <v>4639424.57</v>
      </c>
      <c r="Q174" s="619">
        <v>8421329.5999999996</v>
      </c>
      <c r="R174" s="619">
        <v>9421371.3000000007</v>
      </c>
      <c r="S174" s="498">
        <f t="shared" si="46"/>
        <v>4436440.0750000002</v>
      </c>
      <c r="T174" s="620"/>
      <c r="U174" s="657">
        <f t="shared" si="44"/>
        <v>4436440.0750000002</v>
      </c>
      <c r="V174" s="690"/>
      <c r="W174" s="690"/>
      <c r="X174" s="713"/>
      <c r="Y174" s="690"/>
      <c r="Z174" s="690"/>
      <c r="AA174" s="657"/>
      <c r="AB174" s="690"/>
      <c r="AC174" s="658"/>
      <c r="AD174" s="659">
        <f t="shared" si="45"/>
        <v>4436440.0750000002</v>
      </c>
      <c r="AE174" s="658"/>
      <c r="AF174" s="688">
        <f t="shared" si="39"/>
        <v>0</v>
      </c>
    </row>
    <row r="175" spans="1:32">
      <c r="A175" s="620">
        <v>161</v>
      </c>
      <c r="B175" s="326" t="s">
        <v>1005</v>
      </c>
      <c r="C175" s="326" t="s">
        <v>464</v>
      </c>
      <c r="D175" s="326" t="s">
        <v>492</v>
      </c>
      <c r="E175" s="618" t="s">
        <v>1556</v>
      </c>
      <c r="F175" s="619">
        <v>160375.5</v>
      </c>
      <c r="G175" s="619">
        <v>164204.10999999999</v>
      </c>
      <c r="H175" s="619">
        <v>164627.15</v>
      </c>
      <c r="I175" s="619">
        <v>142983.69</v>
      </c>
      <c r="J175" s="619">
        <v>90175.79</v>
      </c>
      <c r="K175" s="619">
        <v>70393.39</v>
      </c>
      <c r="L175" s="619">
        <v>57118.6</v>
      </c>
      <c r="M175" s="619">
        <v>55829.62</v>
      </c>
      <c r="N175" s="619">
        <v>53275.48</v>
      </c>
      <c r="O175" s="619">
        <v>58696.7</v>
      </c>
      <c r="P175" s="619">
        <v>117247.05</v>
      </c>
      <c r="Q175" s="619">
        <v>80567.87</v>
      </c>
      <c r="R175" s="619">
        <v>11691.44</v>
      </c>
      <c r="S175" s="498">
        <f t="shared" si="46"/>
        <v>95096.07666666666</v>
      </c>
      <c r="T175" s="620"/>
      <c r="U175" s="657">
        <f t="shared" si="44"/>
        <v>95096.07666666666</v>
      </c>
      <c r="V175" s="690"/>
      <c r="W175" s="690"/>
      <c r="X175" s="713"/>
      <c r="Y175" s="690"/>
      <c r="Z175" s="690"/>
      <c r="AA175" s="657"/>
      <c r="AB175" s="690"/>
      <c r="AC175" s="658"/>
      <c r="AD175" s="659">
        <f t="shared" si="45"/>
        <v>95096.07666666666</v>
      </c>
      <c r="AE175" s="658"/>
      <c r="AF175" s="688">
        <f t="shared" si="39"/>
        <v>0</v>
      </c>
    </row>
    <row r="176" spans="1:32">
      <c r="A176" s="620">
        <v>162</v>
      </c>
      <c r="B176" s="326" t="s">
        <v>980</v>
      </c>
      <c r="C176" s="326" t="s">
        <v>464</v>
      </c>
      <c r="D176" s="326" t="s">
        <v>492</v>
      </c>
      <c r="E176" s="618" t="s">
        <v>1556</v>
      </c>
      <c r="F176" s="619">
        <v>136949.03</v>
      </c>
      <c r="G176" s="619">
        <v>135933.35999999999</v>
      </c>
      <c r="H176" s="619">
        <v>142057.14000000001</v>
      </c>
      <c r="I176" s="619">
        <v>129581.72</v>
      </c>
      <c r="J176" s="619">
        <v>115413.98</v>
      </c>
      <c r="K176" s="619">
        <v>85958.92</v>
      </c>
      <c r="L176" s="619">
        <v>67762.22</v>
      </c>
      <c r="M176" s="619">
        <v>74171.570000000007</v>
      </c>
      <c r="N176" s="619">
        <v>57928.02</v>
      </c>
      <c r="O176" s="619">
        <v>68424.179999999993</v>
      </c>
      <c r="P176" s="619">
        <v>895072.26</v>
      </c>
      <c r="Q176" s="619">
        <v>1128354.18</v>
      </c>
      <c r="R176" s="619">
        <v>1264015.1200000001</v>
      </c>
      <c r="S176" s="498">
        <f t="shared" si="46"/>
        <v>300094.96875</v>
      </c>
      <c r="T176" s="620"/>
      <c r="U176" s="657">
        <f t="shared" si="44"/>
        <v>300094.96875</v>
      </c>
      <c r="V176" s="690"/>
      <c r="W176" s="690"/>
      <c r="X176" s="713"/>
      <c r="Y176" s="690"/>
      <c r="Z176" s="690"/>
      <c r="AA176" s="657"/>
      <c r="AB176" s="690"/>
      <c r="AC176" s="658"/>
      <c r="AD176" s="659">
        <f t="shared" si="45"/>
        <v>300094.96875</v>
      </c>
      <c r="AE176" s="658"/>
      <c r="AF176" s="688">
        <f t="shared" si="39"/>
        <v>0</v>
      </c>
    </row>
    <row r="177" spans="1:32">
      <c r="A177" s="620">
        <v>163</v>
      </c>
      <c r="B177" s="326" t="s">
        <v>1005</v>
      </c>
      <c r="C177" s="326" t="s">
        <v>465</v>
      </c>
      <c r="D177" s="326" t="s">
        <v>492</v>
      </c>
      <c r="E177" s="618" t="s">
        <v>1557</v>
      </c>
      <c r="F177" s="619">
        <v>217372.61</v>
      </c>
      <c r="G177" s="619">
        <v>237798.2</v>
      </c>
      <c r="H177" s="619">
        <v>220817.29</v>
      </c>
      <c r="I177" s="619">
        <v>240347.6</v>
      </c>
      <c r="J177" s="619">
        <v>234810.43</v>
      </c>
      <c r="K177" s="619">
        <v>260714.04</v>
      </c>
      <c r="L177" s="619">
        <v>257076.87</v>
      </c>
      <c r="M177" s="619">
        <v>248708.24</v>
      </c>
      <c r="N177" s="619">
        <v>251855.92</v>
      </c>
      <c r="O177" s="619">
        <v>263967.65000000002</v>
      </c>
      <c r="P177" s="619">
        <v>281100.45</v>
      </c>
      <c r="Q177" s="619">
        <v>253310.96</v>
      </c>
      <c r="R177" s="619">
        <v>248515.71</v>
      </c>
      <c r="S177" s="498">
        <f t="shared" si="46"/>
        <v>248620.98416666672</v>
      </c>
      <c r="T177" s="620"/>
      <c r="U177" s="657">
        <f t="shared" si="44"/>
        <v>248620.98416666672</v>
      </c>
      <c r="V177" s="690"/>
      <c r="W177" s="690"/>
      <c r="X177" s="713"/>
      <c r="Y177" s="690"/>
      <c r="Z177" s="690"/>
      <c r="AA177" s="657"/>
      <c r="AB177" s="690"/>
      <c r="AC177" s="658"/>
      <c r="AD177" s="659">
        <f t="shared" si="45"/>
        <v>248620.98416666672</v>
      </c>
      <c r="AE177" s="658"/>
      <c r="AF177" s="688">
        <f t="shared" si="39"/>
        <v>0</v>
      </c>
    </row>
    <row r="178" spans="1:32">
      <c r="A178" s="620">
        <v>164</v>
      </c>
      <c r="B178" s="326" t="s">
        <v>980</v>
      </c>
      <c r="C178" s="326" t="s">
        <v>465</v>
      </c>
      <c r="D178" s="536" t="s">
        <v>492</v>
      </c>
      <c r="E178" s="618" t="s">
        <v>1557</v>
      </c>
      <c r="F178" s="619">
        <v>1287630.96</v>
      </c>
      <c r="G178" s="619">
        <v>1369074.9</v>
      </c>
      <c r="H178" s="619">
        <v>1344197.03</v>
      </c>
      <c r="I178" s="619">
        <v>1328253.71</v>
      </c>
      <c r="J178" s="619">
        <v>1274208.5900000001</v>
      </c>
      <c r="K178" s="619">
        <v>1255156.82</v>
      </c>
      <c r="L178" s="619">
        <v>1239995.3799999999</v>
      </c>
      <c r="M178" s="619">
        <v>1213999.1299999999</v>
      </c>
      <c r="N178" s="619">
        <v>1240715.43</v>
      </c>
      <c r="O178" s="619">
        <v>1281485.6100000001</v>
      </c>
      <c r="P178" s="619">
        <v>1376337.89</v>
      </c>
      <c r="Q178" s="619">
        <v>1306930.72</v>
      </c>
      <c r="R178" s="619">
        <v>1349347.15</v>
      </c>
      <c r="S178" s="498">
        <f t="shared" si="46"/>
        <v>1295737.0220833332</v>
      </c>
      <c r="T178" s="620"/>
      <c r="U178" s="657">
        <f t="shared" si="44"/>
        <v>1295737.0220833332</v>
      </c>
      <c r="V178" s="690"/>
      <c r="W178" s="690"/>
      <c r="X178" s="713"/>
      <c r="Y178" s="690"/>
      <c r="Z178" s="690"/>
      <c r="AA178" s="657"/>
      <c r="AB178" s="690"/>
      <c r="AC178" s="658"/>
      <c r="AD178" s="659">
        <f t="shared" si="45"/>
        <v>1295737.0220833332</v>
      </c>
      <c r="AE178" s="658"/>
      <c r="AF178" s="688">
        <f t="shared" si="39"/>
        <v>0</v>
      </c>
    </row>
    <row r="179" spans="1:32">
      <c r="A179" s="620">
        <v>165</v>
      </c>
      <c r="B179" s="326" t="s">
        <v>1005</v>
      </c>
      <c r="C179" s="326" t="s">
        <v>465</v>
      </c>
      <c r="D179" s="326" t="s">
        <v>493</v>
      </c>
      <c r="E179" s="618" t="s">
        <v>1558</v>
      </c>
      <c r="F179" s="619">
        <v>131375.94</v>
      </c>
      <c r="G179" s="619">
        <v>121852.75</v>
      </c>
      <c r="H179" s="619">
        <v>127017.49</v>
      </c>
      <c r="I179" s="619">
        <v>119652.65</v>
      </c>
      <c r="J179" s="619">
        <v>105493.9</v>
      </c>
      <c r="K179" s="619">
        <v>100627.94</v>
      </c>
      <c r="L179" s="619">
        <v>109752.04</v>
      </c>
      <c r="M179" s="619">
        <v>127696.94</v>
      </c>
      <c r="N179" s="619">
        <v>128311.34</v>
      </c>
      <c r="O179" s="619">
        <v>125645.68</v>
      </c>
      <c r="P179" s="619">
        <v>128657.13</v>
      </c>
      <c r="Q179" s="619">
        <v>127628.79</v>
      </c>
      <c r="R179" s="619">
        <v>131522.85999999999</v>
      </c>
      <c r="S179" s="498">
        <f t="shared" si="46"/>
        <v>121148.83749999998</v>
      </c>
      <c r="T179" s="620"/>
      <c r="U179" s="657">
        <f t="shared" si="44"/>
        <v>121148.83749999998</v>
      </c>
      <c r="V179" s="690"/>
      <c r="W179" s="690"/>
      <c r="X179" s="713"/>
      <c r="Y179" s="690"/>
      <c r="Z179" s="690"/>
      <c r="AA179" s="657"/>
      <c r="AB179" s="690"/>
      <c r="AC179" s="658"/>
      <c r="AD179" s="659">
        <f t="shared" si="45"/>
        <v>121148.83749999998</v>
      </c>
      <c r="AE179" s="658"/>
      <c r="AF179" s="688">
        <f t="shared" si="39"/>
        <v>0</v>
      </c>
    </row>
    <row r="180" spans="1:32">
      <c r="A180" s="620">
        <v>166</v>
      </c>
      <c r="B180" s="326" t="s">
        <v>980</v>
      </c>
      <c r="C180" s="326" t="s">
        <v>465</v>
      </c>
      <c r="D180" s="326" t="s">
        <v>493</v>
      </c>
      <c r="E180" s="618" t="s">
        <v>1558</v>
      </c>
      <c r="F180" s="313">
        <v>678698.73</v>
      </c>
      <c r="G180" s="313">
        <v>671884.93</v>
      </c>
      <c r="H180" s="313">
        <v>674056.5</v>
      </c>
      <c r="I180" s="313">
        <v>661556.25</v>
      </c>
      <c r="J180" s="313">
        <v>621975.87</v>
      </c>
      <c r="K180" s="313">
        <v>552268.14</v>
      </c>
      <c r="L180" s="313">
        <v>611119.44999999995</v>
      </c>
      <c r="M180" s="313">
        <v>867027.65</v>
      </c>
      <c r="N180" s="313">
        <v>925701.44</v>
      </c>
      <c r="O180" s="313">
        <v>848272.93</v>
      </c>
      <c r="P180" s="313">
        <v>656542.81000000006</v>
      </c>
      <c r="Q180" s="313">
        <v>676138.75</v>
      </c>
      <c r="R180" s="313">
        <v>859829.44</v>
      </c>
      <c r="S180" s="499">
        <f>((F180+R180)+((G180+H180+I180+J180+K180+L180+M180+N180+O180+P180+Q180)*2))/24</f>
        <v>711317.40041666664</v>
      </c>
      <c r="T180" s="620"/>
      <c r="U180" s="657">
        <f t="shared" si="44"/>
        <v>711317.40041666664</v>
      </c>
      <c r="V180" s="690"/>
      <c r="W180" s="690"/>
      <c r="X180" s="713"/>
      <c r="Y180" s="690"/>
      <c r="Z180" s="690"/>
      <c r="AA180" s="657"/>
      <c r="AB180" s="690"/>
      <c r="AC180" s="658"/>
      <c r="AD180" s="659">
        <f t="shared" si="45"/>
        <v>711317.40041666664</v>
      </c>
      <c r="AE180" s="658"/>
      <c r="AF180" s="688">
        <f t="shared" si="39"/>
        <v>0</v>
      </c>
    </row>
    <row r="181" spans="1:32">
      <c r="A181" s="620">
        <v>167</v>
      </c>
      <c r="B181" s="620"/>
      <c r="C181" s="620"/>
      <c r="D181" s="620"/>
      <c r="E181" s="618" t="s">
        <v>466</v>
      </c>
      <c r="F181" s="305">
        <f>SUM(F171:F180)</f>
        <v>25164949.820000004</v>
      </c>
      <c r="G181" s="305">
        <f t="shared" ref="G181:R181" si="47">SUM(G171:G180)</f>
        <v>25360141.189999994</v>
      </c>
      <c r="H181" s="305">
        <f t="shared" si="47"/>
        <v>30046129.09</v>
      </c>
      <c r="I181" s="305">
        <f t="shared" si="47"/>
        <v>20722427.400000002</v>
      </c>
      <c r="J181" s="305">
        <f t="shared" si="47"/>
        <v>13343326.989999998</v>
      </c>
      <c r="K181" s="305">
        <f t="shared" si="47"/>
        <v>8390636.0199999996</v>
      </c>
      <c r="L181" s="305">
        <f t="shared" si="47"/>
        <v>6738225.3999999985</v>
      </c>
      <c r="M181" s="305">
        <f t="shared" si="47"/>
        <v>6750474.9500000002</v>
      </c>
      <c r="N181" s="305">
        <f t="shared" si="47"/>
        <v>4927569.6899999995</v>
      </c>
      <c r="O181" s="305">
        <f t="shared" si="47"/>
        <v>8162569.0700000003</v>
      </c>
      <c r="P181" s="305">
        <f t="shared" si="47"/>
        <v>17628798.869999997</v>
      </c>
      <c r="Q181" s="305">
        <f t="shared" si="47"/>
        <v>28036032.580000002</v>
      </c>
      <c r="R181" s="305">
        <f t="shared" si="47"/>
        <v>32004471.150000006</v>
      </c>
      <c r="S181" s="500">
        <f>SUM(S171:S180)</f>
        <v>16557586.811250001</v>
      </c>
      <c r="T181" s="620"/>
      <c r="U181" s="657"/>
      <c r="V181" s="690"/>
      <c r="W181" s="690"/>
      <c r="X181" s="713"/>
      <c r="Y181" s="690"/>
      <c r="Z181" s="690"/>
      <c r="AA181" s="657"/>
      <c r="AB181" s="690"/>
      <c r="AC181" s="658"/>
      <c r="AD181" s="658"/>
      <c r="AE181" s="658"/>
      <c r="AF181" s="688">
        <f t="shared" si="39"/>
        <v>0</v>
      </c>
    </row>
    <row r="182" spans="1:32">
      <c r="A182" s="620">
        <v>168</v>
      </c>
      <c r="B182" s="620"/>
      <c r="C182" s="620"/>
      <c r="D182" s="620"/>
      <c r="E182" s="605"/>
      <c r="F182" s="619"/>
      <c r="G182" s="324"/>
      <c r="H182" s="315"/>
      <c r="I182" s="315"/>
      <c r="J182" s="316"/>
      <c r="K182" s="317"/>
      <c r="L182" s="318"/>
      <c r="M182" s="319"/>
      <c r="N182" s="320"/>
      <c r="O182" s="606"/>
      <c r="P182" s="321"/>
      <c r="Q182" s="325"/>
      <c r="R182" s="619"/>
      <c r="S182" s="304"/>
      <c r="T182" s="620"/>
      <c r="U182" s="657"/>
      <c r="V182" s="690"/>
      <c r="W182" s="690"/>
      <c r="X182" s="713"/>
      <c r="Y182" s="690"/>
      <c r="Z182" s="690"/>
      <c r="AA182" s="657"/>
      <c r="AB182" s="690"/>
      <c r="AC182" s="658"/>
      <c r="AD182" s="658"/>
      <c r="AE182" s="658"/>
      <c r="AF182" s="688">
        <f t="shared" si="39"/>
        <v>0</v>
      </c>
    </row>
    <row r="183" spans="1:32">
      <c r="A183" s="620">
        <v>169</v>
      </c>
      <c r="B183" s="326" t="s">
        <v>977</v>
      </c>
      <c r="C183" s="326" t="s">
        <v>467</v>
      </c>
      <c r="D183" s="326" t="s">
        <v>1009</v>
      </c>
      <c r="E183" s="618" t="s">
        <v>1559</v>
      </c>
      <c r="F183" s="619">
        <v>-82824.95</v>
      </c>
      <c r="G183" s="619">
        <v>-81863.039999999994</v>
      </c>
      <c r="H183" s="619">
        <v>-80901.16</v>
      </c>
      <c r="I183" s="619">
        <v>-79939.23</v>
      </c>
      <c r="J183" s="619">
        <v>-78977.33</v>
      </c>
      <c r="K183" s="619">
        <v>-78015.429999999993</v>
      </c>
      <c r="L183" s="619">
        <v>-77053.539999999994</v>
      </c>
      <c r="M183" s="619">
        <v>-76091.649999999994</v>
      </c>
      <c r="N183" s="619">
        <v>-75129.75</v>
      </c>
      <c r="O183" s="619">
        <v>-74167.83</v>
      </c>
      <c r="P183" s="619">
        <v>-73205.919999999998</v>
      </c>
      <c r="Q183" s="619">
        <v>-72244.02</v>
      </c>
      <c r="R183" s="619">
        <v>-71282.13</v>
      </c>
      <c r="S183" s="498">
        <f>((F183+R183)+((G183+H183+I183+J183+K183+L183+M183+N183+O183+P183+Q183)*2))/24</f>
        <v>-77053.536666666667</v>
      </c>
      <c r="T183" s="620"/>
      <c r="U183" s="657"/>
      <c r="V183" s="690"/>
      <c r="W183" s="690"/>
      <c r="X183" s="713">
        <f>+S183</f>
        <v>-77053.536666666667</v>
      </c>
      <c r="Y183" s="690"/>
      <c r="Z183" s="690"/>
      <c r="AA183" s="657"/>
      <c r="AB183" s="690">
        <f>+S183</f>
        <v>-77053.536666666667</v>
      </c>
      <c r="AC183" s="658"/>
      <c r="AD183" s="659">
        <f>+U183</f>
        <v>0</v>
      </c>
      <c r="AE183" s="658"/>
      <c r="AF183" s="688">
        <f t="shared" si="39"/>
        <v>0</v>
      </c>
    </row>
    <row r="184" spans="1:32">
      <c r="A184" s="620">
        <v>170</v>
      </c>
      <c r="B184" s="326" t="s">
        <v>977</v>
      </c>
      <c r="C184" s="326" t="s">
        <v>467</v>
      </c>
      <c r="D184" s="326" t="s">
        <v>1010</v>
      </c>
      <c r="E184" s="618" t="s">
        <v>1560</v>
      </c>
      <c r="F184" s="619">
        <v>-314153.82</v>
      </c>
      <c r="G184" s="619">
        <v>-310487.56</v>
      </c>
      <c r="H184" s="619">
        <v>-306821.32</v>
      </c>
      <c r="I184" s="619">
        <v>-303155.03999999998</v>
      </c>
      <c r="J184" s="619">
        <v>-299488.8</v>
      </c>
      <c r="K184" s="619">
        <v>-295822.51</v>
      </c>
      <c r="L184" s="619">
        <v>-292156.31</v>
      </c>
      <c r="M184" s="619">
        <v>-288490.09000000003</v>
      </c>
      <c r="N184" s="619">
        <v>-284823.81</v>
      </c>
      <c r="O184" s="619">
        <v>-281157.56</v>
      </c>
      <c r="P184" s="619">
        <v>-277491.31</v>
      </c>
      <c r="Q184" s="619">
        <v>-273824.98</v>
      </c>
      <c r="R184" s="619">
        <v>-270158.8</v>
      </c>
      <c r="S184" s="498">
        <f>((F184+R184)+((G184+H184+I184+J184+K184+L184+M184+N184+O184+P184+Q184)*2))/24</f>
        <v>-292156.3</v>
      </c>
      <c r="T184" s="620"/>
      <c r="U184" s="657"/>
      <c r="V184" s="690"/>
      <c r="W184" s="690"/>
      <c r="X184" s="713">
        <f>+S184</f>
        <v>-292156.3</v>
      </c>
      <c r="Y184" s="690"/>
      <c r="Z184" s="690"/>
      <c r="AA184" s="657"/>
      <c r="AB184" s="690">
        <f t="shared" ref="AB184:AB186" si="48">+S184</f>
        <v>-292156.3</v>
      </c>
      <c r="AC184" s="658"/>
      <c r="AD184" s="659">
        <f>+U184</f>
        <v>0</v>
      </c>
      <c r="AE184" s="658"/>
      <c r="AF184" s="688">
        <f t="shared" si="39"/>
        <v>0</v>
      </c>
    </row>
    <row r="185" spans="1:32">
      <c r="A185" s="620">
        <v>171</v>
      </c>
      <c r="B185" s="326" t="s">
        <v>977</v>
      </c>
      <c r="C185" s="326" t="s">
        <v>467</v>
      </c>
      <c r="D185" s="326" t="s">
        <v>1337</v>
      </c>
      <c r="E185" s="618" t="s">
        <v>1561</v>
      </c>
      <c r="F185" s="619">
        <v>680831.94</v>
      </c>
      <c r="G185" s="619">
        <v>681059.07</v>
      </c>
      <c r="H185" s="619">
        <v>682798.4</v>
      </c>
      <c r="I185" s="619">
        <v>672259.39</v>
      </c>
      <c r="J185" s="619">
        <v>671430.12</v>
      </c>
      <c r="K185" s="619">
        <v>-1.16415321826935E-10</v>
      </c>
      <c r="L185" s="619">
        <v>-1.16415321826935E-10</v>
      </c>
      <c r="M185" s="619">
        <v>-1.16415321826935E-10</v>
      </c>
      <c r="N185" s="619">
        <v>-1.16415321826935E-10</v>
      </c>
      <c r="O185" s="619">
        <v>-1.16415321826935E-10</v>
      </c>
      <c r="P185" s="619">
        <v>-1.16415321826935E-10</v>
      </c>
      <c r="Q185" s="619">
        <v>-1.16415321826935E-10</v>
      </c>
      <c r="R185" s="619">
        <v>-1.16415321826935E-10</v>
      </c>
      <c r="S185" s="498">
        <f>((F185+R185)+((G185+H185+I185+J185+K185+L185+M185+N185+O185+P185+Q185)*2))/24</f>
        <v>253996.91249999998</v>
      </c>
      <c r="T185" s="620"/>
      <c r="U185" s="657"/>
      <c r="V185" s="690"/>
      <c r="W185" s="690"/>
      <c r="X185" s="713">
        <f>+S185</f>
        <v>253996.91249999998</v>
      </c>
      <c r="Y185" s="690">
        <f>+X185*Z7</f>
        <v>190929.47912624999</v>
      </c>
      <c r="Z185" s="690">
        <f>+X185*Z8</f>
        <v>63067.433373749991</v>
      </c>
      <c r="AA185" s="657"/>
      <c r="AB185" s="690"/>
      <c r="AC185" s="658"/>
      <c r="AD185" s="659">
        <f>+U185</f>
        <v>0</v>
      </c>
      <c r="AE185" s="658"/>
      <c r="AF185" s="688">
        <f t="shared" si="39"/>
        <v>0</v>
      </c>
    </row>
    <row r="186" spans="1:32">
      <c r="A186" s="620">
        <v>172</v>
      </c>
      <c r="B186" s="326" t="s">
        <v>977</v>
      </c>
      <c r="C186" s="326" t="s">
        <v>467</v>
      </c>
      <c r="D186" s="326" t="s">
        <v>1400</v>
      </c>
      <c r="E186" s="618" t="s">
        <v>1562</v>
      </c>
      <c r="F186" s="619">
        <v>1956266.79</v>
      </c>
      <c r="G186" s="619">
        <v>1934611.41</v>
      </c>
      <c r="H186" s="619">
        <v>1936237.98</v>
      </c>
      <c r="I186" s="619">
        <v>1937864.53</v>
      </c>
      <c r="J186" s="619">
        <v>1949463.84</v>
      </c>
      <c r="K186" s="619">
        <v>1320391.5900000001</v>
      </c>
      <c r="L186" s="619">
        <v>1331604.73</v>
      </c>
      <c r="M186" s="619">
        <v>1302926.93</v>
      </c>
      <c r="N186" s="619">
        <v>1304167.32</v>
      </c>
      <c r="O186" s="619">
        <v>1305407.72</v>
      </c>
      <c r="P186" s="619">
        <v>1306648.1100000001</v>
      </c>
      <c r="Q186" s="619">
        <v>1307888.52</v>
      </c>
      <c r="R186" s="619">
        <v>1401147.76</v>
      </c>
      <c r="S186" s="498">
        <f t="shared" ref="S186:S199" si="49">((F186+R186)+((G186+H186+I186+J186+K186+L186+M186+N186+O186+P186+Q186)*2))/24</f>
        <v>1551326.6629166666</v>
      </c>
      <c r="T186" s="620"/>
      <c r="U186" s="657"/>
      <c r="V186" s="690"/>
      <c r="W186" s="690"/>
      <c r="X186" s="713">
        <f>+S186</f>
        <v>1551326.6629166666</v>
      </c>
      <c r="Y186" s="690"/>
      <c r="Z186" s="690"/>
      <c r="AA186" s="657"/>
      <c r="AB186" s="690">
        <f t="shared" si="48"/>
        <v>1551326.6629166666</v>
      </c>
      <c r="AC186" s="658"/>
      <c r="AD186" s="659">
        <f t="shared" ref="AD186:AD198" si="50">+U186</f>
        <v>0</v>
      </c>
      <c r="AE186" s="658"/>
      <c r="AF186" s="688">
        <f t="shared" si="39"/>
        <v>0</v>
      </c>
    </row>
    <row r="187" spans="1:32">
      <c r="A187" s="620">
        <v>173</v>
      </c>
      <c r="B187" s="326" t="s">
        <v>977</v>
      </c>
      <c r="C187" s="326" t="s">
        <v>467</v>
      </c>
      <c r="D187" s="326" t="s">
        <v>1011</v>
      </c>
      <c r="E187" s="618" t="s">
        <v>1563</v>
      </c>
      <c r="F187" s="619">
        <v>11510145.4</v>
      </c>
      <c r="G187" s="619">
        <v>11507312.039999999</v>
      </c>
      <c r="H187" s="619">
        <v>11493190.75</v>
      </c>
      <c r="I187" s="619">
        <v>11469718.529999999</v>
      </c>
      <c r="J187" s="619">
        <v>11436977.539999999</v>
      </c>
      <c r="K187" s="619">
        <v>4785984.6900000004</v>
      </c>
      <c r="L187" s="619">
        <v>4664356.68</v>
      </c>
      <c r="M187" s="619">
        <v>4654083.1500000004</v>
      </c>
      <c r="N187" s="619">
        <v>4633846.72</v>
      </c>
      <c r="O187" s="619">
        <v>4619999.8499999996</v>
      </c>
      <c r="P187" s="619">
        <v>4581896.46</v>
      </c>
      <c r="Q187" s="619">
        <v>4566634.12</v>
      </c>
      <c r="R187" s="619">
        <v>3764796.5</v>
      </c>
      <c r="S187" s="498">
        <f t="shared" si="49"/>
        <v>7170955.9566666661</v>
      </c>
      <c r="T187" s="620"/>
      <c r="U187" s="657">
        <f t="shared" ref="U187:U200" si="51">+S187</f>
        <v>7170955.9566666661</v>
      </c>
      <c r="V187" s="690"/>
      <c r="W187" s="690"/>
      <c r="X187" s="713"/>
      <c r="Y187" s="690"/>
      <c r="Z187" s="690"/>
      <c r="AA187" s="657"/>
      <c r="AB187" s="690"/>
      <c r="AC187" s="658"/>
      <c r="AD187" s="659">
        <f t="shared" si="50"/>
        <v>7170955.9566666661</v>
      </c>
      <c r="AE187" s="658"/>
      <c r="AF187" s="688">
        <f t="shared" si="39"/>
        <v>0</v>
      </c>
    </row>
    <row r="188" spans="1:32">
      <c r="A188" s="620">
        <v>174</v>
      </c>
      <c r="B188" s="326" t="s">
        <v>977</v>
      </c>
      <c r="C188" s="326" t="s">
        <v>467</v>
      </c>
      <c r="D188" s="326" t="s">
        <v>1161</v>
      </c>
      <c r="E188" s="618" t="s">
        <v>1564</v>
      </c>
      <c r="F188" s="619">
        <v>1661184.9</v>
      </c>
      <c r="G188" s="619">
        <v>1695741.01</v>
      </c>
      <c r="H188" s="619">
        <v>1471236.01</v>
      </c>
      <c r="I188" s="619">
        <v>1483644.41</v>
      </c>
      <c r="J188" s="619">
        <v>1289414.67</v>
      </c>
      <c r="K188" s="619">
        <v>1308074.3700000001</v>
      </c>
      <c r="L188" s="619">
        <v>1339199.76</v>
      </c>
      <c r="M188" s="619">
        <v>1361362.4</v>
      </c>
      <c r="N188" s="619">
        <v>1385573.15</v>
      </c>
      <c r="O188" s="619">
        <v>1380832.33</v>
      </c>
      <c r="P188" s="619">
        <v>1374347.93</v>
      </c>
      <c r="Q188" s="619">
        <v>1150002.48</v>
      </c>
      <c r="R188" s="619">
        <v>1739299.2</v>
      </c>
      <c r="S188" s="498">
        <f t="shared" si="49"/>
        <v>1411639.2141666666</v>
      </c>
      <c r="T188" s="620"/>
      <c r="U188" s="657">
        <f t="shared" si="51"/>
        <v>1411639.2141666666</v>
      </c>
      <c r="V188" s="690"/>
      <c r="W188" s="690"/>
      <c r="X188" s="713"/>
      <c r="Y188" s="690"/>
      <c r="Z188" s="690"/>
      <c r="AA188" s="657"/>
      <c r="AB188" s="690"/>
      <c r="AC188" s="658"/>
      <c r="AD188" s="659">
        <f t="shared" si="50"/>
        <v>1411639.2141666666</v>
      </c>
      <c r="AE188" s="658"/>
      <c r="AF188" s="688">
        <f t="shared" si="39"/>
        <v>0</v>
      </c>
    </row>
    <row r="189" spans="1:32">
      <c r="A189" s="620">
        <v>175</v>
      </c>
      <c r="B189" s="326" t="s">
        <v>1005</v>
      </c>
      <c r="C189" s="326" t="s">
        <v>467</v>
      </c>
      <c r="D189" s="326" t="s">
        <v>1006</v>
      </c>
      <c r="E189" s="618" t="s">
        <v>1565</v>
      </c>
      <c r="F189" s="619">
        <v>-7249.34</v>
      </c>
      <c r="G189" s="619">
        <v>-7165.15</v>
      </c>
      <c r="H189" s="619">
        <v>-7080.94</v>
      </c>
      <c r="I189" s="619">
        <v>-6996.75</v>
      </c>
      <c r="J189" s="619">
        <v>-6912.56</v>
      </c>
      <c r="K189" s="619">
        <v>-6828.37</v>
      </c>
      <c r="L189" s="619">
        <v>-6744.18</v>
      </c>
      <c r="M189" s="619">
        <v>-6659.99</v>
      </c>
      <c r="N189" s="619">
        <v>-6575.8</v>
      </c>
      <c r="O189" s="619">
        <v>-6491.61</v>
      </c>
      <c r="P189" s="619">
        <v>-6407.42</v>
      </c>
      <c r="Q189" s="619">
        <v>-6323.23</v>
      </c>
      <c r="R189" s="619">
        <v>-6239.04</v>
      </c>
      <c r="S189" s="498">
        <f t="shared" si="49"/>
        <v>-6744.1824999999999</v>
      </c>
      <c r="T189" s="620"/>
      <c r="U189" s="657"/>
      <c r="V189" s="690"/>
      <c r="W189" s="690"/>
      <c r="X189" s="713">
        <f t="shared" ref="X189:X192" si="52">+S189</f>
        <v>-6744.1824999999999</v>
      </c>
      <c r="Y189" s="690"/>
      <c r="Z189" s="690"/>
      <c r="AA189" s="657"/>
      <c r="AB189" s="690">
        <f t="shared" ref="AB189:AB193" si="53">+S189</f>
        <v>-6744.1824999999999</v>
      </c>
      <c r="AC189" s="658"/>
      <c r="AD189" s="659">
        <f t="shared" si="50"/>
        <v>0</v>
      </c>
      <c r="AE189" s="658"/>
      <c r="AF189" s="688">
        <f t="shared" si="39"/>
        <v>0</v>
      </c>
    </row>
    <row r="190" spans="1:32">
      <c r="A190" s="620">
        <v>176</v>
      </c>
      <c r="B190" s="326" t="s">
        <v>1005</v>
      </c>
      <c r="C190" s="326" t="s">
        <v>467</v>
      </c>
      <c r="D190" s="326" t="s">
        <v>1007</v>
      </c>
      <c r="E190" s="618" t="s">
        <v>1566</v>
      </c>
      <c r="F190" s="619">
        <v>2574.23</v>
      </c>
      <c r="G190" s="619">
        <v>2526.5500000000002</v>
      </c>
      <c r="H190" s="619">
        <v>2478.9</v>
      </c>
      <c r="I190" s="619">
        <v>2431.23</v>
      </c>
      <c r="J190" s="619">
        <v>2383.5700000000002</v>
      </c>
      <c r="K190" s="619">
        <v>2335.9</v>
      </c>
      <c r="L190" s="619">
        <v>2288.2199999999998</v>
      </c>
      <c r="M190" s="619">
        <v>2240.5700000000002</v>
      </c>
      <c r="N190" s="619">
        <v>2192.91</v>
      </c>
      <c r="O190" s="619">
        <v>2145.2199999999998</v>
      </c>
      <c r="P190" s="619">
        <v>2097.56</v>
      </c>
      <c r="Q190" s="619">
        <v>2049.87</v>
      </c>
      <c r="R190" s="619">
        <v>2002.16</v>
      </c>
      <c r="S190" s="498">
        <f t="shared" si="49"/>
        <v>2288.2245833333332</v>
      </c>
      <c r="T190" s="620"/>
      <c r="U190" s="657"/>
      <c r="V190" s="690"/>
      <c r="W190" s="690"/>
      <c r="X190" s="713">
        <f t="shared" si="52"/>
        <v>2288.2245833333332</v>
      </c>
      <c r="Y190" s="690"/>
      <c r="Z190" s="690"/>
      <c r="AA190" s="657"/>
      <c r="AB190" s="690">
        <f t="shared" si="53"/>
        <v>2288.2245833333332</v>
      </c>
      <c r="AC190" s="658"/>
      <c r="AD190" s="659">
        <f t="shared" si="50"/>
        <v>0</v>
      </c>
      <c r="AE190" s="658"/>
      <c r="AF190" s="688">
        <f t="shared" si="39"/>
        <v>0</v>
      </c>
    </row>
    <row r="191" spans="1:32">
      <c r="A191" s="620">
        <v>177</v>
      </c>
      <c r="B191" s="326" t="s">
        <v>1005</v>
      </c>
      <c r="C191" s="326" t="s">
        <v>467</v>
      </c>
      <c r="D191" s="326" t="s">
        <v>1340</v>
      </c>
      <c r="E191" s="618" t="s">
        <v>1567</v>
      </c>
      <c r="F191" s="619">
        <v>59590.47</v>
      </c>
      <c r="G191" s="619">
        <v>59610.35</v>
      </c>
      <c r="H191" s="619">
        <v>59762.59</v>
      </c>
      <c r="I191" s="619">
        <v>58840.15</v>
      </c>
      <c r="J191" s="619">
        <v>58767.57</v>
      </c>
      <c r="K191" s="619">
        <v>58869.7</v>
      </c>
      <c r="L191" s="619">
        <v>58869.7</v>
      </c>
      <c r="M191" s="619">
        <v>58819.12</v>
      </c>
      <c r="N191" s="619">
        <v>58888.59</v>
      </c>
      <c r="O191" s="619">
        <v>57753.95</v>
      </c>
      <c r="P191" s="619">
        <v>57815.58</v>
      </c>
      <c r="Q191" s="619">
        <v>57928.94</v>
      </c>
      <c r="R191" s="619">
        <v>57928.94</v>
      </c>
      <c r="S191" s="498">
        <f t="shared" si="49"/>
        <v>58723.828749999993</v>
      </c>
      <c r="T191" s="620"/>
      <c r="U191" s="657"/>
      <c r="V191" s="690"/>
      <c r="W191" s="690"/>
      <c r="X191" s="713">
        <f t="shared" si="52"/>
        <v>58723.828749999993</v>
      </c>
      <c r="Y191" s="690"/>
      <c r="Z191" s="690">
        <f>+X191</f>
        <v>58723.828749999993</v>
      </c>
      <c r="AA191" s="657"/>
      <c r="AB191" s="690"/>
      <c r="AC191" s="658"/>
      <c r="AD191" s="659">
        <f t="shared" si="50"/>
        <v>0</v>
      </c>
      <c r="AE191" s="658"/>
      <c r="AF191" s="688">
        <f t="shared" si="39"/>
        <v>0</v>
      </c>
    </row>
    <row r="192" spans="1:32">
      <c r="A192" s="620">
        <v>178</v>
      </c>
      <c r="B192" s="326" t="s">
        <v>1005</v>
      </c>
      <c r="C192" s="326" t="s">
        <v>467</v>
      </c>
      <c r="D192" s="326" t="s">
        <v>1341</v>
      </c>
      <c r="E192" s="618" t="s">
        <v>1568</v>
      </c>
      <c r="F192" s="619">
        <v>-2574.25</v>
      </c>
      <c r="G192" s="619">
        <v>-2526.58</v>
      </c>
      <c r="H192" s="619">
        <v>-2478.91</v>
      </c>
      <c r="I192" s="619">
        <v>-2431.2399999999998</v>
      </c>
      <c r="J192" s="619">
        <v>-2383.5700000000002</v>
      </c>
      <c r="K192" s="619">
        <v>-2335.9</v>
      </c>
      <c r="L192" s="619">
        <v>-2288.2199999999998</v>
      </c>
      <c r="M192" s="619">
        <v>-2240.5500000000002</v>
      </c>
      <c r="N192" s="619">
        <v>-2192.88</v>
      </c>
      <c r="O192" s="619">
        <v>-2145.21</v>
      </c>
      <c r="P192" s="619">
        <v>-2097.54</v>
      </c>
      <c r="Q192" s="619">
        <v>-2049.87</v>
      </c>
      <c r="R192" s="619">
        <v>-2002.19</v>
      </c>
      <c r="S192" s="498">
        <f t="shared" si="49"/>
        <v>-2288.2241666666664</v>
      </c>
      <c r="T192" s="620"/>
      <c r="U192" s="657"/>
      <c r="V192" s="690"/>
      <c r="W192" s="690"/>
      <c r="X192" s="713">
        <f t="shared" si="52"/>
        <v>-2288.2241666666664</v>
      </c>
      <c r="Y192" s="690"/>
      <c r="Z192" s="690">
        <f>+X192</f>
        <v>-2288.2241666666664</v>
      </c>
      <c r="AA192" s="657"/>
      <c r="AB192" s="690"/>
      <c r="AC192" s="658"/>
      <c r="AD192" s="659">
        <f t="shared" si="50"/>
        <v>0</v>
      </c>
      <c r="AE192" s="658"/>
      <c r="AF192" s="688">
        <f t="shared" si="39"/>
        <v>0</v>
      </c>
    </row>
    <row r="193" spans="1:32">
      <c r="A193" s="620">
        <v>179</v>
      </c>
      <c r="B193" s="326" t="s">
        <v>1005</v>
      </c>
      <c r="C193" s="326" t="s">
        <v>467</v>
      </c>
      <c r="D193" s="326" t="s">
        <v>1399</v>
      </c>
      <c r="E193" s="618" t="s">
        <v>1569</v>
      </c>
      <c r="F193" s="619">
        <v>171224.15</v>
      </c>
      <c r="G193" s="619">
        <v>169328.75</v>
      </c>
      <c r="H193" s="619">
        <v>169471.11</v>
      </c>
      <c r="I193" s="619">
        <v>169613.47</v>
      </c>
      <c r="J193" s="619">
        <v>170628.72</v>
      </c>
      <c r="K193" s="619">
        <v>115568.55</v>
      </c>
      <c r="L193" s="619">
        <v>116549.99</v>
      </c>
      <c r="M193" s="619">
        <v>114039.95</v>
      </c>
      <c r="N193" s="619">
        <v>114148.51</v>
      </c>
      <c r="O193" s="619">
        <v>114257.08</v>
      </c>
      <c r="P193" s="619">
        <v>114365.65</v>
      </c>
      <c r="Q193" s="619">
        <v>114474.22</v>
      </c>
      <c r="R193" s="619">
        <v>122636.81</v>
      </c>
      <c r="S193" s="498">
        <f t="shared" si="49"/>
        <v>135781.37333333332</v>
      </c>
      <c r="T193" s="620"/>
      <c r="U193" s="657"/>
      <c r="V193" s="690"/>
      <c r="W193" s="690"/>
      <c r="X193" s="713">
        <f>+S193</f>
        <v>135781.37333333332</v>
      </c>
      <c r="Y193" s="690"/>
      <c r="Z193" s="690"/>
      <c r="AA193" s="657"/>
      <c r="AB193" s="690">
        <f t="shared" si="53"/>
        <v>135781.37333333332</v>
      </c>
      <c r="AC193" s="658"/>
      <c r="AD193" s="659">
        <f t="shared" si="50"/>
        <v>0</v>
      </c>
      <c r="AE193" s="658"/>
      <c r="AF193" s="688">
        <f t="shared" si="39"/>
        <v>0</v>
      </c>
    </row>
    <row r="194" spans="1:32">
      <c r="A194" s="620">
        <v>180</v>
      </c>
      <c r="B194" s="326" t="s">
        <v>1005</v>
      </c>
      <c r="C194" s="326" t="s">
        <v>467</v>
      </c>
      <c r="D194" s="326" t="s">
        <v>1008</v>
      </c>
      <c r="E194" s="618" t="s">
        <v>1570</v>
      </c>
      <c r="F194" s="619">
        <v>1007436.65</v>
      </c>
      <c r="G194" s="619">
        <v>1007188.66</v>
      </c>
      <c r="H194" s="619">
        <v>1005952.68</v>
      </c>
      <c r="I194" s="619">
        <v>1003898.25</v>
      </c>
      <c r="J194" s="619">
        <v>1001032.56</v>
      </c>
      <c r="K194" s="619">
        <v>418897.9</v>
      </c>
      <c r="L194" s="619">
        <v>408252.29</v>
      </c>
      <c r="M194" s="619">
        <v>407353.09</v>
      </c>
      <c r="N194" s="619">
        <v>405581.88</v>
      </c>
      <c r="O194" s="619">
        <v>404369.91999999998</v>
      </c>
      <c r="P194" s="619">
        <v>401034.88</v>
      </c>
      <c r="Q194" s="619">
        <v>399699.02</v>
      </c>
      <c r="R194" s="619">
        <v>329517.43</v>
      </c>
      <c r="S194" s="498">
        <f t="shared" si="49"/>
        <v>627644.84749999992</v>
      </c>
      <c r="T194" s="620"/>
      <c r="U194" s="657">
        <f t="shared" si="51"/>
        <v>627644.84749999992</v>
      </c>
      <c r="V194" s="690"/>
      <c r="W194" s="690"/>
      <c r="X194" s="713"/>
      <c r="Y194" s="690"/>
      <c r="Z194" s="690"/>
      <c r="AA194" s="657"/>
      <c r="AB194" s="690"/>
      <c r="AC194" s="658"/>
      <c r="AD194" s="659">
        <f t="shared" si="50"/>
        <v>627644.84749999992</v>
      </c>
      <c r="AE194" s="658"/>
      <c r="AF194" s="688">
        <f t="shared" si="39"/>
        <v>0</v>
      </c>
    </row>
    <row r="195" spans="1:32">
      <c r="A195" s="620">
        <v>181</v>
      </c>
      <c r="B195" s="326" t="s">
        <v>1005</v>
      </c>
      <c r="C195" s="326" t="s">
        <v>467</v>
      </c>
      <c r="D195" s="326" t="s">
        <v>198</v>
      </c>
      <c r="E195" s="618" t="s">
        <v>1571</v>
      </c>
      <c r="F195" s="619">
        <v>145396.82</v>
      </c>
      <c r="G195" s="619">
        <v>148421.38</v>
      </c>
      <c r="H195" s="619">
        <v>128771.35</v>
      </c>
      <c r="I195" s="619">
        <v>129857.41</v>
      </c>
      <c r="J195" s="619">
        <v>112857.27</v>
      </c>
      <c r="K195" s="619">
        <v>114490.48</v>
      </c>
      <c r="L195" s="619">
        <v>117214.76</v>
      </c>
      <c r="M195" s="619">
        <v>119154.55</v>
      </c>
      <c r="N195" s="619">
        <v>121273.61</v>
      </c>
      <c r="O195" s="619">
        <v>120858.67</v>
      </c>
      <c r="P195" s="619">
        <v>120291.11</v>
      </c>
      <c r="Q195" s="619">
        <v>100655.08</v>
      </c>
      <c r="R195" s="619">
        <v>152233.85999999999</v>
      </c>
      <c r="S195" s="498">
        <f t="shared" si="49"/>
        <v>123555.08416666668</v>
      </c>
      <c r="T195" s="620"/>
      <c r="U195" s="657">
        <f t="shared" si="51"/>
        <v>123555.08416666668</v>
      </c>
      <c r="V195" s="690"/>
      <c r="W195" s="690"/>
      <c r="X195" s="713"/>
      <c r="Y195" s="690"/>
      <c r="Z195" s="690"/>
      <c r="AA195" s="657"/>
      <c r="AB195" s="690"/>
      <c r="AC195" s="658"/>
      <c r="AD195" s="659">
        <f t="shared" si="50"/>
        <v>123555.08416666668</v>
      </c>
      <c r="AE195" s="658"/>
      <c r="AF195" s="688">
        <f t="shared" si="39"/>
        <v>0</v>
      </c>
    </row>
    <row r="196" spans="1:32">
      <c r="A196" s="620">
        <v>182</v>
      </c>
      <c r="B196" s="326" t="s">
        <v>1005</v>
      </c>
      <c r="C196" s="326" t="s">
        <v>467</v>
      </c>
      <c r="D196" s="326" t="s">
        <v>1337</v>
      </c>
      <c r="E196" s="618" t="s">
        <v>1561</v>
      </c>
      <c r="F196" s="619">
        <v>0</v>
      </c>
      <c r="G196" s="619">
        <v>0</v>
      </c>
      <c r="H196" s="619">
        <v>0</v>
      </c>
      <c r="I196" s="619">
        <v>0</v>
      </c>
      <c r="J196" s="619">
        <v>0</v>
      </c>
      <c r="K196" s="619">
        <v>39907.08</v>
      </c>
      <c r="L196" s="619">
        <v>39907.08</v>
      </c>
      <c r="M196" s="619">
        <v>39329.18</v>
      </c>
      <c r="N196" s="619">
        <v>40122.9</v>
      </c>
      <c r="O196" s="619">
        <v>38232.14</v>
      </c>
      <c r="P196" s="619">
        <v>38936.33</v>
      </c>
      <c r="Q196" s="619">
        <v>40231.5</v>
      </c>
      <c r="R196" s="619">
        <v>40231.5</v>
      </c>
      <c r="S196" s="498">
        <f t="shared" si="49"/>
        <v>24731.83</v>
      </c>
      <c r="T196" s="620"/>
      <c r="U196" s="657"/>
      <c r="V196" s="690"/>
      <c r="W196" s="690"/>
      <c r="X196" s="713">
        <f>+S196</f>
        <v>24731.83</v>
      </c>
      <c r="Y196" s="690"/>
      <c r="Z196" s="690">
        <f>+X196</f>
        <v>24731.83</v>
      </c>
      <c r="AA196" s="657"/>
      <c r="AB196" s="690"/>
      <c r="AC196" s="658"/>
      <c r="AD196" s="659"/>
      <c r="AE196" s="658"/>
      <c r="AF196" s="688"/>
    </row>
    <row r="197" spans="1:32">
      <c r="A197" s="620">
        <v>183</v>
      </c>
      <c r="B197" s="326" t="s">
        <v>1005</v>
      </c>
      <c r="C197" s="326" t="s">
        <v>467</v>
      </c>
      <c r="D197" s="326" t="s">
        <v>1339</v>
      </c>
      <c r="E197" s="618" t="s">
        <v>1572</v>
      </c>
      <c r="F197" s="619">
        <v>65440.960000000101</v>
      </c>
      <c r="G197" s="619">
        <v>64077.61</v>
      </c>
      <c r="H197" s="619">
        <v>62714.26</v>
      </c>
      <c r="I197" s="619">
        <v>61350.9</v>
      </c>
      <c r="J197" s="619">
        <v>59987.55</v>
      </c>
      <c r="K197" s="619">
        <v>58624.2</v>
      </c>
      <c r="L197" s="619">
        <v>57260.84</v>
      </c>
      <c r="M197" s="619">
        <v>55897.49</v>
      </c>
      <c r="N197" s="619">
        <v>54534.14</v>
      </c>
      <c r="O197" s="619">
        <v>53170.78</v>
      </c>
      <c r="P197" s="619">
        <v>51807.43</v>
      </c>
      <c r="Q197" s="619">
        <v>50444.08</v>
      </c>
      <c r="R197" s="619">
        <v>49080.72</v>
      </c>
      <c r="S197" s="498">
        <f t="shared" si="49"/>
        <v>57260.843333333345</v>
      </c>
      <c r="T197" s="620"/>
      <c r="U197" s="657"/>
      <c r="V197" s="690"/>
      <c r="W197" s="690"/>
      <c r="X197" s="713">
        <f>+S197</f>
        <v>57260.843333333345</v>
      </c>
      <c r="Y197" s="690"/>
      <c r="Z197" s="690">
        <f>+X197</f>
        <v>57260.843333333345</v>
      </c>
      <c r="AA197" s="657"/>
      <c r="AB197" s="690"/>
      <c r="AC197" s="658"/>
      <c r="AD197" s="659"/>
      <c r="AE197" s="658"/>
      <c r="AF197" s="688"/>
    </row>
    <row r="198" spans="1:32">
      <c r="A198" s="620">
        <v>184</v>
      </c>
      <c r="B198" s="326" t="s">
        <v>980</v>
      </c>
      <c r="C198" s="326" t="s">
        <v>467</v>
      </c>
      <c r="D198" s="326" t="s">
        <v>1337</v>
      </c>
      <c r="E198" s="618" t="s">
        <v>1561</v>
      </c>
      <c r="F198" s="619">
        <v>0</v>
      </c>
      <c r="G198" s="619">
        <v>0</v>
      </c>
      <c r="H198" s="619">
        <v>0</v>
      </c>
      <c r="I198" s="619">
        <v>0</v>
      </c>
      <c r="J198" s="619">
        <v>0</v>
      </c>
      <c r="K198" s="619">
        <v>632689.85</v>
      </c>
      <c r="L198" s="619">
        <v>632689.85</v>
      </c>
      <c r="M198" s="619">
        <v>632689.85</v>
      </c>
      <c r="N198" s="619">
        <v>632689.85</v>
      </c>
      <c r="O198" s="619">
        <v>621617.1</v>
      </c>
      <c r="P198" s="619">
        <v>621617.1</v>
      </c>
      <c r="Q198" s="619">
        <v>621617.1</v>
      </c>
      <c r="R198" s="619">
        <v>621617.1</v>
      </c>
      <c r="S198" s="498">
        <f t="shared" si="49"/>
        <v>392201.60416666669</v>
      </c>
      <c r="T198" s="620"/>
      <c r="U198" s="657"/>
      <c r="V198" s="690"/>
      <c r="W198" s="690"/>
      <c r="X198" s="713">
        <f t="shared" ref="X198:X199" si="54">+S198</f>
        <v>392201.60416666669</v>
      </c>
      <c r="Y198" s="690">
        <f>+X198</f>
        <v>392201.60416666669</v>
      </c>
      <c r="Z198" s="690"/>
      <c r="AA198" s="657"/>
      <c r="AB198" s="690"/>
      <c r="AC198" s="658"/>
      <c r="AD198" s="659">
        <f t="shared" si="50"/>
        <v>0</v>
      </c>
      <c r="AE198" s="658"/>
      <c r="AF198" s="688">
        <f t="shared" si="39"/>
        <v>0</v>
      </c>
    </row>
    <row r="199" spans="1:32">
      <c r="A199" s="620">
        <v>185</v>
      </c>
      <c r="B199" s="326" t="s">
        <v>980</v>
      </c>
      <c r="C199" s="326" t="s">
        <v>467</v>
      </c>
      <c r="D199" s="326" t="s">
        <v>1339</v>
      </c>
      <c r="E199" s="618" t="s">
        <v>1572</v>
      </c>
      <c r="F199" s="619">
        <v>248712.88</v>
      </c>
      <c r="G199" s="619">
        <v>246409.98</v>
      </c>
      <c r="H199" s="619">
        <v>244107.08</v>
      </c>
      <c r="I199" s="619">
        <v>241804.19</v>
      </c>
      <c r="J199" s="619">
        <v>239501.29</v>
      </c>
      <c r="K199" s="619">
        <v>237198.39</v>
      </c>
      <c r="L199" s="619">
        <v>234895.5</v>
      </c>
      <c r="M199" s="619">
        <v>232592.6</v>
      </c>
      <c r="N199" s="619">
        <v>230289.7</v>
      </c>
      <c r="O199" s="619">
        <v>227986.81</v>
      </c>
      <c r="P199" s="619">
        <v>225683.91</v>
      </c>
      <c r="Q199" s="619">
        <v>223381.01</v>
      </c>
      <c r="R199" s="619">
        <v>221078.12</v>
      </c>
      <c r="S199" s="498">
        <f t="shared" si="49"/>
        <v>234895.49666666667</v>
      </c>
      <c r="T199" s="620"/>
      <c r="U199" s="657"/>
      <c r="V199" s="690"/>
      <c r="W199" s="690"/>
      <c r="X199" s="713">
        <f t="shared" si="54"/>
        <v>234895.49666666667</v>
      </c>
      <c r="Y199" s="690">
        <f>+X199</f>
        <v>234895.49666666667</v>
      </c>
      <c r="Z199" s="690"/>
      <c r="AA199" s="657"/>
      <c r="AB199" s="690"/>
      <c r="AC199" s="658"/>
      <c r="AD199" s="659">
        <f>+U199</f>
        <v>0</v>
      </c>
      <c r="AE199" s="658"/>
      <c r="AF199" s="688">
        <f t="shared" si="39"/>
        <v>0</v>
      </c>
    </row>
    <row r="200" spans="1:32">
      <c r="A200" s="620">
        <v>186</v>
      </c>
      <c r="B200" s="326"/>
      <c r="C200" s="326"/>
      <c r="D200" s="326"/>
      <c r="E200" s="618"/>
      <c r="F200" s="619"/>
      <c r="G200" s="619"/>
      <c r="H200" s="619"/>
      <c r="I200" s="619"/>
      <c r="J200" s="619"/>
      <c r="K200" s="619"/>
      <c r="L200" s="619"/>
      <c r="M200" s="619"/>
      <c r="N200" s="619"/>
      <c r="O200" s="619"/>
      <c r="P200" s="619"/>
      <c r="Q200" s="619"/>
      <c r="R200" s="619"/>
      <c r="S200" s="304"/>
      <c r="T200" s="620"/>
      <c r="U200" s="657">
        <f t="shared" si="51"/>
        <v>0</v>
      </c>
      <c r="V200" s="690"/>
      <c r="W200" s="690"/>
      <c r="X200" s="713"/>
      <c r="Y200" s="690"/>
      <c r="Z200" s="690"/>
      <c r="AA200" s="657"/>
      <c r="AB200" s="690"/>
      <c r="AC200" s="658"/>
      <c r="AD200" s="659"/>
      <c r="AE200" s="658"/>
      <c r="AF200" s="688">
        <f t="shared" si="39"/>
        <v>0</v>
      </c>
    </row>
    <row r="201" spans="1:32">
      <c r="A201" s="620">
        <v>187</v>
      </c>
      <c r="B201" s="620" t="s">
        <v>1005</v>
      </c>
      <c r="C201" s="620" t="s">
        <v>468</v>
      </c>
      <c r="D201" s="620" t="s">
        <v>448</v>
      </c>
      <c r="E201" s="605" t="s">
        <v>469</v>
      </c>
      <c r="F201" s="619">
        <v>593186.79</v>
      </c>
      <c r="G201" s="324">
        <v>0</v>
      </c>
      <c r="H201" s="315">
        <v>0</v>
      </c>
      <c r="I201" s="315">
        <v>0</v>
      </c>
      <c r="J201" s="316">
        <v>0</v>
      </c>
      <c r="K201" s="317">
        <v>0</v>
      </c>
      <c r="L201" s="318">
        <v>0</v>
      </c>
      <c r="M201" s="319">
        <v>0</v>
      </c>
      <c r="N201" s="320">
        <v>0</v>
      </c>
      <c r="O201" s="606">
        <v>0</v>
      </c>
      <c r="P201" s="321">
        <v>0</v>
      </c>
      <c r="Q201" s="325">
        <v>0</v>
      </c>
      <c r="R201" s="619">
        <v>0</v>
      </c>
      <c r="S201" s="498">
        <f>((F201+R201)+((G201+H201+I201+J201+K201+L201+M201+N201+O201+P201+Q201)*2))/24</f>
        <v>24716.116250000003</v>
      </c>
      <c r="T201" s="620"/>
      <c r="U201" s="657"/>
      <c r="V201" s="690"/>
      <c r="W201" s="690"/>
      <c r="X201" s="713">
        <f>+S201</f>
        <v>24716.116250000003</v>
      </c>
      <c r="Y201" s="690"/>
      <c r="Z201" s="690"/>
      <c r="AA201" s="657"/>
      <c r="AB201" s="690">
        <f>+S201</f>
        <v>24716.116250000003</v>
      </c>
      <c r="AC201" s="658"/>
      <c r="AD201" s="658"/>
      <c r="AE201" s="658"/>
      <c r="AF201" s="688">
        <f t="shared" si="39"/>
        <v>0</v>
      </c>
    </row>
    <row r="202" spans="1:32">
      <c r="A202" s="620">
        <v>188</v>
      </c>
      <c r="B202" s="620" t="s">
        <v>980</v>
      </c>
      <c r="C202" s="326" t="s">
        <v>468</v>
      </c>
      <c r="D202" s="326" t="s">
        <v>461</v>
      </c>
      <c r="E202" s="618" t="s">
        <v>469</v>
      </c>
      <c r="F202" s="619">
        <v>40887966.869999997</v>
      </c>
      <c r="G202" s="619">
        <v>0</v>
      </c>
      <c r="H202" s="619">
        <v>0</v>
      </c>
      <c r="I202" s="619">
        <v>0</v>
      </c>
      <c r="J202" s="619">
        <v>0</v>
      </c>
      <c r="K202" s="619">
        <v>0</v>
      </c>
      <c r="L202" s="619">
        <v>0</v>
      </c>
      <c r="M202" s="619">
        <v>0</v>
      </c>
      <c r="N202" s="619">
        <v>0</v>
      </c>
      <c r="O202" s="619">
        <v>0</v>
      </c>
      <c r="P202" s="619">
        <v>0</v>
      </c>
      <c r="Q202" s="619">
        <v>0</v>
      </c>
      <c r="R202" s="619">
        <v>0</v>
      </c>
      <c r="S202" s="498">
        <f>((F202+R202)+((G202+H202+I202+J202+K202+L202+M202+N202+O202+P202+Q202)*2))/24</f>
        <v>1703665.2862499999</v>
      </c>
      <c r="T202" s="620"/>
      <c r="U202" s="657"/>
      <c r="V202" s="690"/>
      <c r="W202" s="690"/>
      <c r="X202" s="713">
        <f>+S202</f>
        <v>1703665.2862499999</v>
      </c>
      <c r="Y202" s="690"/>
      <c r="Z202" s="690"/>
      <c r="AA202" s="657"/>
      <c r="AB202" s="690">
        <f>+S202</f>
        <v>1703665.2862499999</v>
      </c>
      <c r="AC202" s="658"/>
      <c r="AD202" s="658"/>
      <c r="AE202" s="658"/>
      <c r="AF202" s="688">
        <f t="shared" si="39"/>
        <v>0</v>
      </c>
    </row>
    <row r="203" spans="1:32">
      <c r="A203" s="620">
        <v>189</v>
      </c>
      <c r="B203" s="620" t="s">
        <v>1874</v>
      </c>
      <c r="C203" s="326" t="s">
        <v>468</v>
      </c>
      <c r="D203" s="326" t="s">
        <v>1881</v>
      </c>
      <c r="E203" s="618" t="s">
        <v>1882</v>
      </c>
      <c r="F203" s="619">
        <v>0</v>
      </c>
      <c r="G203" s="619">
        <v>0</v>
      </c>
      <c r="H203" s="619">
        <v>2342139.6</v>
      </c>
      <c r="I203" s="619">
        <v>3399048.29</v>
      </c>
      <c r="J203" s="619">
        <v>4027988.3</v>
      </c>
      <c r="K203" s="619">
        <v>4380204.8499999996</v>
      </c>
      <c r="L203" s="619">
        <v>4728970.04</v>
      </c>
      <c r="M203" s="619">
        <v>5196910.95</v>
      </c>
      <c r="N203" s="619">
        <v>6194887.6500000004</v>
      </c>
      <c r="O203" s="619">
        <v>4675781.1500000004</v>
      </c>
      <c r="P203" s="619">
        <v>5056612.16</v>
      </c>
      <c r="Q203" s="619">
        <v>4649236.16</v>
      </c>
      <c r="R203" s="619">
        <v>5008566.5</v>
      </c>
      <c r="S203" s="498">
        <f t="shared" ref="S203:S206" si="55">((F203+R203)+((G203+H203+I203+J203+K203+L203+M203+N203+O203+P203+Q203)*2))/24</f>
        <v>3929671.8666666658</v>
      </c>
      <c r="T203" s="620"/>
      <c r="U203" s="657">
        <f>+S203</f>
        <v>3929671.8666666658</v>
      </c>
      <c r="V203" s="690"/>
      <c r="W203" s="690"/>
      <c r="X203" s="713"/>
      <c r="Y203" s="690"/>
      <c r="Z203" s="690"/>
      <c r="AA203" s="657"/>
      <c r="AB203" s="690"/>
      <c r="AC203" s="658"/>
      <c r="AD203" s="659">
        <f>+S203</f>
        <v>3929671.8666666658</v>
      </c>
      <c r="AE203" s="658"/>
      <c r="AF203" s="688"/>
    </row>
    <row r="204" spans="1:32">
      <c r="A204" s="620">
        <v>190</v>
      </c>
      <c r="B204" s="620" t="s">
        <v>1874</v>
      </c>
      <c r="C204" s="326" t="s">
        <v>468</v>
      </c>
      <c r="D204" s="326" t="s">
        <v>1883</v>
      </c>
      <c r="E204" s="618" t="s">
        <v>1882</v>
      </c>
      <c r="F204" s="619">
        <v>0</v>
      </c>
      <c r="G204" s="619">
        <v>47946602.299999997</v>
      </c>
      <c r="H204" s="619">
        <v>67505586.75</v>
      </c>
      <c r="I204" s="619">
        <v>57823020.020000003</v>
      </c>
      <c r="J204" s="619">
        <v>56865822.530000001</v>
      </c>
      <c r="K204" s="619">
        <v>58478877.130000003</v>
      </c>
      <c r="L204" s="619">
        <v>60718799.259999998</v>
      </c>
      <c r="M204" s="619">
        <v>62935207.299999997</v>
      </c>
      <c r="N204" s="619">
        <v>66002326.009999998</v>
      </c>
      <c r="O204" s="619">
        <v>34706739.090000004</v>
      </c>
      <c r="P204" s="619">
        <v>35180151.969999999</v>
      </c>
      <c r="Q204" s="619">
        <v>33787613.960000001</v>
      </c>
      <c r="R204" s="619">
        <v>37814583.32</v>
      </c>
      <c r="S204" s="498">
        <f t="shared" si="55"/>
        <v>50071503.164999999</v>
      </c>
      <c r="T204" s="620"/>
      <c r="U204" s="657">
        <f t="shared" ref="U204:U205" si="56">+S204</f>
        <v>50071503.164999999</v>
      </c>
      <c r="V204" s="690"/>
      <c r="W204" s="690"/>
      <c r="X204" s="713"/>
      <c r="Y204" s="690"/>
      <c r="Z204" s="690"/>
      <c r="AA204" s="657"/>
      <c r="AB204" s="690"/>
      <c r="AD204" s="659">
        <f>+S204</f>
        <v>50071503.164999999</v>
      </c>
      <c r="AE204" s="658"/>
      <c r="AF204" s="688"/>
    </row>
    <row r="205" spans="1:32">
      <c r="A205" s="620">
        <v>191</v>
      </c>
      <c r="B205" s="620" t="s">
        <v>1874</v>
      </c>
      <c r="C205" s="326" t="s">
        <v>468</v>
      </c>
      <c r="D205" s="326" t="s">
        <v>1884</v>
      </c>
      <c r="E205" s="618" t="s">
        <v>1882</v>
      </c>
      <c r="F205" s="619">
        <v>0</v>
      </c>
      <c r="G205" s="619">
        <v>0</v>
      </c>
      <c r="H205" s="619">
        <v>0</v>
      </c>
      <c r="I205" s="619">
        <v>30228787.370000001</v>
      </c>
      <c r="J205" s="619">
        <v>30305289.539999999</v>
      </c>
      <c r="K205" s="619">
        <v>29534495.120000001</v>
      </c>
      <c r="L205" s="619">
        <v>29095371.93</v>
      </c>
      <c r="M205" s="619">
        <v>28758376.969999999</v>
      </c>
      <c r="N205" s="619">
        <v>28468854.23</v>
      </c>
      <c r="O205" s="619">
        <v>53618901.579999998</v>
      </c>
      <c r="P205" s="619">
        <v>52727328.140000001</v>
      </c>
      <c r="Q205" s="619">
        <v>50721235.899999999</v>
      </c>
      <c r="R205" s="619">
        <v>46381080.18</v>
      </c>
      <c r="S205" s="498">
        <f t="shared" si="55"/>
        <v>29720765.072499994</v>
      </c>
      <c r="T205" s="620"/>
      <c r="U205" s="657">
        <f t="shared" si="56"/>
        <v>29720765.072499994</v>
      </c>
      <c r="V205" s="690"/>
      <c r="W205" s="690"/>
      <c r="X205" s="713"/>
      <c r="Y205" s="690"/>
      <c r="Z205" s="690"/>
      <c r="AA205" s="657"/>
      <c r="AB205" s="690"/>
      <c r="AD205" s="659">
        <f>+S205</f>
        <v>29720765.072499994</v>
      </c>
      <c r="AE205" s="658"/>
      <c r="AF205" s="688"/>
    </row>
    <row r="206" spans="1:32">
      <c r="A206" s="620">
        <v>192</v>
      </c>
      <c r="B206" s="620"/>
      <c r="C206" s="620"/>
      <c r="D206" s="620"/>
      <c r="E206" s="605"/>
      <c r="F206" s="619"/>
      <c r="G206" s="324"/>
      <c r="H206" s="315"/>
      <c r="I206" s="315"/>
      <c r="J206" s="316"/>
      <c r="K206" s="317"/>
      <c r="L206" s="318"/>
      <c r="M206" s="319"/>
      <c r="N206" s="320"/>
      <c r="O206" s="606"/>
      <c r="P206" s="321"/>
      <c r="Q206" s="325"/>
      <c r="R206" s="619"/>
      <c r="S206" s="498">
        <f t="shared" si="55"/>
        <v>0</v>
      </c>
      <c r="T206" s="620"/>
      <c r="U206" s="657"/>
      <c r="V206" s="690"/>
      <c r="W206" s="690"/>
      <c r="X206" s="713"/>
      <c r="Y206" s="690"/>
      <c r="Z206" s="690"/>
      <c r="AA206" s="657"/>
      <c r="AB206" s="690"/>
      <c r="AC206" s="658"/>
      <c r="AD206" s="658"/>
      <c r="AE206" s="658"/>
      <c r="AF206" s="688">
        <f t="shared" si="39"/>
        <v>0</v>
      </c>
    </row>
    <row r="207" spans="1:32">
      <c r="A207" s="620">
        <v>193</v>
      </c>
      <c r="B207" s="326" t="s">
        <v>977</v>
      </c>
      <c r="C207" s="536" t="s">
        <v>470</v>
      </c>
      <c r="D207" s="326" t="s">
        <v>471</v>
      </c>
      <c r="E207" s="618" t="s">
        <v>472</v>
      </c>
      <c r="F207" s="619">
        <v>58463.57</v>
      </c>
      <c r="G207" s="619">
        <v>57904.11</v>
      </c>
      <c r="H207" s="619">
        <v>57344.65</v>
      </c>
      <c r="I207" s="619">
        <v>56785.19</v>
      </c>
      <c r="J207" s="619">
        <v>56225.73</v>
      </c>
      <c r="K207" s="619">
        <v>55666.27</v>
      </c>
      <c r="L207" s="619">
        <v>55106.81</v>
      </c>
      <c r="M207" s="619">
        <v>54547.35</v>
      </c>
      <c r="N207" s="619">
        <v>53987.89</v>
      </c>
      <c r="O207" s="619">
        <v>53428.43</v>
      </c>
      <c r="P207" s="619">
        <v>52868.97</v>
      </c>
      <c r="Q207" s="619">
        <v>52309.51</v>
      </c>
      <c r="R207" s="619">
        <v>51750.05</v>
      </c>
      <c r="S207" s="498">
        <f t="shared" ref="S207:S223" si="57">((F207+R207)+((G207+H207+I207+J207+K207+L207+M207+N207+O207+P207+Q207)*2))/24</f>
        <v>55106.81</v>
      </c>
      <c r="T207" s="620"/>
      <c r="U207" s="657"/>
      <c r="V207" s="690"/>
      <c r="W207" s="690">
        <f>+S207</f>
        <v>55106.81</v>
      </c>
      <c r="X207" s="713"/>
      <c r="Y207" s="690"/>
      <c r="Z207" s="690"/>
      <c r="AA207" s="657"/>
      <c r="AB207" s="690"/>
      <c r="AC207" s="659">
        <f t="shared" ref="AC207:AC218" si="58">+S207</f>
        <v>55106.81</v>
      </c>
      <c r="AD207" s="658"/>
      <c r="AE207" s="658"/>
      <c r="AF207" s="688">
        <f t="shared" si="39"/>
        <v>0</v>
      </c>
    </row>
    <row r="208" spans="1:32">
      <c r="A208" s="620">
        <v>194</v>
      </c>
      <c r="B208" s="326" t="s">
        <v>977</v>
      </c>
      <c r="C208" s="536" t="s">
        <v>470</v>
      </c>
      <c r="D208" s="326" t="s">
        <v>473</v>
      </c>
      <c r="E208" s="618" t="s">
        <v>474</v>
      </c>
      <c r="F208" s="619">
        <v>51189.82</v>
      </c>
      <c r="G208" s="619">
        <v>50770.22</v>
      </c>
      <c r="H208" s="619">
        <v>50350.62</v>
      </c>
      <c r="I208" s="619">
        <v>49931.02</v>
      </c>
      <c r="J208" s="619">
        <v>49511.42</v>
      </c>
      <c r="K208" s="619">
        <v>49091.82</v>
      </c>
      <c r="L208" s="619">
        <v>48672.22</v>
      </c>
      <c r="M208" s="619">
        <v>48252.62</v>
      </c>
      <c r="N208" s="619">
        <v>47833.02</v>
      </c>
      <c r="O208" s="619">
        <v>47413.42</v>
      </c>
      <c r="P208" s="619">
        <v>46993.82</v>
      </c>
      <c r="Q208" s="619">
        <v>46574.22</v>
      </c>
      <c r="R208" s="619">
        <v>46154.62</v>
      </c>
      <c r="S208" s="498">
        <f t="shared" si="57"/>
        <v>48672.219999999994</v>
      </c>
      <c r="T208" s="620"/>
      <c r="U208" s="657"/>
      <c r="V208" s="690"/>
      <c r="W208" s="690">
        <f t="shared" ref="W208:W221" si="59">+S208</f>
        <v>48672.219999999994</v>
      </c>
      <c r="X208" s="713"/>
      <c r="Y208" s="690"/>
      <c r="Z208" s="690"/>
      <c r="AA208" s="657"/>
      <c r="AB208" s="690"/>
      <c r="AC208" s="659">
        <f t="shared" si="58"/>
        <v>48672.219999999994</v>
      </c>
      <c r="AD208" s="658"/>
      <c r="AE208" s="658"/>
      <c r="AF208" s="688">
        <f t="shared" si="39"/>
        <v>0</v>
      </c>
    </row>
    <row r="209" spans="1:32">
      <c r="A209" s="620">
        <v>195</v>
      </c>
      <c r="B209" s="326" t="s">
        <v>977</v>
      </c>
      <c r="C209" s="536" t="s">
        <v>470</v>
      </c>
      <c r="D209" s="326" t="s">
        <v>475</v>
      </c>
      <c r="E209" s="618" t="s">
        <v>476</v>
      </c>
      <c r="F209" s="619">
        <v>852667.05</v>
      </c>
      <c r="G209" s="619">
        <v>848249.09</v>
      </c>
      <c r="H209" s="619">
        <v>843138.35</v>
      </c>
      <c r="I209" s="619">
        <v>838724.01</v>
      </c>
      <c r="J209" s="619">
        <v>834309.67</v>
      </c>
      <c r="K209" s="619">
        <v>826758.64</v>
      </c>
      <c r="L209" s="619">
        <v>822360.99</v>
      </c>
      <c r="M209" s="619">
        <v>817963.34</v>
      </c>
      <c r="N209" s="619">
        <v>813230.18</v>
      </c>
      <c r="O209" s="619">
        <v>808834.34</v>
      </c>
      <c r="P209" s="619">
        <v>804438.5</v>
      </c>
      <c r="Q209" s="619">
        <v>799217.51</v>
      </c>
      <c r="R209" s="619">
        <v>794826.2</v>
      </c>
      <c r="S209" s="498">
        <f t="shared" si="57"/>
        <v>823414.27041666664</v>
      </c>
      <c r="T209" s="620"/>
      <c r="U209" s="657"/>
      <c r="V209" s="690"/>
      <c r="W209" s="690">
        <f t="shared" si="59"/>
        <v>823414.27041666664</v>
      </c>
      <c r="X209" s="713"/>
      <c r="Y209" s="690"/>
      <c r="Z209" s="690"/>
      <c r="AA209" s="657"/>
      <c r="AB209" s="690"/>
      <c r="AC209" s="659">
        <f t="shared" si="58"/>
        <v>823414.27041666664</v>
      </c>
      <c r="AD209" s="658"/>
      <c r="AE209" s="658"/>
      <c r="AF209" s="688">
        <f t="shared" si="39"/>
        <v>0</v>
      </c>
    </row>
    <row r="210" spans="1:32">
      <c r="A210" s="620">
        <v>196</v>
      </c>
      <c r="B210" s="326" t="s">
        <v>977</v>
      </c>
      <c r="C210" s="536" t="s">
        <v>470</v>
      </c>
      <c r="D210" s="326" t="s">
        <v>477</v>
      </c>
      <c r="E210" s="618" t="s">
        <v>478</v>
      </c>
      <c r="F210" s="619">
        <v>25296.48</v>
      </c>
      <c r="G210" s="619">
        <v>23948.42</v>
      </c>
      <c r="H210" s="619">
        <v>22600.36</v>
      </c>
      <c r="I210" s="619">
        <v>21252.3</v>
      </c>
      <c r="J210" s="619">
        <v>19904.240000000002</v>
      </c>
      <c r="K210" s="619">
        <v>18556.18</v>
      </c>
      <c r="L210" s="619">
        <v>17208.12</v>
      </c>
      <c r="M210" s="619">
        <v>15860.06</v>
      </c>
      <c r="N210" s="619">
        <v>14512</v>
      </c>
      <c r="O210" s="619">
        <v>13163.94</v>
      </c>
      <c r="P210" s="619">
        <v>11815.88</v>
      </c>
      <c r="Q210" s="619">
        <v>10467.82</v>
      </c>
      <c r="R210" s="619">
        <v>9119.7599999999893</v>
      </c>
      <c r="S210" s="498">
        <f t="shared" si="57"/>
        <v>17208.12</v>
      </c>
      <c r="T210" s="620"/>
      <c r="U210" s="657"/>
      <c r="V210" s="690"/>
      <c r="W210" s="690">
        <f t="shared" si="59"/>
        <v>17208.12</v>
      </c>
      <c r="X210" s="713"/>
      <c r="Y210" s="690"/>
      <c r="Z210" s="690"/>
      <c r="AA210" s="657"/>
      <c r="AB210" s="690"/>
      <c r="AC210" s="659">
        <f t="shared" si="58"/>
        <v>17208.12</v>
      </c>
      <c r="AD210" s="658"/>
      <c r="AE210" s="658"/>
      <c r="AF210" s="688">
        <f t="shared" si="39"/>
        <v>0</v>
      </c>
    </row>
    <row r="211" spans="1:32">
      <c r="A211" s="620">
        <v>197</v>
      </c>
      <c r="B211" s="326" t="s">
        <v>977</v>
      </c>
      <c r="C211" s="536" t="s">
        <v>470</v>
      </c>
      <c r="D211" s="326" t="s">
        <v>479</v>
      </c>
      <c r="E211" s="618" t="s">
        <v>480</v>
      </c>
      <c r="F211" s="619">
        <v>141205.07999999999</v>
      </c>
      <c r="G211" s="619">
        <v>140557.57999999999</v>
      </c>
      <c r="H211" s="619">
        <v>139910.07999999999</v>
      </c>
      <c r="I211" s="619">
        <v>139262.57999999999</v>
      </c>
      <c r="J211" s="619">
        <v>138615.07999999999</v>
      </c>
      <c r="K211" s="619">
        <v>137967.57999999999</v>
      </c>
      <c r="L211" s="619">
        <v>137320.07999999999</v>
      </c>
      <c r="M211" s="619">
        <v>136672.57999999999</v>
      </c>
      <c r="N211" s="619">
        <v>136025.07999999999</v>
      </c>
      <c r="O211" s="619">
        <v>135377.57999999999</v>
      </c>
      <c r="P211" s="619">
        <v>134730.07999999999</v>
      </c>
      <c r="Q211" s="619">
        <v>134082.57999999999</v>
      </c>
      <c r="R211" s="619">
        <v>133435.07999999999</v>
      </c>
      <c r="S211" s="498">
        <f t="shared" si="57"/>
        <v>137320.08000000002</v>
      </c>
      <c r="T211" s="620"/>
      <c r="U211" s="657"/>
      <c r="V211" s="690"/>
      <c r="W211" s="690">
        <f t="shared" si="59"/>
        <v>137320.08000000002</v>
      </c>
      <c r="X211" s="713"/>
      <c r="Y211" s="690"/>
      <c r="Z211" s="690"/>
      <c r="AA211" s="657"/>
      <c r="AB211" s="690"/>
      <c r="AC211" s="659">
        <f t="shared" si="58"/>
        <v>137320.08000000002</v>
      </c>
      <c r="AD211" s="658"/>
      <c r="AE211" s="658"/>
      <c r="AF211" s="688">
        <f t="shared" si="39"/>
        <v>0</v>
      </c>
    </row>
    <row r="212" spans="1:32">
      <c r="A212" s="620">
        <v>198</v>
      </c>
      <c r="B212" s="326" t="s">
        <v>977</v>
      </c>
      <c r="C212" s="536" t="s">
        <v>470</v>
      </c>
      <c r="D212" s="326" t="s">
        <v>481</v>
      </c>
      <c r="E212" s="537" t="s">
        <v>482</v>
      </c>
      <c r="F212" s="619">
        <v>82844.59</v>
      </c>
      <c r="G212" s="619">
        <v>81795.92</v>
      </c>
      <c r="H212" s="619">
        <v>80747.25</v>
      </c>
      <c r="I212" s="619">
        <v>79698.58</v>
      </c>
      <c r="J212" s="619">
        <v>78649.91</v>
      </c>
      <c r="K212" s="619">
        <v>77601.240000000005</v>
      </c>
      <c r="L212" s="619">
        <v>76552.570000000007</v>
      </c>
      <c r="M212" s="619">
        <v>75503.899999999994</v>
      </c>
      <c r="N212" s="619">
        <v>74455.23</v>
      </c>
      <c r="O212" s="619">
        <v>73406.559999999998</v>
      </c>
      <c r="P212" s="619">
        <v>72357.89</v>
      </c>
      <c r="Q212" s="619">
        <v>71309.22</v>
      </c>
      <c r="R212" s="619">
        <v>70260.55</v>
      </c>
      <c r="S212" s="498">
        <f t="shared" si="57"/>
        <v>76552.569999999992</v>
      </c>
      <c r="T212" s="620"/>
      <c r="U212" s="657"/>
      <c r="V212" s="690"/>
      <c r="W212" s="690">
        <f t="shared" si="59"/>
        <v>76552.569999999992</v>
      </c>
      <c r="X212" s="713"/>
      <c r="Y212" s="690"/>
      <c r="Z212" s="690"/>
      <c r="AA212" s="657"/>
      <c r="AB212" s="690"/>
      <c r="AC212" s="659">
        <f t="shared" si="58"/>
        <v>76552.569999999992</v>
      </c>
      <c r="AD212" s="658"/>
      <c r="AE212" s="658"/>
      <c r="AF212" s="688">
        <f t="shared" si="39"/>
        <v>0</v>
      </c>
    </row>
    <row r="213" spans="1:32">
      <c r="A213" s="620">
        <v>199</v>
      </c>
      <c r="B213" s="326" t="s">
        <v>977</v>
      </c>
      <c r="C213" s="536" t="s">
        <v>470</v>
      </c>
      <c r="D213" s="326" t="s">
        <v>483</v>
      </c>
      <c r="E213" s="537" t="s">
        <v>484</v>
      </c>
      <c r="F213" s="619">
        <v>96477.490000000107</v>
      </c>
      <c r="G213" s="619">
        <v>95638.56</v>
      </c>
      <c r="H213" s="619">
        <v>94799.63</v>
      </c>
      <c r="I213" s="619">
        <v>93960.7</v>
      </c>
      <c r="J213" s="619">
        <v>93121.77</v>
      </c>
      <c r="K213" s="619">
        <v>92282.84</v>
      </c>
      <c r="L213" s="619">
        <v>91443.91</v>
      </c>
      <c r="M213" s="619">
        <v>90604.980000000098</v>
      </c>
      <c r="N213" s="619">
        <v>89766.050000000105</v>
      </c>
      <c r="O213" s="619">
        <v>88927.120000000097</v>
      </c>
      <c r="P213" s="619">
        <v>88088.190000000104</v>
      </c>
      <c r="Q213" s="619">
        <v>87249.260000000097</v>
      </c>
      <c r="R213" s="619">
        <v>86410.330000000104</v>
      </c>
      <c r="S213" s="498">
        <f t="shared" si="57"/>
        <v>91443.910000000047</v>
      </c>
      <c r="T213" s="620"/>
      <c r="U213" s="657"/>
      <c r="V213" s="690"/>
      <c r="W213" s="690">
        <f t="shared" si="59"/>
        <v>91443.910000000047</v>
      </c>
      <c r="X213" s="713"/>
      <c r="Y213" s="690"/>
      <c r="Z213" s="690"/>
      <c r="AA213" s="657"/>
      <c r="AB213" s="690"/>
      <c r="AC213" s="659">
        <f t="shared" si="58"/>
        <v>91443.910000000047</v>
      </c>
      <c r="AD213" s="658"/>
      <c r="AE213" s="658"/>
      <c r="AF213" s="688">
        <f t="shared" si="39"/>
        <v>0</v>
      </c>
    </row>
    <row r="214" spans="1:32">
      <c r="A214" s="620">
        <v>200</v>
      </c>
      <c r="B214" s="326" t="s">
        <v>977</v>
      </c>
      <c r="C214" s="536" t="s">
        <v>470</v>
      </c>
      <c r="D214" s="326" t="s">
        <v>455</v>
      </c>
      <c r="E214" s="537" t="s">
        <v>485</v>
      </c>
      <c r="F214" s="619">
        <v>98736.3100000001</v>
      </c>
      <c r="G214" s="619">
        <v>92153.88</v>
      </c>
      <c r="H214" s="619">
        <v>85571.45</v>
      </c>
      <c r="I214" s="619">
        <v>78989.02</v>
      </c>
      <c r="J214" s="619">
        <v>72406.59</v>
      </c>
      <c r="K214" s="619">
        <v>65824.160000000003</v>
      </c>
      <c r="L214" s="619">
        <v>314578.2</v>
      </c>
      <c r="M214" s="619">
        <v>318917.87</v>
      </c>
      <c r="N214" s="619">
        <v>375952.24</v>
      </c>
      <c r="O214" s="619">
        <v>369356.59</v>
      </c>
      <c r="P214" s="619">
        <v>362760.94</v>
      </c>
      <c r="Q214" s="619">
        <v>356165.29</v>
      </c>
      <c r="R214" s="619">
        <v>349569.64</v>
      </c>
      <c r="S214" s="498">
        <f t="shared" si="57"/>
        <v>226402.43375000005</v>
      </c>
      <c r="T214" s="620"/>
      <c r="U214" s="657"/>
      <c r="V214" s="690"/>
      <c r="W214" s="690">
        <f t="shared" si="59"/>
        <v>226402.43375000005</v>
      </c>
      <c r="X214" s="713"/>
      <c r="Y214" s="690"/>
      <c r="Z214" s="690"/>
      <c r="AA214" s="657"/>
      <c r="AB214" s="690"/>
      <c r="AC214" s="659">
        <f t="shared" si="58"/>
        <v>226402.43375000005</v>
      </c>
      <c r="AD214" s="658"/>
      <c r="AE214" s="658"/>
      <c r="AF214" s="688">
        <f t="shared" si="39"/>
        <v>0</v>
      </c>
    </row>
    <row r="215" spans="1:32">
      <c r="A215" s="620">
        <v>201</v>
      </c>
      <c r="B215" s="326" t="s">
        <v>977</v>
      </c>
      <c r="C215" s="536" t="s">
        <v>470</v>
      </c>
      <c r="D215" s="326" t="s">
        <v>486</v>
      </c>
      <c r="E215" s="537" t="s">
        <v>1885</v>
      </c>
      <c r="F215" s="619">
        <v>53780.84</v>
      </c>
      <c r="G215" s="619">
        <v>53607.35</v>
      </c>
      <c r="H215" s="619">
        <v>53433.86</v>
      </c>
      <c r="I215" s="619">
        <v>53260.37</v>
      </c>
      <c r="J215" s="619">
        <v>53086.879999999997</v>
      </c>
      <c r="K215" s="619">
        <v>52913.39</v>
      </c>
      <c r="L215" s="619">
        <v>52739.9</v>
      </c>
      <c r="M215" s="619">
        <v>52566.41</v>
      </c>
      <c r="N215" s="619">
        <v>52392.92</v>
      </c>
      <c r="O215" s="619">
        <v>52219.43</v>
      </c>
      <c r="P215" s="619">
        <v>52045.94</v>
      </c>
      <c r="Q215" s="619">
        <v>51872.45</v>
      </c>
      <c r="R215" s="619">
        <v>51698.96</v>
      </c>
      <c r="S215" s="498">
        <f t="shared" si="57"/>
        <v>52739.899999999994</v>
      </c>
      <c r="T215" s="620"/>
      <c r="U215" s="657"/>
      <c r="V215" s="690"/>
      <c r="W215" s="690">
        <f t="shared" si="59"/>
        <v>52739.899999999994</v>
      </c>
      <c r="X215" s="713"/>
      <c r="Y215" s="690"/>
      <c r="Z215" s="690"/>
      <c r="AA215" s="657"/>
      <c r="AB215" s="690"/>
      <c r="AC215" s="659">
        <f t="shared" si="58"/>
        <v>52739.899999999994</v>
      </c>
      <c r="AD215" s="658"/>
      <c r="AE215" s="658"/>
      <c r="AF215" s="688">
        <f t="shared" si="39"/>
        <v>0</v>
      </c>
    </row>
    <row r="216" spans="1:32">
      <c r="A216" s="620">
        <v>202</v>
      </c>
      <c r="B216" s="326" t="s">
        <v>977</v>
      </c>
      <c r="C216" s="536" t="s">
        <v>470</v>
      </c>
      <c r="D216" s="326" t="s">
        <v>487</v>
      </c>
      <c r="E216" s="537" t="s">
        <v>1886</v>
      </c>
      <c r="F216" s="619">
        <v>54740.34</v>
      </c>
      <c r="G216" s="619">
        <v>54613.04</v>
      </c>
      <c r="H216" s="619">
        <v>54485.74</v>
      </c>
      <c r="I216" s="619">
        <v>54358.44</v>
      </c>
      <c r="J216" s="619">
        <v>54231.14</v>
      </c>
      <c r="K216" s="619">
        <v>54103.839999999997</v>
      </c>
      <c r="L216" s="619">
        <v>53976.54</v>
      </c>
      <c r="M216" s="619">
        <v>53849.24</v>
      </c>
      <c r="N216" s="619">
        <v>53721.94</v>
      </c>
      <c r="O216" s="619">
        <v>53594.64</v>
      </c>
      <c r="P216" s="619">
        <v>53467.34</v>
      </c>
      <c r="Q216" s="619">
        <v>53340.04</v>
      </c>
      <c r="R216" s="619">
        <v>53212.74</v>
      </c>
      <c r="S216" s="498">
        <f t="shared" si="57"/>
        <v>53976.54</v>
      </c>
      <c r="T216" s="620"/>
      <c r="U216" s="657"/>
      <c r="V216" s="690"/>
      <c r="W216" s="690">
        <f t="shared" si="59"/>
        <v>53976.54</v>
      </c>
      <c r="X216" s="713"/>
      <c r="Y216" s="690"/>
      <c r="Z216" s="690"/>
      <c r="AA216" s="657"/>
      <c r="AB216" s="690"/>
      <c r="AC216" s="659">
        <f t="shared" si="58"/>
        <v>53976.54</v>
      </c>
      <c r="AD216" s="658"/>
      <c r="AE216" s="658"/>
      <c r="AF216" s="688">
        <f t="shared" si="39"/>
        <v>0</v>
      </c>
    </row>
    <row r="217" spans="1:32">
      <c r="A217" s="620">
        <v>203</v>
      </c>
      <c r="B217" s="326" t="s">
        <v>977</v>
      </c>
      <c r="C217" s="536" t="s">
        <v>470</v>
      </c>
      <c r="D217" s="326" t="s">
        <v>488</v>
      </c>
      <c r="E217" s="537" t="s">
        <v>1887</v>
      </c>
      <c r="F217" s="619">
        <v>54127.82</v>
      </c>
      <c r="G217" s="619">
        <v>53954.33</v>
      </c>
      <c r="H217" s="619">
        <v>53780.84</v>
      </c>
      <c r="I217" s="619">
        <v>53607.35</v>
      </c>
      <c r="J217" s="619">
        <v>53433.86</v>
      </c>
      <c r="K217" s="619">
        <v>53260.37</v>
      </c>
      <c r="L217" s="619">
        <v>53086.879999999997</v>
      </c>
      <c r="M217" s="619">
        <v>52913.39</v>
      </c>
      <c r="N217" s="619">
        <v>52739.9</v>
      </c>
      <c r="O217" s="619">
        <v>52566.41</v>
      </c>
      <c r="P217" s="619">
        <v>52392.92</v>
      </c>
      <c r="Q217" s="619">
        <v>52219.43</v>
      </c>
      <c r="R217" s="619">
        <v>52045.94</v>
      </c>
      <c r="S217" s="498">
        <f t="shared" si="57"/>
        <v>53086.880000000012</v>
      </c>
      <c r="T217" s="620"/>
      <c r="U217" s="657"/>
      <c r="V217" s="690"/>
      <c r="W217" s="690">
        <f t="shared" si="59"/>
        <v>53086.880000000012</v>
      </c>
      <c r="X217" s="713"/>
      <c r="Y217" s="690"/>
      <c r="Z217" s="690"/>
      <c r="AA217" s="657"/>
      <c r="AB217" s="690"/>
      <c r="AC217" s="659">
        <f t="shared" si="58"/>
        <v>53086.880000000012</v>
      </c>
      <c r="AD217" s="658"/>
      <c r="AE217" s="658"/>
      <c r="AF217" s="688">
        <f t="shared" si="39"/>
        <v>0</v>
      </c>
    </row>
    <row r="218" spans="1:32">
      <c r="A218" s="620">
        <v>204</v>
      </c>
      <c r="B218" s="326" t="s">
        <v>977</v>
      </c>
      <c r="C218" s="536" t="s">
        <v>470</v>
      </c>
      <c r="D218" s="326" t="s">
        <v>489</v>
      </c>
      <c r="E218" s="537" t="s">
        <v>1888</v>
      </c>
      <c r="F218" s="619">
        <v>54994.94</v>
      </c>
      <c r="G218" s="619">
        <v>54867.64</v>
      </c>
      <c r="H218" s="619">
        <v>54740.34</v>
      </c>
      <c r="I218" s="619">
        <v>54613.04</v>
      </c>
      <c r="J218" s="619">
        <v>54485.74</v>
      </c>
      <c r="K218" s="619">
        <v>54358.44</v>
      </c>
      <c r="L218" s="619">
        <v>54231.14</v>
      </c>
      <c r="M218" s="619">
        <v>54103.839999999997</v>
      </c>
      <c r="N218" s="619">
        <v>53976.54</v>
      </c>
      <c r="O218" s="619">
        <v>53849.24</v>
      </c>
      <c r="P218" s="619">
        <v>53721.94</v>
      </c>
      <c r="Q218" s="619">
        <v>53594.64</v>
      </c>
      <c r="R218" s="619">
        <v>53467.34</v>
      </c>
      <c r="S218" s="498">
        <f t="shared" si="57"/>
        <v>54231.139999999992</v>
      </c>
      <c r="T218" s="620"/>
      <c r="U218" s="657"/>
      <c r="V218" s="690"/>
      <c r="W218" s="690">
        <f t="shared" si="59"/>
        <v>54231.139999999992</v>
      </c>
      <c r="X218" s="713"/>
      <c r="Y218" s="690"/>
      <c r="Z218" s="690"/>
      <c r="AA218" s="657"/>
      <c r="AB218" s="690"/>
      <c r="AC218" s="659">
        <f t="shared" si="58"/>
        <v>54231.139999999992</v>
      </c>
      <c r="AD218" s="658"/>
      <c r="AE218" s="658"/>
      <c r="AF218" s="688">
        <f t="shared" si="39"/>
        <v>0</v>
      </c>
    </row>
    <row r="219" spans="1:32">
      <c r="A219" s="620">
        <v>205</v>
      </c>
      <c r="B219" s="326"/>
      <c r="C219" s="536" t="s">
        <v>470</v>
      </c>
      <c r="D219" s="326" t="s">
        <v>1889</v>
      </c>
      <c r="E219" s="537" t="s">
        <v>1890</v>
      </c>
      <c r="F219" s="619">
        <v>0</v>
      </c>
      <c r="G219" s="619">
        <v>0</v>
      </c>
      <c r="H219" s="619">
        <v>0</v>
      </c>
      <c r="I219" s="619">
        <v>0</v>
      </c>
      <c r="J219" s="619">
        <v>0</v>
      </c>
      <c r="K219" s="619">
        <v>4316.83</v>
      </c>
      <c r="L219" s="619">
        <v>117539.84</v>
      </c>
      <c r="M219" s="619">
        <v>124791.17</v>
      </c>
      <c r="N219" s="619">
        <v>125247.9</v>
      </c>
      <c r="O219" s="619">
        <v>124177.41</v>
      </c>
      <c r="P219" s="619">
        <v>123106.92</v>
      </c>
      <c r="Q219" s="619">
        <v>122036.43</v>
      </c>
      <c r="R219" s="619">
        <v>120965.94</v>
      </c>
      <c r="S219" s="498">
        <f t="shared" si="57"/>
        <v>66808.289166666669</v>
      </c>
      <c r="T219" s="620"/>
      <c r="U219" s="657"/>
      <c r="V219" s="690"/>
      <c r="W219" s="690">
        <f t="shared" si="59"/>
        <v>66808.289166666669</v>
      </c>
      <c r="X219" s="713"/>
      <c r="Y219" s="690"/>
      <c r="Z219" s="690"/>
      <c r="AA219" s="657"/>
      <c r="AB219" s="690"/>
      <c r="AC219" s="659">
        <f>+S219</f>
        <v>66808.289166666669</v>
      </c>
      <c r="AD219" s="658"/>
      <c r="AE219" s="658"/>
      <c r="AF219" s="688"/>
    </row>
    <row r="220" spans="1:32">
      <c r="A220" s="620">
        <v>206</v>
      </c>
      <c r="B220" s="326"/>
      <c r="C220" s="536" t="s">
        <v>470</v>
      </c>
      <c r="D220" s="326" t="s">
        <v>1891</v>
      </c>
      <c r="E220" s="537" t="s">
        <v>1892</v>
      </c>
      <c r="F220" s="619">
        <v>0</v>
      </c>
      <c r="G220" s="619">
        <v>0</v>
      </c>
      <c r="H220" s="619">
        <v>0</v>
      </c>
      <c r="I220" s="619">
        <v>0</v>
      </c>
      <c r="J220" s="619">
        <v>0</v>
      </c>
      <c r="K220" s="619">
        <v>3453.47</v>
      </c>
      <c r="L220" s="619">
        <v>94295.27</v>
      </c>
      <c r="M220" s="619">
        <v>100396.96</v>
      </c>
      <c r="N220" s="619">
        <v>101054.71</v>
      </c>
      <c r="O220" s="619">
        <v>100483.78</v>
      </c>
      <c r="P220" s="619">
        <v>99912.85</v>
      </c>
      <c r="Q220" s="619">
        <v>99341.92</v>
      </c>
      <c r="R220" s="619">
        <v>98770.99</v>
      </c>
      <c r="S220" s="498">
        <f t="shared" si="57"/>
        <v>54027.037916666675</v>
      </c>
      <c r="T220" s="620"/>
      <c r="U220" s="657"/>
      <c r="V220" s="690"/>
      <c r="W220" s="690">
        <f t="shared" si="59"/>
        <v>54027.037916666675</v>
      </c>
      <c r="X220" s="713"/>
      <c r="Y220" s="690"/>
      <c r="Z220" s="690"/>
      <c r="AA220" s="657"/>
      <c r="AB220" s="690"/>
      <c r="AC220" s="659">
        <f t="shared" ref="AC220:AC221" si="60">+S220</f>
        <v>54027.037916666675</v>
      </c>
      <c r="AD220" s="658"/>
      <c r="AE220" s="658"/>
      <c r="AF220" s="688"/>
    </row>
    <row r="221" spans="1:32">
      <c r="A221" s="620">
        <v>207</v>
      </c>
      <c r="B221" s="326"/>
      <c r="C221" s="536" t="s">
        <v>470</v>
      </c>
      <c r="D221" s="326" t="s">
        <v>1893</v>
      </c>
      <c r="E221" s="537" t="s">
        <v>1894</v>
      </c>
      <c r="F221" s="619">
        <v>0</v>
      </c>
      <c r="G221" s="619">
        <v>0</v>
      </c>
      <c r="H221" s="619">
        <v>0</v>
      </c>
      <c r="I221" s="619">
        <v>0</v>
      </c>
      <c r="J221" s="619">
        <v>0</v>
      </c>
      <c r="K221" s="619">
        <v>5180.2</v>
      </c>
      <c r="L221" s="619">
        <v>141838</v>
      </c>
      <c r="M221" s="619">
        <v>151441.49</v>
      </c>
      <c r="N221" s="619">
        <v>152866.64000000001</v>
      </c>
      <c r="O221" s="619">
        <v>152438.44</v>
      </c>
      <c r="P221" s="619">
        <v>152010.23999999999</v>
      </c>
      <c r="Q221" s="619">
        <v>151582.04</v>
      </c>
      <c r="R221" s="619">
        <v>151153.84</v>
      </c>
      <c r="S221" s="498">
        <f t="shared" si="57"/>
        <v>81911.164166666669</v>
      </c>
      <c r="T221" s="620"/>
      <c r="U221" s="657"/>
      <c r="V221" s="690"/>
      <c r="W221" s="690">
        <f t="shared" si="59"/>
        <v>81911.164166666669</v>
      </c>
      <c r="X221" s="713"/>
      <c r="Y221" s="690"/>
      <c r="Z221" s="690"/>
      <c r="AA221" s="657"/>
      <c r="AB221" s="690"/>
      <c r="AC221" s="659">
        <f t="shared" si="60"/>
        <v>81911.164166666669</v>
      </c>
      <c r="AD221" s="658"/>
      <c r="AE221" s="658"/>
      <c r="AF221" s="688"/>
    </row>
    <row r="222" spans="1:32">
      <c r="A222" s="620">
        <v>208</v>
      </c>
      <c r="B222" s="326"/>
      <c r="C222" s="536" t="s">
        <v>470</v>
      </c>
      <c r="D222" s="326" t="s">
        <v>727</v>
      </c>
      <c r="E222" s="537" t="s">
        <v>728</v>
      </c>
      <c r="F222" s="619">
        <v>-1525788.02</v>
      </c>
      <c r="G222" s="619">
        <v>0</v>
      </c>
      <c r="H222" s="619">
        <v>0</v>
      </c>
      <c r="I222" s="619">
        <v>0</v>
      </c>
      <c r="J222" s="619">
        <v>0</v>
      </c>
      <c r="K222" s="619">
        <v>0</v>
      </c>
      <c r="L222" s="619">
        <v>0</v>
      </c>
      <c r="M222" s="619">
        <v>0</v>
      </c>
      <c r="N222" s="619">
        <v>0</v>
      </c>
      <c r="O222" s="619">
        <v>0</v>
      </c>
      <c r="P222" s="619">
        <v>0</v>
      </c>
      <c r="Q222" s="619">
        <v>0</v>
      </c>
      <c r="R222" s="619">
        <v>0</v>
      </c>
      <c r="S222" s="498">
        <f t="shared" si="57"/>
        <v>-63574.500833333332</v>
      </c>
      <c r="T222" s="620"/>
      <c r="U222" s="657"/>
      <c r="V222" s="690">
        <f>+S222</f>
        <v>-63574.500833333332</v>
      </c>
      <c r="W222" s="690"/>
      <c r="X222" s="713"/>
      <c r="Y222" s="690"/>
      <c r="Z222" s="690"/>
      <c r="AA222" s="657"/>
      <c r="AB222" s="690"/>
      <c r="AC222" s="659"/>
      <c r="AD222" s="659">
        <f>+S222</f>
        <v>-63574.500833333332</v>
      </c>
      <c r="AE222" s="658"/>
      <c r="AF222" s="688"/>
    </row>
    <row r="223" spans="1:32">
      <c r="A223" s="620">
        <v>209</v>
      </c>
      <c r="B223" s="326" t="s">
        <v>977</v>
      </c>
      <c r="C223" s="536" t="s">
        <v>470</v>
      </c>
      <c r="D223" s="326" t="s">
        <v>380</v>
      </c>
      <c r="E223" s="537" t="s">
        <v>728</v>
      </c>
      <c r="F223" s="313">
        <v>0</v>
      </c>
      <c r="G223" s="313">
        <v>-1515906.26</v>
      </c>
      <c r="H223" s="313">
        <v>-1505331.72</v>
      </c>
      <c r="I223" s="313">
        <v>-1495453.58</v>
      </c>
      <c r="J223" s="313">
        <v>-1485575.44</v>
      </c>
      <c r="K223" s="313">
        <v>-1485511.11</v>
      </c>
      <c r="L223" s="313">
        <v>-1816372.27</v>
      </c>
      <c r="M223" s="313">
        <v>-1829467.33</v>
      </c>
      <c r="N223" s="313">
        <v>-1821810</v>
      </c>
      <c r="O223" s="313">
        <v>-1809880.74</v>
      </c>
      <c r="P223" s="313">
        <v>-1797951.48</v>
      </c>
      <c r="Q223" s="313">
        <v>-1785197.07</v>
      </c>
      <c r="R223" s="313">
        <v>-1773272.34</v>
      </c>
      <c r="S223" s="499">
        <f t="shared" si="57"/>
        <v>-1602924.4308333334</v>
      </c>
      <c r="T223" s="620"/>
      <c r="U223" s="657"/>
      <c r="V223" s="690">
        <f>+S223</f>
        <v>-1602924.4308333334</v>
      </c>
      <c r="X223" s="713"/>
      <c r="Y223" s="690"/>
      <c r="Z223" s="690"/>
      <c r="AA223" s="657"/>
      <c r="AB223" s="690"/>
      <c r="AC223" s="659"/>
      <c r="AD223" s="659">
        <f>+S223</f>
        <v>-1602924.4308333334</v>
      </c>
      <c r="AE223" s="658"/>
      <c r="AF223" s="688" t="e">
        <f>+U223+#REF!-AD223</f>
        <v>#REF!</v>
      </c>
    </row>
    <row r="224" spans="1:32">
      <c r="A224" s="620">
        <v>210</v>
      </c>
      <c r="B224" s="620"/>
      <c r="C224" s="620"/>
      <c r="D224" s="620"/>
      <c r="E224" s="615" t="s">
        <v>490</v>
      </c>
      <c r="F224" s="619">
        <f>SUM(F207:F223)</f>
        <v>98736.310000000289</v>
      </c>
      <c r="G224" s="619">
        <f t="shared" ref="G224:R224" si="61">SUM(G207:G223)</f>
        <v>92153.879999999888</v>
      </c>
      <c r="H224" s="619">
        <f t="shared" si="61"/>
        <v>85571.450000000186</v>
      </c>
      <c r="I224" s="619">
        <f t="shared" si="61"/>
        <v>78989.020000000251</v>
      </c>
      <c r="J224" s="619">
        <f t="shared" si="61"/>
        <v>72406.590000000084</v>
      </c>
      <c r="K224" s="619">
        <f t="shared" si="61"/>
        <v>65824.159999999916</v>
      </c>
      <c r="L224" s="619">
        <f t="shared" si="61"/>
        <v>314578.19999999972</v>
      </c>
      <c r="M224" s="619">
        <f t="shared" si="61"/>
        <v>318917.87000000011</v>
      </c>
      <c r="N224" s="619">
        <f t="shared" si="61"/>
        <v>375952.23999999976</v>
      </c>
      <c r="O224" s="619">
        <f t="shared" si="61"/>
        <v>369356.59000000008</v>
      </c>
      <c r="P224" s="619">
        <f t="shared" si="61"/>
        <v>362760.93999999994</v>
      </c>
      <c r="Q224" s="619">
        <f t="shared" si="61"/>
        <v>356165.28999999934</v>
      </c>
      <c r="R224" s="619">
        <f t="shared" si="61"/>
        <v>349569.6399999999</v>
      </c>
      <c r="S224" s="498">
        <f>SUM(S207:S223)</f>
        <v>226402.43375000008</v>
      </c>
      <c r="T224" s="620"/>
      <c r="U224" s="657"/>
      <c r="V224" s="690"/>
      <c r="W224" s="690"/>
      <c r="X224" s="713"/>
      <c r="Y224" s="690"/>
      <c r="Z224" s="690"/>
      <c r="AA224" s="657"/>
      <c r="AB224" s="690"/>
      <c r="AC224" s="658"/>
      <c r="AD224" s="658"/>
      <c r="AE224" s="658"/>
      <c r="AF224" s="688">
        <f t="shared" si="39"/>
        <v>0</v>
      </c>
    </row>
    <row r="225" spans="1:32">
      <c r="A225" s="620">
        <v>211</v>
      </c>
      <c r="B225" s="620"/>
      <c r="C225" s="620"/>
      <c r="D225" s="620"/>
      <c r="E225" s="616"/>
      <c r="F225" s="619"/>
      <c r="G225" s="324"/>
      <c r="H225" s="315"/>
      <c r="I225" s="315"/>
      <c r="J225" s="316"/>
      <c r="K225" s="317"/>
      <c r="L225" s="318"/>
      <c r="M225" s="319"/>
      <c r="N225" s="320"/>
      <c r="O225" s="606"/>
      <c r="P225" s="321"/>
      <c r="Q225" s="325"/>
      <c r="R225" s="619"/>
      <c r="S225" s="304"/>
      <c r="T225" s="620"/>
      <c r="U225" s="657"/>
      <c r="V225" s="690"/>
      <c r="W225" s="690"/>
      <c r="X225" s="713"/>
      <c r="Y225" s="690"/>
      <c r="Z225" s="690"/>
      <c r="AA225" s="657"/>
      <c r="AB225" s="690"/>
      <c r="AC225" s="658"/>
      <c r="AD225" s="658"/>
      <c r="AE225" s="658"/>
      <c r="AF225" s="688">
        <f t="shared" ref="AF225:AF300" si="62">+U225+V225-AD225</f>
        <v>0</v>
      </c>
    </row>
    <row r="226" spans="1:32">
      <c r="A226" s="620">
        <v>212</v>
      </c>
      <c r="B226" s="326" t="s">
        <v>977</v>
      </c>
      <c r="C226" s="326" t="s">
        <v>491</v>
      </c>
      <c r="D226" s="326" t="s">
        <v>493</v>
      </c>
      <c r="E226" s="618" t="s">
        <v>494</v>
      </c>
      <c r="F226" s="619">
        <v>744300.47</v>
      </c>
      <c r="G226" s="619">
        <v>740886.25</v>
      </c>
      <c r="H226" s="619">
        <v>737472.03</v>
      </c>
      <c r="I226" s="619">
        <v>734057.81</v>
      </c>
      <c r="J226" s="619">
        <v>730643.59</v>
      </c>
      <c r="K226" s="619">
        <v>727229.37</v>
      </c>
      <c r="L226" s="619">
        <v>723815.15</v>
      </c>
      <c r="M226" s="619">
        <v>720400.93</v>
      </c>
      <c r="N226" s="619">
        <v>716986.71</v>
      </c>
      <c r="O226" s="619">
        <v>713572.49</v>
      </c>
      <c r="P226" s="619">
        <v>710158.27</v>
      </c>
      <c r="Q226" s="619">
        <v>706744.05</v>
      </c>
      <c r="R226" s="619">
        <v>703329.83</v>
      </c>
      <c r="S226" s="498">
        <f>((F226+R226)+((G226+H226+I226+J226+K226+L226+M226+N226+O226+P226+Q226)*2))/24</f>
        <v>723815.14999999991</v>
      </c>
      <c r="T226" s="620"/>
      <c r="U226" s="657"/>
      <c r="V226" s="690"/>
      <c r="W226" s="690">
        <f t="shared" ref="W226" si="63">+S226</f>
        <v>723815.14999999991</v>
      </c>
      <c r="X226" s="713"/>
      <c r="Y226" s="690"/>
      <c r="Z226" s="690"/>
      <c r="AA226" s="657"/>
      <c r="AB226" s="690"/>
      <c r="AC226" s="659">
        <f>+S226</f>
        <v>723815.14999999991</v>
      </c>
      <c r="AD226" s="658"/>
      <c r="AE226" s="658"/>
      <c r="AF226" s="688">
        <f t="shared" si="62"/>
        <v>0</v>
      </c>
    </row>
    <row r="227" spans="1:32">
      <c r="A227" s="620">
        <v>213</v>
      </c>
      <c r="B227" s="620"/>
      <c r="C227" s="620"/>
      <c r="D227" s="620"/>
      <c r="E227" s="618" t="s">
        <v>490</v>
      </c>
      <c r="F227" s="305">
        <f t="shared" ref="F227:S227" si="64">SUM(F226:F226)</f>
        <v>744300.47</v>
      </c>
      <c r="G227" s="305">
        <f t="shared" si="64"/>
        <v>740886.25</v>
      </c>
      <c r="H227" s="305">
        <f t="shared" si="64"/>
        <v>737472.03</v>
      </c>
      <c r="I227" s="305">
        <f t="shared" si="64"/>
        <v>734057.81</v>
      </c>
      <c r="J227" s="305">
        <f t="shared" si="64"/>
        <v>730643.59</v>
      </c>
      <c r="K227" s="305">
        <f t="shared" si="64"/>
        <v>727229.37</v>
      </c>
      <c r="L227" s="305">
        <f t="shared" si="64"/>
        <v>723815.15</v>
      </c>
      <c r="M227" s="305">
        <f t="shared" si="64"/>
        <v>720400.93</v>
      </c>
      <c r="N227" s="305">
        <f t="shared" si="64"/>
        <v>716986.71</v>
      </c>
      <c r="O227" s="305">
        <f t="shared" si="64"/>
        <v>713572.49</v>
      </c>
      <c r="P227" s="305">
        <f t="shared" si="64"/>
        <v>710158.27</v>
      </c>
      <c r="Q227" s="305">
        <f t="shared" si="64"/>
        <v>706744.05</v>
      </c>
      <c r="R227" s="305">
        <f t="shared" si="64"/>
        <v>703329.83</v>
      </c>
      <c r="S227" s="500">
        <f t="shared" si="64"/>
        <v>723815.14999999991</v>
      </c>
      <c r="T227" s="620"/>
      <c r="U227" s="657"/>
      <c r="V227" s="690"/>
      <c r="W227" s="690"/>
      <c r="X227" s="713"/>
      <c r="Y227" s="690"/>
      <c r="Z227" s="690"/>
      <c r="AA227" s="657"/>
      <c r="AB227" s="690"/>
      <c r="AC227" s="658"/>
      <c r="AD227" s="658"/>
      <c r="AE227" s="658"/>
      <c r="AF227" s="688">
        <f t="shared" si="62"/>
        <v>0</v>
      </c>
    </row>
    <row r="228" spans="1:32">
      <c r="A228" s="620">
        <v>214</v>
      </c>
      <c r="B228" s="620"/>
      <c r="C228" s="620"/>
      <c r="D228" s="620"/>
      <c r="E228" s="605"/>
      <c r="F228" s="619"/>
      <c r="G228" s="324"/>
      <c r="H228" s="315"/>
      <c r="I228" s="315"/>
      <c r="J228" s="316"/>
      <c r="K228" s="317"/>
      <c r="L228" s="318"/>
      <c r="M228" s="319"/>
      <c r="N228" s="320"/>
      <c r="O228" s="606"/>
      <c r="P228" s="321"/>
      <c r="Q228" s="325"/>
      <c r="R228" s="619"/>
      <c r="S228" s="304"/>
      <c r="T228" s="620"/>
      <c r="U228" s="657"/>
      <c r="V228" s="690"/>
      <c r="W228" s="690"/>
      <c r="X228" s="713"/>
      <c r="Y228" s="690"/>
      <c r="Z228" s="690"/>
      <c r="AA228" s="657"/>
      <c r="AB228" s="690"/>
      <c r="AC228" s="658"/>
      <c r="AD228" s="658"/>
      <c r="AE228" s="658"/>
      <c r="AF228" s="688">
        <f t="shared" si="62"/>
        <v>0</v>
      </c>
    </row>
    <row r="229" spans="1:32">
      <c r="A229" s="620">
        <v>215</v>
      </c>
      <c r="B229" s="326" t="s">
        <v>977</v>
      </c>
      <c r="C229" s="326" t="s">
        <v>460</v>
      </c>
      <c r="D229" s="326" t="s">
        <v>448</v>
      </c>
      <c r="E229" s="618" t="s">
        <v>495</v>
      </c>
      <c r="F229" s="619">
        <v>0</v>
      </c>
      <c r="G229" s="619">
        <v>0</v>
      </c>
      <c r="H229" s="619">
        <v>0</v>
      </c>
      <c r="I229" s="619">
        <v>0</v>
      </c>
      <c r="J229" s="619">
        <v>0</v>
      </c>
      <c r="K229" s="619">
        <v>0</v>
      </c>
      <c r="L229" s="619">
        <v>0</v>
      </c>
      <c r="M229" s="619">
        <v>0</v>
      </c>
      <c r="N229" s="619">
        <v>0</v>
      </c>
      <c r="O229" s="619">
        <v>0</v>
      </c>
      <c r="P229" s="619">
        <v>11897</v>
      </c>
      <c r="Q229" s="619">
        <v>0</v>
      </c>
      <c r="R229" s="619">
        <v>0</v>
      </c>
      <c r="S229" s="498">
        <f t="shared" ref="S229:S292" si="65">((F229+R229)+((G229+H229+I229+J229+K229+L229+M229+N229+O229+P229+Q229)*2))/24</f>
        <v>991.41666666666663</v>
      </c>
      <c r="T229" s="620"/>
      <c r="U229" s="657">
        <f t="shared" ref="U229:U266" si="66">+S229</f>
        <v>991.41666666666663</v>
      </c>
      <c r="V229" s="690"/>
      <c r="W229" s="690"/>
      <c r="X229" s="713"/>
      <c r="Y229" s="690"/>
      <c r="Z229" s="690"/>
      <c r="AA229" s="657"/>
      <c r="AB229" s="690"/>
      <c r="AC229" s="658"/>
      <c r="AD229" s="659">
        <f t="shared" ref="AD229:AD263" si="67">+U229</f>
        <v>991.41666666666663</v>
      </c>
      <c r="AE229" s="658"/>
      <c r="AF229" s="688">
        <f t="shared" si="62"/>
        <v>0</v>
      </c>
    </row>
    <row r="230" spans="1:32">
      <c r="A230" s="620">
        <v>216</v>
      </c>
      <c r="B230" s="326" t="s">
        <v>977</v>
      </c>
      <c r="C230" s="326" t="s">
        <v>1418</v>
      </c>
      <c r="D230" s="326" t="s">
        <v>380</v>
      </c>
      <c r="E230" s="618" t="s">
        <v>1423</v>
      </c>
      <c r="F230" s="619">
        <v>0</v>
      </c>
      <c r="G230" s="619">
        <v>0</v>
      </c>
      <c r="H230" s="619">
        <v>0</v>
      </c>
      <c r="I230" s="619">
        <v>0</v>
      </c>
      <c r="J230" s="619">
        <v>0</v>
      </c>
      <c r="K230" s="619">
        <v>0</v>
      </c>
      <c r="L230" s="619">
        <v>0</v>
      </c>
      <c r="M230" s="619">
        <v>0</v>
      </c>
      <c r="N230" s="619">
        <v>268.73</v>
      </c>
      <c r="O230" s="619">
        <v>161.13999999999999</v>
      </c>
      <c r="P230" s="619">
        <v>489.97</v>
      </c>
      <c r="Q230" s="619">
        <v>36026.769999999997</v>
      </c>
      <c r="R230" s="619">
        <v>108101.06</v>
      </c>
      <c r="S230" s="498">
        <f t="shared" si="65"/>
        <v>7583.0949999999984</v>
      </c>
      <c r="T230" s="620"/>
      <c r="U230" s="657">
        <f>+S230</f>
        <v>7583.0949999999984</v>
      </c>
      <c r="V230" s="690"/>
      <c r="W230" s="690"/>
      <c r="X230" s="713"/>
      <c r="Y230" s="690"/>
      <c r="Z230" s="690"/>
      <c r="AA230" s="657"/>
      <c r="AB230" s="690"/>
      <c r="AC230" s="658"/>
      <c r="AD230" s="659">
        <f>+S230</f>
        <v>7583.0949999999984</v>
      </c>
      <c r="AE230" s="658"/>
      <c r="AF230" s="688"/>
    </row>
    <row r="231" spans="1:32">
      <c r="A231" s="620">
        <v>217</v>
      </c>
      <c r="B231" s="326" t="s">
        <v>1874</v>
      </c>
      <c r="C231" s="326" t="s">
        <v>496</v>
      </c>
      <c r="D231" s="326" t="s">
        <v>380</v>
      </c>
      <c r="E231" s="618" t="s">
        <v>1895</v>
      </c>
      <c r="F231" s="619">
        <v>0</v>
      </c>
      <c r="G231" s="619">
        <v>-6471445.4199999999</v>
      </c>
      <c r="H231" s="619">
        <v>-5663151</v>
      </c>
      <c r="I231" s="619">
        <v>-5418595.4500000002</v>
      </c>
      <c r="J231" s="619">
        <v>-5607880.4199999999</v>
      </c>
      <c r="K231" s="619">
        <v>-5846699.3799999999</v>
      </c>
      <c r="L231" s="619">
        <v>-6398845.7599999998</v>
      </c>
      <c r="M231" s="619">
        <v>-6874331.6200000001</v>
      </c>
      <c r="N231" s="619">
        <v>-7305346.4400000004</v>
      </c>
      <c r="O231" s="619">
        <v>-7626647.4199999999</v>
      </c>
      <c r="P231" s="619">
        <v>-7628693.4400000004</v>
      </c>
      <c r="Q231" s="619">
        <v>-7119703.0800000001</v>
      </c>
      <c r="R231" s="619">
        <v>-6805449.96</v>
      </c>
      <c r="S231" s="498">
        <f t="shared" si="65"/>
        <v>-6280338.7008333327</v>
      </c>
      <c r="T231" s="620"/>
      <c r="U231" s="657">
        <f>+S231</f>
        <v>-6280338.7008333327</v>
      </c>
      <c r="V231" s="690"/>
      <c r="W231" s="690"/>
      <c r="X231" s="713"/>
      <c r="Y231" s="690"/>
      <c r="Z231" s="690"/>
      <c r="AA231" s="657"/>
      <c r="AB231" s="690"/>
      <c r="AC231" s="658"/>
      <c r="AD231" s="659">
        <f>+S231</f>
        <v>-6280338.7008333327</v>
      </c>
      <c r="AE231" s="658"/>
      <c r="AF231" s="688"/>
    </row>
    <row r="232" spans="1:32">
      <c r="A232" s="620">
        <v>218</v>
      </c>
      <c r="B232" s="326" t="s">
        <v>1005</v>
      </c>
      <c r="C232" s="326" t="s">
        <v>496</v>
      </c>
      <c r="D232" s="326" t="s">
        <v>1162</v>
      </c>
      <c r="E232" s="618" t="s">
        <v>1573</v>
      </c>
      <c r="F232" s="619">
        <v>0</v>
      </c>
      <c r="G232" s="619">
        <v>0</v>
      </c>
      <c r="H232" s="619">
        <v>0</v>
      </c>
      <c r="I232" s="619">
        <v>0</v>
      </c>
      <c r="J232" s="619">
        <v>0</v>
      </c>
      <c r="K232" s="619">
        <v>0</v>
      </c>
      <c r="L232" s="619">
        <v>0</v>
      </c>
      <c r="M232" s="619">
        <v>0</v>
      </c>
      <c r="N232" s="619">
        <v>0</v>
      </c>
      <c r="O232" s="619">
        <v>0</v>
      </c>
      <c r="P232" s="619">
        <v>0</v>
      </c>
      <c r="Q232" s="619">
        <v>0</v>
      </c>
      <c r="R232" s="619">
        <v>0</v>
      </c>
      <c r="S232" s="498">
        <f t="shared" si="65"/>
        <v>0</v>
      </c>
      <c r="T232" s="620"/>
      <c r="U232" s="657">
        <f t="shared" si="66"/>
        <v>0</v>
      </c>
      <c r="V232" s="690"/>
      <c r="W232" s="690"/>
      <c r="X232" s="713"/>
      <c r="Y232" s="690"/>
      <c r="Z232" s="690"/>
      <c r="AA232" s="657"/>
      <c r="AB232" s="690"/>
      <c r="AC232" s="658"/>
      <c r="AD232" s="659">
        <f t="shared" si="67"/>
        <v>0</v>
      </c>
      <c r="AE232" s="658"/>
      <c r="AF232" s="688">
        <f t="shared" si="62"/>
        <v>0</v>
      </c>
    </row>
    <row r="233" spans="1:32">
      <c r="A233" s="620">
        <v>219</v>
      </c>
      <c r="B233" s="326" t="s">
        <v>980</v>
      </c>
      <c r="C233" s="326" t="s">
        <v>496</v>
      </c>
      <c r="D233" s="326" t="s">
        <v>1163</v>
      </c>
      <c r="E233" s="618" t="s">
        <v>1164</v>
      </c>
      <c r="F233" s="619">
        <v>47614629.100000001</v>
      </c>
      <c r="G233" s="619">
        <v>47614629.100000001</v>
      </c>
      <c r="H233" s="619">
        <v>47614629.100000001</v>
      </c>
      <c r="I233" s="619">
        <v>47614629.100000001</v>
      </c>
      <c r="J233" s="619">
        <v>47614629.100000001</v>
      </c>
      <c r="K233" s="619">
        <v>41832342</v>
      </c>
      <c r="L233" s="619">
        <v>41832342</v>
      </c>
      <c r="M233" s="619">
        <v>41832342</v>
      </c>
      <c r="N233" s="619">
        <v>41832342</v>
      </c>
      <c r="O233" s="619">
        <v>41832342</v>
      </c>
      <c r="P233" s="619">
        <v>41832342</v>
      </c>
      <c r="Q233" s="619">
        <v>41832342</v>
      </c>
      <c r="R233" s="619">
        <v>38966901</v>
      </c>
      <c r="S233" s="498">
        <f t="shared" si="65"/>
        <v>43881306.287500001</v>
      </c>
      <c r="T233" s="620"/>
      <c r="U233" s="657">
        <f t="shared" si="66"/>
        <v>43881306.287500001</v>
      </c>
      <c r="V233" s="690"/>
      <c r="W233" s="690"/>
      <c r="X233" s="713"/>
      <c r="Y233" s="690"/>
      <c r="Z233" s="690"/>
      <c r="AA233" s="657"/>
      <c r="AB233" s="690"/>
      <c r="AC233" s="658"/>
      <c r="AD233" s="659">
        <f t="shared" si="67"/>
        <v>43881306.287500001</v>
      </c>
      <c r="AE233" s="658"/>
      <c r="AF233" s="688">
        <f t="shared" si="62"/>
        <v>0</v>
      </c>
    </row>
    <row r="234" spans="1:32">
      <c r="A234" s="620">
        <v>220</v>
      </c>
      <c r="B234" s="326" t="s">
        <v>980</v>
      </c>
      <c r="C234" s="326" t="s">
        <v>496</v>
      </c>
      <c r="D234" s="326" t="s">
        <v>1165</v>
      </c>
      <c r="E234" s="618" t="s">
        <v>1422</v>
      </c>
      <c r="F234" s="619">
        <v>974030</v>
      </c>
      <c r="G234" s="619">
        <v>974030</v>
      </c>
      <c r="H234" s="619">
        <v>974030</v>
      </c>
      <c r="I234" s="619">
        <v>974030</v>
      </c>
      <c r="J234" s="619">
        <v>974030</v>
      </c>
      <c r="K234" s="619">
        <v>1088889</v>
      </c>
      <c r="L234" s="619">
        <v>1088889</v>
      </c>
      <c r="M234" s="619">
        <v>1088889</v>
      </c>
      <c r="N234" s="619">
        <v>1088889</v>
      </c>
      <c r="O234" s="619">
        <v>1088889</v>
      </c>
      <c r="P234" s="619">
        <v>1088889</v>
      </c>
      <c r="Q234" s="619">
        <v>1088889</v>
      </c>
      <c r="R234" s="619">
        <v>1045610</v>
      </c>
      <c r="S234" s="498">
        <f t="shared" si="65"/>
        <v>1044013.5833333334</v>
      </c>
      <c r="T234" s="620"/>
      <c r="U234" s="657">
        <f t="shared" si="66"/>
        <v>1044013.5833333334</v>
      </c>
      <c r="V234" s="690"/>
      <c r="W234" s="690"/>
      <c r="X234" s="713"/>
      <c r="Y234" s="690"/>
      <c r="Z234" s="690"/>
      <c r="AA234" s="657"/>
      <c r="AB234" s="690"/>
      <c r="AC234" s="658"/>
      <c r="AD234" s="659">
        <f t="shared" si="67"/>
        <v>1044013.5833333334</v>
      </c>
      <c r="AE234" s="658"/>
      <c r="AF234" s="688">
        <f t="shared" si="62"/>
        <v>0</v>
      </c>
    </row>
    <row r="235" spans="1:32">
      <c r="A235" s="620">
        <v>221</v>
      </c>
      <c r="B235" s="326" t="s">
        <v>1005</v>
      </c>
      <c r="C235" s="326" t="s">
        <v>496</v>
      </c>
      <c r="D235" s="326" t="s">
        <v>1412</v>
      </c>
      <c r="E235" s="618" t="s">
        <v>1574</v>
      </c>
      <c r="F235" s="619">
        <v>572922.88</v>
      </c>
      <c r="G235" s="619">
        <v>576467.22</v>
      </c>
      <c r="H235" s="619">
        <v>579688.36</v>
      </c>
      <c r="I235" s="619">
        <v>583274.55000000005</v>
      </c>
      <c r="J235" s="619">
        <v>-1.16415321826935E-10</v>
      </c>
      <c r="K235" s="619">
        <v>-1.16415321826935E-10</v>
      </c>
      <c r="L235" s="619">
        <v>-1.16415321826935E-10</v>
      </c>
      <c r="M235" s="619">
        <v>-1.16415321826935E-10</v>
      </c>
      <c r="N235" s="619">
        <v>-1.16415321826935E-10</v>
      </c>
      <c r="O235" s="619">
        <v>-1.16415321826935E-10</v>
      </c>
      <c r="P235" s="619">
        <v>-1.16415321826935E-10</v>
      </c>
      <c r="Q235" s="619">
        <v>-1.16415321826935E-10</v>
      </c>
      <c r="R235" s="619">
        <v>-1.16415321826935E-10</v>
      </c>
      <c r="S235" s="498">
        <f t="shared" si="65"/>
        <v>168824.29749999999</v>
      </c>
      <c r="T235" s="620"/>
      <c r="U235" s="657">
        <f t="shared" si="66"/>
        <v>168824.29749999999</v>
      </c>
      <c r="V235" s="690"/>
      <c r="W235" s="690"/>
      <c r="X235" s="713"/>
      <c r="Y235" s="690"/>
      <c r="Z235" s="690"/>
      <c r="AA235" s="657"/>
      <c r="AB235" s="690"/>
      <c r="AC235" s="658"/>
      <c r="AD235" s="659">
        <f t="shared" si="67"/>
        <v>168824.29749999999</v>
      </c>
      <c r="AE235" s="658"/>
      <c r="AF235" s="688">
        <f t="shared" si="62"/>
        <v>0</v>
      </c>
    </row>
    <row r="236" spans="1:32">
      <c r="A236" s="620">
        <v>222</v>
      </c>
      <c r="B236" s="326" t="s">
        <v>980</v>
      </c>
      <c r="C236" s="326" t="s">
        <v>496</v>
      </c>
      <c r="D236" s="536" t="s">
        <v>1413</v>
      </c>
      <c r="E236" s="618" t="s">
        <v>1575</v>
      </c>
      <c r="F236" s="619">
        <v>384645.37</v>
      </c>
      <c r="G236" s="619">
        <v>398905.59999999998</v>
      </c>
      <c r="H236" s="619">
        <v>463777.73</v>
      </c>
      <c r="I236" s="619">
        <v>482988.6</v>
      </c>
      <c r="J236" s="619">
        <v>634060.62</v>
      </c>
      <c r="K236" s="619">
        <v>663797.04</v>
      </c>
      <c r="L236" s="619">
        <v>811772.32</v>
      </c>
      <c r="M236" s="619">
        <v>1016915.43</v>
      </c>
      <c r="N236" s="619">
        <v>1039975.18</v>
      </c>
      <c r="O236" s="619">
        <v>1158662.44</v>
      </c>
      <c r="P236" s="619">
        <v>1330946.1000000001</v>
      </c>
      <c r="Q236" s="619">
        <v>308493.81</v>
      </c>
      <c r="R236" s="619">
        <v>373342.4</v>
      </c>
      <c r="S236" s="498">
        <f t="shared" si="65"/>
        <v>724107.39624999987</v>
      </c>
      <c r="T236" s="620"/>
      <c r="U236" s="657"/>
      <c r="V236" s="690"/>
      <c r="W236" s="690"/>
      <c r="X236" s="713">
        <f>+S236</f>
        <v>724107.39624999987</v>
      </c>
      <c r="Y236" s="690"/>
      <c r="Z236" s="690"/>
      <c r="AA236" s="657"/>
      <c r="AB236" s="690">
        <f>+X236</f>
        <v>724107.39624999987</v>
      </c>
      <c r="AC236" s="658"/>
      <c r="AD236" s="659">
        <f t="shared" si="67"/>
        <v>0</v>
      </c>
      <c r="AE236" s="658"/>
      <c r="AF236" s="688">
        <f t="shared" si="62"/>
        <v>0</v>
      </c>
    </row>
    <row r="237" spans="1:32">
      <c r="A237" s="620">
        <v>223</v>
      </c>
      <c r="B237" s="326" t="s">
        <v>980</v>
      </c>
      <c r="C237" s="326" t="s">
        <v>496</v>
      </c>
      <c r="D237" s="326" t="s">
        <v>1414</v>
      </c>
      <c r="E237" s="618" t="s">
        <v>1576</v>
      </c>
      <c r="F237" s="619">
        <v>99041.79</v>
      </c>
      <c r="G237" s="619">
        <v>112300.24</v>
      </c>
      <c r="H237" s="619">
        <v>134456.17000000001</v>
      </c>
      <c r="I237" s="619">
        <v>210911.94</v>
      </c>
      <c r="J237" s="619">
        <v>221856.71</v>
      </c>
      <c r="K237" s="619">
        <v>329775.45</v>
      </c>
      <c r="L237" s="619">
        <v>459112.21</v>
      </c>
      <c r="M237" s="619">
        <v>508145.7</v>
      </c>
      <c r="N237" s="619">
        <v>642776.54</v>
      </c>
      <c r="O237" s="619">
        <v>693067.49</v>
      </c>
      <c r="P237" s="619">
        <v>696257.88</v>
      </c>
      <c r="Q237" s="619">
        <v>181876.62</v>
      </c>
      <c r="R237" s="619">
        <v>466661.34</v>
      </c>
      <c r="S237" s="498">
        <f t="shared" si="65"/>
        <v>372782.37625000003</v>
      </c>
      <c r="T237" s="620"/>
      <c r="U237" s="657"/>
      <c r="V237" s="690"/>
      <c r="W237" s="690"/>
      <c r="X237" s="713">
        <f t="shared" ref="X237:X240" si="68">+S237</f>
        <v>372782.37625000003</v>
      </c>
      <c r="Y237" s="690"/>
      <c r="Z237" s="690"/>
      <c r="AA237" s="657"/>
      <c r="AB237" s="690">
        <f t="shared" ref="AB237:AB240" si="69">+X237</f>
        <v>372782.37625000003</v>
      </c>
      <c r="AC237" s="658"/>
      <c r="AD237" s="659">
        <f t="shared" si="67"/>
        <v>0</v>
      </c>
      <c r="AE237" s="658"/>
      <c r="AF237" s="688">
        <f t="shared" si="62"/>
        <v>0</v>
      </c>
    </row>
    <row r="238" spans="1:32">
      <c r="A238" s="620">
        <v>224</v>
      </c>
      <c r="B238" s="326" t="s">
        <v>980</v>
      </c>
      <c r="C238" s="326" t="s">
        <v>496</v>
      </c>
      <c r="D238" s="326" t="s">
        <v>1415</v>
      </c>
      <c r="E238" s="618" t="s">
        <v>1577</v>
      </c>
      <c r="F238" s="619">
        <v>951817.28999999899</v>
      </c>
      <c r="G238" s="619">
        <v>1077157.79</v>
      </c>
      <c r="H238" s="619">
        <v>1145627.6499999999</v>
      </c>
      <c r="I238" s="619">
        <v>1494681.19</v>
      </c>
      <c r="J238" s="619">
        <v>1643073.24</v>
      </c>
      <c r="K238" s="619">
        <v>1814291.2</v>
      </c>
      <c r="L238" s="619">
        <v>2092603.55</v>
      </c>
      <c r="M238" s="619">
        <v>2322449.9300000002</v>
      </c>
      <c r="N238" s="619">
        <v>2565013.1800000002</v>
      </c>
      <c r="O238" s="619">
        <v>2777890.12</v>
      </c>
      <c r="P238" s="619">
        <v>3022671.22</v>
      </c>
      <c r="Q238" s="619">
        <v>771831.92</v>
      </c>
      <c r="R238" s="619">
        <v>845715.52</v>
      </c>
      <c r="S238" s="498">
        <f t="shared" si="65"/>
        <v>1802171.4495833337</v>
      </c>
      <c r="T238" s="620"/>
      <c r="U238" s="657"/>
      <c r="V238" s="690"/>
      <c r="W238" s="690"/>
      <c r="X238" s="713">
        <f t="shared" si="68"/>
        <v>1802171.4495833337</v>
      </c>
      <c r="Y238" s="690"/>
      <c r="Z238" s="690"/>
      <c r="AA238" s="657"/>
      <c r="AB238" s="690">
        <f t="shared" si="69"/>
        <v>1802171.4495833337</v>
      </c>
      <c r="AC238" s="658"/>
      <c r="AD238" s="659">
        <f t="shared" si="67"/>
        <v>0</v>
      </c>
      <c r="AE238" s="658"/>
      <c r="AF238" s="688">
        <f t="shared" si="62"/>
        <v>0</v>
      </c>
    </row>
    <row r="239" spans="1:32">
      <c r="A239" s="620">
        <v>225</v>
      </c>
      <c r="B239" s="326" t="s">
        <v>980</v>
      </c>
      <c r="C239" s="326" t="s">
        <v>496</v>
      </c>
      <c r="D239" s="326" t="s">
        <v>1416</v>
      </c>
      <c r="E239" s="618" t="s">
        <v>1578</v>
      </c>
      <c r="F239" s="619">
        <v>1070638.9099999999</v>
      </c>
      <c r="G239" s="619">
        <v>1310660.6299999999</v>
      </c>
      <c r="H239" s="619">
        <v>1504518.3</v>
      </c>
      <c r="I239" s="619">
        <v>1654035.36</v>
      </c>
      <c r="J239" s="619">
        <v>1921879.42</v>
      </c>
      <c r="K239" s="619">
        <v>2116697.35</v>
      </c>
      <c r="L239" s="619">
        <v>2299189.14</v>
      </c>
      <c r="M239" s="619">
        <v>2487571.69</v>
      </c>
      <c r="N239" s="619">
        <v>2649592.5699999998</v>
      </c>
      <c r="O239" s="619">
        <v>2853663.91</v>
      </c>
      <c r="P239" s="619">
        <v>3048675.85</v>
      </c>
      <c r="Q239" s="619">
        <v>688050.37999999896</v>
      </c>
      <c r="R239" s="619">
        <v>881590.07999999903</v>
      </c>
      <c r="S239" s="498">
        <f t="shared" si="65"/>
        <v>1959220.7579166668</v>
      </c>
      <c r="T239" s="620"/>
      <c r="U239" s="657"/>
      <c r="V239" s="690"/>
      <c r="W239" s="690"/>
      <c r="X239" s="713">
        <f t="shared" si="68"/>
        <v>1959220.7579166668</v>
      </c>
      <c r="Y239" s="690"/>
      <c r="Z239" s="690"/>
      <c r="AA239" s="657"/>
      <c r="AB239" s="690">
        <f t="shared" si="69"/>
        <v>1959220.7579166668</v>
      </c>
      <c r="AC239" s="658"/>
      <c r="AD239" s="659">
        <f t="shared" si="67"/>
        <v>0</v>
      </c>
      <c r="AE239" s="658"/>
      <c r="AF239" s="688">
        <f t="shared" si="62"/>
        <v>0</v>
      </c>
    </row>
    <row r="240" spans="1:32">
      <c r="A240" s="620">
        <v>226</v>
      </c>
      <c r="B240" s="326" t="s">
        <v>980</v>
      </c>
      <c r="C240" s="326" t="s">
        <v>496</v>
      </c>
      <c r="D240" s="326" t="s">
        <v>1417</v>
      </c>
      <c r="E240" s="618" t="s">
        <v>1579</v>
      </c>
      <c r="F240" s="619">
        <v>4501119.47</v>
      </c>
      <c r="G240" s="619">
        <v>3572421.16</v>
      </c>
      <c r="H240" s="619">
        <v>2414771.15</v>
      </c>
      <c r="I240" s="619">
        <v>1575978.36</v>
      </c>
      <c r="J240" s="619">
        <v>1187010.43</v>
      </c>
      <c r="K240" s="619">
        <v>922138.33999999904</v>
      </c>
      <c r="L240" s="619">
        <v>736168.53999999899</v>
      </c>
      <c r="M240" s="619">
        <v>539248.86999999895</v>
      </c>
      <c r="N240" s="619">
        <v>407988.96999999898</v>
      </c>
      <c r="O240" s="619">
        <v>143363.459999999</v>
      </c>
      <c r="P240" s="619">
        <v>-469857.61000000098</v>
      </c>
      <c r="Q240" s="619">
        <v>5169450.3499999996</v>
      </c>
      <c r="R240" s="619">
        <v>4238140.62</v>
      </c>
      <c r="S240" s="498">
        <f t="shared" si="65"/>
        <v>1714026.0054166664</v>
      </c>
      <c r="T240" s="620"/>
      <c r="U240" s="657"/>
      <c r="V240" s="690"/>
      <c r="W240" s="690"/>
      <c r="X240" s="713">
        <f t="shared" si="68"/>
        <v>1714026.0054166664</v>
      </c>
      <c r="Y240" s="690"/>
      <c r="Z240" s="690"/>
      <c r="AA240" s="657"/>
      <c r="AB240" s="690">
        <f t="shared" si="69"/>
        <v>1714026.0054166664</v>
      </c>
      <c r="AC240" s="658"/>
      <c r="AD240" s="659">
        <f t="shared" si="67"/>
        <v>0</v>
      </c>
      <c r="AE240" s="658"/>
      <c r="AF240" s="688">
        <f t="shared" si="62"/>
        <v>0</v>
      </c>
    </row>
    <row r="241" spans="1:32">
      <c r="A241" s="620">
        <v>227</v>
      </c>
      <c r="B241" s="326" t="s">
        <v>980</v>
      </c>
      <c r="C241" s="326" t="s">
        <v>496</v>
      </c>
      <c r="D241" s="326" t="s">
        <v>1896</v>
      </c>
      <c r="E241" s="618" t="s">
        <v>1897</v>
      </c>
      <c r="F241" s="619">
        <v>0</v>
      </c>
      <c r="G241" s="619">
        <v>0</v>
      </c>
      <c r="H241" s="619">
        <v>0</v>
      </c>
      <c r="I241" s="619">
        <v>0</v>
      </c>
      <c r="J241" s="619">
        <v>0</v>
      </c>
      <c r="K241" s="619">
        <v>-114859</v>
      </c>
      <c r="L241" s="619">
        <v>-114859</v>
      </c>
      <c r="M241" s="619">
        <v>-114859</v>
      </c>
      <c r="N241" s="619">
        <v>-114859</v>
      </c>
      <c r="O241" s="619">
        <v>-114859</v>
      </c>
      <c r="P241" s="619">
        <v>-114859</v>
      </c>
      <c r="Q241" s="619">
        <v>-114859</v>
      </c>
      <c r="R241" s="619">
        <v>-197919</v>
      </c>
      <c r="S241" s="498">
        <f t="shared" si="65"/>
        <v>-75247.708333333328</v>
      </c>
      <c r="T241" s="620"/>
      <c r="U241" s="657">
        <f>+S241</f>
        <v>-75247.708333333328</v>
      </c>
      <c r="V241" s="690"/>
      <c r="W241" s="690"/>
      <c r="X241" s="713"/>
      <c r="Y241" s="690"/>
      <c r="Z241" s="690"/>
      <c r="AA241" s="657"/>
      <c r="AB241" s="690"/>
      <c r="AC241" s="658"/>
      <c r="AD241" s="659">
        <f>+S241</f>
        <v>-75247.708333333328</v>
      </c>
      <c r="AE241" s="658"/>
      <c r="AF241" s="688"/>
    </row>
    <row r="242" spans="1:32">
      <c r="A242" s="620">
        <v>228</v>
      </c>
      <c r="B242" s="326" t="s">
        <v>980</v>
      </c>
      <c r="C242" s="326" t="s">
        <v>496</v>
      </c>
      <c r="D242" s="326" t="s">
        <v>1898</v>
      </c>
      <c r="E242" s="618" t="s">
        <v>1899</v>
      </c>
      <c r="F242" s="619">
        <v>0</v>
      </c>
      <c r="G242" s="619">
        <v>0</v>
      </c>
      <c r="H242" s="619">
        <v>0</v>
      </c>
      <c r="I242" s="619">
        <v>0</v>
      </c>
      <c r="J242" s="619">
        <v>0</v>
      </c>
      <c r="K242" s="619">
        <v>5782287.0999999996</v>
      </c>
      <c r="L242" s="619">
        <v>5782287.0999999996</v>
      </c>
      <c r="M242" s="619">
        <v>5782287.0999999996</v>
      </c>
      <c r="N242" s="619">
        <v>5782287.0999999996</v>
      </c>
      <c r="O242" s="619">
        <v>5782287.0999999996</v>
      </c>
      <c r="P242" s="619">
        <v>5782287.0999999996</v>
      </c>
      <c r="Q242" s="619">
        <v>3075307.1</v>
      </c>
      <c r="R242" s="619">
        <v>1644093</v>
      </c>
      <c r="S242" s="498">
        <f t="shared" si="65"/>
        <v>3215923.0166666671</v>
      </c>
      <c r="T242" s="620"/>
      <c r="U242" s="657">
        <f>+S242</f>
        <v>3215923.0166666671</v>
      </c>
      <c r="V242" s="690"/>
      <c r="W242" s="690"/>
      <c r="X242" s="713"/>
      <c r="Y242" s="690"/>
      <c r="Z242" s="690"/>
      <c r="AA242" s="657"/>
      <c r="AB242" s="690"/>
      <c r="AC242" s="658"/>
      <c r="AD242" s="659">
        <f>+S242</f>
        <v>3215923.0166666671</v>
      </c>
      <c r="AE242" s="658"/>
      <c r="AF242" s="688"/>
    </row>
    <row r="243" spans="1:32">
      <c r="A243" s="620">
        <v>229</v>
      </c>
      <c r="B243" s="326" t="s">
        <v>977</v>
      </c>
      <c r="C243" s="326" t="s">
        <v>497</v>
      </c>
      <c r="D243" s="326" t="s">
        <v>1166</v>
      </c>
      <c r="E243" s="618" t="s">
        <v>1580</v>
      </c>
      <c r="F243" s="619">
        <v>2.91038304567337E-11</v>
      </c>
      <c r="G243" s="619">
        <v>139109.38</v>
      </c>
      <c r="H243" s="619">
        <v>155252.45000000001</v>
      </c>
      <c r="I243" s="619">
        <v>142839.38</v>
      </c>
      <c r="J243" s="619">
        <v>134737.65</v>
      </c>
      <c r="K243" s="619">
        <v>109902.87</v>
      </c>
      <c r="L243" s="619">
        <v>160900</v>
      </c>
      <c r="M243" s="619">
        <v>97344.49</v>
      </c>
      <c r="N243" s="619">
        <v>32966.9</v>
      </c>
      <c r="O243" s="619">
        <v>0</v>
      </c>
      <c r="P243" s="619">
        <v>0</v>
      </c>
      <c r="Q243" s="619">
        <v>0</v>
      </c>
      <c r="R243" s="619">
        <v>0</v>
      </c>
      <c r="S243" s="498">
        <f t="shared" si="65"/>
        <v>81087.759999999995</v>
      </c>
      <c r="T243" s="620"/>
      <c r="U243" s="657">
        <f t="shared" si="66"/>
        <v>81087.759999999995</v>
      </c>
      <c r="V243" s="690"/>
      <c r="W243" s="690"/>
      <c r="X243" s="713"/>
      <c r="Y243" s="690"/>
      <c r="Z243" s="690"/>
      <c r="AA243" s="657"/>
      <c r="AB243" s="690"/>
      <c r="AC243" s="658"/>
      <c r="AD243" s="659">
        <f t="shared" si="67"/>
        <v>81087.759999999995</v>
      </c>
      <c r="AE243" s="658"/>
      <c r="AF243" s="688">
        <f t="shared" si="62"/>
        <v>0</v>
      </c>
    </row>
    <row r="244" spans="1:32">
      <c r="A244" s="620">
        <v>230</v>
      </c>
      <c r="B244" s="326" t="s">
        <v>977</v>
      </c>
      <c r="C244" s="326" t="s">
        <v>497</v>
      </c>
      <c r="D244" s="536" t="s">
        <v>1167</v>
      </c>
      <c r="E244" s="618" t="s">
        <v>1581</v>
      </c>
      <c r="F244" s="619">
        <v>0</v>
      </c>
      <c r="G244" s="619">
        <v>0</v>
      </c>
      <c r="H244" s="619">
        <v>0</v>
      </c>
      <c r="I244" s="619">
        <v>0</v>
      </c>
      <c r="J244" s="619">
        <v>0</v>
      </c>
      <c r="K244" s="619">
        <v>0</v>
      </c>
      <c r="L244" s="619">
        <v>0</v>
      </c>
      <c r="M244" s="619">
        <v>0</v>
      </c>
      <c r="N244" s="619">
        <v>0</v>
      </c>
      <c r="O244" s="619">
        <v>0</v>
      </c>
      <c r="P244" s="619">
        <v>0</v>
      </c>
      <c r="Q244" s="619">
        <v>0</v>
      </c>
      <c r="R244" s="619">
        <v>0</v>
      </c>
      <c r="S244" s="498">
        <f t="shared" si="65"/>
        <v>0</v>
      </c>
      <c r="T244" s="620"/>
      <c r="U244" s="657">
        <f t="shared" si="66"/>
        <v>0</v>
      </c>
      <c r="V244" s="690"/>
      <c r="W244" s="690"/>
      <c r="X244" s="713"/>
      <c r="Y244" s="690"/>
      <c r="Z244" s="690"/>
      <c r="AA244" s="657"/>
      <c r="AB244" s="690"/>
      <c r="AC244" s="658"/>
      <c r="AD244" s="659">
        <f t="shared" si="67"/>
        <v>0</v>
      </c>
      <c r="AE244" s="658"/>
      <c r="AF244" s="688">
        <f t="shared" si="62"/>
        <v>0</v>
      </c>
    </row>
    <row r="245" spans="1:32">
      <c r="A245" s="620">
        <v>231</v>
      </c>
      <c r="B245" s="326" t="s">
        <v>977</v>
      </c>
      <c r="C245" s="326" t="s">
        <v>497</v>
      </c>
      <c r="D245" s="326" t="s">
        <v>1168</v>
      </c>
      <c r="E245" s="618" t="s">
        <v>1582</v>
      </c>
      <c r="F245" s="619">
        <v>0</v>
      </c>
      <c r="G245" s="619">
        <v>0</v>
      </c>
      <c r="H245" s="619">
        <v>0</v>
      </c>
      <c r="I245" s="619">
        <v>0</v>
      </c>
      <c r="J245" s="619">
        <v>0</v>
      </c>
      <c r="K245" s="619">
        <v>0</v>
      </c>
      <c r="L245" s="619">
        <v>0</v>
      </c>
      <c r="M245" s="619">
        <v>0</v>
      </c>
      <c r="N245" s="619">
        <v>0</v>
      </c>
      <c r="O245" s="619">
        <v>0</v>
      </c>
      <c r="P245" s="619">
        <v>0</v>
      </c>
      <c r="Q245" s="619">
        <v>0</v>
      </c>
      <c r="R245" s="619">
        <v>0</v>
      </c>
      <c r="S245" s="498">
        <f t="shared" si="65"/>
        <v>0</v>
      </c>
      <c r="T245" s="620"/>
      <c r="U245" s="657">
        <f t="shared" si="66"/>
        <v>0</v>
      </c>
      <c r="V245" s="690"/>
      <c r="W245" s="690"/>
      <c r="X245" s="713"/>
      <c r="Y245" s="690"/>
      <c r="Z245" s="690"/>
      <c r="AA245" s="657"/>
      <c r="AB245" s="690"/>
      <c r="AC245" s="658"/>
      <c r="AD245" s="659">
        <f t="shared" si="67"/>
        <v>0</v>
      </c>
      <c r="AE245" s="658"/>
      <c r="AF245" s="688">
        <f t="shared" si="62"/>
        <v>0</v>
      </c>
    </row>
    <row r="246" spans="1:32">
      <c r="A246" s="620">
        <v>232</v>
      </c>
      <c r="B246" s="326" t="s">
        <v>977</v>
      </c>
      <c r="C246" s="326" t="s">
        <v>497</v>
      </c>
      <c r="D246" s="326" t="s">
        <v>1169</v>
      </c>
      <c r="E246" s="618" t="s">
        <v>1583</v>
      </c>
      <c r="F246" s="619">
        <v>4.5474735088646402E-13</v>
      </c>
      <c r="G246" s="619">
        <v>-639.22</v>
      </c>
      <c r="H246" s="619">
        <v>854.74</v>
      </c>
      <c r="I246" s="619">
        <v>-2090.0500000000002</v>
      </c>
      <c r="J246" s="619">
        <v>-994.41</v>
      </c>
      <c r="K246" s="619">
        <v>-732.48</v>
      </c>
      <c r="L246" s="619">
        <v>1032.76</v>
      </c>
      <c r="M246" s="619">
        <v>690.6</v>
      </c>
      <c r="N246" s="619">
        <v>-2900.56</v>
      </c>
      <c r="O246" s="619">
        <v>0</v>
      </c>
      <c r="P246" s="619">
        <v>0</v>
      </c>
      <c r="Q246" s="619">
        <v>0</v>
      </c>
      <c r="R246" s="619">
        <v>0</v>
      </c>
      <c r="S246" s="498">
        <f t="shared" si="65"/>
        <v>-398.21833333333331</v>
      </c>
      <c r="T246" s="620"/>
      <c r="U246" s="657">
        <f t="shared" si="66"/>
        <v>-398.21833333333331</v>
      </c>
      <c r="V246" s="690"/>
      <c r="W246" s="690"/>
      <c r="X246" s="713"/>
      <c r="Y246" s="690"/>
      <c r="Z246" s="690"/>
      <c r="AA246" s="657"/>
      <c r="AB246" s="690"/>
      <c r="AC246" s="658"/>
      <c r="AD246" s="659">
        <f t="shared" si="67"/>
        <v>-398.21833333333331</v>
      </c>
      <c r="AE246" s="658"/>
      <c r="AF246" s="688">
        <f t="shared" si="62"/>
        <v>0</v>
      </c>
    </row>
    <row r="247" spans="1:32">
      <c r="A247" s="620">
        <v>233</v>
      </c>
      <c r="B247" s="326" t="s">
        <v>977</v>
      </c>
      <c r="C247" s="326" t="s">
        <v>497</v>
      </c>
      <c r="D247" s="326" t="s">
        <v>1170</v>
      </c>
      <c r="E247" s="618" t="s">
        <v>1584</v>
      </c>
      <c r="F247" s="619">
        <v>0</v>
      </c>
      <c r="G247" s="619">
        <v>0</v>
      </c>
      <c r="H247" s="619">
        <v>0</v>
      </c>
      <c r="I247" s="619">
        <v>0</v>
      </c>
      <c r="J247" s="619">
        <v>0</v>
      </c>
      <c r="K247" s="619">
        <v>0</v>
      </c>
      <c r="L247" s="619">
        <v>0</v>
      </c>
      <c r="M247" s="619">
        <v>0</v>
      </c>
      <c r="N247" s="619">
        <v>0</v>
      </c>
      <c r="O247" s="619">
        <v>0</v>
      </c>
      <c r="P247" s="619">
        <v>0</v>
      </c>
      <c r="Q247" s="619">
        <v>0</v>
      </c>
      <c r="R247" s="619">
        <v>0</v>
      </c>
      <c r="S247" s="498">
        <f t="shared" si="65"/>
        <v>0</v>
      </c>
      <c r="T247" s="620"/>
      <c r="U247" s="657">
        <f t="shared" si="66"/>
        <v>0</v>
      </c>
      <c r="V247" s="690"/>
      <c r="W247" s="690"/>
      <c r="X247" s="713"/>
      <c r="Y247" s="690"/>
      <c r="Z247" s="690"/>
      <c r="AA247" s="657"/>
      <c r="AB247" s="690"/>
      <c r="AC247" s="658"/>
      <c r="AD247" s="659">
        <f t="shared" si="67"/>
        <v>0</v>
      </c>
      <c r="AE247" s="658"/>
      <c r="AF247" s="688">
        <f t="shared" si="62"/>
        <v>0</v>
      </c>
    </row>
    <row r="248" spans="1:32">
      <c r="A248" s="620">
        <v>234</v>
      </c>
      <c r="B248" s="326" t="s">
        <v>977</v>
      </c>
      <c r="C248" s="326" t="s">
        <v>497</v>
      </c>
      <c r="D248" s="326" t="s">
        <v>1171</v>
      </c>
      <c r="E248" s="618" t="s">
        <v>1585</v>
      </c>
      <c r="F248" s="619">
        <v>0</v>
      </c>
      <c r="G248" s="619">
        <v>0</v>
      </c>
      <c r="H248" s="619">
        <v>0</v>
      </c>
      <c r="I248" s="619">
        <v>0</v>
      </c>
      <c r="J248" s="619">
        <v>0</v>
      </c>
      <c r="K248" s="619">
        <v>0</v>
      </c>
      <c r="L248" s="619">
        <v>0</v>
      </c>
      <c r="M248" s="619">
        <v>0</v>
      </c>
      <c r="N248" s="619">
        <v>0</v>
      </c>
      <c r="O248" s="619">
        <v>0</v>
      </c>
      <c r="P248" s="619">
        <v>0</v>
      </c>
      <c r="Q248" s="619">
        <v>0</v>
      </c>
      <c r="R248" s="619">
        <v>0</v>
      </c>
      <c r="S248" s="498">
        <f t="shared" si="65"/>
        <v>0</v>
      </c>
      <c r="T248" s="620"/>
      <c r="U248" s="657">
        <f t="shared" si="66"/>
        <v>0</v>
      </c>
      <c r="V248" s="690"/>
      <c r="W248" s="690"/>
      <c r="X248" s="713"/>
      <c r="Y248" s="690"/>
      <c r="Z248" s="690"/>
      <c r="AA248" s="657"/>
      <c r="AB248" s="690"/>
      <c r="AC248" s="658"/>
      <c r="AD248" s="659">
        <f t="shared" si="67"/>
        <v>0</v>
      </c>
      <c r="AE248" s="658"/>
      <c r="AF248" s="688">
        <f t="shared" si="62"/>
        <v>0</v>
      </c>
    </row>
    <row r="249" spans="1:32">
      <c r="A249" s="620">
        <v>235</v>
      </c>
      <c r="B249" s="326" t="s">
        <v>977</v>
      </c>
      <c r="C249" s="326" t="s">
        <v>497</v>
      </c>
      <c r="D249" s="326" t="s">
        <v>1172</v>
      </c>
      <c r="E249" s="618" t="s">
        <v>1586</v>
      </c>
      <c r="F249" s="619">
        <v>4.5474735088646402E-13</v>
      </c>
      <c r="G249" s="619">
        <v>426.58</v>
      </c>
      <c r="H249" s="619">
        <v>796.45</v>
      </c>
      <c r="I249" s="619">
        <v>-5598.04</v>
      </c>
      <c r="J249" s="619">
        <v>-599.69000000000005</v>
      </c>
      <c r="K249" s="619">
        <v>-212.59</v>
      </c>
      <c r="L249" s="619">
        <v>134.88</v>
      </c>
      <c r="M249" s="619">
        <v>413.89</v>
      </c>
      <c r="N249" s="619">
        <v>-1340.75</v>
      </c>
      <c r="O249" s="619">
        <v>0</v>
      </c>
      <c r="P249" s="619">
        <v>0</v>
      </c>
      <c r="Q249" s="619">
        <v>0</v>
      </c>
      <c r="R249" s="619">
        <v>0</v>
      </c>
      <c r="S249" s="498">
        <f t="shared" si="65"/>
        <v>-498.27250000000004</v>
      </c>
      <c r="T249" s="620"/>
      <c r="U249" s="657">
        <f t="shared" si="66"/>
        <v>-498.27250000000004</v>
      </c>
      <c r="V249" s="690"/>
      <c r="W249" s="690"/>
      <c r="X249" s="713"/>
      <c r="Y249" s="690"/>
      <c r="Z249" s="690"/>
      <c r="AA249" s="657"/>
      <c r="AB249" s="690"/>
      <c r="AC249" s="658"/>
      <c r="AD249" s="659">
        <f t="shared" si="67"/>
        <v>-498.27250000000004</v>
      </c>
      <c r="AE249" s="658"/>
      <c r="AF249" s="688">
        <f t="shared" si="62"/>
        <v>0</v>
      </c>
    </row>
    <row r="250" spans="1:32">
      <c r="A250" s="620">
        <v>236</v>
      </c>
      <c r="B250" s="326" t="s">
        <v>977</v>
      </c>
      <c r="C250" s="326" t="s">
        <v>497</v>
      </c>
      <c r="D250" s="326" t="s">
        <v>403</v>
      </c>
      <c r="E250" s="618" t="s">
        <v>1587</v>
      </c>
      <c r="F250" s="619">
        <v>0</v>
      </c>
      <c r="G250" s="619">
        <v>0</v>
      </c>
      <c r="H250" s="619">
        <v>0</v>
      </c>
      <c r="I250" s="619">
        <v>0</v>
      </c>
      <c r="J250" s="619">
        <v>0</v>
      </c>
      <c r="K250" s="619">
        <v>0</v>
      </c>
      <c r="L250" s="619">
        <v>0</v>
      </c>
      <c r="M250" s="619">
        <v>0</v>
      </c>
      <c r="N250" s="619">
        <v>0</v>
      </c>
      <c r="O250" s="619">
        <v>0</v>
      </c>
      <c r="P250" s="619">
        <v>0</v>
      </c>
      <c r="Q250" s="619">
        <v>0</v>
      </c>
      <c r="R250" s="619">
        <v>0</v>
      </c>
      <c r="S250" s="498">
        <f t="shared" si="65"/>
        <v>0</v>
      </c>
      <c r="T250" s="620"/>
      <c r="U250" s="657">
        <f t="shared" si="66"/>
        <v>0</v>
      </c>
      <c r="V250" s="690"/>
      <c r="W250" s="690"/>
      <c r="X250" s="713"/>
      <c r="Y250" s="690"/>
      <c r="Z250" s="690"/>
      <c r="AA250" s="657"/>
      <c r="AB250" s="690"/>
      <c r="AC250" s="658"/>
      <c r="AD250" s="659">
        <f t="shared" si="67"/>
        <v>0</v>
      </c>
      <c r="AE250" s="658"/>
      <c r="AF250" s="688">
        <f t="shared" si="62"/>
        <v>0</v>
      </c>
    </row>
    <row r="251" spans="1:32">
      <c r="A251" s="620">
        <v>237</v>
      </c>
      <c r="B251" s="326" t="s">
        <v>977</v>
      </c>
      <c r="C251" s="326" t="s">
        <v>497</v>
      </c>
      <c r="D251" s="326" t="s">
        <v>1173</v>
      </c>
      <c r="E251" s="618" t="s">
        <v>1588</v>
      </c>
      <c r="F251" s="619">
        <v>0</v>
      </c>
      <c r="G251" s="619">
        <v>0</v>
      </c>
      <c r="H251" s="619">
        <v>0</v>
      </c>
      <c r="I251" s="619">
        <v>0</v>
      </c>
      <c r="J251" s="619">
        <v>0</v>
      </c>
      <c r="K251" s="619">
        <v>0</v>
      </c>
      <c r="L251" s="619">
        <v>0</v>
      </c>
      <c r="M251" s="619">
        <v>0</v>
      </c>
      <c r="N251" s="619">
        <v>0</v>
      </c>
      <c r="O251" s="619">
        <v>0</v>
      </c>
      <c r="P251" s="619">
        <v>0</v>
      </c>
      <c r="Q251" s="619">
        <v>0</v>
      </c>
      <c r="R251" s="619">
        <v>0</v>
      </c>
      <c r="S251" s="498">
        <f t="shared" si="65"/>
        <v>0</v>
      </c>
      <c r="T251" s="620"/>
      <c r="U251" s="657">
        <f t="shared" si="66"/>
        <v>0</v>
      </c>
      <c r="V251" s="690"/>
      <c r="W251" s="690"/>
      <c r="X251" s="713"/>
      <c r="Y251" s="690"/>
      <c r="Z251" s="690"/>
      <c r="AA251" s="657"/>
      <c r="AB251" s="690"/>
      <c r="AC251" s="658"/>
      <c r="AD251" s="659">
        <f t="shared" si="67"/>
        <v>0</v>
      </c>
      <c r="AE251" s="658"/>
      <c r="AF251" s="688">
        <f t="shared" si="62"/>
        <v>0</v>
      </c>
    </row>
    <row r="252" spans="1:32">
      <c r="A252" s="620">
        <v>238</v>
      </c>
      <c r="B252" s="326" t="s">
        <v>977</v>
      </c>
      <c r="C252" s="326" t="s">
        <v>497</v>
      </c>
      <c r="D252" s="536" t="s">
        <v>565</v>
      </c>
      <c r="E252" s="618" t="s">
        <v>1589</v>
      </c>
      <c r="F252" s="619">
        <v>-4.5474735088646402E-13</v>
      </c>
      <c r="G252" s="619">
        <v>312.62</v>
      </c>
      <c r="H252" s="619">
        <v>752.48</v>
      </c>
      <c r="I252" s="619">
        <v>-1804.39</v>
      </c>
      <c r="J252" s="619">
        <v>-1365.12</v>
      </c>
      <c r="K252" s="619">
        <v>-816.82</v>
      </c>
      <c r="L252" s="619">
        <v>-382.23</v>
      </c>
      <c r="M252" s="619">
        <v>19.440000000000101</v>
      </c>
      <c r="N252" s="619">
        <v>-2387.5100000000002</v>
      </c>
      <c r="O252" s="619">
        <v>0</v>
      </c>
      <c r="P252" s="619">
        <v>0</v>
      </c>
      <c r="Q252" s="619">
        <v>0</v>
      </c>
      <c r="R252" s="619">
        <v>0</v>
      </c>
      <c r="S252" s="498">
        <f t="shared" si="65"/>
        <v>-472.62750000000005</v>
      </c>
      <c r="T252" s="620"/>
      <c r="U252" s="657">
        <f t="shared" si="66"/>
        <v>-472.62750000000005</v>
      </c>
      <c r="V252" s="690"/>
      <c r="W252" s="690"/>
      <c r="X252" s="713"/>
      <c r="Y252" s="690"/>
      <c r="Z252" s="690"/>
      <c r="AA252" s="657"/>
      <c r="AB252" s="690"/>
      <c r="AC252" s="658"/>
      <c r="AD252" s="659">
        <f t="shared" si="67"/>
        <v>-472.62750000000005</v>
      </c>
      <c r="AE252" s="658"/>
      <c r="AF252" s="688">
        <f t="shared" si="62"/>
        <v>0</v>
      </c>
    </row>
    <row r="253" spans="1:32">
      <c r="A253" s="620">
        <v>239</v>
      </c>
      <c r="B253" s="326" t="s">
        <v>977</v>
      </c>
      <c r="C253" s="326" t="s">
        <v>497</v>
      </c>
      <c r="D253" s="326" t="s">
        <v>1174</v>
      </c>
      <c r="E253" s="618" t="s">
        <v>1590</v>
      </c>
      <c r="F253" s="619">
        <v>-2.2737367544323201E-13</v>
      </c>
      <c r="G253" s="619">
        <v>671.92</v>
      </c>
      <c r="H253" s="619">
        <v>754.85</v>
      </c>
      <c r="I253" s="619">
        <v>410.54</v>
      </c>
      <c r="J253" s="619">
        <v>471.8</v>
      </c>
      <c r="K253" s="619">
        <v>533.36</v>
      </c>
      <c r="L253" s="619">
        <v>621.77</v>
      </c>
      <c r="M253" s="619">
        <v>709.98</v>
      </c>
      <c r="N253" s="619">
        <v>310</v>
      </c>
      <c r="O253" s="619">
        <v>0</v>
      </c>
      <c r="P253" s="619">
        <v>0</v>
      </c>
      <c r="Q253" s="619">
        <v>0</v>
      </c>
      <c r="R253" s="619">
        <v>0</v>
      </c>
      <c r="S253" s="498">
        <f t="shared" si="65"/>
        <v>373.685</v>
      </c>
      <c r="T253" s="620"/>
      <c r="U253" s="657">
        <f t="shared" si="66"/>
        <v>373.685</v>
      </c>
      <c r="V253" s="690"/>
      <c r="W253" s="690"/>
      <c r="X253" s="713"/>
      <c r="Y253" s="690"/>
      <c r="Z253" s="690"/>
      <c r="AA253" s="657"/>
      <c r="AB253" s="690"/>
      <c r="AC253" s="658"/>
      <c r="AD253" s="659">
        <f t="shared" si="67"/>
        <v>373.685</v>
      </c>
      <c r="AE253" s="658"/>
      <c r="AF253" s="688">
        <f t="shared" si="62"/>
        <v>0</v>
      </c>
    </row>
    <row r="254" spans="1:32">
      <c r="A254" s="620">
        <v>240</v>
      </c>
      <c r="B254" s="326" t="s">
        <v>977</v>
      </c>
      <c r="C254" s="326" t="s">
        <v>497</v>
      </c>
      <c r="D254" s="326" t="s">
        <v>1175</v>
      </c>
      <c r="E254" s="618" t="s">
        <v>1591</v>
      </c>
      <c r="F254" s="619">
        <v>0</v>
      </c>
      <c r="G254" s="619">
        <v>0</v>
      </c>
      <c r="H254" s="619">
        <v>0</v>
      </c>
      <c r="I254" s="619">
        <v>0</v>
      </c>
      <c r="J254" s="619">
        <v>0</v>
      </c>
      <c r="K254" s="619">
        <v>0</v>
      </c>
      <c r="L254" s="619">
        <v>0</v>
      </c>
      <c r="M254" s="619">
        <v>0</v>
      </c>
      <c r="N254" s="619">
        <v>0</v>
      </c>
      <c r="O254" s="619">
        <v>0</v>
      </c>
      <c r="P254" s="619">
        <v>0</v>
      </c>
      <c r="Q254" s="619">
        <v>0</v>
      </c>
      <c r="R254" s="619">
        <v>0</v>
      </c>
      <c r="S254" s="498">
        <f t="shared" si="65"/>
        <v>0</v>
      </c>
      <c r="T254" s="620"/>
      <c r="U254" s="657">
        <f t="shared" si="66"/>
        <v>0</v>
      </c>
      <c r="V254" s="690"/>
      <c r="W254" s="690"/>
      <c r="X254" s="713"/>
      <c r="Y254" s="690"/>
      <c r="Z254" s="690"/>
      <c r="AA254" s="657"/>
      <c r="AB254" s="690"/>
      <c r="AC254" s="658"/>
      <c r="AD254" s="659">
        <f t="shared" si="67"/>
        <v>0</v>
      </c>
      <c r="AE254" s="658"/>
      <c r="AF254" s="688">
        <f t="shared" si="62"/>
        <v>0</v>
      </c>
    </row>
    <row r="255" spans="1:32">
      <c r="A255" s="620">
        <v>241</v>
      </c>
      <c r="B255" s="326" t="s">
        <v>977</v>
      </c>
      <c r="C255" s="326" t="s">
        <v>497</v>
      </c>
      <c r="D255" s="326" t="s">
        <v>629</v>
      </c>
      <c r="E255" s="618" t="s">
        <v>1592</v>
      </c>
      <c r="F255" s="619">
        <v>0</v>
      </c>
      <c r="G255" s="619">
        <v>85.58</v>
      </c>
      <c r="H255" s="619">
        <v>235.23</v>
      </c>
      <c r="I255" s="619">
        <v>-497.31</v>
      </c>
      <c r="J255" s="619">
        <v>-454.99</v>
      </c>
      <c r="K255" s="619">
        <v>-334.77</v>
      </c>
      <c r="L255" s="619">
        <v>-214.55</v>
      </c>
      <c r="M255" s="619">
        <v>229.36</v>
      </c>
      <c r="N255" s="619">
        <v>-427.14</v>
      </c>
      <c r="O255" s="619">
        <v>0</v>
      </c>
      <c r="P255" s="619">
        <v>0</v>
      </c>
      <c r="Q255" s="619">
        <v>0</v>
      </c>
      <c r="R255" s="619">
        <v>0</v>
      </c>
      <c r="S255" s="498">
        <f t="shared" si="65"/>
        <v>-114.88249999999999</v>
      </c>
      <c r="T255" s="620"/>
      <c r="U255" s="657">
        <f t="shared" si="66"/>
        <v>-114.88249999999999</v>
      </c>
      <c r="V255" s="690"/>
      <c r="W255" s="690"/>
      <c r="X255" s="713"/>
      <c r="Y255" s="690"/>
      <c r="Z255" s="690"/>
      <c r="AA255" s="657"/>
      <c r="AB255" s="690"/>
      <c r="AC255" s="658"/>
      <c r="AD255" s="659">
        <f t="shared" si="67"/>
        <v>-114.88249999999999</v>
      </c>
      <c r="AE255" s="658"/>
      <c r="AF255" s="688">
        <f t="shared" si="62"/>
        <v>0</v>
      </c>
    </row>
    <row r="256" spans="1:32">
      <c r="A256" s="620">
        <v>242</v>
      </c>
      <c r="B256" s="326" t="s">
        <v>977</v>
      </c>
      <c r="C256" s="326" t="s">
        <v>497</v>
      </c>
      <c r="D256" s="326" t="s">
        <v>1154</v>
      </c>
      <c r="E256" s="618" t="s">
        <v>1593</v>
      </c>
      <c r="F256" s="619">
        <v>7.1054273576010003E-15</v>
      </c>
      <c r="G256" s="619">
        <v>3.14</v>
      </c>
      <c r="H256" s="619">
        <v>6.88</v>
      </c>
      <c r="I256" s="619">
        <v>-14.12</v>
      </c>
      <c r="J256" s="619">
        <v>-10.06</v>
      </c>
      <c r="K256" s="619">
        <v>-5.2</v>
      </c>
      <c r="L256" s="619">
        <v>-1.82</v>
      </c>
      <c r="M256" s="619">
        <v>4.78</v>
      </c>
      <c r="N256" s="619">
        <v>-15.34</v>
      </c>
      <c r="O256" s="619">
        <v>0</v>
      </c>
      <c r="P256" s="619">
        <v>0</v>
      </c>
      <c r="Q256" s="619">
        <v>0</v>
      </c>
      <c r="R256" s="619">
        <v>0</v>
      </c>
      <c r="S256" s="498">
        <f t="shared" si="65"/>
        <v>-2.6449999999999996</v>
      </c>
      <c r="T256" s="620"/>
      <c r="U256" s="657">
        <f t="shared" si="66"/>
        <v>-2.6449999999999996</v>
      </c>
      <c r="V256" s="690"/>
      <c r="W256" s="690"/>
      <c r="X256" s="713"/>
      <c r="Y256" s="690"/>
      <c r="Z256" s="690"/>
      <c r="AA256" s="657"/>
      <c r="AB256" s="690"/>
      <c r="AC256" s="658"/>
      <c r="AD256" s="659">
        <f t="shared" si="67"/>
        <v>-2.6449999999999996</v>
      </c>
      <c r="AE256" s="658"/>
      <c r="AF256" s="688">
        <f t="shared" si="62"/>
        <v>0</v>
      </c>
    </row>
    <row r="257" spans="1:32">
      <c r="A257" s="620">
        <v>243</v>
      </c>
      <c r="B257" s="326" t="s">
        <v>977</v>
      </c>
      <c r="C257" s="326" t="s">
        <v>497</v>
      </c>
      <c r="D257" s="620" t="s">
        <v>1176</v>
      </c>
      <c r="E257" s="618" t="s">
        <v>1594</v>
      </c>
      <c r="F257" s="619">
        <v>0</v>
      </c>
      <c r="G257" s="619">
        <v>6104.55</v>
      </c>
      <c r="H257" s="619">
        <v>5604.67</v>
      </c>
      <c r="I257" s="619">
        <v>5082.45</v>
      </c>
      <c r="J257" s="619">
        <v>4537.05</v>
      </c>
      <c r="K257" s="619">
        <v>3972.45</v>
      </c>
      <c r="L257" s="619">
        <v>3481.2</v>
      </c>
      <c r="M257" s="619">
        <v>2907.75</v>
      </c>
      <c r="N257" s="619">
        <v>2358.4499999999998</v>
      </c>
      <c r="O257" s="619">
        <v>0</v>
      </c>
      <c r="P257" s="619">
        <v>0</v>
      </c>
      <c r="Q257" s="619">
        <v>0</v>
      </c>
      <c r="R257" s="619">
        <v>0</v>
      </c>
      <c r="S257" s="498">
        <f t="shared" si="65"/>
        <v>2837.3808333333332</v>
      </c>
      <c r="T257" s="620"/>
      <c r="U257" s="657">
        <f t="shared" si="66"/>
        <v>2837.3808333333332</v>
      </c>
      <c r="V257" s="690"/>
      <c r="W257" s="690"/>
      <c r="X257" s="713"/>
      <c r="Y257" s="690"/>
      <c r="Z257" s="690"/>
      <c r="AA257" s="657"/>
      <c r="AB257" s="690"/>
      <c r="AC257" s="658"/>
      <c r="AD257" s="659">
        <f t="shared" si="67"/>
        <v>2837.3808333333332</v>
      </c>
      <c r="AE257" s="658"/>
      <c r="AF257" s="688">
        <f t="shared" si="62"/>
        <v>0</v>
      </c>
    </row>
    <row r="258" spans="1:32">
      <c r="A258" s="620">
        <v>244</v>
      </c>
      <c r="B258" s="326" t="s">
        <v>977</v>
      </c>
      <c r="C258" s="326" t="s">
        <v>497</v>
      </c>
      <c r="D258" s="326" t="s">
        <v>1177</v>
      </c>
      <c r="E258" s="618" t="s">
        <v>1595</v>
      </c>
      <c r="F258" s="619">
        <v>6.8212102632969598E-13</v>
      </c>
      <c r="G258" s="619">
        <v>-398.3</v>
      </c>
      <c r="H258" s="619">
        <v>-422.39</v>
      </c>
      <c r="I258" s="619">
        <v>-1355.93</v>
      </c>
      <c r="J258" s="619">
        <v>-1558.94</v>
      </c>
      <c r="K258" s="619">
        <v>-1668.52</v>
      </c>
      <c r="L258" s="619">
        <v>-1466.89</v>
      </c>
      <c r="M258" s="619">
        <v>-1577.53</v>
      </c>
      <c r="N258" s="619">
        <v>-2260.04</v>
      </c>
      <c r="O258" s="619">
        <v>0</v>
      </c>
      <c r="P258" s="619">
        <v>0</v>
      </c>
      <c r="Q258" s="619">
        <v>0</v>
      </c>
      <c r="R258" s="619">
        <v>0</v>
      </c>
      <c r="S258" s="498">
        <f t="shared" si="65"/>
        <v>-892.37833333333344</v>
      </c>
      <c r="T258" s="620"/>
      <c r="U258" s="657">
        <f t="shared" si="66"/>
        <v>-892.37833333333344</v>
      </c>
      <c r="V258" s="690"/>
      <c r="W258" s="690"/>
      <c r="X258" s="713"/>
      <c r="Y258" s="690"/>
      <c r="Z258" s="690"/>
      <c r="AA258" s="657"/>
      <c r="AB258" s="690"/>
      <c r="AC258" s="658"/>
      <c r="AD258" s="659">
        <f t="shared" si="67"/>
        <v>-892.37833333333344</v>
      </c>
      <c r="AE258" s="658"/>
      <c r="AF258" s="688">
        <f t="shared" si="62"/>
        <v>0</v>
      </c>
    </row>
    <row r="259" spans="1:32">
      <c r="A259" s="620">
        <v>245</v>
      </c>
      <c r="B259" s="326" t="s">
        <v>977</v>
      </c>
      <c r="C259" s="326" t="s">
        <v>497</v>
      </c>
      <c r="D259" s="326" t="s">
        <v>1178</v>
      </c>
      <c r="E259" s="618" t="s">
        <v>1596</v>
      </c>
      <c r="F259" s="619">
        <v>-9.0949470177292804E-13</v>
      </c>
      <c r="G259" s="619">
        <v>0</v>
      </c>
      <c r="H259" s="619">
        <v>0</v>
      </c>
      <c r="I259" s="619">
        <v>0</v>
      </c>
      <c r="J259" s="619">
        <v>0</v>
      </c>
      <c r="K259" s="619">
        <v>0</v>
      </c>
      <c r="L259" s="619">
        <v>0</v>
      </c>
      <c r="M259" s="619">
        <v>0</v>
      </c>
      <c r="N259" s="619">
        <v>0</v>
      </c>
      <c r="O259" s="619">
        <v>0</v>
      </c>
      <c r="P259" s="619">
        <v>0</v>
      </c>
      <c r="Q259" s="619">
        <v>0</v>
      </c>
      <c r="R259" s="619">
        <v>0</v>
      </c>
      <c r="S259" s="498">
        <f t="shared" si="65"/>
        <v>-3.7895612573872001E-14</v>
      </c>
      <c r="T259" s="620"/>
      <c r="U259" s="657">
        <f t="shared" si="66"/>
        <v>-3.7895612573872001E-14</v>
      </c>
      <c r="V259" s="690"/>
      <c r="W259" s="690"/>
      <c r="X259" s="713"/>
      <c r="Y259" s="690"/>
      <c r="Z259" s="690"/>
      <c r="AA259" s="657"/>
      <c r="AB259" s="690"/>
      <c r="AC259" s="658"/>
      <c r="AD259" s="659">
        <f t="shared" si="67"/>
        <v>-3.7895612573872001E-14</v>
      </c>
      <c r="AE259" s="658"/>
      <c r="AF259" s="688">
        <f t="shared" si="62"/>
        <v>0</v>
      </c>
    </row>
    <row r="260" spans="1:32">
      <c r="A260" s="620">
        <v>246</v>
      </c>
      <c r="B260" s="326" t="s">
        <v>977</v>
      </c>
      <c r="C260" s="326" t="s">
        <v>497</v>
      </c>
      <c r="D260" s="326" t="s">
        <v>1179</v>
      </c>
      <c r="E260" s="618" t="s">
        <v>1597</v>
      </c>
      <c r="F260" s="619">
        <v>4.5474735088646402E-13</v>
      </c>
      <c r="G260" s="619">
        <v>0</v>
      </c>
      <c r="H260" s="619">
        <v>0</v>
      </c>
      <c r="I260" s="619">
        <v>0</v>
      </c>
      <c r="J260" s="619">
        <v>0</v>
      </c>
      <c r="K260" s="619">
        <v>0</v>
      </c>
      <c r="L260" s="619">
        <v>0</v>
      </c>
      <c r="M260" s="619">
        <v>0</v>
      </c>
      <c r="N260" s="619">
        <v>0</v>
      </c>
      <c r="O260" s="619">
        <v>0</v>
      </c>
      <c r="P260" s="619">
        <v>0</v>
      </c>
      <c r="Q260" s="619">
        <v>0</v>
      </c>
      <c r="R260" s="619">
        <v>0</v>
      </c>
      <c r="S260" s="498">
        <f t="shared" si="65"/>
        <v>1.8947806286936001E-14</v>
      </c>
      <c r="T260" s="620"/>
      <c r="U260" s="657">
        <f t="shared" si="66"/>
        <v>1.8947806286936001E-14</v>
      </c>
      <c r="V260" s="690"/>
      <c r="W260" s="690"/>
      <c r="X260" s="713"/>
      <c r="Y260" s="690"/>
      <c r="Z260" s="690"/>
      <c r="AA260" s="657"/>
      <c r="AB260" s="690"/>
      <c r="AC260" s="658"/>
      <c r="AD260" s="659">
        <f t="shared" si="67"/>
        <v>1.8947806286936001E-14</v>
      </c>
      <c r="AE260" s="658"/>
      <c r="AF260" s="688">
        <f t="shared" si="62"/>
        <v>0</v>
      </c>
    </row>
    <row r="261" spans="1:32">
      <c r="A261" s="620">
        <v>247</v>
      </c>
      <c r="B261" s="326" t="s">
        <v>977</v>
      </c>
      <c r="C261" s="326" t="s">
        <v>497</v>
      </c>
      <c r="D261" s="326" t="s">
        <v>83</v>
      </c>
      <c r="E261" s="618" t="s">
        <v>1598</v>
      </c>
      <c r="F261" s="619">
        <v>0</v>
      </c>
      <c r="G261" s="619">
        <v>4116.9799999999996</v>
      </c>
      <c r="H261" s="619">
        <v>-2315.9699999999998</v>
      </c>
      <c r="I261" s="619">
        <v>-4.5474735088646402E-13</v>
      </c>
      <c r="J261" s="619">
        <v>-10113.19</v>
      </c>
      <c r="K261" s="619">
        <v>-14300.5</v>
      </c>
      <c r="L261" s="619">
        <v>7798.35</v>
      </c>
      <c r="M261" s="619">
        <v>-21758.93</v>
      </c>
      <c r="N261" s="619">
        <v>-25615.66</v>
      </c>
      <c r="O261" s="619">
        <v>0</v>
      </c>
      <c r="P261" s="619">
        <v>0</v>
      </c>
      <c r="Q261" s="619">
        <v>0</v>
      </c>
      <c r="R261" s="619">
        <v>0</v>
      </c>
      <c r="S261" s="498">
        <f t="shared" si="65"/>
        <v>-5182.41</v>
      </c>
      <c r="T261" s="620"/>
      <c r="U261" s="657">
        <f t="shared" si="66"/>
        <v>-5182.41</v>
      </c>
      <c r="V261" s="690"/>
      <c r="W261" s="690"/>
      <c r="X261" s="713"/>
      <c r="Y261" s="690"/>
      <c r="Z261" s="690"/>
      <c r="AA261" s="657"/>
      <c r="AB261" s="690"/>
      <c r="AC261" s="658"/>
      <c r="AD261" s="659">
        <f t="shared" si="67"/>
        <v>-5182.41</v>
      </c>
      <c r="AE261" s="658"/>
      <c r="AF261" s="688">
        <f t="shared" si="62"/>
        <v>0</v>
      </c>
    </row>
    <row r="262" spans="1:32">
      <c r="A262" s="620">
        <v>248</v>
      </c>
      <c r="B262" s="326" t="s">
        <v>977</v>
      </c>
      <c r="C262" s="326" t="s">
        <v>497</v>
      </c>
      <c r="D262" s="326" t="s">
        <v>1180</v>
      </c>
      <c r="E262" s="618" t="s">
        <v>1599</v>
      </c>
      <c r="F262" s="619">
        <v>-1.13686837721616E-13</v>
      </c>
      <c r="G262" s="619">
        <v>-1230.52</v>
      </c>
      <c r="H262" s="619">
        <v>-1472.64</v>
      </c>
      <c r="I262" s="619">
        <v>2.2737367544323201E-13</v>
      </c>
      <c r="J262" s="619">
        <v>-2052</v>
      </c>
      <c r="K262" s="619">
        <v>-2318.9699999999998</v>
      </c>
      <c r="L262" s="619">
        <v>-4.5474735088646402E-13</v>
      </c>
      <c r="M262" s="619">
        <v>-2083.14</v>
      </c>
      <c r="N262" s="619">
        <v>-679.34</v>
      </c>
      <c r="O262" s="619">
        <v>0</v>
      </c>
      <c r="P262" s="619">
        <v>0</v>
      </c>
      <c r="Q262" s="619">
        <v>0</v>
      </c>
      <c r="R262" s="619">
        <v>0</v>
      </c>
      <c r="S262" s="498">
        <f t="shared" si="65"/>
        <v>-819.71749999999986</v>
      </c>
      <c r="T262" s="620"/>
      <c r="U262" s="657">
        <f t="shared" si="66"/>
        <v>-819.71749999999986</v>
      </c>
      <c r="V262" s="690"/>
      <c r="W262" s="690"/>
      <c r="X262" s="713"/>
      <c r="Y262" s="690"/>
      <c r="Z262" s="690"/>
      <c r="AA262" s="657"/>
      <c r="AB262" s="690"/>
      <c r="AC262" s="658"/>
      <c r="AD262" s="659">
        <f t="shared" si="67"/>
        <v>-819.71749999999986</v>
      </c>
      <c r="AE262" s="658"/>
      <c r="AF262" s="688">
        <f t="shared" si="62"/>
        <v>0</v>
      </c>
    </row>
    <row r="263" spans="1:32">
      <c r="A263" s="620">
        <v>249</v>
      </c>
      <c r="B263" s="326" t="s">
        <v>977</v>
      </c>
      <c r="C263" s="326" t="s">
        <v>497</v>
      </c>
      <c r="D263" s="326" t="s">
        <v>106</v>
      </c>
      <c r="E263" s="618" t="s">
        <v>1600</v>
      </c>
      <c r="F263" s="619">
        <v>-7.2759576141834308E-12</v>
      </c>
      <c r="G263" s="619">
        <v>-92131.38</v>
      </c>
      <c r="H263" s="619">
        <v>-53843.67</v>
      </c>
      <c r="I263" s="619">
        <v>-7.2759576141834308E-12</v>
      </c>
      <c r="J263" s="619">
        <v>-102204.33</v>
      </c>
      <c r="K263" s="619">
        <v>-126429.75</v>
      </c>
      <c r="L263" s="619">
        <v>-1.45519152283669E-11</v>
      </c>
      <c r="M263" s="619">
        <v>-169913.37</v>
      </c>
      <c r="N263" s="619">
        <v>-60958.080000000002</v>
      </c>
      <c r="O263" s="619">
        <v>0</v>
      </c>
      <c r="P263" s="619">
        <v>0</v>
      </c>
      <c r="Q263" s="619">
        <v>0</v>
      </c>
      <c r="R263" s="619">
        <v>0</v>
      </c>
      <c r="S263" s="498">
        <f t="shared" si="65"/>
        <v>-50456.714999999997</v>
      </c>
      <c r="T263" s="620"/>
      <c r="U263" s="657">
        <f t="shared" si="66"/>
        <v>-50456.714999999997</v>
      </c>
      <c r="V263" s="690"/>
      <c r="W263" s="690"/>
      <c r="X263" s="713"/>
      <c r="Y263" s="690"/>
      <c r="Z263" s="690"/>
      <c r="AA263" s="657"/>
      <c r="AB263" s="690"/>
      <c r="AC263" s="658"/>
      <c r="AD263" s="659">
        <f t="shared" si="67"/>
        <v>-50456.714999999997</v>
      </c>
      <c r="AE263" s="658"/>
      <c r="AF263" s="688">
        <f t="shared" si="62"/>
        <v>0</v>
      </c>
    </row>
    <row r="264" spans="1:32">
      <c r="A264" s="620">
        <v>250</v>
      </c>
      <c r="B264" s="326" t="s">
        <v>380</v>
      </c>
      <c r="C264" s="326" t="s">
        <v>498</v>
      </c>
      <c r="D264" s="326" t="s">
        <v>380</v>
      </c>
      <c r="E264" s="618" t="s">
        <v>499</v>
      </c>
      <c r="F264" s="619">
        <v>59785.299999999981</v>
      </c>
      <c r="G264" s="619">
        <v>195023.09</v>
      </c>
      <c r="H264" s="619">
        <v>258706.77999999997</v>
      </c>
      <c r="I264" s="619">
        <v>238227.15999999997</v>
      </c>
      <c r="J264" s="619">
        <v>252352.69000000006</v>
      </c>
      <c r="K264" s="619">
        <v>256575.24000000002</v>
      </c>
      <c r="L264" s="619">
        <v>220507.31000000006</v>
      </c>
      <c r="M264" s="619">
        <v>199340.86</v>
      </c>
      <c r="N264" s="619">
        <v>181707.04</v>
      </c>
      <c r="O264" s="619">
        <v>160999.45000000001</v>
      </c>
      <c r="P264" s="619">
        <v>117782.74</v>
      </c>
      <c r="Q264" s="619">
        <v>105294.82</v>
      </c>
      <c r="R264" s="619">
        <v>45130.430000000102</v>
      </c>
      <c r="S264" s="498">
        <f t="shared" si="65"/>
        <v>186581.25375000003</v>
      </c>
      <c r="T264" s="620"/>
      <c r="U264" s="657">
        <f t="shared" si="66"/>
        <v>186581.25375000003</v>
      </c>
      <c r="V264" s="690"/>
      <c r="W264" s="690"/>
      <c r="X264" s="713"/>
      <c r="Y264" s="690"/>
      <c r="Z264" s="690"/>
      <c r="AA264" s="657"/>
      <c r="AB264" s="665"/>
      <c r="AC264" s="658"/>
      <c r="AD264" s="657">
        <f>+S264</f>
        <v>186581.25375000003</v>
      </c>
      <c r="AE264" s="658"/>
      <c r="AF264" s="688">
        <f t="shared" si="62"/>
        <v>0</v>
      </c>
    </row>
    <row r="265" spans="1:32">
      <c r="A265" s="620">
        <v>251</v>
      </c>
      <c r="B265" s="326" t="s">
        <v>1874</v>
      </c>
      <c r="C265" s="326" t="s">
        <v>497</v>
      </c>
      <c r="D265" s="326" t="s">
        <v>458</v>
      </c>
      <c r="E265" s="618" t="s">
        <v>1900</v>
      </c>
      <c r="F265" s="619">
        <v>0</v>
      </c>
      <c r="G265" s="619">
        <v>0</v>
      </c>
      <c r="H265" s="619">
        <v>0</v>
      </c>
      <c r="I265" s="619">
        <v>0</v>
      </c>
      <c r="J265" s="619">
        <v>0</v>
      </c>
      <c r="K265" s="619">
        <v>0</v>
      </c>
      <c r="L265" s="619">
        <v>0</v>
      </c>
      <c r="M265" s="619">
        <v>0</v>
      </c>
      <c r="N265" s="619">
        <v>0</v>
      </c>
      <c r="O265" s="619">
        <v>-160999.45000000001</v>
      </c>
      <c r="P265" s="619">
        <v>-117782.74</v>
      </c>
      <c r="Q265" s="619">
        <v>-95326.51</v>
      </c>
      <c r="R265" s="619">
        <v>-45130.43</v>
      </c>
      <c r="S265" s="498">
        <f t="shared" si="65"/>
        <v>-33056.159583333334</v>
      </c>
      <c r="T265" s="620"/>
      <c r="U265" s="657">
        <f>+S265</f>
        <v>-33056.159583333334</v>
      </c>
      <c r="V265" s="690"/>
      <c r="W265" s="690"/>
      <c r="X265" s="713"/>
      <c r="Y265" s="690"/>
      <c r="Z265" s="690"/>
      <c r="AA265" s="657"/>
      <c r="AB265" s="665"/>
      <c r="AC265" s="658"/>
      <c r="AD265" s="657">
        <f>+S265</f>
        <v>-33056.159583333334</v>
      </c>
      <c r="AE265" s="658"/>
      <c r="AF265" s="688">
        <f t="shared" si="62"/>
        <v>0</v>
      </c>
    </row>
    <row r="266" spans="1:32">
      <c r="A266" s="620">
        <v>252</v>
      </c>
      <c r="B266" s="326" t="s">
        <v>977</v>
      </c>
      <c r="C266" s="326" t="s">
        <v>457</v>
      </c>
      <c r="D266" s="326" t="s">
        <v>1182</v>
      </c>
      <c r="E266" s="618" t="s">
        <v>1601</v>
      </c>
      <c r="F266" s="619">
        <v>2988574.1</v>
      </c>
      <c r="G266" s="619">
        <v>2999372.95</v>
      </c>
      <c r="H266" s="619">
        <v>3011015.48</v>
      </c>
      <c r="I266" s="619">
        <v>3022552.53</v>
      </c>
      <c r="J266" s="619">
        <v>3033980.26</v>
      </c>
      <c r="K266" s="619">
        <v>3024547.99</v>
      </c>
      <c r="L266" s="619">
        <v>3030781.91</v>
      </c>
      <c r="M266" s="619">
        <v>3038151.27</v>
      </c>
      <c r="N266" s="619">
        <v>3045619.03</v>
      </c>
      <c r="O266" s="619">
        <v>3051406.69</v>
      </c>
      <c r="P266" s="619">
        <v>3058727.65</v>
      </c>
      <c r="Q266" s="619">
        <v>3066186.65</v>
      </c>
      <c r="R266" s="619">
        <v>4478392.82</v>
      </c>
      <c r="S266" s="498">
        <f t="shared" si="65"/>
        <v>3092985.4891666663</v>
      </c>
      <c r="T266" s="620"/>
      <c r="U266" s="657">
        <f t="shared" si="66"/>
        <v>3092985.4891666663</v>
      </c>
      <c r="V266" s="690"/>
      <c r="W266" s="690"/>
      <c r="X266" s="713"/>
      <c r="Y266" s="690"/>
      <c r="Z266" s="690"/>
      <c r="AA266" s="657"/>
      <c r="AB266" s="690"/>
      <c r="AC266" s="658"/>
      <c r="AD266" s="659">
        <f>+U266</f>
        <v>3092985.4891666663</v>
      </c>
      <c r="AE266" s="658"/>
      <c r="AF266" s="688">
        <f t="shared" si="62"/>
        <v>0</v>
      </c>
    </row>
    <row r="267" spans="1:32">
      <c r="A267" s="620">
        <v>253</v>
      </c>
      <c r="B267" s="326" t="s">
        <v>1874</v>
      </c>
      <c r="C267" s="326" t="s">
        <v>457</v>
      </c>
      <c r="D267" s="326" t="s">
        <v>1881</v>
      </c>
      <c r="E267" s="618" t="s">
        <v>1612</v>
      </c>
      <c r="F267" s="619">
        <v>0</v>
      </c>
      <c r="G267" s="619">
        <v>-137402.29999999999</v>
      </c>
      <c r="H267" s="619">
        <v>-123637.95</v>
      </c>
      <c r="I267" s="619">
        <v>-108044.38</v>
      </c>
      <c r="J267" s="619">
        <v>-352090.88</v>
      </c>
      <c r="K267" s="619">
        <v>-348666.74</v>
      </c>
      <c r="L267" s="619">
        <v>-346007.64</v>
      </c>
      <c r="M267" s="619">
        <v>-344212.35</v>
      </c>
      <c r="N267" s="619">
        <v>-342762.33</v>
      </c>
      <c r="O267" s="619">
        <v>-341265.44</v>
      </c>
      <c r="P267" s="619">
        <v>-342273.78</v>
      </c>
      <c r="Q267" s="619">
        <v>-331106.38</v>
      </c>
      <c r="R267" s="619">
        <v>-313349.98</v>
      </c>
      <c r="S267" s="498">
        <f t="shared" si="65"/>
        <v>-272845.43</v>
      </c>
      <c r="T267" s="620"/>
      <c r="U267" s="657">
        <f>+S267</f>
        <v>-272845.43</v>
      </c>
      <c r="V267" s="690"/>
      <c r="W267" s="690"/>
      <c r="X267" s="713"/>
      <c r="Y267" s="690"/>
      <c r="Z267" s="690"/>
      <c r="AA267" s="657"/>
      <c r="AB267" s="690"/>
      <c r="AC267" s="658"/>
      <c r="AD267" s="659">
        <f>+S267</f>
        <v>-272845.43</v>
      </c>
      <c r="AE267" s="658"/>
      <c r="AF267" s="688"/>
    </row>
    <row r="268" spans="1:32">
      <c r="A268" s="620">
        <v>254</v>
      </c>
      <c r="B268" s="326" t="s">
        <v>1005</v>
      </c>
      <c r="C268" s="326" t="s">
        <v>457</v>
      </c>
      <c r="D268" s="326" t="s">
        <v>1183</v>
      </c>
      <c r="E268" s="618" t="s">
        <v>1602</v>
      </c>
      <c r="F268" s="619">
        <v>29758.74</v>
      </c>
      <c r="G268" s="619">
        <v>23022.73</v>
      </c>
      <c r="H268" s="619">
        <v>16764.68</v>
      </c>
      <c r="I268" s="619">
        <v>9674.23</v>
      </c>
      <c r="J268" s="619">
        <v>4858.92</v>
      </c>
      <c r="K268" s="619">
        <v>2389.2399999999998</v>
      </c>
      <c r="L268" s="619">
        <v>727.03000000000304</v>
      </c>
      <c r="M268" s="619">
        <v>-384.97999999999701</v>
      </c>
      <c r="N268" s="619">
        <v>-1292.25</v>
      </c>
      <c r="O268" s="619">
        <v>-2209.6</v>
      </c>
      <c r="P268" s="619">
        <v>-4708.13</v>
      </c>
      <c r="Q268" s="619">
        <v>62756.39</v>
      </c>
      <c r="R268" s="619">
        <v>52817.54</v>
      </c>
      <c r="S268" s="498">
        <f t="shared" si="65"/>
        <v>12740.533333333335</v>
      </c>
      <c r="T268" s="620"/>
      <c r="U268" s="657"/>
      <c r="V268" s="690"/>
      <c r="W268" s="690"/>
      <c r="X268" s="713">
        <f>+S268</f>
        <v>12740.533333333335</v>
      </c>
      <c r="Y268" s="690"/>
      <c r="Z268" s="690"/>
      <c r="AA268" s="657"/>
      <c r="AB268" s="690">
        <f>+S268</f>
        <v>12740.533333333335</v>
      </c>
      <c r="AC268" s="658"/>
      <c r="AD268" s="659"/>
      <c r="AE268" s="658"/>
      <c r="AF268" s="688">
        <f t="shared" si="62"/>
        <v>0</v>
      </c>
    </row>
    <row r="269" spans="1:32">
      <c r="A269" s="620">
        <v>255</v>
      </c>
      <c r="B269" s="326" t="s">
        <v>1005</v>
      </c>
      <c r="C269" s="326" t="s">
        <v>457</v>
      </c>
      <c r="D269" s="326" t="s">
        <v>1184</v>
      </c>
      <c r="E269" s="618" t="s">
        <v>1603</v>
      </c>
      <c r="F269" s="619">
        <v>2049.1300000000101</v>
      </c>
      <c r="G269" s="619">
        <v>41561.81</v>
      </c>
      <c r="H269" s="619">
        <v>41794.050000000003</v>
      </c>
      <c r="I269" s="619">
        <v>42052.61</v>
      </c>
      <c r="J269" s="619">
        <v>69691.89</v>
      </c>
      <c r="K269" s="619">
        <v>70122.2</v>
      </c>
      <c r="L269" s="619">
        <v>70541.2</v>
      </c>
      <c r="M269" s="619">
        <v>70976.759999999995</v>
      </c>
      <c r="N269" s="619">
        <v>71415.009999999995</v>
      </c>
      <c r="O269" s="619">
        <v>71841.740000000005</v>
      </c>
      <c r="P269" s="619">
        <v>72285.33</v>
      </c>
      <c r="Q269" s="619">
        <v>9.9999999656574801E-3</v>
      </c>
      <c r="R269" s="619">
        <v>9.9999999656574801E-3</v>
      </c>
      <c r="S269" s="498">
        <f t="shared" si="65"/>
        <v>51942.264999999992</v>
      </c>
      <c r="T269" s="620"/>
      <c r="U269" s="657"/>
      <c r="V269" s="690"/>
      <c r="W269" s="690"/>
      <c r="X269" s="713">
        <f t="shared" ref="X269:X270" si="70">+S269</f>
        <v>51942.264999999992</v>
      </c>
      <c r="Y269" s="690"/>
      <c r="Z269" s="690"/>
      <c r="AA269" s="657"/>
      <c r="AB269" s="690">
        <f t="shared" ref="AB269:AB270" si="71">+S269</f>
        <v>51942.264999999992</v>
      </c>
      <c r="AC269" s="658"/>
      <c r="AD269" s="659"/>
      <c r="AE269" s="658"/>
      <c r="AF269" s="688">
        <f t="shared" si="62"/>
        <v>0</v>
      </c>
    </row>
    <row r="270" spans="1:32">
      <c r="A270" s="620">
        <v>256</v>
      </c>
      <c r="B270" s="326" t="s">
        <v>1005</v>
      </c>
      <c r="C270" s="326" t="s">
        <v>457</v>
      </c>
      <c r="D270" s="326" t="s">
        <v>1185</v>
      </c>
      <c r="E270" s="618" t="s">
        <v>1604</v>
      </c>
      <c r="F270" s="619">
        <v>3298.72</v>
      </c>
      <c r="G270" s="619">
        <v>3003.91</v>
      </c>
      <c r="H270" s="619">
        <v>2728.69</v>
      </c>
      <c r="I270" s="619">
        <v>2421.64</v>
      </c>
      <c r="J270" s="619">
        <v>2168.15</v>
      </c>
      <c r="K270" s="619">
        <v>1888.57</v>
      </c>
      <c r="L270" s="619">
        <v>1614.24</v>
      </c>
      <c r="M270" s="619">
        <v>1342.88</v>
      </c>
      <c r="N270" s="619">
        <v>1077.1600000000001</v>
      </c>
      <c r="O270" s="619">
        <v>809.57</v>
      </c>
      <c r="P270" s="619">
        <v>465.23</v>
      </c>
      <c r="Q270" s="619">
        <v>39036.43</v>
      </c>
      <c r="R270" s="619">
        <v>34796.76</v>
      </c>
      <c r="S270" s="498">
        <f t="shared" si="65"/>
        <v>6300.3508333333339</v>
      </c>
      <c r="T270" s="620"/>
      <c r="U270" s="657"/>
      <c r="V270" s="690"/>
      <c r="W270" s="690"/>
      <c r="X270" s="713">
        <f t="shared" si="70"/>
        <v>6300.3508333333339</v>
      </c>
      <c r="Y270" s="690"/>
      <c r="Z270" s="690"/>
      <c r="AA270" s="657"/>
      <c r="AB270" s="690">
        <f t="shared" si="71"/>
        <v>6300.3508333333339</v>
      </c>
      <c r="AC270" s="658"/>
      <c r="AD270" s="659"/>
      <c r="AE270" s="658"/>
      <c r="AF270" s="688">
        <f t="shared" si="62"/>
        <v>0</v>
      </c>
    </row>
    <row r="271" spans="1:32">
      <c r="A271" s="620">
        <v>257</v>
      </c>
      <c r="B271" s="326" t="s">
        <v>1005</v>
      </c>
      <c r="C271" s="326" t="s">
        <v>457</v>
      </c>
      <c r="D271" s="326" t="s">
        <v>1186</v>
      </c>
      <c r="E271" s="618" t="s">
        <v>1603</v>
      </c>
      <c r="F271" s="619">
        <v>7060.75</v>
      </c>
      <c r="G271" s="619">
        <v>7104.43</v>
      </c>
      <c r="H271" s="619">
        <v>7144.13</v>
      </c>
      <c r="I271" s="619">
        <v>7188.33</v>
      </c>
      <c r="J271" s="619">
        <v>40840.54</v>
      </c>
      <c r="K271" s="619">
        <v>41092.71</v>
      </c>
      <c r="L271" s="619">
        <v>41338.25</v>
      </c>
      <c r="M271" s="619">
        <v>41593.49</v>
      </c>
      <c r="N271" s="619">
        <v>41850.31</v>
      </c>
      <c r="O271" s="619">
        <v>42100.38</v>
      </c>
      <c r="P271" s="619">
        <v>47546.63</v>
      </c>
      <c r="Q271" s="619">
        <v>5217.29</v>
      </c>
      <c r="R271" s="619">
        <v>5249.5</v>
      </c>
      <c r="S271" s="498">
        <f t="shared" si="65"/>
        <v>27430.967916666665</v>
      </c>
      <c r="T271" s="620"/>
      <c r="U271" s="661"/>
      <c r="V271" s="690"/>
      <c r="W271" s="690"/>
      <c r="X271" s="713">
        <f>+S271</f>
        <v>27430.967916666665</v>
      </c>
      <c r="Y271" s="690"/>
      <c r="Z271" s="690"/>
      <c r="AA271" s="657"/>
      <c r="AB271" s="665">
        <f>+S271</f>
        <v>27430.967916666665</v>
      </c>
      <c r="AC271" s="658"/>
      <c r="AD271" s="657"/>
      <c r="AE271" s="658"/>
      <c r="AF271" s="688">
        <f t="shared" si="62"/>
        <v>0</v>
      </c>
    </row>
    <row r="272" spans="1:32">
      <c r="A272" s="620">
        <v>258</v>
      </c>
      <c r="B272" s="326" t="s">
        <v>980</v>
      </c>
      <c r="C272" s="326" t="s">
        <v>457</v>
      </c>
      <c r="D272" s="326" t="s">
        <v>1187</v>
      </c>
      <c r="E272" s="618" t="s">
        <v>1607</v>
      </c>
      <c r="F272" s="619">
        <v>14082715.25</v>
      </c>
      <c r="G272" s="619">
        <v>14082715.25</v>
      </c>
      <c r="H272" s="619">
        <v>14117014.77</v>
      </c>
      <c r="I272" s="619">
        <v>14103400.560000001</v>
      </c>
      <c r="J272" s="619">
        <v>13142221.01</v>
      </c>
      <c r="K272" s="619">
        <v>13168075.51</v>
      </c>
      <c r="L272" s="619">
        <v>13174573.15</v>
      </c>
      <c r="M272" s="619">
        <v>13175998.15</v>
      </c>
      <c r="N272" s="619">
        <v>12807390.439999999</v>
      </c>
      <c r="O272" s="619">
        <v>12850165.449999999</v>
      </c>
      <c r="P272" s="619">
        <v>12853231.449999999</v>
      </c>
      <c r="Q272" s="619">
        <v>12853380.32</v>
      </c>
      <c r="R272" s="619">
        <v>12592136.48</v>
      </c>
      <c r="S272" s="498">
        <f t="shared" si="65"/>
        <v>13305465.99375</v>
      </c>
      <c r="T272" s="620"/>
      <c r="U272" s="661">
        <f>+S272</f>
        <v>13305465.99375</v>
      </c>
      <c r="V272" s="690"/>
      <c r="W272" s="690"/>
      <c r="X272" s="713"/>
      <c r="Y272" s="690"/>
      <c r="Z272" s="690"/>
      <c r="AA272" s="657"/>
      <c r="AB272" s="665"/>
      <c r="AC272" s="658"/>
      <c r="AD272" s="657">
        <f>+S272</f>
        <v>13305465.99375</v>
      </c>
      <c r="AE272" s="658"/>
      <c r="AF272" s="688">
        <f t="shared" si="62"/>
        <v>0</v>
      </c>
    </row>
    <row r="273" spans="1:32">
      <c r="A273" s="620">
        <v>259</v>
      </c>
      <c r="B273" s="326" t="s">
        <v>980</v>
      </c>
      <c r="C273" s="326" t="s">
        <v>457</v>
      </c>
      <c r="D273" s="326" t="s">
        <v>1419</v>
      </c>
      <c r="E273" s="618" t="s">
        <v>1608</v>
      </c>
      <c r="F273" s="619">
        <v>466500</v>
      </c>
      <c r="G273" s="619">
        <v>466500</v>
      </c>
      <c r="H273" s="619">
        <v>466500</v>
      </c>
      <c r="I273" s="619">
        <v>466500</v>
      </c>
      <c r="J273" s="619">
        <v>466500</v>
      </c>
      <c r="K273" s="619">
        <v>466500</v>
      </c>
      <c r="L273" s="619">
        <v>466500</v>
      </c>
      <c r="M273" s="619">
        <v>466500</v>
      </c>
      <c r="N273" s="619">
        <v>466500</v>
      </c>
      <c r="O273" s="619">
        <v>466500</v>
      </c>
      <c r="P273" s="619">
        <v>466500</v>
      </c>
      <c r="Q273" s="619">
        <v>466500</v>
      </c>
      <c r="R273" s="619">
        <v>466500</v>
      </c>
      <c r="S273" s="498">
        <f t="shared" si="65"/>
        <v>466500</v>
      </c>
      <c r="T273" s="620"/>
      <c r="U273" s="661">
        <f>+S273</f>
        <v>466500</v>
      </c>
      <c r="V273" s="690"/>
      <c r="W273" s="690"/>
      <c r="X273" s="713"/>
      <c r="Y273" s="690"/>
      <c r="Z273" s="690"/>
      <c r="AA273" s="657"/>
      <c r="AB273" s="665"/>
      <c r="AC273" s="658"/>
      <c r="AD273" s="657">
        <f>+S273</f>
        <v>466500</v>
      </c>
      <c r="AE273" s="658"/>
      <c r="AF273" s="688">
        <f t="shared" si="62"/>
        <v>0</v>
      </c>
    </row>
    <row r="274" spans="1:32">
      <c r="A274" s="620">
        <v>260</v>
      </c>
      <c r="B274" s="326" t="s">
        <v>1005</v>
      </c>
      <c r="C274" s="326" t="s">
        <v>457</v>
      </c>
      <c r="D274" s="326" t="s">
        <v>1188</v>
      </c>
      <c r="E274" s="618" t="s">
        <v>1605</v>
      </c>
      <c r="F274" s="619">
        <v>1883502.85</v>
      </c>
      <c r="G274" s="619">
        <v>1917787.71</v>
      </c>
      <c r="H274" s="619">
        <v>1888055.06</v>
      </c>
      <c r="I274" s="619">
        <v>1892076.67</v>
      </c>
      <c r="J274" s="619">
        <v>1677901.94</v>
      </c>
      <c r="K274" s="619">
        <v>1677702.78</v>
      </c>
      <c r="L274" s="619">
        <v>1132434.1399999999</v>
      </c>
      <c r="M274" s="619">
        <v>1139554.56</v>
      </c>
      <c r="N274" s="619">
        <v>1141824.44</v>
      </c>
      <c r="O274" s="619">
        <v>1143561.54</v>
      </c>
      <c r="P274" s="619">
        <v>1144594.2</v>
      </c>
      <c r="Q274" s="619">
        <v>1153377.47</v>
      </c>
      <c r="R274" s="619">
        <v>993974.16</v>
      </c>
      <c r="S274" s="498">
        <f t="shared" si="65"/>
        <v>1445634.0845833335</v>
      </c>
      <c r="T274" s="620"/>
      <c r="U274" s="661"/>
      <c r="V274" s="690"/>
      <c r="W274" s="690"/>
      <c r="X274" s="713">
        <f t="shared" ref="X274:X291" si="72">+S274</f>
        <v>1445634.0845833335</v>
      </c>
      <c r="Y274" s="690"/>
      <c r="Z274" s="690"/>
      <c r="AA274" s="657"/>
      <c r="AB274" s="690">
        <f t="shared" ref="AB274:AB294" si="73">+S274</f>
        <v>1445634.0845833335</v>
      </c>
      <c r="AC274" s="658"/>
      <c r="AD274" s="659"/>
      <c r="AE274" s="658"/>
      <c r="AF274" s="688">
        <f t="shared" si="62"/>
        <v>0</v>
      </c>
    </row>
    <row r="275" spans="1:32">
      <c r="A275" s="620">
        <v>261</v>
      </c>
      <c r="B275" s="326" t="s">
        <v>980</v>
      </c>
      <c r="C275" s="326" t="s">
        <v>457</v>
      </c>
      <c r="D275" s="326" t="s">
        <v>1190</v>
      </c>
      <c r="E275" s="618" t="s">
        <v>1609</v>
      </c>
      <c r="F275" s="619">
        <v>5432079.7599999998</v>
      </c>
      <c r="G275" s="619">
        <v>5432079.7599999998</v>
      </c>
      <c r="H275" s="619">
        <v>5433357.4199999999</v>
      </c>
      <c r="I275" s="619">
        <v>5467967.3399999999</v>
      </c>
      <c r="J275" s="619">
        <v>5538241.4100000001</v>
      </c>
      <c r="K275" s="619">
        <v>5543262.6600000001</v>
      </c>
      <c r="L275" s="619">
        <v>5543700.8300000001</v>
      </c>
      <c r="M275" s="619">
        <v>6305032.2699999996</v>
      </c>
      <c r="N275" s="619">
        <v>6486405.6200000001</v>
      </c>
      <c r="O275" s="619">
        <v>6930150.8300000001</v>
      </c>
      <c r="P275" s="619">
        <v>7465365.1200000001</v>
      </c>
      <c r="Q275" s="619">
        <v>7744088.04</v>
      </c>
      <c r="R275" s="619">
        <v>8015406.3799999999</v>
      </c>
      <c r="S275" s="498">
        <f t="shared" si="65"/>
        <v>6217782.8641666668</v>
      </c>
      <c r="T275" s="620"/>
      <c r="U275" s="661">
        <f>+S275</f>
        <v>6217782.8641666668</v>
      </c>
      <c r="V275" s="690"/>
      <c r="W275" s="690"/>
      <c r="X275" s="713"/>
      <c r="Y275" s="690"/>
      <c r="Z275" s="690"/>
      <c r="AA275" s="657"/>
      <c r="AB275" s="690"/>
      <c r="AC275" s="658"/>
      <c r="AD275" s="659">
        <f>+S275</f>
        <v>6217782.8641666668</v>
      </c>
      <c r="AE275" s="658"/>
      <c r="AF275" s="688">
        <f t="shared" si="62"/>
        <v>0</v>
      </c>
    </row>
    <row r="276" spans="1:32">
      <c r="A276" s="620">
        <v>262</v>
      </c>
      <c r="B276" s="326" t="s">
        <v>980</v>
      </c>
      <c r="C276" s="326" t="s">
        <v>457</v>
      </c>
      <c r="D276" s="326" t="s">
        <v>1420</v>
      </c>
      <c r="E276" s="618" t="s">
        <v>1622</v>
      </c>
      <c r="F276" s="619">
        <v>5197058.3</v>
      </c>
      <c r="G276" s="619">
        <v>5151866.49</v>
      </c>
      <c r="H276" s="619">
        <v>5106674.68</v>
      </c>
      <c r="I276" s="619">
        <v>5061482.87</v>
      </c>
      <c r="J276" s="619">
        <v>5016291.0599999996</v>
      </c>
      <c r="K276" s="619">
        <v>4971099.25</v>
      </c>
      <c r="L276" s="619">
        <v>4925907.4400000004</v>
      </c>
      <c r="M276" s="619">
        <v>4880715.63</v>
      </c>
      <c r="N276" s="619">
        <v>4835523.82</v>
      </c>
      <c r="O276" s="619">
        <v>4790332.01</v>
      </c>
      <c r="P276" s="619">
        <v>4745140.2</v>
      </c>
      <c r="Q276" s="619">
        <v>4699948.3899999997</v>
      </c>
      <c r="R276" s="619">
        <v>4654756.58</v>
      </c>
      <c r="S276" s="498">
        <f t="shared" si="65"/>
        <v>4925907.4400000004</v>
      </c>
      <c r="T276" s="620"/>
      <c r="U276" s="661">
        <f>+S276</f>
        <v>4925907.4400000004</v>
      </c>
      <c r="V276" s="690"/>
      <c r="W276" s="690"/>
      <c r="X276" s="713"/>
      <c r="Y276" s="690"/>
      <c r="Z276" s="690"/>
      <c r="AA276" s="657"/>
      <c r="AB276" s="690">
        <f>+X276</f>
        <v>0</v>
      </c>
      <c r="AC276" s="658"/>
      <c r="AD276" s="659">
        <f>+S276</f>
        <v>4925907.4400000004</v>
      </c>
      <c r="AE276" s="658"/>
      <c r="AF276" s="688">
        <f t="shared" si="62"/>
        <v>0</v>
      </c>
    </row>
    <row r="277" spans="1:32">
      <c r="A277" s="620">
        <v>263</v>
      </c>
      <c r="B277" s="326" t="s">
        <v>1005</v>
      </c>
      <c r="C277" s="326" t="s">
        <v>457</v>
      </c>
      <c r="D277" s="326" t="s">
        <v>1421</v>
      </c>
      <c r="E277" s="618" t="s">
        <v>1606</v>
      </c>
      <c r="F277" s="619">
        <v>70723.14</v>
      </c>
      <c r="G277" s="619">
        <v>62709.42</v>
      </c>
      <c r="H277" s="619">
        <v>55206.400000000001</v>
      </c>
      <c r="I277" s="619">
        <v>46707.57</v>
      </c>
      <c r="J277" s="619">
        <v>234531.38</v>
      </c>
      <c r="K277" s="619">
        <v>233174.02</v>
      </c>
      <c r="L277" s="619">
        <v>231786.92</v>
      </c>
      <c r="M277" s="619">
        <v>230684.2</v>
      </c>
      <c r="N277" s="619">
        <v>229712.1</v>
      </c>
      <c r="O277" s="619">
        <v>228723.35</v>
      </c>
      <c r="P277" s="619">
        <v>226684.72</v>
      </c>
      <c r="Q277" s="619">
        <v>224096.26</v>
      </c>
      <c r="R277" s="619">
        <v>220486.17</v>
      </c>
      <c r="S277" s="498">
        <f t="shared" si="65"/>
        <v>179135.08291666667</v>
      </c>
      <c r="T277" s="620"/>
      <c r="U277" s="657"/>
      <c r="V277" s="690"/>
      <c r="W277" s="690"/>
      <c r="X277" s="713">
        <f t="shared" si="72"/>
        <v>179135.08291666667</v>
      </c>
      <c r="Y277" s="690"/>
      <c r="Z277" s="690"/>
      <c r="AA277" s="657"/>
      <c r="AB277" s="690">
        <f>+X277</f>
        <v>179135.08291666667</v>
      </c>
      <c r="AC277" s="658"/>
      <c r="AD277" s="659"/>
      <c r="AE277" s="658"/>
      <c r="AF277" s="688">
        <f t="shared" si="62"/>
        <v>0</v>
      </c>
    </row>
    <row r="278" spans="1:32">
      <c r="A278" s="620">
        <v>264</v>
      </c>
      <c r="B278" s="326" t="s">
        <v>1005</v>
      </c>
      <c r="C278" s="326" t="s">
        <v>457</v>
      </c>
      <c r="D278" s="326" t="s">
        <v>1435</v>
      </c>
      <c r="E278" s="618" t="s">
        <v>1609</v>
      </c>
      <c r="F278" s="619">
        <v>0</v>
      </c>
      <c r="G278" s="619">
        <v>0</v>
      </c>
      <c r="H278" s="619">
        <v>0</v>
      </c>
      <c r="I278" s="619">
        <v>0</v>
      </c>
      <c r="J278" s="619">
        <v>567072.48</v>
      </c>
      <c r="K278" s="619">
        <v>550870.41</v>
      </c>
      <c r="L278" s="619">
        <v>534668.34</v>
      </c>
      <c r="M278" s="619">
        <v>518466.27</v>
      </c>
      <c r="N278" s="619">
        <v>502264.2</v>
      </c>
      <c r="O278" s="619">
        <v>486062.13</v>
      </c>
      <c r="P278" s="619">
        <v>469860.06</v>
      </c>
      <c r="Q278" s="619">
        <v>453657.99</v>
      </c>
      <c r="R278" s="619">
        <v>437455.92</v>
      </c>
      <c r="S278" s="498">
        <f t="shared" si="65"/>
        <v>358470.82</v>
      </c>
      <c r="T278" s="620"/>
      <c r="U278" s="657"/>
      <c r="V278" s="690"/>
      <c r="W278" s="690"/>
      <c r="X278" s="713">
        <f>+S278</f>
        <v>358470.82</v>
      </c>
      <c r="Y278" s="690"/>
      <c r="Z278" s="690"/>
      <c r="AA278" s="657"/>
      <c r="AB278" s="690">
        <f>+S278</f>
        <v>358470.82</v>
      </c>
      <c r="AC278" s="658"/>
      <c r="AD278" s="659"/>
      <c r="AE278" s="658"/>
      <c r="AF278" s="688"/>
    </row>
    <row r="279" spans="1:32">
      <c r="A279" s="620">
        <v>265</v>
      </c>
      <c r="B279" s="326" t="s">
        <v>980</v>
      </c>
      <c r="C279" s="326" t="s">
        <v>457</v>
      </c>
      <c r="D279" s="326" t="s">
        <v>1436</v>
      </c>
      <c r="E279" s="618" t="s">
        <v>1901</v>
      </c>
      <c r="F279" s="619">
        <v>0</v>
      </c>
      <c r="G279" s="619">
        <v>0</v>
      </c>
      <c r="H279" s="619">
        <v>0</v>
      </c>
      <c r="I279" s="619">
        <v>0</v>
      </c>
      <c r="J279" s="619">
        <v>0</v>
      </c>
      <c r="K279" s="619">
        <v>0</v>
      </c>
      <c r="L279" s="619">
        <v>0</v>
      </c>
      <c r="M279" s="619">
        <v>0</v>
      </c>
      <c r="N279" s="619">
        <v>0</v>
      </c>
      <c r="O279" s="619">
        <v>0</v>
      </c>
      <c r="P279" s="619">
        <v>0</v>
      </c>
      <c r="Q279" s="619">
        <v>0</v>
      </c>
      <c r="R279" s="619">
        <v>277480.27</v>
      </c>
      <c r="S279" s="498">
        <f t="shared" si="65"/>
        <v>11561.677916666667</v>
      </c>
      <c r="T279" s="620"/>
      <c r="U279" s="657">
        <f>+S279</f>
        <v>11561.677916666667</v>
      </c>
      <c r="V279" s="690"/>
      <c r="W279" s="690"/>
      <c r="X279" s="713"/>
      <c r="Y279" s="690"/>
      <c r="Z279" s="690"/>
      <c r="AA279" s="657"/>
      <c r="AB279" s="690"/>
      <c r="AC279" s="658"/>
      <c r="AD279" s="659">
        <f>+S279</f>
        <v>11561.677916666667</v>
      </c>
      <c r="AE279" s="658"/>
      <c r="AF279" s="688"/>
    </row>
    <row r="280" spans="1:32">
      <c r="A280" s="620">
        <v>266</v>
      </c>
      <c r="B280" s="326" t="s">
        <v>1874</v>
      </c>
      <c r="C280" s="326" t="s">
        <v>500</v>
      </c>
      <c r="D280" s="326" t="s">
        <v>1881</v>
      </c>
      <c r="E280" s="618" t="s">
        <v>1612</v>
      </c>
      <c r="F280" s="619">
        <v>0</v>
      </c>
      <c r="G280" s="619">
        <v>641534.98</v>
      </c>
      <c r="H280" s="619">
        <v>1111122.68</v>
      </c>
      <c r="I280" s="619">
        <v>2014787.43</v>
      </c>
      <c r="J280" s="619">
        <v>2241907.98</v>
      </c>
      <c r="K280" s="619">
        <v>1798183.13</v>
      </c>
      <c r="L280" s="619">
        <v>1844315.2</v>
      </c>
      <c r="M280" s="619">
        <v>1839483.45</v>
      </c>
      <c r="N280" s="619">
        <v>1589409.23</v>
      </c>
      <c r="O280" s="619">
        <v>1673282.96</v>
      </c>
      <c r="P280" s="619">
        <v>2483085.9500000002</v>
      </c>
      <c r="Q280" s="619">
        <v>2304319.4700000002</v>
      </c>
      <c r="R280" s="619">
        <v>1784571.53</v>
      </c>
      <c r="S280" s="498">
        <f t="shared" si="65"/>
        <v>1702809.8520833331</v>
      </c>
      <c r="T280" s="620"/>
      <c r="U280" s="657"/>
      <c r="V280" s="690">
        <f>+S280</f>
        <v>1702809.8520833331</v>
      </c>
      <c r="W280" s="690"/>
      <c r="X280" s="713"/>
      <c r="Y280" s="690"/>
      <c r="Z280" s="690"/>
      <c r="AA280" s="657"/>
      <c r="AB280" s="690"/>
      <c r="AC280" s="658"/>
      <c r="AD280" s="659">
        <f t="shared" ref="AD280:AD281" si="74">+S280</f>
        <v>1702809.8520833331</v>
      </c>
      <c r="AE280" s="658"/>
      <c r="AF280" s="688"/>
    </row>
    <row r="281" spans="1:32">
      <c r="A281" s="620">
        <v>267</v>
      </c>
      <c r="B281" s="326" t="s">
        <v>1874</v>
      </c>
      <c r="C281" s="326" t="s">
        <v>500</v>
      </c>
      <c r="D281" s="326" t="s">
        <v>1883</v>
      </c>
      <c r="E281" s="618" t="s">
        <v>1612</v>
      </c>
      <c r="F281" s="619">
        <v>0</v>
      </c>
      <c r="G281" s="619">
        <v>1598763.47</v>
      </c>
      <c r="H281" s="619">
        <v>4137153.52</v>
      </c>
      <c r="I281" s="619">
        <v>4682162.58</v>
      </c>
      <c r="J281" s="619">
        <v>3891731.19</v>
      </c>
      <c r="K281" s="619">
        <v>3688842.38</v>
      </c>
      <c r="L281" s="619">
        <v>3465330.59</v>
      </c>
      <c r="M281" s="619">
        <v>3444803.79</v>
      </c>
      <c r="N281" s="619">
        <v>3048805.93</v>
      </c>
      <c r="O281" s="619">
        <v>3133600.3</v>
      </c>
      <c r="P281" s="619">
        <v>3430358.19</v>
      </c>
      <c r="Q281" s="619">
        <v>3793768.43</v>
      </c>
      <c r="R281" s="619">
        <v>2992929.3</v>
      </c>
      <c r="S281" s="498">
        <f t="shared" si="65"/>
        <v>3317648.7516666665</v>
      </c>
      <c r="T281" s="620"/>
      <c r="U281" s="657"/>
      <c r="V281" s="690">
        <f>+S281</f>
        <v>3317648.7516666665</v>
      </c>
      <c r="W281" s="690"/>
      <c r="X281" s="713"/>
      <c r="Y281" s="690"/>
      <c r="Z281" s="690"/>
      <c r="AA281" s="657"/>
      <c r="AB281" s="690"/>
      <c r="AC281" s="658"/>
      <c r="AD281" s="659">
        <f t="shared" si="74"/>
        <v>3317648.7516666665</v>
      </c>
      <c r="AE281" s="658"/>
      <c r="AF281" s="688"/>
    </row>
    <row r="282" spans="1:32">
      <c r="A282" s="620">
        <v>268</v>
      </c>
      <c r="B282" s="326" t="s">
        <v>980</v>
      </c>
      <c r="C282" s="326" t="s">
        <v>500</v>
      </c>
      <c r="D282" s="326" t="s">
        <v>1191</v>
      </c>
      <c r="E282" s="618" t="s">
        <v>1614</v>
      </c>
      <c r="F282" s="619">
        <v>0</v>
      </c>
      <c r="G282" s="619">
        <v>0</v>
      </c>
      <c r="H282" s="619">
        <v>0</v>
      </c>
      <c r="I282" s="619">
        <v>0</v>
      </c>
      <c r="J282" s="619">
        <v>0</v>
      </c>
      <c r="K282" s="619">
        <v>0</v>
      </c>
      <c r="L282" s="619">
        <v>0</v>
      </c>
      <c r="M282" s="619">
        <v>0</v>
      </c>
      <c r="N282" s="619">
        <v>0</v>
      </c>
      <c r="O282" s="619">
        <v>0</v>
      </c>
      <c r="P282" s="619">
        <v>0</v>
      </c>
      <c r="Q282" s="619">
        <v>0</v>
      </c>
      <c r="R282" s="619">
        <v>0</v>
      </c>
      <c r="S282" s="498">
        <f t="shared" si="65"/>
        <v>0</v>
      </c>
      <c r="T282" s="620"/>
      <c r="U282" s="657"/>
      <c r="V282" s="690"/>
      <c r="W282" s="690"/>
      <c r="X282" s="713">
        <f t="shared" si="72"/>
        <v>0</v>
      </c>
      <c r="Y282" s="690"/>
      <c r="Z282" s="690"/>
      <c r="AA282" s="657"/>
      <c r="AB282" s="690">
        <f t="shared" ref="AB282:AB291" si="75">+X282</f>
        <v>0</v>
      </c>
      <c r="AC282" s="658"/>
      <c r="AD282" s="659"/>
      <c r="AE282" s="658"/>
      <c r="AF282" s="688">
        <f t="shared" si="62"/>
        <v>0</v>
      </c>
    </row>
    <row r="283" spans="1:32">
      <c r="A283" s="620">
        <v>269</v>
      </c>
      <c r="B283" s="326" t="s">
        <v>980</v>
      </c>
      <c r="C283" s="326" t="s">
        <v>500</v>
      </c>
      <c r="D283" s="326" t="s">
        <v>1192</v>
      </c>
      <c r="E283" s="618" t="s">
        <v>1615</v>
      </c>
      <c r="F283" s="619">
        <v>0</v>
      </c>
      <c r="G283" s="619">
        <v>0</v>
      </c>
      <c r="H283" s="619">
        <v>0</v>
      </c>
      <c r="I283" s="619">
        <v>0</v>
      </c>
      <c r="J283" s="619">
        <v>0</v>
      </c>
      <c r="K283" s="619">
        <v>0</v>
      </c>
      <c r="L283" s="619">
        <v>0</v>
      </c>
      <c r="M283" s="619">
        <v>0</v>
      </c>
      <c r="N283" s="619">
        <v>0</v>
      </c>
      <c r="O283" s="619">
        <v>0</v>
      </c>
      <c r="P283" s="619">
        <v>0</v>
      </c>
      <c r="Q283" s="619">
        <v>0</v>
      </c>
      <c r="R283" s="619">
        <v>0</v>
      </c>
      <c r="S283" s="498">
        <f t="shared" si="65"/>
        <v>0</v>
      </c>
      <c r="T283" s="620"/>
      <c r="U283" s="657"/>
      <c r="V283" s="690"/>
      <c r="W283" s="690"/>
      <c r="X283" s="713">
        <f t="shared" si="72"/>
        <v>0</v>
      </c>
      <c r="Y283" s="690"/>
      <c r="Z283" s="690"/>
      <c r="AA283" s="657"/>
      <c r="AB283" s="690">
        <f t="shared" si="75"/>
        <v>0</v>
      </c>
      <c r="AC283" s="658"/>
      <c r="AD283" s="659"/>
      <c r="AE283" s="658"/>
      <c r="AF283" s="688">
        <f t="shared" si="62"/>
        <v>0</v>
      </c>
    </row>
    <row r="284" spans="1:32">
      <c r="A284" s="620">
        <v>270</v>
      </c>
      <c r="B284" s="326" t="s">
        <v>980</v>
      </c>
      <c r="C284" s="326" t="s">
        <v>500</v>
      </c>
      <c r="D284" s="326" t="s">
        <v>1184</v>
      </c>
      <c r="E284" s="618" t="s">
        <v>1616</v>
      </c>
      <c r="F284" s="619">
        <v>0</v>
      </c>
      <c r="G284" s="619">
        <v>0</v>
      </c>
      <c r="H284" s="619">
        <v>0</v>
      </c>
      <c r="I284" s="619">
        <v>0</v>
      </c>
      <c r="J284" s="619">
        <v>0</v>
      </c>
      <c r="K284" s="619">
        <v>0</v>
      </c>
      <c r="L284" s="619">
        <v>0</v>
      </c>
      <c r="M284" s="619">
        <v>0</v>
      </c>
      <c r="N284" s="619">
        <v>0</v>
      </c>
      <c r="O284" s="619">
        <v>0</v>
      </c>
      <c r="P284" s="619">
        <v>0</v>
      </c>
      <c r="Q284" s="619">
        <v>0</v>
      </c>
      <c r="R284" s="619">
        <v>0</v>
      </c>
      <c r="S284" s="498">
        <f t="shared" si="65"/>
        <v>0</v>
      </c>
      <c r="T284" s="620"/>
      <c r="U284" s="657"/>
      <c r="V284" s="690"/>
      <c r="W284" s="690"/>
      <c r="X284" s="713">
        <f t="shared" si="72"/>
        <v>0</v>
      </c>
      <c r="Y284" s="690"/>
      <c r="Z284" s="690"/>
      <c r="AA284" s="657"/>
      <c r="AB284" s="690">
        <f t="shared" si="75"/>
        <v>0</v>
      </c>
      <c r="AC284" s="658"/>
      <c r="AD284" s="659"/>
      <c r="AE284" s="658"/>
      <c r="AF284" s="688">
        <f t="shared" si="62"/>
        <v>0</v>
      </c>
    </row>
    <row r="285" spans="1:32">
      <c r="A285" s="620">
        <v>271</v>
      </c>
      <c r="B285" s="326" t="s">
        <v>980</v>
      </c>
      <c r="C285" s="326" t="s">
        <v>500</v>
      </c>
      <c r="D285" s="326" t="s">
        <v>1186</v>
      </c>
      <c r="E285" s="618" t="s">
        <v>1617</v>
      </c>
      <c r="F285" s="619">
        <v>0</v>
      </c>
      <c r="G285" s="619">
        <v>0</v>
      </c>
      <c r="H285" s="619">
        <v>0</v>
      </c>
      <c r="I285" s="619">
        <v>0</v>
      </c>
      <c r="J285" s="619">
        <v>0</v>
      </c>
      <c r="K285" s="619">
        <v>0</v>
      </c>
      <c r="L285" s="619">
        <v>0</v>
      </c>
      <c r="M285" s="619">
        <v>0</v>
      </c>
      <c r="N285" s="619">
        <v>0</v>
      </c>
      <c r="O285" s="619">
        <v>0</v>
      </c>
      <c r="P285" s="619">
        <v>0</v>
      </c>
      <c r="Q285" s="619">
        <v>0</v>
      </c>
      <c r="R285" s="619">
        <v>0</v>
      </c>
      <c r="S285" s="498">
        <f t="shared" si="65"/>
        <v>0</v>
      </c>
      <c r="T285" s="620"/>
      <c r="U285" s="657"/>
      <c r="V285" s="690"/>
      <c r="W285" s="690"/>
      <c r="X285" s="713">
        <f t="shared" si="72"/>
        <v>0</v>
      </c>
      <c r="Y285" s="690"/>
      <c r="Z285" s="690"/>
      <c r="AA285" s="657"/>
      <c r="AB285" s="690">
        <f t="shared" si="75"/>
        <v>0</v>
      </c>
      <c r="AC285" s="658"/>
      <c r="AD285" s="659"/>
      <c r="AE285" s="658"/>
      <c r="AF285" s="688">
        <f t="shared" si="62"/>
        <v>0</v>
      </c>
    </row>
    <row r="286" spans="1:32">
      <c r="A286" s="620">
        <v>272</v>
      </c>
      <c r="B286" s="326" t="s">
        <v>1005</v>
      </c>
      <c r="C286" s="326" t="s">
        <v>500</v>
      </c>
      <c r="D286" s="326" t="s">
        <v>1193</v>
      </c>
      <c r="E286" s="618" t="s">
        <v>1610</v>
      </c>
      <c r="F286" s="619">
        <v>643838.16</v>
      </c>
      <c r="G286" s="619">
        <v>984986.82</v>
      </c>
      <c r="H286" s="619">
        <v>329914.84000000003</v>
      </c>
      <c r="I286" s="619">
        <v>-368987.36</v>
      </c>
      <c r="J286" s="619">
        <v>-123533.88</v>
      </c>
      <c r="K286" s="619">
        <v>166169.65</v>
      </c>
      <c r="L286" s="619">
        <v>207631.55</v>
      </c>
      <c r="M286" s="619">
        <v>208913.58</v>
      </c>
      <c r="N286" s="619">
        <v>210203.51999999999</v>
      </c>
      <c r="O286" s="619">
        <v>205820.39</v>
      </c>
      <c r="P286" s="619">
        <v>-238349.44</v>
      </c>
      <c r="Q286" s="619">
        <v>-513985.37</v>
      </c>
      <c r="R286" s="619">
        <v>-35331.469999999899</v>
      </c>
      <c r="S286" s="498">
        <f t="shared" si="65"/>
        <v>114419.80375000001</v>
      </c>
      <c r="T286" s="620"/>
      <c r="U286" s="657"/>
      <c r="V286" s="690"/>
      <c r="W286" s="690"/>
      <c r="X286" s="713">
        <f t="shared" si="72"/>
        <v>114419.80375000001</v>
      </c>
      <c r="Y286" s="690"/>
      <c r="Z286" s="690"/>
      <c r="AA286" s="657"/>
      <c r="AB286" s="690">
        <f t="shared" si="75"/>
        <v>114419.80375000001</v>
      </c>
      <c r="AC286" s="658"/>
      <c r="AD286" s="659"/>
      <c r="AE286" s="658"/>
      <c r="AF286" s="688">
        <f t="shared" si="62"/>
        <v>0</v>
      </c>
    </row>
    <row r="287" spans="1:32">
      <c r="A287" s="620">
        <v>273</v>
      </c>
      <c r="B287" s="326" t="s">
        <v>1005</v>
      </c>
      <c r="C287" s="326" t="s">
        <v>500</v>
      </c>
      <c r="D287" s="326" t="s">
        <v>1194</v>
      </c>
      <c r="E287" s="618" t="s">
        <v>1611</v>
      </c>
      <c r="F287" s="619">
        <v>-228902.82</v>
      </c>
      <c r="G287" s="619">
        <v>-1130641.23</v>
      </c>
      <c r="H287" s="619">
        <v>-1158532.98</v>
      </c>
      <c r="I287" s="619">
        <v>-1532863.72</v>
      </c>
      <c r="J287" s="619">
        <v>-2118355.13</v>
      </c>
      <c r="K287" s="619">
        <v>-2008163.65</v>
      </c>
      <c r="L287" s="619">
        <v>-2142432.1</v>
      </c>
      <c r="M287" s="619">
        <v>-2174164.87</v>
      </c>
      <c r="N287" s="619">
        <v>-1947628.44</v>
      </c>
      <c r="O287" s="619">
        <v>-2078140.8</v>
      </c>
      <c r="P287" s="619">
        <v>-2580194.39</v>
      </c>
      <c r="Q287" s="619">
        <v>-360682.3</v>
      </c>
      <c r="R287" s="619">
        <v>-590581.18999999994</v>
      </c>
      <c r="S287" s="498">
        <f t="shared" si="65"/>
        <v>-1636795.1345833333</v>
      </c>
      <c r="T287" s="620"/>
      <c r="U287" s="657"/>
      <c r="V287" s="690"/>
      <c r="W287" s="690"/>
      <c r="X287" s="713">
        <f t="shared" si="72"/>
        <v>-1636795.1345833333</v>
      </c>
      <c r="Y287" s="690"/>
      <c r="Z287" s="690"/>
      <c r="AA287" s="657"/>
      <c r="AB287" s="690">
        <f t="shared" si="75"/>
        <v>-1636795.1345833333</v>
      </c>
      <c r="AC287" s="658"/>
      <c r="AD287" s="659"/>
      <c r="AE287" s="658"/>
      <c r="AF287" s="688">
        <f t="shared" si="62"/>
        <v>0</v>
      </c>
    </row>
    <row r="288" spans="1:32">
      <c r="A288" s="620">
        <v>274</v>
      </c>
      <c r="B288" s="326" t="s">
        <v>1005</v>
      </c>
      <c r="C288" s="326" t="s">
        <v>500</v>
      </c>
      <c r="D288" s="326" t="s">
        <v>1195</v>
      </c>
      <c r="E288" s="618" t="s">
        <v>1612</v>
      </c>
      <c r="F288" s="619">
        <v>444461.68</v>
      </c>
      <c r="G288" s="619">
        <v>0</v>
      </c>
      <c r="H288" s="619">
        <v>0</v>
      </c>
      <c r="I288" s="619">
        <v>0</v>
      </c>
      <c r="J288" s="619">
        <v>0</v>
      </c>
      <c r="K288" s="619">
        <v>0</v>
      </c>
      <c r="L288" s="619">
        <v>0</v>
      </c>
      <c r="M288" s="619">
        <v>0</v>
      </c>
      <c r="N288" s="619">
        <v>0</v>
      </c>
      <c r="O288" s="619">
        <v>0</v>
      </c>
      <c r="P288" s="619">
        <v>0</v>
      </c>
      <c r="Q288" s="619">
        <v>0</v>
      </c>
      <c r="R288" s="619">
        <v>0</v>
      </c>
      <c r="S288" s="498">
        <f t="shared" si="65"/>
        <v>18519.236666666668</v>
      </c>
      <c r="T288" s="620"/>
      <c r="U288" s="657"/>
      <c r="V288" s="690">
        <f>+S288</f>
        <v>18519.236666666668</v>
      </c>
      <c r="W288" s="690"/>
      <c r="X288" s="713"/>
      <c r="Y288" s="690"/>
      <c r="Z288" s="690"/>
      <c r="AA288" s="657"/>
      <c r="AB288" s="690">
        <f t="shared" si="75"/>
        <v>0</v>
      </c>
      <c r="AC288" s="658"/>
      <c r="AD288" s="659">
        <f>+S288</f>
        <v>18519.236666666668</v>
      </c>
      <c r="AE288" s="658"/>
      <c r="AF288" s="688">
        <f t="shared" si="62"/>
        <v>0</v>
      </c>
    </row>
    <row r="289" spans="1:32">
      <c r="A289" s="620">
        <v>275</v>
      </c>
      <c r="B289" s="326" t="s">
        <v>1005</v>
      </c>
      <c r="C289" s="326" t="s">
        <v>500</v>
      </c>
      <c r="D289" s="326" t="s">
        <v>1196</v>
      </c>
      <c r="E289" s="618" t="s">
        <v>1613</v>
      </c>
      <c r="F289" s="619">
        <v>-859397.02</v>
      </c>
      <c r="G289" s="619">
        <v>-647935</v>
      </c>
      <c r="H289" s="619">
        <v>-449843.62</v>
      </c>
      <c r="I289" s="619">
        <v>-224713.82</v>
      </c>
      <c r="J289" s="619">
        <v>-72025.13</v>
      </c>
      <c r="K289" s="619">
        <v>7716.5999999999904</v>
      </c>
      <c r="L289" s="619">
        <v>62336.9</v>
      </c>
      <c r="M289" s="619">
        <v>102130.51</v>
      </c>
      <c r="N289" s="619">
        <v>135575.28</v>
      </c>
      <c r="O289" s="619">
        <v>168612.3</v>
      </c>
      <c r="P289" s="619">
        <v>247812.78</v>
      </c>
      <c r="Q289" s="619">
        <v>-1598765.05</v>
      </c>
      <c r="R289" s="619">
        <v>-1349763.52</v>
      </c>
      <c r="S289" s="498">
        <f t="shared" si="65"/>
        <v>-281139.87666666665</v>
      </c>
      <c r="T289" s="620"/>
      <c r="U289" s="657"/>
      <c r="V289" s="690"/>
      <c r="W289" s="690"/>
      <c r="X289" s="713">
        <f t="shared" si="72"/>
        <v>-281139.87666666665</v>
      </c>
      <c r="Y289" s="690"/>
      <c r="Z289" s="690"/>
      <c r="AA289" s="657"/>
      <c r="AB289" s="690">
        <f t="shared" si="75"/>
        <v>-281139.87666666665</v>
      </c>
      <c r="AC289" s="658"/>
      <c r="AD289" s="659"/>
      <c r="AE289" s="658"/>
      <c r="AF289" s="688">
        <f t="shared" si="62"/>
        <v>0</v>
      </c>
    </row>
    <row r="290" spans="1:32">
      <c r="A290" s="620">
        <v>276</v>
      </c>
      <c r="B290" s="326" t="s">
        <v>980</v>
      </c>
      <c r="C290" s="326" t="s">
        <v>500</v>
      </c>
      <c r="D290" s="326" t="s">
        <v>1902</v>
      </c>
      <c r="E290" s="618" t="s">
        <v>1903</v>
      </c>
      <c r="F290" s="619">
        <v>0</v>
      </c>
      <c r="G290" s="619">
        <v>152054.43</v>
      </c>
      <c r="H290" s="619">
        <v>167339.07999999999</v>
      </c>
      <c r="I290" s="619">
        <v>111777.47</v>
      </c>
      <c r="J290" s="619">
        <v>72006.16</v>
      </c>
      <c r="K290" s="619">
        <v>36094.269999999997</v>
      </c>
      <c r="L290" s="619">
        <v>28148.45</v>
      </c>
      <c r="M290" s="619">
        <v>23637.33</v>
      </c>
      <c r="N290" s="619">
        <v>12440.41</v>
      </c>
      <c r="O290" s="619">
        <v>30425.15</v>
      </c>
      <c r="P290" s="619">
        <v>87645.1</v>
      </c>
      <c r="Q290" s="619">
        <v>169113.25</v>
      </c>
      <c r="R290" s="619">
        <v>191104.65</v>
      </c>
      <c r="S290" s="498">
        <f t="shared" si="65"/>
        <v>82186.118749999994</v>
      </c>
      <c r="T290" s="620"/>
      <c r="U290" s="657"/>
      <c r="V290" s="690"/>
      <c r="W290" s="690"/>
      <c r="X290" s="713">
        <f t="shared" si="72"/>
        <v>82186.118749999994</v>
      </c>
      <c r="Y290" s="690"/>
      <c r="Z290" s="690"/>
      <c r="AA290" s="657"/>
      <c r="AB290" s="690">
        <f t="shared" si="75"/>
        <v>82186.118749999994</v>
      </c>
      <c r="AC290" s="658"/>
      <c r="AD290" s="659"/>
      <c r="AE290" s="658"/>
      <c r="AF290" s="688">
        <f t="shared" si="62"/>
        <v>0</v>
      </c>
    </row>
    <row r="291" spans="1:32">
      <c r="A291" s="620">
        <v>277</v>
      </c>
      <c r="B291" s="326" t="s">
        <v>980</v>
      </c>
      <c r="C291" s="326" t="s">
        <v>500</v>
      </c>
      <c r="D291" s="326" t="s">
        <v>1189</v>
      </c>
      <c r="E291" s="618" t="s">
        <v>1618</v>
      </c>
      <c r="F291" s="619">
        <v>0</v>
      </c>
      <c r="G291" s="619">
        <v>0</v>
      </c>
      <c r="H291" s="619">
        <v>0</v>
      </c>
      <c r="I291" s="619">
        <v>0</v>
      </c>
      <c r="J291" s="619">
        <v>0</v>
      </c>
      <c r="K291" s="619">
        <v>0</v>
      </c>
      <c r="L291" s="619">
        <v>0</v>
      </c>
      <c r="M291" s="619">
        <v>0</v>
      </c>
      <c r="N291" s="619">
        <v>0</v>
      </c>
      <c r="O291" s="619">
        <v>0</v>
      </c>
      <c r="P291" s="619">
        <v>0</v>
      </c>
      <c r="Q291" s="619">
        <v>0</v>
      </c>
      <c r="R291" s="619">
        <v>0</v>
      </c>
      <c r="S291" s="498">
        <f t="shared" si="65"/>
        <v>0</v>
      </c>
      <c r="T291" s="620"/>
      <c r="U291" s="657"/>
      <c r="V291" s="690"/>
      <c r="W291" s="690"/>
      <c r="X291" s="713">
        <f t="shared" si="72"/>
        <v>0</v>
      </c>
      <c r="Y291" s="690"/>
      <c r="Z291" s="690"/>
      <c r="AA291" s="657"/>
      <c r="AB291" s="690">
        <f t="shared" si="75"/>
        <v>0</v>
      </c>
      <c r="AC291" s="658"/>
      <c r="AD291" s="659"/>
      <c r="AE291" s="658"/>
      <c r="AF291" s="688">
        <f t="shared" si="62"/>
        <v>0</v>
      </c>
    </row>
    <row r="292" spans="1:32">
      <c r="A292" s="620">
        <v>278</v>
      </c>
      <c r="B292" s="326" t="s">
        <v>980</v>
      </c>
      <c r="C292" s="326" t="s">
        <v>500</v>
      </c>
      <c r="D292" s="326" t="s">
        <v>1190</v>
      </c>
      <c r="E292" s="618" t="s">
        <v>1619</v>
      </c>
      <c r="F292" s="619">
        <v>4075395.82</v>
      </c>
      <c r="G292" s="619">
        <v>0</v>
      </c>
      <c r="H292" s="619">
        <v>0</v>
      </c>
      <c r="I292" s="619">
        <v>0</v>
      </c>
      <c r="J292" s="619">
        <v>0</v>
      </c>
      <c r="K292" s="619">
        <v>0</v>
      </c>
      <c r="L292" s="619">
        <v>0</v>
      </c>
      <c r="M292" s="619">
        <v>0</v>
      </c>
      <c r="N292" s="619">
        <v>0</v>
      </c>
      <c r="O292" s="619">
        <v>0</v>
      </c>
      <c r="P292" s="619">
        <v>0</v>
      </c>
      <c r="Q292" s="619">
        <v>0</v>
      </c>
      <c r="R292" s="619">
        <v>0</v>
      </c>
      <c r="S292" s="498">
        <f t="shared" si="65"/>
        <v>169808.15916666665</v>
      </c>
      <c r="T292" s="620"/>
      <c r="U292" s="657"/>
      <c r="V292" s="690">
        <f>+S292</f>
        <v>169808.15916666665</v>
      </c>
      <c r="W292" s="690"/>
      <c r="X292" s="713"/>
      <c r="Y292" s="690"/>
      <c r="Z292" s="690"/>
      <c r="AA292" s="657"/>
      <c r="AB292" s="690"/>
      <c r="AC292" s="658"/>
      <c r="AD292" s="659">
        <f>+S292</f>
        <v>169808.15916666665</v>
      </c>
      <c r="AE292" s="658"/>
      <c r="AF292" s="688">
        <f t="shared" si="62"/>
        <v>0</v>
      </c>
    </row>
    <row r="293" spans="1:32">
      <c r="A293" s="620">
        <v>279</v>
      </c>
      <c r="B293" s="326" t="s">
        <v>980</v>
      </c>
      <c r="C293" s="326" t="s">
        <v>500</v>
      </c>
      <c r="D293" s="326" t="s">
        <v>1421</v>
      </c>
      <c r="E293" s="618" t="s">
        <v>1620</v>
      </c>
      <c r="F293" s="619">
        <v>-5089098.99</v>
      </c>
      <c r="G293" s="619">
        <v>-4124640.33</v>
      </c>
      <c r="H293" s="619">
        <v>-3089840.52</v>
      </c>
      <c r="I293" s="619">
        <v>-1945226.2</v>
      </c>
      <c r="J293" s="619">
        <v>-1296286.46</v>
      </c>
      <c r="K293" s="619">
        <v>-902155.4</v>
      </c>
      <c r="L293" s="619">
        <v>-660483.6</v>
      </c>
      <c r="M293" s="619">
        <v>-453451.97</v>
      </c>
      <c r="N293" s="619">
        <v>-263237.06</v>
      </c>
      <c r="O293" s="619">
        <v>-83052.119999999806</v>
      </c>
      <c r="P293" s="619">
        <v>346885.78</v>
      </c>
      <c r="Q293" s="619">
        <v>1797161.5</v>
      </c>
      <c r="R293" s="619">
        <v>1618895.22</v>
      </c>
      <c r="S293" s="498">
        <f t="shared" ref="S293:S297" si="76">((F293+R293)+((G293+H293+I293+J293+K293+L293+M293+N293+O293+P293+Q293)*2))/24</f>
        <v>-1034119.0220833332</v>
      </c>
      <c r="T293" s="620"/>
      <c r="U293" s="657"/>
      <c r="V293" s="690"/>
      <c r="W293" s="690"/>
      <c r="X293" s="713">
        <f>+S293</f>
        <v>-1034119.0220833332</v>
      </c>
      <c r="Y293" s="690"/>
      <c r="Z293" s="690"/>
      <c r="AA293" s="657"/>
      <c r="AB293" s="690">
        <f t="shared" si="73"/>
        <v>-1034119.0220833332</v>
      </c>
      <c r="AC293" s="658"/>
      <c r="AD293" s="659"/>
      <c r="AE293" s="658"/>
      <c r="AF293" s="688">
        <f t="shared" si="62"/>
        <v>0</v>
      </c>
    </row>
    <row r="294" spans="1:32">
      <c r="A294" s="620">
        <v>280</v>
      </c>
      <c r="B294" s="326" t="s">
        <v>977</v>
      </c>
      <c r="C294" s="326" t="s">
        <v>501</v>
      </c>
      <c r="D294" s="326" t="s">
        <v>461</v>
      </c>
      <c r="E294" s="618" t="s">
        <v>1621</v>
      </c>
      <c r="F294" s="619">
        <v>4405213</v>
      </c>
      <c r="G294" s="619">
        <v>4405213</v>
      </c>
      <c r="H294" s="619">
        <v>4405213</v>
      </c>
      <c r="I294" s="619">
        <v>4405213</v>
      </c>
      <c r="J294" s="619">
        <v>4405213</v>
      </c>
      <c r="K294" s="619">
        <v>4405213</v>
      </c>
      <c r="L294" s="619">
        <v>4405213</v>
      </c>
      <c r="M294" s="619">
        <v>4405213</v>
      </c>
      <c r="N294" s="619">
        <v>4405213</v>
      </c>
      <c r="O294" s="619">
        <v>4405213</v>
      </c>
      <c r="P294" s="619">
        <v>4405213</v>
      </c>
      <c r="Q294" s="619">
        <v>4405213</v>
      </c>
      <c r="R294" s="619">
        <v>5114217</v>
      </c>
      <c r="S294" s="498">
        <f t="shared" si="76"/>
        <v>4434754.833333333</v>
      </c>
      <c r="T294" s="620"/>
      <c r="U294" s="657"/>
      <c r="V294" s="690"/>
      <c r="W294" s="690"/>
      <c r="X294" s="713">
        <f>+S294</f>
        <v>4434754.833333333</v>
      </c>
      <c r="Y294" s="690"/>
      <c r="Z294" s="690"/>
      <c r="AA294" s="657"/>
      <c r="AB294" s="690">
        <f t="shared" si="73"/>
        <v>4434754.833333333</v>
      </c>
      <c r="AC294" s="658"/>
      <c r="AD294" s="659"/>
      <c r="AE294" s="658"/>
      <c r="AF294" s="688">
        <f t="shared" si="62"/>
        <v>0</v>
      </c>
    </row>
    <row r="295" spans="1:32">
      <c r="A295" s="620">
        <v>281</v>
      </c>
      <c r="B295" s="326" t="s">
        <v>980</v>
      </c>
      <c r="C295" s="326" t="s">
        <v>500</v>
      </c>
      <c r="D295" s="326" t="s">
        <v>1197</v>
      </c>
      <c r="E295" s="618" t="s">
        <v>1904</v>
      </c>
      <c r="F295" s="619">
        <v>1013703.17</v>
      </c>
      <c r="G295" s="619">
        <v>1862122.14</v>
      </c>
      <c r="H295" s="619">
        <v>-1875742.37</v>
      </c>
      <c r="I295" s="619">
        <v>-3284598.31</v>
      </c>
      <c r="J295" s="619">
        <v>-2886883.79</v>
      </c>
      <c r="K295" s="619">
        <v>-2954889.15</v>
      </c>
      <c r="L295" s="619">
        <v>-2925317.55</v>
      </c>
      <c r="M295" s="619">
        <v>-3111066.99</v>
      </c>
      <c r="N295" s="619">
        <v>-2851899.68</v>
      </c>
      <c r="O295" s="619">
        <v>-3210940.66</v>
      </c>
      <c r="P295" s="619">
        <v>-4163630.2</v>
      </c>
      <c r="Q295" s="619">
        <v>-5420059.8200000003</v>
      </c>
      <c r="R295" s="619">
        <v>-4410222.42</v>
      </c>
      <c r="S295" s="498">
        <f t="shared" si="76"/>
        <v>-2710097.1670833337</v>
      </c>
      <c r="T295" s="620"/>
      <c r="U295" s="657"/>
      <c r="V295" s="690"/>
      <c r="W295" s="690"/>
      <c r="X295" s="713">
        <f>+S295</f>
        <v>-2710097.1670833337</v>
      </c>
      <c r="Y295" s="690"/>
      <c r="Z295" s="690"/>
      <c r="AA295" s="657"/>
      <c r="AB295" s="690">
        <f>+S295</f>
        <v>-2710097.1670833337</v>
      </c>
      <c r="AC295" s="658"/>
      <c r="AD295" s="659"/>
      <c r="AE295" s="658"/>
      <c r="AF295" s="688"/>
    </row>
    <row r="296" spans="1:32">
      <c r="A296" s="620">
        <v>282</v>
      </c>
      <c r="B296" s="326" t="s">
        <v>980</v>
      </c>
      <c r="C296" s="326" t="s">
        <v>500</v>
      </c>
      <c r="D296" s="326" t="s">
        <v>1902</v>
      </c>
      <c r="E296" s="618" t="s">
        <v>1903</v>
      </c>
      <c r="F296" s="619">
        <v>0</v>
      </c>
      <c r="G296" s="619">
        <v>663754.72</v>
      </c>
      <c r="H296" s="619">
        <v>828429.37</v>
      </c>
      <c r="I296" s="619">
        <v>547661.93000000005</v>
      </c>
      <c r="J296" s="619">
        <v>291439.06</v>
      </c>
      <c r="K296" s="619">
        <v>168202.17</v>
      </c>
      <c r="L296" s="619">
        <v>120470.56</v>
      </c>
      <c r="M296" s="619">
        <v>119715.17</v>
      </c>
      <c r="N296" s="619">
        <v>66330.809999999896</v>
      </c>
      <c r="O296" s="619">
        <v>160392.48000000001</v>
      </c>
      <c r="P296" s="619">
        <v>386386.23</v>
      </c>
      <c r="Q296" s="619">
        <v>-170858.55</v>
      </c>
      <c r="R296" s="619">
        <v>-201602.1</v>
      </c>
      <c r="S296" s="498">
        <f t="shared" si="76"/>
        <v>256760.2416666667</v>
      </c>
      <c r="T296" s="620"/>
      <c r="U296" s="657"/>
      <c r="V296" s="690"/>
      <c r="W296" s="690"/>
      <c r="X296" s="713">
        <f>+S296</f>
        <v>256760.2416666667</v>
      </c>
      <c r="Y296" s="690"/>
      <c r="Z296" s="690"/>
      <c r="AA296" s="657"/>
      <c r="AB296" s="690">
        <f>+S296</f>
        <v>256760.2416666667</v>
      </c>
      <c r="AC296" s="658"/>
      <c r="AD296" s="659"/>
      <c r="AE296" s="658"/>
      <c r="AF296" s="688"/>
    </row>
    <row r="297" spans="1:32">
      <c r="A297" s="620">
        <v>283</v>
      </c>
      <c r="B297" s="326" t="s">
        <v>1874</v>
      </c>
      <c r="C297" s="326" t="s">
        <v>1905</v>
      </c>
      <c r="D297" s="326" t="s">
        <v>455</v>
      </c>
      <c r="E297" s="618" t="s">
        <v>1906</v>
      </c>
      <c r="F297" s="619">
        <v>0</v>
      </c>
      <c r="G297" s="619">
        <v>0</v>
      </c>
      <c r="H297" s="619">
        <v>289719.78000000003</v>
      </c>
      <c r="I297" s="619">
        <v>283311.46000000002</v>
      </c>
      <c r="J297" s="619">
        <v>278107.78999999998</v>
      </c>
      <c r="K297" s="619">
        <v>272887.74</v>
      </c>
      <c r="L297" s="619">
        <v>266375.51</v>
      </c>
      <c r="M297" s="619">
        <v>251531.02</v>
      </c>
      <c r="N297" s="619">
        <v>246178.54</v>
      </c>
      <c r="O297" s="619">
        <v>239584.91</v>
      </c>
      <c r="P297" s="619">
        <v>234195.48</v>
      </c>
      <c r="Q297" s="619">
        <v>228789.27</v>
      </c>
      <c r="R297" s="619">
        <v>220703.66</v>
      </c>
      <c r="S297" s="498">
        <f t="shared" si="76"/>
        <v>225086.11083333334</v>
      </c>
      <c r="T297" s="620"/>
      <c r="U297" s="657"/>
      <c r="V297" s="690">
        <f>+S297</f>
        <v>225086.11083333334</v>
      </c>
      <c r="W297" s="690"/>
      <c r="X297" s="713"/>
      <c r="Y297" s="690"/>
      <c r="Z297" s="690"/>
      <c r="AA297" s="657"/>
      <c r="AB297" s="690"/>
      <c r="AC297" s="658"/>
      <c r="AD297" s="659">
        <f>+S297</f>
        <v>225086.11083333334</v>
      </c>
      <c r="AE297" s="658"/>
      <c r="AF297" s="688"/>
    </row>
    <row r="298" spans="1:32">
      <c r="A298" s="620">
        <v>284</v>
      </c>
      <c r="B298" s="620"/>
      <c r="C298" s="620"/>
      <c r="D298" s="620"/>
      <c r="E298" s="618" t="s">
        <v>502</v>
      </c>
      <c r="F298" s="500">
        <f>SUM(F229:F297)</f>
        <v>90797163.850000009</v>
      </c>
      <c r="G298" s="500">
        <f t="shared" ref="G298:S298" si="77">SUM(G229:G297)</f>
        <v>83872115.900000006</v>
      </c>
      <c r="H298" s="500">
        <f t="shared" si="77"/>
        <v>84250807.50999999</v>
      </c>
      <c r="I298" s="500">
        <f t="shared" si="77"/>
        <v>84249637.769999996</v>
      </c>
      <c r="J298" s="500">
        <f t="shared" si="77"/>
        <v>82986934.51000002</v>
      </c>
      <c r="K298" s="500">
        <f t="shared" si="77"/>
        <v>82892982.759999961</v>
      </c>
      <c r="L298" s="500">
        <f t="shared" si="77"/>
        <v>82461224.200000063</v>
      </c>
      <c r="M298" s="500">
        <f t="shared" si="77"/>
        <v>82876149.450000018</v>
      </c>
      <c r="N298" s="500">
        <f t="shared" si="77"/>
        <v>82646604.889999986</v>
      </c>
      <c r="O298" s="500">
        <f t="shared" si="77"/>
        <v>82951796.799999997</v>
      </c>
      <c r="P298" s="500">
        <f t="shared" si="77"/>
        <v>83443873.230000019</v>
      </c>
      <c r="Q298" s="500">
        <f t="shared" si="77"/>
        <v>80998826.870000005</v>
      </c>
      <c r="R298" s="500">
        <f t="shared" si="77"/>
        <v>78817809.329999998</v>
      </c>
      <c r="S298" s="500">
        <f t="shared" si="77"/>
        <v>83203203.373333305</v>
      </c>
      <c r="T298" s="620"/>
      <c r="U298" s="657"/>
      <c r="V298" s="690"/>
      <c r="W298" s="690"/>
      <c r="X298" s="713"/>
      <c r="Y298" s="690"/>
      <c r="Z298" s="690"/>
      <c r="AA298" s="657"/>
      <c r="AB298" s="690"/>
      <c r="AC298" s="658"/>
      <c r="AD298" s="658"/>
      <c r="AE298" s="658"/>
      <c r="AF298" s="688">
        <f t="shared" si="62"/>
        <v>0</v>
      </c>
    </row>
    <row r="299" spans="1:32">
      <c r="A299" s="620">
        <v>285</v>
      </c>
      <c r="B299" s="620"/>
      <c r="C299" s="620"/>
      <c r="D299" s="620"/>
      <c r="E299" s="605"/>
      <c r="F299" s="619"/>
      <c r="G299" s="324"/>
      <c r="H299" s="315"/>
      <c r="I299" s="315"/>
      <c r="J299" s="316"/>
      <c r="K299" s="317"/>
      <c r="L299" s="318"/>
      <c r="M299" s="319"/>
      <c r="N299" s="320"/>
      <c r="O299" s="606"/>
      <c r="P299" s="321"/>
      <c r="Q299" s="325"/>
      <c r="R299" s="619"/>
      <c r="S299" s="304"/>
      <c r="T299" s="620"/>
      <c r="U299" s="657"/>
      <c r="V299" s="690"/>
      <c r="W299" s="690"/>
      <c r="X299" s="713"/>
      <c r="Y299" s="690"/>
      <c r="Z299" s="690"/>
      <c r="AA299" s="657"/>
      <c r="AB299" s="690"/>
      <c r="AC299" s="658"/>
      <c r="AD299" s="658"/>
      <c r="AE299" s="658"/>
      <c r="AF299" s="688">
        <f t="shared" si="62"/>
        <v>0</v>
      </c>
    </row>
    <row r="300" spans="1:32">
      <c r="A300" s="620">
        <v>286</v>
      </c>
      <c r="B300" s="326" t="s">
        <v>380</v>
      </c>
      <c r="C300" s="326" t="s">
        <v>503</v>
      </c>
      <c r="D300" s="326" t="s">
        <v>380</v>
      </c>
      <c r="E300" s="618" t="s">
        <v>504</v>
      </c>
      <c r="F300" s="619">
        <v>139413148.13</v>
      </c>
      <c r="G300" s="619">
        <v>19498287.82</v>
      </c>
      <c r="H300" s="619">
        <v>42963718.759999998</v>
      </c>
      <c r="I300" s="619">
        <v>60184862.039999999</v>
      </c>
      <c r="J300" s="619">
        <v>70104690.230000004</v>
      </c>
      <c r="K300" s="619">
        <v>76135787.719999999</v>
      </c>
      <c r="L300" s="619">
        <v>80684630.609999999</v>
      </c>
      <c r="M300" s="619">
        <v>85208369.680000007</v>
      </c>
      <c r="N300" s="619">
        <v>88234764.299999997</v>
      </c>
      <c r="O300" s="619">
        <v>94309037.239999995</v>
      </c>
      <c r="P300" s="619">
        <v>108758984.14</v>
      </c>
      <c r="Q300" s="619">
        <v>130579212.08</v>
      </c>
      <c r="R300" s="619">
        <v>156654971.69999999</v>
      </c>
      <c r="S300" s="498">
        <f>((F300+R300)+((G300+H300+I300+J300+K300+L300+M300+N300+O300+P300+Q300)*2))/24</f>
        <v>83724700.377916679</v>
      </c>
      <c r="T300" s="620"/>
      <c r="U300" s="657"/>
      <c r="V300" s="690"/>
      <c r="W300" s="690">
        <f t="shared" ref="W300:W303" si="78">+S300</f>
        <v>83724700.377916679</v>
      </c>
      <c r="X300" s="713"/>
      <c r="Y300" s="690"/>
      <c r="Z300" s="690"/>
      <c r="AA300" s="657"/>
      <c r="AB300" s="690"/>
      <c r="AC300" s="659">
        <f>+S300</f>
        <v>83724700.377916679</v>
      </c>
      <c r="AD300" s="658"/>
      <c r="AE300" s="658"/>
      <c r="AF300" s="688">
        <f t="shared" si="62"/>
        <v>0</v>
      </c>
    </row>
    <row r="301" spans="1:32">
      <c r="A301" s="620">
        <v>287</v>
      </c>
      <c r="B301" s="326" t="s">
        <v>380</v>
      </c>
      <c r="C301" s="326" t="s">
        <v>505</v>
      </c>
      <c r="D301" s="326" t="s">
        <v>380</v>
      </c>
      <c r="E301" s="618" t="s">
        <v>506</v>
      </c>
      <c r="F301" s="619">
        <v>53526616.649999999</v>
      </c>
      <c r="G301" s="619">
        <v>5902548.9699999997</v>
      </c>
      <c r="H301" s="619">
        <v>10693985.939999999</v>
      </c>
      <c r="I301" s="619">
        <v>15974280.960000001</v>
      </c>
      <c r="J301" s="619">
        <v>20516668.18</v>
      </c>
      <c r="K301" s="619">
        <v>25771922.5</v>
      </c>
      <c r="L301" s="619">
        <v>29912106.329999998</v>
      </c>
      <c r="M301" s="619">
        <v>34604558.259999998</v>
      </c>
      <c r="N301" s="619">
        <v>38762060.390000001</v>
      </c>
      <c r="O301" s="619">
        <v>43384306.619999997</v>
      </c>
      <c r="P301" s="619">
        <v>48722937.189999998</v>
      </c>
      <c r="Q301" s="619">
        <v>53673859.75</v>
      </c>
      <c r="R301" s="619">
        <v>59786976.289999999</v>
      </c>
      <c r="S301" s="498">
        <f>((F301+R301)+((G301+H301+I301+J301+K301+L301+M301+N301+O301+P301+Q301)*2))/24</f>
        <v>32048002.629999995</v>
      </c>
      <c r="T301" s="620"/>
      <c r="U301" s="657"/>
      <c r="V301" s="690"/>
      <c r="W301" s="690">
        <f t="shared" si="78"/>
        <v>32048002.629999995</v>
      </c>
      <c r="X301" s="713"/>
      <c r="Y301" s="690"/>
      <c r="Z301" s="690"/>
      <c r="AA301" s="657"/>
      <c r="AB301" s="690"/>
      <c r="AC301" s="659">
        <f t="shared" ref="AC301:AC303" si="79">+S301</f>
        <v>32048002.629999995</v>
      </c>
      <c r="AD301" s="658"/>
      <c r="AE301" s="658"/>
      <c r="AF301" s="688">
        <f t="shared" ref="AF301:AF369" si="80">+U301+V301-AD301</f>
        <v>0</v>
      </c>
    </row>
    <row r="302" spans="1:32">
      <c r="A302" s="620">
        <v>288</v>
      </c>
      <c r="B302" s="326" t="s">
        <v>380</v>
      </c>
      <c r="C302" s="326" t="s">
        <v>507</v>
      </c>
      <c r="D302" s="326" t="s">
        <v>508</v>
      </c>
      <c r="E302" s="618" t="s">
        <v>509</v>
      </c>
      <c r="F302" s="619">
        <v>0</v>
      </c>
      <c r="G302" s="619">
        <v>0</v>
      </c>
      <c r="H302" s="619">
        <v>0</v>
      </c>
      <c r="I302" s="619">
        <v>0</v>
      </c>
      <c r="J302" s="619">
        <v>0</v>
      </c>
      <c r="K302" s="619">
        <v>0</v>
      </c>
      <c r="L302" s="619">
        <v>0</v>
      </c>
      <c r="M302" s="619">
        <v>0</v>
      </c>
      <c r="N302" s="619">
        <v>0</v>
      </c>
      <c r="O302" s="619">
        <v>0</v>
      </c>
      <c r="P302" s="619">
        <v>0</v>
      </c>
      <c r="Q302" s="619">
        <v>0</v>
      </c>
      <c r="R302" s="619">
        <v>0</v>
      </c>
      <c r="S302" s="498">
        <f>((F302+R302)+((G302+H302+I302+J302+K302+L302+M302+N302+O302+P302+Q302)*2))/24</f>
        <v>0</v>
      </c>
      <c r="T302" s="620"/>
      <c r="U302" s="657"/>
      <c r="V302" s="690"/>
      <c r="W302" s="690">
        <f t="shared" si="78"/>
        <v>0</v>
      </c>
      <c r="X302" s="713"/>
      <c r="Y302" s="690"/>
      <c r="Z302" s="690"/>
      <c r="AA302" s="657"/>
      <c r="AB302" s="690"/>
      <c r="AC302" s="659">
        <f t="shared" si="79"/>
        <v>0</v>
      </c>
      <c r="AD302" s="658"/>
      <c r="AE302" s="658"/>
      <c r="AF302" s="688">
        <f t="shared" si="80"/>
        <v>0</v>
      </c>
    </row>
    <row r="303" spans="1:32">
      <c r="A303" s="620">
        <v>289</v>
      </c>
      <c r="B303" s="326" t="s">
        <v>380</v>
      </c>
      <c r="C303" s="326" t="s">
        <v>510</v>
      </c>
      <c r="D303" s="326" t="s">
        <v>380</v>
      </c>
      <c r="E303" s="618" t="s">
        <v>511</v>
      </c>
      <c r="F303" s="313">
        <v>8005145.8399999999</v>
      </c>
      <c r="G303" s="313">
        <v>608458.04</v>
      </c>
      <c r="H303" s="313">
        <v>1195964.1399999999</v>
      </c>
      <c r="I303" s="313">
        <v>1854951.61</v>
      </c>
      <c r="J303" s="313">
        <v>2642517.87</v>
      </c>
      <c r="K303" s="313">
        <v>3362523.23</v>
      </c>
      <c r="L303" s="313">
        <v>3945487.04</v>
      </c>
      <c r="M303" s="313">
        <v>4778990.8600000003</v>
      </c>
      <c r="N303" s="313">
        <v>5481968.5499999998</v>
      </c>
      <c r="O303" s="313">
        <v>6115121.4000000004</v>
      </c>
      <c r="P303" s="313">
        <v>6909520.1299999999</v>
      </c>
      <c r="Q303" s="313">
        <v>7549900.5300000003</v>
      </c>
      <c r="R303" s="313">
        <v>8302733.6799999997</v>
      </c>
      <c r="S303" s="498">
        <f>((F303+R303)+((G303+H303+I303+J303+K303+L303+M303+N303+O303+P303+Q303)*2))/24</f>
        <v>4383278.5966666667</v>
      </c>
      <c r="T303" s="620"/>
      <c r="U303" s="657"/>
      <c r="V303" s="690"/>
      <c r="W303" s="690">
        <f t="shared" si="78"/>
        <v>4383278.5966666667</v>
      </c>
      <c r="X303" s="713"/>
      <c r="Y303" s="690"/>
      <c r="Z303" s="690"/>
      <c r="AA303" s="657"/>
      <c r="AB303" s="690"/>
      <c r="AC303" s="659">
        <f t="shared" si="79"/>
        <v>4383278.5966666667</v>
      </c>
      <c r="AD303" s="658"/>
      <c r="AE303" s="658"/>
      <c r="AF303" s="688">
        <f t="shared" si="80"/>
        <v>0</v>
      </c>
    </row>
    <row r="304" spans="1:32">
      <c r="A304" s="620">
        <v>290</v>
      </c>
      <c r="B304" s="326"/>
      <c r="C304" s="326"/>
      <c r="D304" s="326"/>
      <c r="E304" s="618" t="s">
        <v>512</v>
      </c>
      <c r="F304" s="305">
        <f>SUM(F300:F303)</f>
        <v>200944910.62</v>
      </c>
      <c r="G304" s="305">
        <f t="shared" ref="G304:S304" si="81">SUM(G300:G303)</f>
        <v>26009294.829999998</v>
      </c>
      <c r="H304" s="305">
        <f t="shared" si="81"/>
        <v>54853668.839999996</v>
      </c>
      <c r="I304" s="305">
        <f t="shared" si="81"/>
        <v>78014094.609999999</v>
      </c>
      <c r="J304" s="305">
        <f t="shared" si="81"/>
        <v>93263876.280000001</v>
      </c>
      <c r="K304" s="305">
        <f t="shared" si="81"/>
        <v>105270233.45</v>
      </c>
      <c r="L304" s="305">
        <f t="shared" si="81"/>
        <v>114542223.98</v>
      </c>
      <c r="M304" s="305">
        <f t="shared" si="81"/>
        <v>124591918.8</v>
      </c>
      <c r="N304" s="305">
        <f t="shared" si="81"/>
        <v>132478793.23999999</v>
      </c>
      <c r="O304" s="305">
        <f t="shared" si="81"/>
        <v>143808465.25999999</v>
      </c>
      <c r="P304" s="305">
        <f t="shared" si="81"/>
        <v>164391441.45999998</v>
      </c>
      <c r="Q304" s="305">
        <f t="shared" si="81"/>
        <v>191802972.35999998</v>
      </c>
      <c r="R304" s="305">
        <f t="shared" si="81"/>
        <v>224744681.66999999</v>
      </c>
      <c r="S304" s="500">
        <f t="shared" si="81"/>
        <v>120155981.60458334</v>
      </c>
      <c r="T304" s="620"/>
      <c r="U304" s="657"/>
      <c r="V304" s="690"/>
      <c r="W304" s="690"/>
      <c r="X304" s="713"/>
      <c r="Y304" s="690"/>
      <c r="Z304" s="690"/>
      <c r="AA304" s="657"/>
      <c r="AB304" s="690"/>
      <c r="AC304" s="658"/>
      <c r="AD304" s="658"/>
      <c r="AE304" s="658"/>
      <c r="AF304" s="688">
        <f t="shared" si="80"/>
        <v>0</v>
      </c>
    </row>
    <row r="305" spans="1:32">
      <c r="A305" s="620">
        <v>291</v>
      </c>
      <c r="B305" s="620"/>
      <c r="C305" s="620"/>
      <c r="D305" s="620"/>
      <c r="E305" s="605"/>
      <c r="F305" s="619"/>
      <c r="G305" s="324"/>
      <c r="H305" s="315"/>
      <c r="I305" s="315"/>
      <c r="J305" s="316"/>
      <c r="K305" s="317"/>
      <c r="L305" s="318"/>
      <c r="M305" s="319"/>
      <c r="N305" s="320"/>
      <c r="O305" s="606"/>
      <c r="P305" s="321"/>
      <c r="Q305" s="325"/>
      <c r="R305" s="619"/>
      <c r="S305" s="304"/>
      <c r="T305" s="620"/>
      <c r="U305" s="657"/>
      <c r="V305" s="690"/>
      <c r="W305" s="690"/>
      <c r="X305" s="713"/>
      <c r="Y305" s="690"/>
      <c r="Z305" s="690"/>
      <c r="AA305" s="657"/>
      <c r="AB305" s="690"/>
      <c r="AC305" s="658"/>
      <c r="AD305" s="658"/>
      <c r="AE305" s="658"/>
      <c r="AF305" s="688">
        <f t="shared" si="80"/>
        <v>0</v>
      </c>
    </row>
    <row r="306" spans="1:32">
      <c r="A306" s="620">
        <v>292</v>
      </c>
      <c r="B306" s="326" t="s">
        <v>1005</v>
      </c>
      <c r="C306" s="326" t="s">
        <v>513</v>
      </c>
      <c r="D306" s="620"/>
      <c r="E306" s="618" t="s">
        <v>514</v>
      </c>
      <c r="F306" s="619">
        <v>0</v>
      </c>
      <c r="G306" s="619">
        <v>0</v>
      </c>
      <c r="H306" s="619">
        <v>0</v>
      </c>
      <c r="I306" s="619">
        <v>0</v>
      </c>
      <c r="J306" s="619">
        <v>0</v>
      </c>
      <c r="K306" s="619">
        <v>0</v>
      </c>
      <c r="L306" s="619">
        <v>0</v>
      </c>
      <c r="M306" s="619">
        <v>0</v>
      </c>
      <c r="N306" s="619">
        <v>0</v>
      </c>
      <c r="O306" s="619">
        <v>0</v>
      </c>
      <c r="P306" s="619">
        <v>0</v>
      </c>
      <c r="Q306" s="619">
        <v>0</v>
      </c>
      <c r="R306" s="619">
        <v>0</v>
      </c>
      <c r="S306" s="304">
        <f>((F306+R306)+((G306+H306+I306+J306+K306+L306+M306+N306+O306+P306+Q306)*2))/24</f>
        <v>0</v>
      </c>
      <c r="T306" s="620"/>
      <c r="U306" s="657"/>
      <c r="V306" s="690"/>
      <c r="W306" s="690">
        <f t="shared" ref="W306:W324" si="82">+S306</f>
        <v>0</v>
      </c>
      <c r="X306" s="713"/>
      <c r="Y306" s="690"/>
      <c r="Z306" s="690"/>
      <c r="AA306" s="657"/>
      <c r="AB306" s="690"/>
      <c r="AC306" s="659">
        <f t="shared" ref="AC306:AC324" si="83">+S306</f>
        <v>0</v>
      </c>
      <c r="AD306" s="658"/>
      <c r="AE306" s="658"/>
      <c r="AF306" s="688">
        <f t="shared" si="80"/>
        <v>0</v>
      </c>
    </row>
    <row r="307" spans="1:32">
      <c r="A307" s="620">
        <v>293</v>
      </c>
      <c r="B307" s="326" t="s">
        <v>980</v>
      </c>
      <c r="C307" s="326" t="s">
        <v>513</v>
      </c>
      <c r="D307" s="620"/>
      <c r="E307" s="618" t="s">
        <v>514</v>
      </c>
      <c r="F307" s="619">
        <v>0</v>
      </c>
      <c r="G307" s="619">
        <v>0</v>
      </c>
      <c r="H307" s="619">
        <v>0</v>
      </c>
      <c r="I307" s="619">
        <v>0</v>
      </c>
      <c r="J307" s="619">
        <v>0</v>
      </c>
      <c r="K307" s="619">
        <v>0</v>
      </c>
      <c r="L307" s="619">
        <v>0</v>
      </c>
      <c r="M307" s="619">
        <v>0</v>
      </c>
      <c r="N307" s="619">
        <v>0</v>
      </c>
      <c r="O307" s="619">
        <v>0</v>
      </c>
      <c r="P307" s="619">
        <v>0</v>
      </c>
      <c r="Q307" s="619">
        <v>0</v>
      </c>
      <c r="R307" s="619">
        <v>0</v>
      </c>
      <c r="S307" s="304">
        <f>((F307+R307)+((G307+H307+I307+J307+K307+L307+M307+N307+O307+P307+Q307)*2))/24</f>
        <v>0</v>
      </c>
      <c r="T307" s="620"/>
      <c r="U307" s="657"/>
      <c r="V307" s="690"/>
      <c r="W307" s="690">
        <f t="shared" si="82"/>
        <v>0</v>
      </c>
      <c r="X307" s="713"/>
      <c r="Y307" s="690"/>
      <c r="Z307" s="690"/>
      <c r="AA307" s="657"/>
      <c r="AB307" s="690"/>
      <c r="AC307" s="659">
        <f t="shared" si="83"/>
        <v>0</v>
      </c>
      <c r="AD307" s="658"/>
      <c r="AE307" s="658"/>
      <c r="AF307" s="688">
        <f t="shared" si="80"/>
        <v>0</v>
      </c>
    </row>
    <row r="308" spans="1:32">
      <c r="A308" s="620">
        <v>294</v>
      </c>
      <c r="B308" s="326"/>
      <c r="C308" s="326"/>
      <c r="D308" s="620"/>
      <c r="E308" s="618"/>
      <c r="F308" s="619"/>
      <c r="G308" s="619"/>
      <c r="H308" s="619"/>
      <c r="I308" s="619"/>
      <c r="J308" s="619"/>
      <c r="K308" s="619"/>
      <c r="L308" s="619"/>
      <c r="M308" s="619"/>
      <c r="N308" s="619"/>
      <c r="O308" s="619"/>
      <c r="P308" s="619"/>
      <c r="Q308" s="619"/>
      <c r="R308" s="619"/>
      <c r="S308" s="304"/>
      <c r="T308" s="620"/>
      <c r="U308" s="657"/>
      <c r="V308" s="690"/>
      <c r="W308" s="690"/>
      <c r="X308" s="713"/>
      <c r="Y308" s="690"/>
      <c r="Z308" s="690"/>
      <c r="AA308" s="657"/>
      <c r="AB308" s="690"/>
      <c r="AC308" s="659"/>
      <c r="AD308" s="658"/>
      <c r="AE308" s="658"/>
      <c r="AF308" s="688"/>
    </row>
    <row r="309" spans="1:32">
      <c r="A309" s="620">
        <v>295</v>
      </c>
      <c r="B309" s="620" t="s">
        <v>977</v>
      </c>
      <c r="C309" s="620" t="s">
        <v>515</v>
      </c>
      <c r="D309" s="620" t="s">
        <v>1907</v>
      </c>
      <c r="E309" s="605" t="s">
        <v>1908</v>
      </c>
      <c r="F309" s="619">
        <v>0</v>
      </c>
      <c r="G309" s="324">
        <v>0</v>
      </c>
      <c r="H309" s="315">
        <v>0</v>
      </c>
      <c r="I309" s="315">
        <v>0</v>
      </c>
      <c r="J309" s="316">
        <v>0</v>
      </c>
      <c r="K309" s="317">
        <v>0</v>
      </c>
      <c r="L309" s="318">
        <v>15645</v>
      </c>
      <c r="M309" s="319">
        <v>21777</v>
      </c>
      <c r="N309" s="320">
        <v>24843</v>
      </c>
      <c r="O309" s="606">
        <v>27909</v>
      </c>
      <c r="P309" s="321">
        <v>30975</v>
      </c>
      <c r="Q309" s="325">
        <v>34041</v>
      </c>
      <c r="R309" s="619">
        <v>36822.300000000003</v>
      </c>
      <c r="S309" s="498">
        <f>((F309+R309)+((G309+H309+I309+J309+K309+L309+M309+N309+O309+P309+Q309)*2))/24</f>
        <v>14466.762499999999</v>
      </c>
      <c r="T309" s="620"/>
      <c r="U309" s="657"/>
      <c r="V309" s="690"/>
      <c r="W309" s="690">
        <f t="shared" si="82"/>
        <v>14466.762499999999</v>
      </c>
      <c r="X309" s="713"/>
      <c r="Y309" s="690"/>
      <c r="Z309" s="690"/>
      <c r="AA309" s="657"/>
      <c r="AB309" s="690"/>
      <c r="AC309" s="659">
        <f t="shared" si="83"/>
        <v>14466.762499999999</v>
      </c>
      <c r="AD309" s="658"/>
      <c r="AE309" s="658"/>
      <c r="AF309" s="688">
        <f t="shared" si="80"/>
        <v>0</v>
      </c>
    </row>
    <row r="310" spans="1:32">
      <c r="A310" s="620">
        <v>296</v>
      </c>
      <c r="B310" s="326" t="s">
        <v>1005</v>
      </c>
      <c r="C310" s="326" t="s">
        <v>515</v>
      </c>
      <c r="D310" s="326" t="s">
        <v>1198</v>
      </c>
      <c r="E310" s="618" t="s">
        <v>1624</v>
      </c>
      <c r="F310" s="619">
        <v>192824.35</v>
      </c>
      <c r="G310" s="619">
        <v>16075.52</v>
      </c>
      <c r="H310" s="619">
        <v>32151.040000000001</v>
      </c>
      <c r="I310" s="619">
        <v>47638.3</v>
      </c>
      <c r="J310" s="619">
        <v>63125.56</v>
      </c>
      <c r="K310" s="619">
        <v>78612.820000000007</v>
      </c>
      <c r="L310" s="619">
        <v>94100.08</v>
      </c>
      <c r="M310" s="619">
        <v>109587.34</v>
      </c>
      <c r="N310" s="619">
        <v>125074.6</v>
      </c>
      <c r="O310" s="619">
        <v>140561.85999999999</v>
      </c>
      <c r="P310" s="619">
        <v>156049.12</v>
      </c>
      <c r="Q310" s="619">
        <v>171536.38</v>
      </c>
      <c r="R310" s="619">
        <v>187023.64</v>
      </c>
      <c r="S310" s="498">
        <f>((F310+R310)+((G310+H310+I310+J310+K310+L310+M310+N310+O310+P310+Q310)*2))/24</f>
        <v>102036.38458333333</v>
      </c>
      <c r="T310" s="620"/>
      <c r="U310" s="657"/>
      <c r="V310" s="690"/>
      <c r="W310" s="690">
        <f t="shared" si="82"/>
        <v>102036.38458333333</v>
      </c>
      <c r="X310" s="713"/>
      <c r="Y310" s="690"/>
      <c r="Z310" s="690"/>
      <c r="AA310" s="657"/>
      <c r="AB310" s="690"/>
      <c r="AC310" s="659">
        <f t="shared" si="83"/>
        <v>102036.38458333333</v>
      </c>
      <c r="AD310" s="658"/>
      <c r="AE310" s="658"/>
      <c r="AF310" s="688">
        <f t="shared" si="80"/>
        <v>0</v>
      </c>
    </row>
    <row r="311" spans="1:32">
      <c r="A311" s="620">
        <v>297</v>
      </c>
      <c r="B311" s="326" t="s">
        <v>980</v>
      </c>
      <c r="C311" s="326" t="s">
        <v>515</v>
      </c>
      <c r="D311" s="326" t="s">
        <v>1198</v>
      </c>
      <c r="E311" s="618" t="s">
        <v>1623</v>
      </c>
      <c r="F311" s="619">
        <v>441440.08</v>
      </c>
      <c r="G311" s="619">
        <v>58775.53</v>
      </c>
      <c r="H311" s="619">
        <v>121314.8</v>
      </c>
      <c r="I311" s="619">
        <v>189419.16</v>
      </c>
      <c r="J311" s="619">
        <v>232166.32</v>
      </c>
      <c r="K311" s="619">
        <v>250545.63</v>
      </c>
      <c r="L311" s="619">
        <v>271208.3</v>
      </c>
      <c r="M311" s="619">
        <v>289762.34999999998</v>
      </c>
      <c r="N311" s="619">
        <v>307709.62</v>
      </c>
      <c r="O311" s="619">
        <v>325464.8</v>
      </c>
      <c r="P311" s="619">
        <v>354222.54</v>
      </c>
      <c r="Q311" s="619">
        <v>399806.24</v>
      </c>
      <c r="R311" s="619">
        <v>467665.9</v>
      </c>
      <c r="S311" s="498">
        <f t="shared" ref="S311:S323" si="84">((F311+R311)+((G311+H311+I311+J311+K311+L311+M311+N311+O311+P311+Q311)*2))/24</f>
        <v>271245.69</v>
      </c>
      <c r="T311" s="620"/>
      <c r="U311" s="657"/>
      <c r="V311" s="690"/>
      <c r="W311" s="690">
        <f t="shared" si="82"/>
        <v>271245.69</v>
      </c>
      <c r="X311" s="713"/>
      <c r="Y311" s="690"/>
      <c r="Z311" s="690"/>
      <c r="AA311" s="657"/>
      <c r="AB311" s="690"/>
      <c r="AC311" s="659">
        <f t="shared" si="83"/>
        <v>271245.69</v>
      </c>
      <c r="AD311" s="658"/>
      <c r="AE311" s="658"/>
      <c r="AF311" s="688">
        <f t="shared" si="80"/>
        <v>0</v>
      </c>
    </row>
    <row r="312" spans="1:32">
      <c r="A312" s="620">
        <v>298</v>
      </c>
      <c r="B312" s="326" t="s">
        <v>980</v>
      </c>
      <c r="C312" s="326" t="s">
        <v>515</v>
      </c>
      <c r="D312" s="326" t="s">
        <v>440</v>
      </c>
      <c r="E312" s="618" t="s">
        <v>1630</v>
      </c>
      <c r="F312" s="619">
        <v>9826025.0600000005</v>
      </c>
      <c r="G312" s="619">
        <v>1330854.8700000001</v>
      </c>
      <c r="H312" s="619">
        <v>2753725.76</v>
      </c>
      <c r="I312" s="619">
        <v>4331125.0999999996</v>
      </c>
      <c r="J312" s="619">
        <v>5281304.3499999996</v>
      </c>
      <c r="K312" s="619">
        <v>5900267.8399999999</v>
      </c>
      <c r="L312" s="619">
        <v>6320072.2400000002</v>
      </c>
      <c r="M312" s="619">
        <v>6691861.2599999998</v>
      </c>
      <c r="N312" s="619">
        <v>7047148.79</v>
      </c>
      <c r="O312" s="619">
        <v>7385522.6399999997</v>
      </c>
      <c r="P312" s="619">
        <v>7965182.3099999996</v>
      </c>
      <c r="Q312" s="619">
        <v>8954706.1400000006</v>
      </c>
      <c r="R312" s="619">
        <v>10518223.220000001</v>
      </c>
      <c r="S312" s="498">
        <f t="shared" si="84"/>
        <v>6177824.6200000001</v>
      </c>
      <c r="T312" s="620"/>
      <c r="U312" s="657"/>
      <c r="V312" s="690"/>
      <c r="W312" s="690">
        <f t="shared" si="82"/>
        <v>6177824.6200000001</v>
      </c>
      <c r="X312" s="713"/>
      <c r="Y312" s="690"/>
      <c r="Z312" s="690"/>
      <c r="AA312" s="657"/>
      <c r="AB312" s="690"/>
      <c r="AC312" s="659">
        <f t="shared" si="83"/>
        <v>6177824.6200000001</v>
      </c>
      <c r="AD312" s="658"/>
      <c r="AE312" s="658"/>
      <c r="AF312" s="688">
        <f t="shared" si="80"/>
        <v>0</v>
      </c>
    </row>
    <row r="313" spans="1:32">
      <c r="A313" s="620">
        <v>299</v>
      </c>
      <c r="B313" s="326" t="s">
        <v>980</v>
      </c>
      <c r="C313" s="326" t="s">
        <v>515</v>
      </c>
      <c r="D313" s="326" t="s">
        <v>441</v>
      </c>
      <c r="E313" s="618" t="s">
        <v>1631</v>
      </c>
      <c r="F313" s="619">
        <v>8579658.0999999996</v>
      </c>
      <c r="G313" s="619">
        <v>1130343.76</v>
      </c>
      <c r="H313" s="619">
        <v>2489322.56</v>
      </c>
      <c r="I313" s="619">
        <v>3523896.71</v>
      </c>
      <c r="J313" s="619">
        <v>4124001.15</v>
      </c>
      <c r="K313" s="619">
        <v>4562856.3499999996</v>
      </c>
      <c r="L313" s="619">
        <v>4905032.3899999997</v>
      </c>
      <c r="M313" s="619">
        <v>5260591.8499999996</v>
      </c>
      <c r="N313" s="619">
        <v>5546447.9800000004</v>
      </c>
      <c r="O313" s="619">
        <v>5977545.0199999996</v>
      </c>
      <c r="P313" s="619">
        <v>6793463.6500000004</v>
      </c>
      <c r="Q313" s="619">
        <v>7994039.8399999999</v>
      </c>
      <c r="R313" s="619">
        <v>9428488.2300000004</v>
      </c>
      <c r="S313" s="498">
        <f t="shared" si="84"/>
        <v>5109301.2020833325</v>
      </c>
      <c r="T313" s="620"/>
      <c r="U313" s="657"/>
      <c r="V313" s="690"/>
      <c r="W313" s="690">
        <f t="shared" si="82"/>
        <v>5109301.2020833325</v>
      </c>
      <c r="X313" s="713"/>
      <c r="Y313" s="690"/>
      <c r="Z313" s="690"/>
      <c r="AA313" s="657"/>
      <c r="AB313" s="690"/>
      <c r="AC313" s="659">
        <f t="shared" si="83"/>
        <v>5109301.2020833325</v>
      </c>
      <c r="AD313" s="658"/>
      <c r="AE313" s="658"/>
      <c r="AF313" s="688">
        <f t="shared" si="80"/>
        <v>0</v>
      </c>
    </row>
    <row r="314" spans="1:32">
      <c r="A314" s="620">
        <v>300</v>
      </c>
      <c r="B314" s="326" t="s">
        <v>1005</v>
      </c>
      <c r="C314" s="326" t="s">
        <v>515</v>
      </c>
      <c r="D314" s="536" t="s">
        <v>1199</v>
      </c>
      <c r="E314" s="618" t="s">
        <v>1627</v>
      </c>
      <c r="F314" s="619">
        <v>85001.3</v>
      </c>
      <c r="G314" s="619">
        <v>6897.58</v>
      </c>
      <c r="H314" s="619">
        <v>13795.16</v>
      </c>
      <c r="I314" s="619">
        <v>20692.740000000002</v>
      </c>
      <c r="J314" s="619">
        <v>27590.32</v>
      </c>
      <c r="K314" s="619">
        <v>34487.9</v>
      </c>
      <c r="L314" s="619">
        <v>41385.480000000003</v>
      </c>
      <c r="M314" s="619">
        <v>48283.06</v>
      </c>
      <c r="N314" s="619">
        <v>54360.84</v>
      </c>
      <c r="O314" s="619">
        <v>60438.62</v>
      </c>
      <c r="P314" s="619">
        <v>66516.399999999994</v>
      </c>
      <c r="Q314" s="619">
        <v>72594.179999999993</v>
      </c>
      <c r="R314" s="619">
        <v>78671.960000000006</v>
      </c>
      <c r="S314" s="498">
        <f t="shared" si="84"/>
        <v>44073.242499999993</v>
      </c>
      <c r="T314" s="620"/>
      <c r="U314" s="657"/>
      <c r="V314" s="690"/>
      <c r="W314" s="690">
        <f t="shared" si="82"/>
        <v>44073.242499999993</v>
      </c>
      <c r="X314" s="713"/>
      <c r="Y314" s="690"/>
      <c r="Z314" s="690"/>
      <c r="AA314" s="657"/>
      <c r="AB314" s="690"/>
      <c r="AC314" s="659">
        <f t="shared" si="83"/>
        <v>44073.242499999993</v>
      </c>
      <c r="AD314" s="658"/>
      <c r="AE314" s="658"/>
      <c r="AF314" s="688">
        <f t="shared" si="80"/>
        <v>0</v>
      </c>
    </row>
    <row r="315" spans="1:32">
      <c r="A315" s="620">
        <v>301</v>
      </c>
      <c r="B315" s="326" t="s">
        <v>1005</v>
      </c>
      <c r="C315" s="326" t="s">
        <v>515</v>
      </c>
      <c r="D315" s="536" t="s">
        <v>1200</v>
      </c>
      <c r="E315" s="618" t="s">
        <v>1628</v>
      </c>
      <c r="F315" s="619">
        <v>1424187.05</v>
      </c>
      <c r="G315" s="619">
        <v>226798.65</v>
      </c>
      <c r="H315" s="619">
        <v>450539.53</v>
      </c>
      <c r="I315" s="619">
        <v>638883.72</v>
      </c>
      <c r="J315" s="619">
        <v>771798.77</v>
      </c>
      <c r="K315" s="619">
        <v>835906.93</v>
      </c>
      <c r="L315" s="619">
        <v>898115.42</v>
      </c>
      <c r="M315" s="619">
        <v>945799.7</v>
      </c>
      <c r="N315" s="619">
        <v>981155.53</v>
      </c>
      <c r="O315" s="619">
        <v>1042395.09</v>
      </c>
      <c r="P315" s="619">
        <v>1184892.1100000001</v>
      </c>
      <c r="Q315" s="619">
        <v>1365899.69</v>
      </c>
      <c r="R315" s="619">
        <v>1595454.84</v>
      </c>
      <c r="S315" s="498">
        <f t="shared" si="84"/>
        <v>904333.8404166667</v>
      </c>
      <c r="T315" s="620"/>
      <c r="U315" s="657"/>
      <c r="V315" s="690"/>
      <c r="W315" s="690">
        <f t="shared" si="82"/>
        <v>904333.8404166667</v>
      </c>
      <c r="X315" s="713"/>
      <c r="Y315" s="690"/>
      <c r="Z315" s="690"/>
      <c r="AA315" s="657"/>
      <c r="AB315" s="690"/>
      <c r="AC315" s="659">
        <f t="shared" si="83"/>
        <v>904333.8404166667</v>
      </c>
      <c r="AD315" s="658"/>
      <c r="AE315" s="658"/>
      <c r="AF315" s="688">
        <f t="shared" si="80"/>
        <v>0</v>
      </c>
    </row>
    <row r="316" spans="1:32">
      <c r="A316" s="620">
        <v>302</v>
      </c>
      <c r="B316" s="326" t="s">
        <v>980</v>
      </c>
      <c r="C316" s="326" t="s">
        <v>515</v>
      </c>
      <c r="D316" s="326" t="s">
        <v>1200</v>
      </c>
      <c r="E316" s="618" t="s">
        <v>1628</v>
      </c>
      <c r="F316" s="619">
        <v>208767.15</v>
      </c>
      <c r="G316" s="619">
        <v>28074.04</v>
      </c>
      <c r="H316" s="619">
        <v>56328.07</v>
      </c>
      <c r="I316" s="619">
        <v>88208.68</v>
      </c>
      <c r="J316" s="619">
        <v>109657.23</v>
      </c>
      <c r="K316" s="619">
        <v>126784.31</v>
      </c>
      <c r="L316" s="619">
        <v>136473.24</v>
      </c>
      <c r="M316" s="619">
        <v>145011.71</v>
      </c>
      <c r="N316" s="619">
        <v>152642.22</v>
      </c>
      <c r="O316" s="619">
        <v>160059.82</v>
      </c>
      <c r="P316" s="619">
        <v>170421.06</v>
      </c>
      <c r="Q316" s="619">
        <v>189387.09</v>
      </c>
      <c r="R316" s="619">
        <v>217905.58</v>
      </c>
      <c r="S316" s="498">
        <f t="shared" si="84"/>
        <v>131365.31958333333</v>
      </c>
      <c r="T316" s="620"/>
      <c r="U316" s="657"/>
      <c r="V316" s="690"/>
      <c r="W316" s="690">
        <f t="shared" si="82"/>
        <v>131365.31958333333</v>
      </c>
      <c r="X316" s="713"/>
      <c r="Y316" s="690"/>
      <c r="Z316" s="690"/>
      <c r="AA316" s="657"/>
      <c r="AB316" s="690"/>
      <c r="AC316" s="659">
        <f t="shared" si="83"/>
        <v>131365.31958333333</v>
      </c>
      <c r="AD316" s="658"/>
      <c r="AE316" s="658"/>
      <c r="AF316" s="688">
        <f t="shared" si="80"/>
        <v>0</v>
      </c>
    </row>
    <row r="317" spans="1:32">
      <c r="A317" s="620">
        <v>303</v>
      </c>
      <c r="B317" s="326" t="s">
        <v>1005</v>
      </c>
      <c r="C317" s="326" t="s">
        <v>515</v>
      </c>
      <c r="D317" s="326" t="s">
        <v>1201</v>
      </c>
      <c r="E317" s="618" t="s">
        <v>1629</v>
      </c>
      <c r="F317" s="619">
        <v>1111049.94</v>
      </c>
      <c r="G317" s="619">
        <v>171653.98</v>
      </c>
      <c r="H317" s="619">
        <v>334372.89</v>
      </c>
      <c r="I317" s="619">
        <v>517885.19</v>
      </c>
      <c r="J317" s="619">
        <v>647470.17000000004</v>
      </c>
      <c r="K317" s="619">
        <v>720626.82</v>
      </c>
      <c r="L317" s="619">
        <v>772105.24</v>
      </c>
      <c r="M317" s="619">
        <v>823398.98</v>
      </c>
      <c r="N317" s="619">
        <v>873249.75</v>
      </c>
      <c r="O317" s="619">
        <v>922405.42</v>
      </c>
      <c r="P317" s="619">
        <v>1020907.49</v>
      </c>
      <c r="Q317" s="619">
        <v>1171886.22</v>
      </c>
      <c r="R317" s="619">
        <v>1400826.71</v>
      </c>
      <c r="S317" s="498">
        <f t="shared" si="84"/>
        <v>769325.0395833333</v>
      </c>
      <c r="T317" s="620"/>
      <c r="U317" s="657"/>
      <c r="V317" s="690"/>
      <c r="W317" s="690">
        <f t="shared" si="82"/>
        <v>769325.0395833333</v>
      </c>
      <c r="X317" s="713"/>
      <c r="Y317" s="690"/>
      <c r="Z317" s="690"/>
      <c r="AA317" s="657"/>
      <c r="AB317" s="690"/>
      <c r="AC317" s="659">
        <f t="shared" si="83"/>
        <v>769325.0395833333</v>
      </c>
      <c r="AD317" s="658"/>
      <c r="AE317" s="658"/>
      <c r="AF317" s="688">
        <f t="shared" si="80"/>
        <v>0</v>
      </c>
    </row>
    <row r="318" spans="1:32">
      <c r="A318" s="620">
        <v>304</v>
      </c>
      <c r="B318" s="326" t="s">
        <v>977</v>
      </c>
      <c r="C318" s="326" t="s">
        <v>515</v>
      </c>
      <c r="D318" s="326" t="s">
        <v>1202</v>
      </c>
      <c r="E318" s="618" t="s">
        <v>1625</v>
      </c>
      <c r="F318" s="619">
        <v>275293.73</v>
      </c>
      <c r="G318" s="619">
        <v>19332</v>
      </c>
      <c r="H318" s="619">
        <v>38664</v>
      </c>
      <c r="I318" s="619">
        <v>57996</v>
      </c>
      <c r="J318" s="619">
        <v>35187.17</v>
      </c>
      <c r="K318" s="619">
        <v>48970.17</v>
      </c>
      <c r="L318" s="619">
        <v>65561.17</v>
      </c>
      <c r="M318" s="619">
        <v>82152.17</v>
      </c>
      <c r="N318" s="619">
        <v>107031.17</v>
      </c>
      <c r="O318" s="619">
        <v>124658.17</v>
      </c>
      <c r="P318" s="619">
        <v>142285.17000000001</v>
      </c>
      <c r="Q318" s="619">
        <v>159912.17000000001</v>
      </c>
      <c r="R318" s="619">
        <v>177539.17</v>
      </c>
      <c r="S318" s="498">
        <f t="shared" si="84"/>
        <v>92347.150833333333</v>
      </c>
      <c r="T318" s="620"/>
      <c r="U318" s="657"/>
      <c r="V318" s="690"/>
      <c r="W318" s="690">
        <f t="shared" si="82"/>
        <v>92347.150833333333</v>
      </c>
      <c r="X318" s="713"/>
      <c r="Y318" s="690"/>
      <c r="Z318" s="690"/>
      <c r="AA318" s="657"/>
      <c r="AB318" s="690"/>
      <c r="AC318" s="659">
        <f t="shared" si="83"/>
        <v>92347.150833333333</v>
      </c>
      <c r="AD318" s="658"/>
      <c r="AE318" s="658"/>
      <c r="AF318" s="688">
        <f t="shared" si="80"/>
        <v>0</v>
      </c>
    </row>
    <row r="319" spans="1:32">
      <c r="A319" s="620">
        <v>305</v>
      </c>
      <c r="B319" s="326" t="s">
        <v>1005</v>
      </c>
      <c r="C319" s="326" t="s">
        <v>515</v>
      </c>
      <c r="D319" s="326" t="s">
        <v>1202</v>
      </c>
      <c r="E319" s="618" t="s">
        <v>1625</v>
      </c>
      <c r="F319" s="619">
        <v>1616657.04</v>
      </c>
      <c r="G319" s="619">
        <v>140517</v>
      </c>
      <c r="H319" s="619">
        <v>281034</v>
      </c>
      <c r="I319" s="619">
        <v>421551</v>
      </c>
      <c r="J319" s="619">
        <v>562068</v>
      </c>
      <c r="K319" s="619">
        <v>702585</v>
      </c>
      <c r="L319" s="619">
        <v>843102</v>
      </c>
      <c r="M319" s="619">
        <v>1000496</v>
      </c>
      <c r="N319" s="619">
        <v>1157890</v>
      </c>
      <c r="O319" s="619">
        <v>1315284</v>
      </c>
      <c r="P319" s="619">
        <v>1472678</v>
      </c>
      <c r="Q319" s="619">
        <v>1629206.24</v>
      </c>
      <c r="R319" s="619">
        <v>1785732.24</v>
      </c>
      <c r="S319" s="498">
        <f>((F319+R319)+((G319+H319+I319+J319+K319+L319+M319+N319+O319+P319+Q319)*2))/24</f>
        <v>935633.82333333336</v>
      </c>
      <c r="T319" s="620"/>
      <c r="U319" s="657"/>
      <c r="V319" s="690"/>
      <c r="W319" s="690">
        <f t="shared" si="82"/>
        <v>935633.82333333336</v>
      </c>
      <c r="X319" s="713"/>
      <c r="Y319" s="690"/>
      <c r="Z319" s="690"/>
      <c r="AA319" s="657"/>
      <c r="AB319" s="690"/>
      <c r="AC319" s="659">
        <f t="shared" si="83"/>
        <v>935633.82333333336</v>
      </c>
      <c r="AD319" s="658"/>
      <c r="AE319" s="658"/>
      <c r="AF319" s="688">
        <f t="shared" si="80"/>
        <v>0</v>
      </c>
    </row>
    <row r="320" spans="1:32">
      <c r="A320" s="620">
        <v>306</v>
      </c>
      <c r="B320" s="326" t="s">
        <v>980</v>
      </c>
      <c r="C320" s="326" t="s">
        <v>515</v>
      </c>
      <c r="D320" s="326" t="s">
        <v>1202</v>
      </c>
      <c r="E320" s="618" t="s">
        <v>1625</v>
      </c>
      <c r="F320" s="619">
        <v>2348751.16</v>
      </c>
      <c r="G320" s="619">
        <v>209006</v>
      </c>
      <c r="H320" s="619">
        <v>418012</v>
      </c>
      <c r="I320" s="619">
        <v>627018</v>
      </c>
      <c r="J320" s="619">
        <v>442240.22</v>
      </c>
      <c r="K320" s="619">
        <v>610455.22</v>
      </c>
      <c r="L320" s="619">
        <v>812934.22</v>
      </c>
      <c r="M320" s="619">
        <v>1015413.22</v>
      </c>
      <c r="N320" s="619">
        <v>1319034.22</v>
      </c>
      <c r="O320" s="619">
        <v>1534156.22</v>
      </c>
      <c r="P320" s="619">
        <v>1749278.22</v>
      </c>
      <c r="Q320" s="619">
        <v>1964400.22</v>
      </c>
      <c r="R320" s="619">
        <v>2179522.2200000002</v>
      </c>
      <c r="S320" s="498">
        <f t="shared" si="84"/>
        <v>1080507.0374999999</v>
      </c>
      <c r="T320" s="620"/>
      <c r="U320" s="657"/>
      <c r="V320" s="690"/>
      <c r="W320" s="690">
        <f t="shared" si="82"/>
        <v>1080507.0374999999</v>
      </c>
      <c r="X320" s="713"/>
      <c r="Y320" s="690"/>
      <c r="Z320" s="690"/>
      <c r="AA320" s="657"/>
      <c r="AB320" s="690"/>
      <c r="AC320" s="659">
        <f t="shared" si="83"/>
        <v>1080507.0374999999</v>
      </c>
      <c r="AD320" s="658"/>
      <c r="AE320" s="658"/>
      <c r="AF320" s="688">
        <f t="shared" si="80"/>
        <v>0</v>
      </c>
    </row>
    <row r="321" spans="1:32">
      <c r="A321" s="620">
        <v>307</v>
      </c>
      <c r="B321" s="326" t="s">
        <v>977</v>
      </c>
      <c r="C321" s="326" t="s">
        <v>515</v>
      </c>
      <c r="D321" s="326" t="s">
        <v>1203</v>
      </c>
      <c r="E321" s="618" t="s">
        <v>1626</v>
      </c>
      <c r="F321" s="619">
        <v>2223.23</v>
      </c>
      <c r="G321" s="619">
        <v>105.15</v>
      </c>
      <c r="H321" s="619">
        <v>105.15</v>
      </c>
      <c r="I321" s="619">
        <v>553.16</v>
      </c>
      <c r="J321" s="619">
        <v>1039.1099999999999</v>
      </c>
      <c r="K321" s="619">
        <v>1039.1099999999999</v>
      </c>
      <c r="L321" s="619">
        <v>1039.1099999999999</v>
      </c>
      <c r="M321" s="619">
        <v>1039.1099999999999</v>
      </c>
      <c r="N321" s="619">
        <v>1137.29</v>
      </c>
      <c r="O321" s="619">
        <v>1137.29</v>
      </c>
      <c r="P321" s="619">
        <v>1315.87</v>
      </c>
      <c r="Q321" s="619">
        <v>1315.87</v>
      </c>
      <c r="R321" s="619">
        <v>1315.87</v>
      </c>
      <c r="S321" s="498">
        <f t="shared" si="84"/>
        <v>966.31416666666644</v>
      </c>
      <c r="T321" s="620"/>
      <c r="U321" s="657"/>
      <c r="V321" s="690"/>
      <c r="W321" s="690">
        <f t="shared" si="82"/>
        <v>966.31416666666644</v>
      </c>
      <c r="X321" s="713"/>
      <c r="Y321" s="690"/>
      <c r="Z321" s="690"/>
      <c r="AA321" s="657"/>
      <c r="AB321" s="690"/>
      <c r="AC321" s="659">
        <f t="shared" si="83"/>
        <v>966.31416666666644</v>
      </c>
      <c r="AD321" s="658"/>
      <c r="AE321" s="658"/>
      <c r="AF321" s="688">
        <f t="shared" si="80"/>
        <v>0</v>
      </c>
    </row>
    <row r="322" spans="1:32">
      <c r="A322" s="620">
        <v>308</v>
      </c>
      <c r="B322" s="326" t="s">
        <v>1005</v>
      </c>
      <c r="C322" s="326" t="s">
        <v>515</v>
      </c>
      <c r="D322" s="326" t="s">
        <v>1203</v>
      </c>
      <c r="E322" s="618" t="s">
        <v>1626</v>
      </c>
      <c r="F322" s="619">
        <v>26450.98</v>
      </c>
      <c r="G322" s="619">
        <v>291</v>
      </c>
      <c r="H322" s="619">
        <v>814.83</v>
      </c>
      <c r="I322" s="619">
        <v>1120.78</v>
      </c>
      <c r="J322" s="619">
        <v>1244.54</v>
      </c>
      <c r="K322" s="619">
        <v>1623.2</v>
      </c>
      <c r="L322" s="619">
        <v>2082.31</v>
      </c>
      <c r="M322" s="619">
        <v>2624.81</v>
      </c>
      <c r="N322" s="619">
        <v>3267.91</v>
      </c>
      <c r="O322" s="619">
        <v>3725.11</v>
      </c>
      <c r="P322" s="619">
        <v>26823.8</v>
      </c>
      <c r="Q322" s="619">
        <v>27291.8</v>
      </c>
      <c r="R322" s="619">
        <v>27706.880000000001</v>
      </c>
      <c r="S322" s="498">
        <f t="shared" si="84"/>
        <v>8165.7516666666661</v>
      </c>
      <c r="T322" s="620"/>
      <c r="U322" s="657"/>
      <c r="V322" s="690"/>
      <c r="W322" s="690">
        <f t="shared" si="82"/>
        <v>8165.7516666666661</v>
      </c>
      <c r="X322" s="713"/>
      <c r="Y322" s="690"/>
      <c r="Z322" s="690"/>
      <c r="AA322" s="657"/>
      <c r="AB322" s="690"/>
      <c r="AC322" s="659">
        <f t="shared" si="83"/>
        <v>8165.7516666666661</v>
      </c>
      <c r="AD322" s="658"/>
      <c r="AE322" s="658"/>
      <c r="AF322" s="688">
        <f t="shared" si="80"/>
        <v>0</v>
      </c>
    </row>
    <row r="323" spans="1:32">
      <c r="A323" s="620">
        <v>309</v>
      </c>
      <c r="B323" s="326" t="s">
        <v>980</v>
      </c>
      <c r="C323" s="326" t="s">
        <v>515</v>
      </c>
      <c r="D323" s="326" t="s">
        <v>1203</v>
      </c>
      <c r="E323" s="618" t="s">
        <v>1626</v>
      </c>
      <c r="F323" s="619">
        <v>34335.31</v>
      </c>
      <c r="G323" s="619">
        <v>141.65</v>
      </c>
      <c r="H323" s="619">
        <v>791.36</v>
      </c>
      <c r="I323" s="619">
        <v>16005.09</v>
      </c>
      <c r="J323" s="619">
        <v>6911.61</v>
      </c>
      <c r="K323" s="619">
        <v>7607.94</v>
      </c>
      <c r="L323" s="619">
        <v>7851.93</v>
      </c>
      <c r="M323" s="619">
        <v>8879.27</v>
      </c>
      <c r="N323" s="619">
        <v>14413.81</v>
      </c>
      <c r="O323" s="619">
        <v>17217.419999999998</v>
      </c>
      <c r="P323" s="619">
        <v>17223.32</v>
      </c>
      <c r="Q323" s="619">
        <v>22366.77</v>
      </c>
      <c r="R323" s="619">
        <v>23966.93</v>
      </c>
      <c r="S323" s="498">
        <f t="shared" si="84"/>
        <v>12380.1075</v>
      </c>
      <c r="T323" s="620"/>
      <c r="U323" s="657"/>
      <c r="V323" s="690"/>
      <c r="W323" s="690">
        <f t="shared" si="82"/>
        <v>12380.1075</v>
      </c>
      <c r="X323" s="713"/>
      <c r="Y323" s="690"/>
      <c r="Z323" s="690"/>
      <c r="AA323" s="657"/>
      <c r="AB323" s="690"/>
      <c r="AC323" s="659">
        <f t="shared" si="83"/>
        <v>12380.1075</v>
      </c>
      <c r="AD323" s="658"/>
      <c r="AE323" s="658"/>
      <c r="AF323" s="688">
        <f t="shared" si="80"/>
        <v>0</v>
      </c>
    </row>
    <row r="324" spans="1:32">
      <c r="A324" s="620">
        <v>310</v>
      </c>
      <c r="B324" s="620" t="s">
        <v>380</v>
      </c>
      <c r="C324" s="620" t="s">
        <v>516</v>
      </c>
      <c r="D324" s="620" t="s">
        <v>380</v>
      </c>
      <c r="E324" s="618" t="s">
        <v>1632</v>
      </c>
      <c r="F324" s="313">
        <v>2257640.98</v>
      </c>
      <c r="G324" s="313">
        <v>227876.63</v>
      </c>
      <c r="H324" s="313">
        <v>435984.76</v>
      </c>
      <c r="I324" s="313">
        <v>635136.4</v>
      </c>
      <c r="J324" s="313">
        <v>841363.86</v>
      </c>
      <c r="K324" s="313">
        <v>1045796.29</v>
      </c>
      <c r="L324" s="313">
        <v>1224380.81</v>
      </c>
      <c r="M324" s="313">
        <v>1426816.56</v>
      </c>
      <c r="N324" s="313">
        <v>1614952.02</v>
      </c>
      <c r="O324" s="313">
        <v>1799163.64</v>
      </c>
      <c r="P324" s="313">
        <v>2000828.68</v>
      </c>
      <c r="Q324" s="313">
        <v>2171032.12</v>
      </c>
      <c r="R324" s="313">
        <v>2415606.38</v>
      </c>
      <c r="S324" s="498">
        <f>((F324+R324)+((G324+H324+I324+J324+K324+L324+M324+N324+O324+P324+Q324)*2))/24</f>
        <v>1313329.6208333333</v>
      </c>
      <c r="T324" s="620"/>
      <c r="U324" s="657"/>
      <c r="V324" s="690"/>
      <c r="W324" s="690">
        <f t="shared" si="82"/>
        <v>1313329.6208333333</v>
      </c>
      <c r="X324" s="713"/>
      <c r="Y324" s="690"/>
      <c r="Z324" s="690"/>
      <c r="AA324" s="657"/>
      <c r="AB324" s="690"/>
      <c r="AC324" s="659">
        <f t="shared" si="83"/>
        <v>1313329.6208333333</v>
      </c>
      <c r="AD324" s="658"/>
      <c r="AE324" s="658"/>
      <c r="AF324" s="688">
        <f t="shared" si="80"/>
        <v>0</v>
      </c>
    </row>
    <row r="325" spans="1:32">
      <c r="A325" s="620">
        <v>311</v>
      </c>
      <c r="B325" s="620"/>
      <c r="C325" s="620"/>
      <c r="D325" s="620"/>
      <c r="E325" s="605" t="s">
        <v>517</v>
      </c>
      <c r="F325" s="305">
        <f>SUM(F309:F324)</f>
        <v>28430305.460000001</v>
      </c>
      <c r="G325" s="305">
        <f t="shared" ref="G325:S325" si="85">SUM(G309:G324)</f>
        <v>3566743.36</v>
      </c>
      <c r="H325" s="305">
        <f t="shared" si="85"/>
        <v>7426955.9100000011</v>
      </c>
      <c r="I325" s="305">
        <f t="shared" si="85"/>
        <v>11117130.029999999</v>
      </c>
      <c r="J325" s="305">
        <f t="shared" si="85"/>
        <v>13147168.379999997</v>
      </c>
      <c r="K325" s="305">
        <f t="shared" si="85"/>
        <v>14928165.530000001</v>
      </c>
      <c r="L325" s="305">
        <f t="shared" si="85"/>
        <v>16411088.940000001</v>
      </c>
      <c r="M325" s="305">
        <f t="shared" si="85"/>
        <v>17873494.390000001</v>
      </c>
      <c r="N325" s="305">
        <f t="shared" si="85"/>
        <v>19330358.749999996</v>
      </c>
      <c r="O325" s="305">
        <f t="shared" si="85"/>
        <v>20837644.119999997</v>
      </c>
      <c r="P325" s="305">
        <f t="shared" si="85"/>
        <v>23153062.740000002</v>
      </c>
      <c r="Q325" s="305">
        <f t="shared" si="85"/>
        <v>26329421.970000003</v>
      </c>
      <c r="R325" s="305">
        <f t="shared" si="85"/>
        <v>30542472.069999997</v>
      </c>
      <c r="S325" s="305">
        <f t="shared" si="85"/>
        <v>16967301.907083333</v>
      </c>
      <c r="T325" s="620"/>
      <c r="U325" s="657"/>
      <c r="V325" s="690"/>
      <c r="W325" s="690"/>
      <c r="X325" s="713"/>
      <c r="Y325" s="690"/>
      <c r="Z325" s="690"/>
      <c r="AA325" s="657"/>
      <c r="AB325" s="690"/>
      <c r="AC325" s="658"/>
      <c r="AD325" s="658"/>
      <c r="AE325" s="658"/>
      <c r="AF325" s="688">
        <f t="shared" si="80"/>
        <v>0</v>
      </c>
    </row>
    <row r="326" spans="1:32">
      <c r="A326" s="620">
        <v>312</v>
      </c>
      <c r="B326" s="620"/>
      <c r="C326" s="620"/>
      <c r="D326" s="620"/>
      <c r="E326" s="605"/>
      <c r="F326" s="619"/>
      <c r="G326" s="324"/>
      <c r="H326" s="315"/>
      <c r="I326" s="315"/>
      <c r="J326" s="316"/>
      <c r="K326" s="317"/>
      <c r="L326" s="318"/>
      <c r="M326" s="319"/>
      <c r="N326" s="320"/>
      <c r="O326" s="606"/>
      <c r="P326" s="321"/>
      <c r="Q326" s="325"/>
      <c r="R326" s="619"/>
      <c r="S326" s="304"/>
      <c r="T326" s="620"/>
      <c r="U326" s="657"/>
      <c r="V326" s="690"/>
      <c r="W326" s="690"/>
      <c r="X326" s="713"/>
      <c r="Y326" s="690"/>
      <c r="Z326" s="690"/>
      <c r="AA326" s="657"/>
      <c r="AB326" s="690"/>
      <c r="AC326" s="658"/>
      <c r="AD326" s="658"/>
      <c r="AE326" s="658"/>
      <c r="AF326" s="688">
        <f t="shared" si="80"/>
        <v>0</v>
      </c>
    </row>
    <row r="327" spans="1:32">
      <c r="A327" s="620">
        <v>313</v>
      </c>
      <c r="B327" s="326" t="s">
        <v>977</v>
      </c>
      <c r="C327" s="326" t="s">
        <v>518</v>
      </c>
      <c r="D327" s="620"/>
      <c r="E327" s="618" t="s">
        <v>1633</v>
      </c>
      <c r="F327" s="619">
        <v>26303412.609999999</v>
      </c>
      <c r="G327" s="619">
        <v>2356483.42</v>
      </c>
      <c r="H327" s="619">
        <v>4726032.16</v>
      </c>
      <c r="I327" s="619">
        <v>7104545.4199999999</v>
      </c>
      <c r="J327" s="619">
        <v>9497469.6799999997</v>
      </c>
      <c r="K327" s="619">
        <v>11907578.300000001</v>
      </c>
      <c r="L327" s="619">
        <v>14334782.939999999</v>
      </c>
      <c r="M327" s="619">
        <v>16782480.190000001</v>
      </c>
      <c r="N327" s="619">
        <v>19235705.48</v>
      </c>
      <c r="O327" s="619">
        <v>21703420.32</v>
      </c>
      <c r="P327" s="619">
        <v>24188691.23</v>
      </c>
      <c r="Q327" s="619">
        <v>26702769.57</v>
      </c>
      <c r="R327" s="619">
        <v>29230447.98</v>
      </c>
      <c r="S327" s="304">
        <f>((F327+R327)+((G327+H327+I327+J327+K327+L327+M327+N327+O327+P327+Q327)*2))/24</f>
        <v>15525574.08375</v>
      </c>
      <c r="T327" s="620"/>
      <c r="U327" s="657"/>
      <c r="V327" s="690"/>
      <c r="W327" s="690">
        <f t="shared" ref="W327:W329" si="86">+S327</f>
        <v>15525574.08375</v>
      </c>
      <c r="X327" s="713"/>
      <c r="Y327" s="690"/>
      <c r="Z327" s="690"/>
      <c r="AA327" s="657"/>
      <c r="AB327" s="690"/>
      <c r="AC327" s="659">
        <f t="shared" ref="AC327:AC328" si="87">+S327</f>
        <v>15525574.08375</v>
      </c>
      <c r="AD327" s="658"/>
      <c r="AE327" s="658"/>
      <c r="AF327" s="688">
        <f t="shared" si="80"/>
        <v>0</v>
      </c>
    </row>
    <row r="328" spans="1:32">
      <c r="A328" s="620">
        <v>314</v>
      </c>
      <c r="B328" s="326" t="s">
        <v>977</v>
      </c>
      <c r="C328" s="326" t="s">
        <v>519</v>
      </c>
      <c r="D328" s="620"/>
      <c r="E328" s="618" t="s">
        <v>1634</v>
      </c>
      <c r="F328" s="619">
        <v>3486360.4</v>
      </c>
      <c r="G328" s="619">
        <v>288580.90000000002</v>
      </c>
      <c r="H328" s="619">
        <v>577130.34</v>
      </c>
      <c r="I328" s="619">
        <v>865679.78</v>
      </c>
      <c r="J328" s="619">
        <v>1151676.1000000001</v>
      </c>
      <c r="K328" s="619">
        <v>1438514.42</v>
      </c>
      <c r="L328" s="619">
        <v>1725352.74</v>
      </c>
      <c r="M328" s="619">
        <v>2012192.61</v>
      </c>
      <c r="N328" s="619">
        <v>2299181.62</v>
      </c>
      <c r="O328" s="619">
        <v>2586176.0699999998</v>
      </c>
      <c r="P328" s="619">
        <v>2876670.55</v>
      </c>
      <c r="Q328" s="619">
        <v>3166291.48</v>
      </c>
      <c r="R328" s="619">
        <v>3457659.27</v>
      </c>
      <c r="S328" s="304">
        <f>((F328+R328)+((G328+H328+I328+J328+K328+L328+M328+N328+O328+P328+Q328)*2))/24</f>
        <v>1871621.3704166671</v>
      </c>
      <c r="T328" s="620"/>
      <c r="U328" s="657"/>
      <c r="V328" s="690"/>
      <c r="W328" s="690">
        <f t="shared" si="86"/>
        <v>1871621.3704166671</v>
      </c>
      <c r="X328" s="713"/>
      <c r="Y328" s="690"/>
      <c r="Z328" s="690"/>
      <c r="AA328" s="657"/>
      <c r="AB328" s="690"/>
      <c r="AC328" s="659">
        <f t="shared" si="87"/>
        <v>1871621.3704166671</v>
      </c>
      <c r="AD328" s="658"/>
      <c r="AE328" s="658"/>
      <c r="AF328" s="688">
        <f t="shared" si="80"/>
        <v>0</v>
      </c>
    </row>
    <row r="329" spans="1:32">
      <c r="A329" s="620">
        <v>315</v>
      </c>
      <c r="B329" s="326" t="s">
        <v>977</v>
      </c>
      <c r="C329" s="536" t="s">
        <v>520</v>
      </c>
      <c r="D329" s="620"/>
      <c r="E329" s="618" t="s">
        <v>1635</v>
      </c>
      <c r="F329" s="313">
        <v>0</v>
      </c>
      <c r="G329" s="313">
        <v>0</v>
      </c>
      <c r="H329" s="313">
        <v>0</v>
      </c>
      <c r="I329" s="313">
        <v>0</v>
      </c>
      <c r="J329" s="313">
        <v>0</v>
      </c>
      <c r="K329" s="313">
        <v>0</v>
      </c>
      <c r="L329" s="313">
        <v>0</v>
      </c>
      <c r="M329" s="313">
        <v>0</v>
      </c>
      <c r="N329" s="313">
        <v>0</v>
      </c>
      <c r="O329" s="313">
        <v>0</v>
      </c>
      <c r="P329" s="313">
        <v>0</v>
      </c>
      <c r="Q329" s="313">
        <v>0</v>
      </c>
      <c r="R329" s="313">
        <v>0</v>
      </c>
      <c r="S329" s="304">
        <f>((F329+R329)+((G329+H329+I329+J329+K329+L329+M329+N329+O329+P329+Q329)*2))/24</f>
        <v>0</v>
      </c>
      <c r="T329" s="620"/>
      <c r="U329" s="657"/>
      <c r="V329" s="690"/>
      <c r="W329" s="690">
        <f t="shared" si="86"/>
        <v>0</v>
      </c>
      <c r="X329" s="713"/>
      <c r="Y329" s="690"/>
      <c r="Z329" s="690"/>
      <c r="AA329" s="657"/>
      <c r="AB329" s="690"/>
      <c r="AC329" s="659">
        <f>+S329</f>
        <v>0</v>
      </c>
      <c r="AD329" s="658"/>
      <c r="AE329" s="658"/>
      <c r="AF329" s="688">
        <f t="shared" si="80"/>
        <v>0</v>
      </c>
    </row>
    <row r="330" spans="1:32">
      <c r="A330" s="620">
        <v>316</v>
      </c>
      <c r="B330" s="620"/>
      <c r="C330" s="620"/>
      <c r="D330" s="620"/>
      <c r="E330" s="618" t="s">
        <v>521</v>
      </c>
      <c r="F330" s="305">
        <f>SUM(F327:F329)</f>
        <v>29789773.009999998</v>
      </c>
      <c r="G330" s="305">
        <f t="shared" ref="G330:S330" si="88">SUM(G327:G329)</f>
        <v>2645064.3199999998</v>
      </c>
      <c r="H330" s="305">
        <f t="shared" si="88"/>
        <v>5303162.5</v>
      </c>
      <c r="I330" s="305">
        <f t="shared" si="88"/>
        <v>7970225.2000000002</v>
      </c>
      <c r="J330" s="305">
        <f t="shared" si="88"/>
        <v>10649145.779999999</v>
      </c>
      <c r="K330" s="305">
        <f t="shared" si="88"/>
        <v>13346092.720000001</v>
      </c>
      <c r="L330" s="305">
        <f t="shared" si="88"/>
        <v>16060135.68</v>
      </c>
      <c r="M330" s="305">
        <f t="shared" si="88"/>
        <v>18794672.800000001</v>
      </c>
      <c r="N330" s="305">
        <f t="shared" si="88"/>
        <v>21534887.100000001</v>
      </c>
      <c r="O330" s="305">
        <f t="shared" si="88"/>
        <v>24289596.390000001</v>
      </c>
      <c r="P330" s="305">
        <f t="shared" si="88"/>
        <v>27065361.780000001</v>
      </c>
      <c r="Q330" s="305">
        <f t="shared" si="88"/>
        <v>29869061.050000001</v>
      </c>
      <c r="R330" s="305">
        <f t="shared" si="88"/>
        <v>32688107.25</v>
      </c>
      <c r="S330" s="500">
        <f t="shared" si="88"/>
        <v>17397195.454166666</v>
      </c>
      <c r="T330" s="620"/>
      <c r="U330" s="657"/>
      <c r="V330" s="690"/>
      <c r="W330" s="690"/>
      <c r="X330" s="713"/>
      <c r="Y330" s="690"/>
      <c r="Z330" s="690"/>
      <c r="AA330" s="657"/>
      <c r="AB330" s="690"/>
      <c r="AC330" s="658"/>
      <c r="AD330" s="658"/>
      <c r="AE330" s="658"/>
      <c r="AF330" s="688">
        <f t="shared" si="80"/>
        <v>0</v>
      </c>
    </row>
    <row r="331" spans="1:32">
      <c r="A331" s="620">
        <v>317</v>
      </c>
      <c r="B331" s="620"/>
      <c r="C331" s="620"/>
      <c r="D331" s="620"/>
      <c r="E331" s="605"/>
      <c r="F331" s="619"/>
      <c r="G331" s="324"/>
      <c r="H331" s="315"/>
      <c r="I331" s="315"/>
      <c r="J331" s="316"/>
      <c r="K331" s="317"/>
      <c r="L331" s="318"/>
      <c r="M331" s="319"/>
      <c r="N331" s="320"/>
      <c r="O331" s="606"/>
      <c r="P331" s="321"/>
      <c r="Q331" s="325"/>
      <c r="R331" s="619"/>
      <c r="S331" s="304"/>
      <c r="T331" s="620"/>
      <c r="U331" s="657"/>
      <c r="V331" s="690"/>
      <c r="W331" s="690"/>
      <c r="X331" s="713"/>
      <c r="Y331" s="690"/>
      <c r="Z331" s="690"/>
      <c r="AA331" s="657"/>
      <c r="AB331" s="690"/>
      <c r="AC331" s="658"/>
      <c r="AD331" s="658"/>
      <c r="AE331" s="658"/>
      <c r="AF331" s="688">
        <f t="shared" si="80"/>
        <v>0</v>
      </c>
    </row>
    <row r="332" spans="1:32">
      <c r="A332" s="620">
        <v>318</v>
      </c>
      <c r="B332" s="326" t="s">
        <v>977</v>
      </c>
      <c r="C332" s="326" t="s">
        <v>522</v>
      </c>
      <c r="D332" s="620"/>
      <c r="E332" s="618" t="s">
        <v>523</v>
      </c>
      <c r="F332" s="619">
        <v>0</v>
      </c>
      <c r="G332" s="619">
        <v>0</v>
      </c>
      <c r="H332" s="619">
        <v>0</v>
      </c>
      <c r="I332" s="619">
        <v>0</v>
      </c>
      <c r="J332" s="619">
        <v>0</v>
      </c>
      <c r="K332" s="619">
        <v>0</v>
      </c>
      <c r="L332" s="619">
        <v>0</v>
      </c>
      <c r="M332" s="619">
        <v>0</v>
      </c>
      <c r="N332" s="619">
        <v>0</v>
      </c>
      <c r="O332" s="619">
        <v>0</v>
      </c>
      <c r="P332" s="619">
        <v>0</v>
      </c>
      <c r="Q332" s="619">
        <v>0</v>
      </c>
      <c r="R332" s="619">
        <v>0</v>
      </c>
      <c r="S332" s="498">
        <f>((F332+R332)+((G332+H332+I332+J332+K332+L332+M332+N332+O332+P332+Q332)*2))/24</f>
        <v>0</v>
      </c>
      <c r="T332" s="620"/>
      <c r="U332" s="657"/>
      <c r="V332" s="690"/>
      <c r="W332" s="690"/>
      <c r="X332" s="713"/>
      <c r="Y332" s="690"/>
      <c r="Z332" s="690"/>
      <c r="AA332" s="657"/>
      <c r="AB332" s="690"/>
      <c r="AC332" s="658"/>
      <c r="AD332" s="658"/>
      <c r="AE332" s="658"/>
      <c r="AF332" s="688">
        <f t="shared" si="80"/>
        <v>0</v>
      </c>
    </row>
    <row r="333" spans="1:32">
      <c r="A333" s="620">
        <v>319</v>
      </c>
      <c r="B333" s="326" t="s">
        <v>977</v>
      </c>
      <c r="C333" s="326" t="s">
        <v>524</v>
      </c>
      <c r="D333" s="620"/>
      <c r="E333" s="618" t="s">
        <v>525</v>
      </c>
      <c r="F333" s="619">
        <v>11139099.369999999</v>
      </c>
      <c r="G333" s="619">
        <v>928096.05</v>
      </c>
      <c r="H333" s="619">
        <v>1856104.6</v>
      </c>
      <c r="I333" s="619">
        <v>2784113.15</v>
      </c>
      <c r="J333" s="619">
        <v>3712121.68</v>
      </c>
      <c r="K333" s="619">
        <v>4639727.7300000004</v>
      </c>
      <c r="L333" s="619">
        <v>5812917.1200000001</v>
      </c>
      <c r="M333" s="619">
        <v>6986106.4900000002</v>
      </c>
      <c r="N333" s="619">
        <v>8159252.1100000003</v>
      </c>
      <c r="O333" s="619">
        <v>9332397.75</v>
      </c>
      <c r="P333" s="619">
        <v>10505543.369999999</v>
      </c>
      <c r="Q333" s="619">
        <v>11678579.609999999</v>
      </c>
      <c r="R333" s="619">
        <v>12851615.869999999</v>
      </c>
      <c r="S333" s="498">
        <f>((F333+R333)+((G333+H333+I333+J333+K333+L333+M333+N333+O333+P333+Q333)*2))/24</f>
        <v>6532526.4400000004</v>
      </c>
      <c r="T333" s="620"/>
      <c r="U333" s="657"/>
      <c r="V333" s="690"/>
      <c r="W333" s="690">
        <f t="shared" ref="W333:W347" si="89">+S333</f>
        <v>6532526.4400000004</v>
      </c>
      <c r="X333" s="713"/>
      <c r="Y333" s="690"/>
      <c r="Z333" s="690"/>
      <c r="AA333" s="657"/>
      <c r="AB333" s="690"/>
      <c r="AC333" s="659">
        <f t="shared" ref="AC333:AC347" si="90">+S333</f>
        <v>6532526.4400000004</v>
      </c>
      <c r="AD333" s="658"/>
      <c r="AE333" s="658"/>
      <c r="AF333" s="688">
        <f t="shared" si="80"/>
        <v>0</v>
      </c>
    </row>
    <row r="334" spans="1:32">
      <c r="A334" s="620">
        <v>320</v>
      </c>
      <c r="B334" s="326" t="s">
        <v>977</v>
      </c>
      <c r="C334" s="326" t="s">
        <v>524</v>
      </c>
      <c r="D334" s="326" t="s">
        <v>526</v>
      </c>
      <c r="E334" s="606" t="s">
        <v>527</v>
      </c>
      <c r="F334" s="619">
        <v>548333.80000000005</v>
      </c>
      <c r="G334" s="619">
        <v>165230.87</v>
      </c>
      <c r="H334" s="619">
        <v>320019.8</v>
      </c>
      <c r="I334" s="619">
        <v>478537.68</v>
      </c>
      <c r="J334" s="619">
        <v>580989.74</v>
      </c>
      <c r="K334" s="619">
        <v>789188.57</v>
      </c>
      <c r="L334" s="619">
        <v>873005.23</v>
      </c>
      <c r="M334" s="619">
        <v>917419.62</v>
      </c>
      <c r="N334" s="619">
        <v>993359.71</v>
      </c>
      <c r="O334" s="619">
        <v>1067622.68</v>
      </c>
      <c r="P334" s="619">
        <v>1095507.58</v>
      </c>
      <c r="Q334" s="619">
        <v>1146976.75</v>
      </c>
      <c r="R334" s="619">
        <v>1237444.53</v>
      </c>
      <c r="S334" s="498">
        <f>((F334+R334)+((G334+H334+I334+J334+K334+L334+M334+N334+O334+P334+Q334)*2))/24</f>
        <v>776728.94958333333</v>
      </c>
      <c r="T334" s="620"/>
      <c r="U334" s="657"/>
      <c r="V334" s="690"/>
      <c r="W334" s="690">
        <f t="shared" si="89"/>
        <v>776728.94958333333</v>
      </c>
      <c r="X334" s="713"/>
      <c r="Y334" s="690"/>
      <c r="Z334" s="690"/>
      <c r="AA334" s="657"/>
      <c r="AB334" s="690"/>
      <c r="AC334" s="659">
        <f t="shared" si="90"/>
        <v>776728.94958333333</v>
      </c>
      <c r="AD334" s="658"/>
      <c r="AE334" s="658"/>
      <c r="AF334" s="688">
        <f t="shared" si="80"/>
        <v>0</v>
      </c>
    </row>
    <row r="335" spans="1:32">
      <c r="A335" s="620">
        <v>321</v>
      </c>
      <c r="B335" s="326" t="s">
        <v>977</v>
      </c>
      <c r="C335" s="326" t="s">
        <v>524</v>
      </c>
      <c r="D335" s="326" t="s">
        <v>560</v>
      </c>
      <c r="E335" s="606" t="s">
        <v>1909</v>
      </c>
      <c r="F335" s="619">
        <v>0</v>
      </c>
      <c r="G335" s="619">
        <v>0</v>
      </c>
      <c r="H335" s="619">
        <v>0</v>
      </c>
      <c r="I335" s="619">
        <v>0</v>
      </c>
      <c r="J335" s="619">
        <v>31250.01</v>
      </c>
      <c r="K335" s="619">
        <v>39322.93</v>
      </c>
      <c r="L335" s="619">
        <v>48958.35</v>
      </c>
      <c r="M335" s="619">
        <v>59722.239999999998</v>
      </c>
      <c r="N335" s="619">
        <v>70486.13</v>
      </c>
      <c r="O335" s="619">
        <v>81076.39</v>
      </c>
      <c r="P335" s="619">
        <v>91840.28</v>
      </c>
      <c r="Q335" s="619">
        <v>102256.95</v>
      </c>
      <c r="R335" s="619">
        <v>113020.83</v>
      </c>
      <c r="S335" s="498">
        <f t="shared" ref="S335:S339" si="91">((F335+R335)+((G335+H335+I335+J335+K335+L335+M335+N335+O335+P335+Q335)*2))/24</f>
        <v>48451.974583333329</v>
      </c>
      <c r="T335" s="620"/>
      <c r="U335" s="657"/>
      <c r="V335" s="690"/>
      <c r="W335" s="690">
        <f t="shared" si="89"/>
        <v>48451.974583333329</v>
      </c>
      <c r="X335" s="713"/>
      <c r="Y335" s="690"/>
      <c r="Z335" s="690"/>
      <c r="AA335" s="657"/>
      <c r="AB335" s="690"/>
      <c r="AC335" s="659">
        <f>+W335</f>
        <v>48451.974583333329</v>
      </c>
      <c r="AD335" s="658"/>
      <c r="AE335" s="658"/>
      <c r="AF335" s="688"/>
    </row>
    <row r="336" spans="1:32">
      <c r="A336" s="620">
        <v>322</v>
      </c>
      <c r="B336" s="326" t="s">
        <v>977</v>
      </c>
      <c r="C336" s="326" t="s">
        <v>528</v>
      </c>
      <c r="D336" s="326" t="s">
        <v>1910</v>
      </c>
      <c r="E336" s="606" t="s">
        <v>1911</v>
      </c>
      <c r="F336" s="619">
        <v>0</v>
      </c>
      <c r="G336" s="619">
        <v>0</v>
      </c>
      <c r="H336" s="619">
        <v>0</v>
      </c>
      <c r="I336" s="619">
        <v>1110</v>
      </c>
      <c r="J336" s="619">
        <v>1110</v>
      </c>
      <c r="K336" s="619">
        <v>1110</v>
      </c>
      <c r="L336" s="619">
        <v>1682</v>
      </c>
      <c r="M336" s="619">
        <v>1682</v>
      </c>
      <c r="N336" s="619">
        <v>1682</v>
      </c>
      <c r="O336" s="619">
        <v>2191</v>
      </c>
      <c r="P336" s="619">
        <v>2191</v>
      </c>
      <c r="Q336" s="619">
        <v>2191</v>
      </c>
      <c r="R336" s="619">
        <v>3227</v>
      </c>
      <c r="S336" s="498">
        <f t="shared" si="91"/>
        <v>1380.2083333333333</v>
      </c>
      <c r="T336" s="620"/>
      <c r="U336" s="657"/>
      <c r="V336" s="690"/>
      <c r="W336" s="690">
        <f t="shared" si="89"/>
        <v>1380.2083333333333</v>
      </c>
      <c r="X336" s="713"/>
      <c r="Y336" s="690"/>
      <c r="Z336" s="690"/>
      <c r="AA336" s="657"/>
      <c r="AB336" s="690"/>
      <c r="AC336" s="659">
        <f>+W336</f>
        <v>1380.2083333333333</v>
      </c>
      <c r="AD336" s="658"/>
      <c r="AE336" s="658"/>
      <c r="AF336" s="688"/>
    </row>
    <row r="337" spans="1:32">
      <c r="A337" s="620">
        <v>323</v>
      </c>
      <c r="B337" s="326" t="s">
        <v>977</v>
      </c>
      <c r="C337" s="326" t="s">
        <v>528</v>
      </c>
      <c r="D337" s="326" t="s">
        <v>390</v>
      </c>
      <c r="E337" s="618" t="s">
        <v>1637</v>
      </c>
      <c r="F337" s="619">
        <v>95052.07</v>
      </c>
      <c r="G337" s="619">
        <v>8072.92</v>
      </c>
      <c r="H337" s="619">
        <v>15364.59</v>
      </c>
      <c r="I337" s="619">
        <v>23437.51</v>
      </c>
      <c r="J337" s="619">
        <v>3.6379788070917101E-12</v>
      </c>
      <c r="K337" s="619">
        <v>3.6379788070917101E-12</v>
      </c>
      <c r="L337" s="619">
        <v>3.6379788070917101E-12</v>
      </c>
      <c r="M337" s="619">
        <v>3.6379788070917101E-12</v>
      </c>
      <c r="N337" s="619">
        <v>3.6379788070917101E-12</v>
      </c>
      <c r="O337" s="619">
        <v>3.6379788070917101E-12</v>
      </c>
      <c r="P337" s="619">
        <v>3.6379788070917101E-12</v>
      </c>
      <c r="Q337" s="619">
        <v>3.6379788070917101E-12</v>
      </c>
      <c r="R337" s="619">
        <v>3.6379788070917101E-12</v>
      </c>
      <c r="S337" s="498">
        <f t="shared" si="91"/>
        <v>7866.7545833333343</v>
      </c>
      <c r="T337" s="620"/>
      <c r="U337" s="657"/>
      <c r="V337" s="690"/>
      <c r="W337" s="690">
        <f t="shared" si="89"/>
        <v>7866.7545833333343</v>
      </c>
      <c r="X337" s="713"/>
      <c r="Y337" s="690"/>
      <c r="Z337" s="690"/>
      <c r="AA337" s="657"/>
      <c r="AB337" s="690"/>
      <c r="AC337" s="659">
        <f t="shared" si="90"/>
        <v>7866.7545833333343</v>
      </c>
      <c r="AD337" s="658"/>
      <c r="AE337" s="658"/>
      <c r="AF337" s="688">
        <f t="shared" si="80"/>
        <v>0</v>
      </c>
    </row>
    <row r="338" spans="1:32">
      <c r="A338" s="620">
        <v>324</v>
      </c>
      <c r="B338" s="326" t="s">
        <v>977</v>
      </c>
      <c r="C338" s="326" t="s">
        <v>528</v>
      </c>
      <c r="D338" s="326" t="s">
        <v>1912</v>
      </c>
      <c r="E338" s="618" t="s">
        <v>1913</v>
      </c>
      <c r="F338" s="619">
        <v>0</v>
      </c>
      <c r="G338" s="619">
        <v>34533.33</v>
      </c>
      <c r="H338" s="619">
        <v>103337.65</v>
      </c>
      <c r="I338" s="619">
        <v>205798.22</v>
      </c>
      <c r="J338" s="619">
        <v>377331.64</v>
      </c>
      <c r="K338" s="619">
        <v>556400.62</v>
      </c>
      <c r="L338" s="619">
        <v>702228.65</v>
      </c>
      <c r="M338" s="619">
        <v>801606.15</v>
      </c>
      <c r="N338" s="619">
        <v>896076.18</v>
      </c>
      <c r="O338" s="619">
        <v>984024.68</v>
      </c>
      <c r="P338" s="619">
        <v>1069734.94</v>
      </c>
      <c r="Q338" s="619">
        <v>1146529.3899999999</v>
      </c>
      <c r="R338" s="619">
        <v>1212769.3899999999</v>
      </c>
      <c r="S338" s="498">
        <f t="shared" si="91"/>
        <v>623665.51208333333</v>
      </c>
      <c r="T338" s="620"/>
      <c r="U338" s="657"/>
      <c r="V338" s="690"/>
      <c r="W338" s="690">
        <f t="shared" si="89"/>
        <v>623665.51208333333</v>
      </c>
      <c r="X338" s="713"/>
      <c r="Y338" s="690"/>
      <c r="Z338" s="690"/>
      <c r="AA338" s="657"/>
      <c r="AB338" s="690"/>
      <c r="AC338" s="659">
        <f t="shared" si="90"/>
        <v>623665.51208333333</v>
      </c>
      <c r="AD338" s="658"/>
      <c r="AE338" s="658"/>
      <c r="AF338" s="688"/>
    </row>
    <row r="339" spans="1:32">
      <c r="A339" s="620">
        <v>325</v>
      </c>
      <c r="B339" s="326" t="s">
        <v>977</v>
      </c>
      <c r="C339" s="326" t="s">
        <v>528</v>
      </c>
      <c r="D339" s="326" t="s">
        <v>537</v>
      </c>
      <c r="E339" s="618" t="s">
        <v>1914</v>
      </c>
      <c r="F339" s="619">
        <v>0</v>
      </c>
      <c r="G339" s="619">
        <v>0</v>
      </c>
      <c r="H339" s="619">
        <v>0</v>
      </c>
      <c r="I339" s="619">
        <v>7555.44</v>
      </c>
      <c r="J339" s="619">
        <v>7555.44</v>
      </c>
      <c r="K339" s="619">
        <v>7555.44</v>
      </c>
      <c r="L339" s="619">
        <v>17094.7</v>
      </c>
      <c r="M339" s="619">
        <v>17094.7</v>
      </c>
      <c r="N339" s="619">
        <v>17094.7</v>
      </c>
      <c r="O339" s="619">
        <v>25258.66</v>
      </c>
      <c r="P339" s="619">
        <v>25258.66</v>
      </c>
      <c r="Q339" s="619">
        <v>25258.66</v>
      </c>
      <c r="R339" s="619">
        <v>33252.980000000003</v>
      </c>
      <c r="S339" s="498">
        <f t="shared" si="91"/>
        <v>13862.740833333331</v>
      </c>
      <c r="T339" s="620"/>
      <c r="U339" s="657"/>
      <c r="V339" s="690"/>
      <c r="W339" s="690">
        <f t="shared" si="89"/>
        <v>13862.740833333331</v>
      </c>
      <c r="X339" s="713"/>
      <c r="Y339" s="690"/>
      <c r="Z339" s="690"/>
      <c r="AA339" s="657"/>
      <c r="AB339" s="690"/>
      <c r="AC339" s="659">
        <f t="shared" si="90"/>
        <v>13862.740833333331</v>
      </c>
      <c r="AD339" s="658"/>
      <c r="AE339" s="658"/>
      <c r="AF339" s="688"/>
    </row>
    <row r="340" spans="1:32">
      <c r="A340" s="620">
        <v>326</v>
      </c>
      <c r="B340" s="326" t="s">
        <v>1005</v>
      </c>
      <c r="C340" s="326" t="s">
        <v>528</v>
      </c>
      <c r="D340" s="326" t="s">
        <v>1204</v>
      </c>
      <c r="E340" s="618" t="s">
        <v>1638</v>
      </c>
      <c r="F340" s="619">
        <v>3105.24</v>
      </c>
      <c r="G340" s="619">
        <v>50.32</v>
      </c>
      <c r="H340" s="619">
        <v>117.73</v>
      </c>
      <c r="I340" s="619">
        <v>241.09</v>
      </c>
      <c r="J340" s="619">
        <v>481.33</v>
      </c>
      <c r="K340" s="619">
        <v>732.42</v>
      </c>
      <c r="L340" s="619">
        <v>949.16</v>
      </c>
      <c r="M340" s="619">
        <v>1236.6300000000001</v>
      </c>
      <c r="N340" s="619">
        <v>1532.37</v>
      </c>
      <c r="O340" s="619">
        <v>1820.65</v>
      </c>
      <c r="P340" s="619">
        <v>2317.12</v>
      </c>
      <c r="Q340" s="619">
        <v>2571.5300000000002</v>
      </c>
      <c r="R340" s="619">
        <v>4567.83</v>
      </c>
      <c r="S340" s="498">
        <f t="shared" ref="S340:S345" si="92">((F340+R340)+((G340+H340+I340+J340+K340+L340+M340+N340+O340+P340+Q340)*2))/24</f>
        <v>1323.9070833333333</v>
      </c>
      <c r="T340" s="620"/>
      <c r="U340" s="657"/>
      <c r="V340" s="690"/>
      <c r="W340" s="690">
        <f t="shared" si="89"/>
        <v>1323.9070833333333</v>
      </c>
      <c r="X340" s="713"/>
      <c r="Y340" s="690"/>
      <c r="Z340" s="690"/>
      <c r="AA340" s="657"/>
      <c r="AB340" s="690"/>
      <c r="AC340" s="659">
        <f t="shared" si="90"/>
        <v>1323.9070833333333</v>
      </c>
      <c r="AD340" s="658"/>
      <c r="AE340" s="658"/>
      <c r="AF340" s="688">
        <f t="shared" si="80"/>
        <v>0</v>
      </c>
    </row>
    <row r="341" spans="1:32">
      <c r="A341" s="620">
        <v>327</v>
      </c>
      <c r="B341" s="326" t="s">
        <v>1005</v>
      </c>
      <c r="C341" s="326" t="s">
        <v>528</v>
      </c>
      <c r="D341" s="326" t="s">
        <v>1205</v>
      </c>
      <c r="E341" s="618" t="s">
        <v>1639</v>
      </c>
      <c r="F341" s="619">
        <v>156518.59</v>
      </c>
      <c r="G341" s="619">
        <v>0</v>
      </c>
      <c r="H341" s="619">
        <v>0</v>
      </c>
      <c r="I341" s="619">
        <v>0</v>
      </c>
      <c r="J341" s="619">
        <v>0</v>
      </c>
      <c r="K341" s="619">
        <v>0</v>
      </c>
      <c r="L341" s="619">
        <v>0</v>
      </c>
      <c r="M341" s="619">
        <v>0</v>
      </c>
      <c r="N341" s="619">
        <v>0</v>
      </c>
      <c r="O341" s="619">
        <v>0</v>
      </c>
      <c r="P341" s="619">
        <v>0</v>
      </c>
      <c r="Q341" s="619">
        <v>0</v>
      </c>
      <c r="R341" s="619">
        <v>0</v>
      </c>
      <c r="S341" s="498">
        <f t="shared" si="92"/>
        <v>6521.6079166666668</v>
      </c>
      <c r="T341" s="620"/>
      <c r="U341" s="657"/>
      <c r="V341" s="690"/>
      <c r="W341" s="690">
        <f t="shared" si="89"/>
        <v>6521.6079166666668</v>
      </c>
      <c r="X341" s="713"/>
      <c r="Y341" s="690"/>
      <c r="Z341" s="690"/>
      <c r="AA341" s="657"/>
      <c r="AB341" s="690"/>
      <c r="AC341" s="659">
        <f t="shared" si="90"/>
        <v>6521.6079166666668</v>
      </c>
      <c r="AD341" s="658"/>
      <c r="AE341" s="658"/>
      <c r="AF341" s="688">
        <f t="shared" si="80"/>
        <v>0</v>
      </c>
    </row>
    <row r="342" spans="1:32">
      <c r="A342" s="620">
        <v>328</v>
      </c>
      <c r="B342" s="326" t="s">
        <v>1005</v>
      </c>
      <c r="C342" s="326" t="s">
        <v>528</v>
      </c>
      <c r="D342" s="326" t="s">
        <v>1206</v>
      </c>
      <c r="E342" s="618" t="s">
        <v>1640</v>
      </c>
      <c r="F342" s="619">
        <v>39378.44</v>
      </c>
      <c r="G342" s="619">
        <v>0</v>
      </c>
      <c r="H342" s="619">
        <v>0</v>
      </c>
      <c r="I342" s="619">
        <v>0</v>
      </c>
      <c r="J342" s="619">
        <v>9490.2900000000009</v>
      </c>
      <c r="K342" s="619">
        <v>21965.360000000001</v>
      </c>
      <c r="L342" s="619">
        <v>31077.74</v>
      </c>
      <c r="M342" s="619">
        <v>40780.449999999997</v>
      </c>
      <c r="N342" s="619">
        <v>50530.43</v>
      </c>
      <c r="O342" s="619">
        <v>58370.19</v>
      </c>
      <c r="P342" s="619">
        <v>67212.75</v>
      </c>
      <c r="Q342" s="619">
        <v>79771.240000000005</v>
      </c>
      <c r="R342" s="619">
        <v>92377.64</v>
      </c>
      <c r="S342" s="498">
        <f t="shared" si="92"/>
        <v>35423.040833333333</v>
      </c>
      <c r="T342" s="620"/>
      <c r="U342" s="657"/>
      <c r="V342" s="690"/>
      <c r="W342" s="690">
        <f t="shared" si="89"/>
        <v>35423.040833333333</v>
      </c>
      <c r="X342" s="713"/>
      <c r="Y342" s="690"/>
      <c r="Z342" s="690"/>
      <c r="AA342" s="657"/>
      <c r="AB342" s="690"/>
      <c r="AC342" s="659">
        <f t="shared" si="90"/>
        <v>35423.040833333333</v>
      </c>
      <c r="AD342" s="658"/>
      <c r="AE342" s="658"/>
      <c r="AF342" s="688">
        <f t="shared" si="80"/>
        <v>0</v>
      </c>
    </row>
    <row r="343" spans="1:32">
      <c r="A343" s="620">
        <v>329</v>
      </c>
      <c r="B343" s="326" t="s">
        <v>980</v>
      </c>
      <c r="C343" s="326" t="s">
        <v>528</v>
      </c>
      <c r="D343" s="326" t="s">
        <v>1204</v>
      </c>
      <c r="E343" s="618" t="s">
        <v>1638</v>
      </c>
      <c r="F343" s="619">
        <v>12321.35</v>
      </c>
      <c r="G343" s="619">
        <v>144.74</v>
      </c>
      <c r="H343" s="619">
        <v>424.49</v>
      </c>
      <c r="I343" s="619">
        <v>944.89</v>
      </c>
      <c r="J343" s="619">
        <v>1674.17</v>
      </c>
      <c r="K343" s="619">
        <v>2379.8200000000002</v>
      </c>
      <c r="L343" s="619">
        <v>3131.36</v>
      </c>
      <c r="M343" s="619">
        <v>4037.04</v>
      </c>
      <c r="N343" s="619">
        <v>5172.18</v>
      </c>
      <c r="O343" s="619">
        <v>6230.27</v>
      </c>
      <c r="P343" s="619">
        <v>7596.28</v>
      </c>
      <c r="Q343" s="619">
        <v>8494.06</v>
      </c>
      <c r="R343" s="619">
        <v>16599.79</v>
      </c>
      <c r="S343" s="498">
        <f t="shared" si="92"/>
        <v>4557.4891666666672</v>
      </c>
      <c r="T343" s="620"/>
      <c r="U343" s="657"/>
      <c r="V343" s="690"/>
      <c r="W343" s="690">
        <f t="shared" si="89"/>
        <v>4557.4891666666672</v>
      </c>
      <c r="X343" s="713"/>
      <c r="Y343" s="690"/>
      <c r="Z343" s="690"/>
      <c r="AA343" s="657"/>
      <c r="AB343" s="690"/>
      <c r="AC343" s="659">
        <f t="shared" si="90"/>
        <v>4557.4891666666672</v>
      </c>
      <c r="AD343" s="658"/>
      <c r="AE343" s="658"/>
      <c r="AF343" s="688">
        <f t="shared" si="80"/>
        <v>0</v>
      </c>
    </row>
    <row r="344" spans="1:32">
      <c r="A344" s="620">
        <v>330</v>
      </c>
      <c r="B344" s="326" t="s">
        <v>980</v>
      </c>
      <c r="C344" s="326" t="s">
        <v>528</v>
      </c>
      <c r="D344" s="326" t="s">
        <v>1205</v>
      </c>
      <c r="E344" s="618" t="s">
        <v>1639</v>
      </c>
      <c r="F344" s="619">
        <v>0</v>
      </c>
      <c r="G344" s="619">
        <v>0</v>
      </c>
      <c r="H344" s="619">
        <v>0</v>
      </c>
      <c r="I344" s="619">
        <v>0</v>
      </c>
      <c r="J344" s="619">
        <v>0</v>
      </c>
      <c r="K344" s="619">
        <v>0</v>
      </c>
      <c r="L344" s="619">
        <v>0</v>
      </c>
      <c r="M344" s="619">
        <v>0</v>
      </c>
      <c r="N344" s="619">
        <v>0</v>
      </c>
      <c r="O344" s="619">
        <v>0</v>
      </c>
      <c r="P344" s="619">
        <v>0</v>
      </c>
      <c r="Q344" s="619">
        <v>0</v>
      </c>
      <c r="R344" s="619">
        <v>0</v>
      </c>
      <c r="S344" s="498">
        <f t="shared" si="92"/>
        <v>0</v>
      </c>
      <c r="T344" s="620"/>
      <c r="U344" s="657"/>
      <c r="V344" s="690"/>
      <c r="W344" s="690">
        <f t="shared" si="89"/>
        <v>0</v>
      </c>
      <c r="X344" s="713"/>
      <c r="Y344" s="690"/>
      <c r="Z344" s="690"/>
      <c r="AA344" s="657"/>
      <c r="AB344" s="690"/>
      <c r="AC344" s="659">
        <f t="shared" si="90"/>
        <v>0</v>
      </c>
      <c r="AD344" s="658"/>
      <c r="AE344" s="658"/>
      <c r="AF344" s="688">
        <f t="shared" si="80"/>
        <v>0</v>
      </c>
    </row>
    <row r="345" spans="1:32">
      <c r="A345" s="620">
        <v>331</v>
      </c>
      <c r="B345" s="326" t="s">
        <v>980</v>
      </c>
      <c r="C345" s="326" t="s">
        <v>528</v>
      </c>
      <c r="D345" s="326" t="s">
        <v>1206</v>
      </c>
      <c r="E345" s="618" t="s">
        <v>1640</v>
      </c>
      <c r="F345" s="619">
        <v>53464.6</v>
      </c>
      <c r="G345" s="619">
        <v>0</v>
      </c>
      <c r="H345" s="619">
        <v>0</v>
      </c>
      <c r="I345" s="619">
        <v>0</v>
      </c>
      <c r="J345" s="619">
        <v>0</v>
      </c>
      <c r="K345" s="619">
        <v>0</v>
      </c>
      <c r="L345" s="619">
        <v>0</v>
      </c>
      <c r="M345" s="619">
        <v>0</v>
      </c>
      <c r="N345" s="619">
        <v>0</v>
      </c>
      <c r="O345" s="619">
        <v>0</v>
      </c>
      <c r="P345" s="619">
        <v>0</v>
      </c>
      <c r="Q345" s="619">
        <v>0</v>
      </c>
      <c r="R345" s="619">
        <v>0</v>
      </c>
      <c r="S345" s="498">
        <f t="shared" si="92"/>
        <v>2227.6916666666666</v>
      </c>
      <c r="T345" s="620"/>
      <c r="U345" s="657"/>
      <c r="V345" s="690"/>
      <c r="W345" s="690">
        <f t="shared" si="89"/>
        <v>2227.6916666666666</v>
      </c>
      <c r="X345" s="713"/>
      <c r="Y345" s="690"/>
      <c r="Z345" s="690"/>
      <c r="AA345" s="657"/>
      <c r="AB345" s="690"/>
      <c r="AC345" s="659">
        <f t="shared" si="90"/>
        <v>2227.6916666666666</v>
      </c>
      <c r="AD345" s="658"/>
      <c r="AE345" s="658"/>
      <c r="AF345" s="688">
        <f t="shared" si="80"/>
        <v>0</v>
      </c>
    </row>
    <row r="346" spans="1:32">
      <c r="A346" s="620">
        <v>332</v>
      </c>
      <c r="B346" s="326" t="s">
        <v>977</v>
      </c>
      <c r="C346" s="326" t="s">
        <v>529</v>
      </c>
      <c r="D346" s="620"/>
      <c r="E346" s="618" t="s">
        <v>530</v>
      </c>
      <c r="F346" s="619">
        <v>200172.75</v>
      </c>
      <c r="G346" s="619">
        <v>16464.189999999999</v>
      </c>
      <c r="H346" s="619">
        <v>33621.160000000003</v>
      </c>
      <c r="I346" s="619">
        <v>50081.73</v>
      </c>
      <c r="J346" s="619">
        <v>66542.3</v>
      </c>
      <c r="K346" s="619">
        <v>86139.56</v>
      </c>
      <c r="L346" s="619">
        <v>169066.61</v>
      </c>
      <c r="M346" s="619">
        <v>186772.98</v>
      </c>
      <c r="N346" s="619">
        <v>142055.23000000001</v>
      </c>
      <c r="O346" s="619">
        <v>160580.14000000001</v>
      </c>
      <c r="P346" s="619">
        <v>179105.05</v>
      </c>
      <c r="Q346" s="619">
        <v>198455.11</v>
      </c>
      <c r="R346" s="619">
        <v>216975.49</v>
      </c>
      <c r="S346" s="498">
        <f>((F346+R346)+((G346+H346+I346+J346+K346+L346+M346+N346+O346+P346+Q346)*2))/24</f>
        <v>124788.18166666669</v>
      </c>
      <c r="T346" s="620"/>
      <c r="U346" s="657"/>
      <c r="V346" s="690"/>
      <c r="W346" s="690">
        <f t="shared" si="89"/>
        <v>124788.18166666669</v>
      </c>
      <c r="X346" s="713"/>
      <c r="Y346" s="690"/>
      <c r="Z346" s="690"/>
      <c r="AA346" s="657"/>
      <c r="AB346" s="690"/>
      <c r="AC346" s="659">
        <f t="shared" si="90"/>
        <v>124788.18166666669</v>
      </c>
      <c r="AD346" s="658"/>
      <c r="AE346" s="658"/>
      <c r="AF346" s="688">
        <f t="shared" si="80"/>
        <v>0</v>
      </c>
    </row>
    <row r="347" spans="1:32">
      <c r="A347" s="620">
        <v>333</v>
      </c>
      <c r="B347" s="326" t="s">
        <v>977</v>
      </c>
      <c r="C347" s="326" t="s">
        <v>531</v>
      </c>
      <c r="D347" s="620"/>
      <c r="E347" s="618" t="s">
        <v>1636</v>
      </c>
      <c r="F347" s="313">
        <v>40970.639999999999</v>
      </c>
      <c r="G347" s="313">
        <v>3414.22</v>
      </c>
      <c r="H347" s="313">
        <v>6828.44</v>
      </c>
      <c r="I347" s="313">
        <v>10242.66</v>
      </c>
      <c r="J347" s="313">
        <v>13656.88</v>
      </c>
      <c r="K347" s="313">
        <v>17071.099999999999</v>
      </c>
      <c r="L347" s="313">
        <v>20485.32</v>
      </c>
      <c r="M347" s="313">
        <v>23899.54</v>
      </c>
      <c r="N347" s="313">
        <v>27313.759999999998</v>
      </c>
      <c r="O347" s="313">
        <v>30727.98</v>
      </c>
      <c r="P347" s="313">
        <v>34142.199999999997</v>
      </c>
      <c r="Q347" s="313">
        <v>37556.42</v>
      </c>
      <c r="R347" s="313">
        <v>40970.639999999999</v>
      </c>
      <c r="S347" s="498">
        <f>((F347+R347)+((G347+H347+I347+J347+K347+L347+M347+N347+O347+P347+Q347)*2))/24</f>
        <v>22192.429999999997</v>
      </c>
      <c r="T347" s="620"/>
      <c r="U347" s="657"/>
      <c r="V347" s="690"/>
      <c r="W347" s="690">
        <f t="shared" si="89"/>
        <v>22192.429999999997</v>
      </c>
      <c r="X347" s="713"/>
      <c r="Y347" s="690"/>
      <c r="Z347" s="690"/>
      <c r="AA347" s="657"/>
      <c r="AB347" s="690"/>
      <c r="AC347" s="659">
        <f t="shared" si="90"/>
        <v>22192.429999999997</v>
      </c>
      <c r="AD347" s="658"/>
      <c r="AE347" s="658"/>
      <c r="AF347" s="688">
        <f t="shared" si="80"/>
        <v>0</v>
      </c>
    </row>
    <row r="348" spans="1:32">
      <c r="A348" s="620">
        <v>334</v>
      </c>
      <c r="B348" s="620"/>
      <c r="C348" s="620"/>
      <c r="D348" s="620"/>
      <c r="E348" s="618" t="s">
        <v>532</v>
      </c>
      <c r="F348" s="305">
        <f t="shared" ref="F348:S348" si="93">SUM(F332:F347)</f>
        <v>12288416.85</v>
      </c>
      <c r="G348" s="305">
        <f t="shared" si="93"/>
        <v>1156006.6399999999</v>
      </c>
      <c r="H348" s="305">
        <f t="shared" si="93"/>
        <v>2335818.46</v>
      </c>
      <c r="I348" s="305">
        <f t="shared" si="93"/>
        <v>3562062.37</v>
      </c>
      <c r="J348" s="305">
        <f t="shared" si="93"/>
        <v>4802203.4799999995</v>
      </c>
      <c r="K348" s="305">
        <f t="shared" si="93"/>
        <v>6161593.5500000007</v>
      </c>
      <c r="L348" s="305">
        <f t="shared" si="93"/>
        <v>7680596.2400000012</v>
      </c>
      <c r="M348" s="305">
        <f t="shared" si="93"/>
        <v>9040357.839999998</v>
      </c>
      <c r="N348" s="305">
        <f t="shared" si="93"/>
        <v>10364554.799999999</v>
      </c>
      <c r="O348" s="305">
        <f t="shared" si="93"/>
        <v>11750300.390000001</v>
      </c>
      <c r="P348" s="305">
        <f t="shared" si="93"/>
        <v>13080449.229999997</v>
      </c>
      <c r="Q348" s="305">
        <f t="shared" si="93"/>
        <v>14428640.719999999</v>
      </c>
      <c r="R348" s="305">
        <f t="shared" si="93"/>
        <v>15822821.99</v>
      </c>
      <c r="S348" s="500">
        <f t="shared" si="93"/>
        <v>8201516.9283333337</v>
      </c>
      <c r="T348" s="620"/>
      <c r="U348" s="657"/>
      <c r="V348" s="690"/>
      <c r="W348" s="690"/>
      <c r="X348" s="713"/>
      <c r="Y348" s="690"/>
      <c r="Z348" s="690"/>
      <c r="AA348" s="657"/>
      <c r="AB348" s="690"/>
      <c r="AC348" s="658"/>
      <c r="AD348" s="658"/>
      <c r="AE348" s="658"/>
      <c r="AF348" s="688">
        <f t="shared" si="80"/>
        <v>0</v>
      </c>
    </row>
    <row r="349" spans="1:32">
      <c r="A349" s="620">
        <v>335</v>
      </c>
      <c r="B349" s="620"/>
      <c r="C349" s="620"/>
      <c r="D349" s="620"/>
      <c r="E349" s="618"/>
      <c r="F349" s="619"/>
      <c r="G349" s="324"/>
      <c r="H349" s="315"/>
      <c r="I349" s="315"/>
      <c r="J349" s="316"/>
      <c r="K349" s="317"/>
      <c r="L349" s="318"/>
      <c r="M349" s="319"/>
      <c r="N349" s="320"/>
      <c r="O349" s="606"/>
      <c r="P349" s="321"/>
      <c r="Q349" s="325"/>
      <c r="R349" s="619"/>
      <c r="S349" s="304"/>
      <c r="T349" s="620"/>
      <c r="U349" s="657"/>
      <c r="V349" s="690"/>
      <c r="W349" s="690"/>
      <c r="X349" s="713"/>
      <c r="Y349" s="690"/>
      <c r="Z349" s="690"/>
      <c r="AA349" s="657"/>
      <c r="AB349" s="690"/>
      <c r="AC349" s="658"/>
      <c r="AD349" s="658"/>
      <c r="AE349" s="658"/>
      <c r="AF349" s="688">
        <f t="shared" si="80"/>
        <v>0</v>
      </c>
    </row>
    <row r="350" spans="1:32">
      <c r="A350" s="620">
        <v>336</v>
      </c>
      <c r="B350" s="326" t="s">
        <v>1005</v>
      </c>
      <c r="C350" s="326" t="s">
        <v>533</v>
      </c>
      <c r="D350" s="326" t="s">
        <v>1207</v>
      </c>
      <c r="E350" s="618" t="s">
        <v>1643</v>
      </c>
      <c r="F350" s="619">
        <v>477754.1</v>
      </c>
      <c r="G350" s="619">
        <v>-1106116.25</v>
      </c>
      <c r="H350" s="619">
        <v>360934.49</v>
      </c>
      <c r="I350" s="619">
        <v>304626.49</v>
      </c>
      <c r="J350" s="619">
        <v>60968.1</v>
      </c>
      <c r="K350" s="619">
        <v>-120515.98</v>
      </c>
      <c r="L350" s="619">
        <v>-340927.21</v>
      </c>
      <c r="M350" s="619">
        <v>-656514.9</v>
      </c>
      <c r="N350" s="619">
        <v>-1034313.55</v>
      </c>
      <c r="O350" s="619">
        <v>-900351.67</v>
      </c>
      <c r="P350" s="619">
        <v>-972430.98</v>
      </c>
      <c r="Q350" s="619">
        <v>-1075747.08</v>
      </c>
      <c r="R350" s="619">
        <v>-638181.51</v>
      </c>
      <c r="S350" s="498">
        <f t="shared" ref="S350:S370" si="94">((F350+R350)+((G350+H350+I350+J350+K350+L350+M350+N350+O350+P350+Q350)*2))/24</f>
        <v>-463383.52041666675</v>
      </c>
      <c r="T350" s="620"/>
      <c r="U350" s="657"/>
      <c r="V350" s="690"/>
      <c r="W350" s="690">
        <f t="shared" ref="W350:W370" si="95">+S350</f>
        <v>-463383.52041666675</v>
      </c>
      <c r="X350" s="713"/>
      <c r="Y350" s="690"/>
      <c r="Z350" s="690"/>
      <c r="AA350" s="657"/>
      <c r="AB350" s="690"/>
      <c r="AC350" s="659">
        <f t="shared" ref="AC350:AC370" si="96">+S350</f>
        <v>-463383.52041666675</v>
      </c>
      <c r="AD350" s="658"/>
      <c r="AE350" s="658"/>
      <c r="AF350" s="688">
        <f t="shared" si="80"/>
        <v>0</v>
      </c>
    </row>
    <row r="351" spans="1:32">
      <c r="A351" s="620">
        <v>337</v>
      </c>
      <c r="B351" s="326" t="s">
        <v>1005</v>
      </c>
      <c r="C351" s="326" t="s">
        <v>533</v>
      </c>
      <c r="D351" s="326" t="s">
        <v>1208</v>
      </c>
      <c r="E351" s="618" t="s">
        <v>1644</v>
      </c>
      <c r="F351" s="619">
        <v>-461581.72</v>
      </c>
      <c r="G351" s="619">
        <v>4449.66</v>
      </c>
      <c r="H351" s="619">
        <v>-310132.34000000003</v>
      </c>
      <c r="I351" s="619">
        <v>-655617.5</v>
      </c>
      <c r="J351" s="619">
        <v>-653131</v>
      </c>
      <c r="K351" s="619">
        <v>-734062.41</v>
      </c>
      <c r="L351" s="619">
        <v>-843428.71</v>
      </c>
      <c r="M351" s="619">
        <v>-983006.67</v>
      </c>
      <c r="N351" s="619">
        <v>-1116988.21</v>
      </c>
      <c r="O351" s="619">
        <v>-1049291.58</v>
      </c>
      <c r="P351" s="619">
        <v>-1068975.5</v>
      </c>
      <c r="Q351" s="619">
        <v>-1029140.04</v>
      </c>
      <c r="R351" s="619">
        <v>-941388.15</v>
      </c>
      <c r="S351" s="498">
        <f t="shared" si="94"/>
        <v>-761734.10291666677</v>
      </c>
      <c r="T351" s="620"/>
      <c r="U351" s="657"/>
      <c r="V351" s="690"/>
      <c r="W351" s="690">
        <f t="shared" si="95"/>
        <v>-761734.10291666677</v>
      </c>
      <c r="X351" s="713"/>
      <c r="Y351" s="690"/>
      <c r="Z351" s="690"/>
      <c r="AA351" s="657"/>
      <c r="AB351" s="690"/>
      <c r="AC351" s="659">
        <f t="shared" si="96"/>
        <v>-761734.10291666677</v>
      </c>
      <c r="AD351" s="658"/>
      <c r="AE351" s="658"/>
      <c r="AF351" s="688">
        <f t="shared" si="80"/>
        <v>0</v>
      </c>
    </row>
    <row r="352" spans="1:32">
      <c r="A352" s="620">
        <v>338</v>
      </c>
      <c r="B352" s="326" t="s">
        <v>980</v>
      </c>
      <c r="C352" s="326" t="s">
        <v>533</v>
      </c>
      <c r="D352" s="326" t="s">
        <v>1207</v>
      </c>
      <c r="E352" s="618" t="s">
        <v>1643</v>
      </c>
      <c r="F352" s="619">
        <v>-5897972.5800000001</v>
      </c>
      <c r="G352" s="619">
        <v>1164652.29</v>
      </c>
      <c r="H352" s="619">
        <v>-3906190.58</v>
      </c>
      <c r="I352" s="619">
        <v>-7792882.1500000004</v>
      </c>
      <c r="J352" s="619">
        <v>-7521783.9699999997</v>
      </c>
      <c r="K352" s="619">
        <v>-8265924.8300000001</v>
      </c>
      <c r="L352" s="619">
        <v>-9301275.4000000004</v>
      </c>
      <c r="M352" s="619">
        <v>-10583539.939999999</v>
      </c>
      <c r="N352" s="619">
        <v>-11739653.470000001</v>
      </c>
      <c r="O352" s="619">
        <v>-11096809.800000001</v>
      </c>
      <c r="P352" s="619">
        <v>-11252771.48</v>
      </c>
      <c r="Q352" s="619">
        <v>-11444564.33</v>
      </c>
      <c r="R352" s="619">
        <v>-10887316.07</v>
      </c>
      <c r="S352" s="498">
        <f t="shared" si="94"/>
        <v>-8344448.9987500003</v>
      </c>
      <c r="T352" s="620"/>
      <c r="U352" s="657"/>
      <c r="V352" s="690"/>
      <c r="W352" s="690">
        <f t="shared" si="95"/>
        <v>-8344448.9987500003</v>
      </c>
      <c r="X352" s="713"/>
      <c r="Y352" s="690"/>
      <c r="Z352" s="690"/>
      <c r="AA352" s="657"/>
      <c r="AB352" s="690"/>
      <c r="AC352" s="659">
        <f t="shared" si="96"/>
        <v>-8344448.9987500003</v>
      </c>
      <c r="AD352" s="658"/>
      <c r="AE352" s="658"/>
      <c r="AF352" s="688">
        <f t="shared" si="80"/>
        <v>0</v>
      </c>
    </row>
    <row r="353" spans="1:32">
      <c r="A353" s="620">
        <v>339</v>
      </c>
      <c r="B353" s="326" t="s">
        <v>977</v>
      </c>
      <c r="C353" s="326" t="s">
        <v>534</v>
      </c>
      <c r="D353" s="326" t="s">
        <v>1207</v>
      </c>
      <c r="E353" s="618" t="s">
        <v>1641</v>
      </c>
      <c r="F353" s="619">
        <v>-0.66000000003987203</v>
      </c>
      <c r="G353" s="619">
        <v>0</v>
      </c>
      <c r="H353" s="619">
        <v>0</v>
      </c>
      <c r="I353" s="619">
        <v>0</v>
      </c>
      <c r="J353" s="619">
        <v>0</v>
      </c>
      <c r="K353" s="619">
        <v>0</v>
      </c>
      <c r="L353" s="619">
        <v>0</v>
      </c>
      <c r="M353" s="619">
        <v>0</v>
      </c>
      <c r="N353" s="619">
        <v>0</v>
      </c>
      <c r="O353" s="619">
        <v>0</v>
      </c>
      <c r="P353" s="619">
        <v>0</v>
      </c>
      <c r="Q353" s="619">
        <v>0</v>
      </c>
      <c r="R353" s="619">
        <v>0</v>
      </c>
      <c r="S353" s="498">
        <f t="shared" si="94"/>
        <v>-2.7500000001661334E-2</v>
      </c>
      <c r="T353" s="620"/>
      <c r="U353" s="657"/>
      <c r="V353" s="690"/>
      <c r="W353" s="690">
        <f t="shared" si="95"/>
        <v>-2.7500000001661334E-2</v>
      </c>
      <c r="X353" s="713"/>
      <c r="Y353" s="690"/>
      <c r="Z353" s="690"/>
      <c r="AA353" s="657"/>
      <c r="AB353" s="690"/>
      <c r="AC353" s="659">
        <f t="shared" si="96"/>
        <v>-2.7500000001661334E-2</v>
      </c>
      <c r="AD353" s="658"/>
      <c r="AE353" s="658"/>
      <c r="AF353" s="688">
        <f t="shared" si="80"/>
        <v>0</v>
      </c>
    </row>
    <row r="354" spans="1:32">
      <c r="A354" s="620">
        <v>340</v>
      </c>
      <c r="B354" s="326" t="s">
        <v>980</v>
      </c>
      <c r="C354" s="326" t="s">
        <v>534</v>
      </c>
      <c r="D354" s="326" t="s">
        <v>1207</v>
      </c>
      <c r="E354" s="618" t="s">
        <v>1641</v>
      </c>
      <c r="F354" s="619">
        <v>-202795.88</v>
      </c>
      <c r="G354" s="619">
        <v>33862.14</v>
      </c>
      <c r="H354" s="619">
        <v>-114363.35</v>
      </c>
      <c r="I354" s="619">
        <v>-62698.27</v>
      </c>
      <c r="J354" s="619">
        <v>436.49000000001303</v>
      </c>
      <c r="K354" s="619">
        <v>105548.77</v>
      </c>
      <c r="L354" s="619">
        <v>184457.71</v>
      </c>
      <c r="M354" s="619">
        <v>236745.25</v>
      </c>
      <c r="N354" s="619">
        <v>325665.51</v>
      </c>
      <c r="O354" s="619">
        <v>405737.39</v>
      </c>
      <c r="P354" s="619">
        <v>482461.55</v>
      </c>
      <c r="Q354" s="619">
        <v>511190.11</v>
      </c>
      <c r="R354" s="619">
        <v>616283.49</v>
      </c>
      <c r="S354" s="498">
        <f t="shared" si="94"/>
        <v>192982.25875000004</v>
      </c>
      <c r="T354" s="620"/>
      <c r="U354" s="657"/>
      <c r="V354" s="690"/>
      <c r="W354" s="690">
        <f t="shared" si="95"/>
        <v>192982.25875000004</v>
      </c>
      <c r="X354" s="713"/>
      <c r="Y354" s="690"/>
      <c r="Z354" s="690"/>
      <c r="AA354" s="657"/>
      <c r="AB354" s="690"/>
      <c r="AC354" s="659">
        <f t="shared" si="96"/>
        <v>192982.25875000004</v>
      </c>
      <c r="AD354" s="658"/>
      <c r="AE354" s="658"/>
      <c r="AF354" s="688">
        <f t="shared" si="80"/>
        <v>0</v>
      </c>
    </row>
    <row r="355" spans="1:32">
      <c r="A355" s="620">
        <v>341</v>
      </c>
      <c r="B355" s="326" t="s">
        <v>1005</v>
      </c>
      <c r="C355" s="326" t="s">
        <v>534</v>
      </c>
      <c r="D355" s="326" t="s">
        <v>1207</v>
      </c>
      <c r="E355" s="618" t="s">
        <v>1641</v>
      </c>
      <c r="F355" s="619">
        <v>-41879.49</v>
      </c>
      <c r="G355" s="619">
        <v>165.09</v>
      </c>
      <c r="H355" s="619">
        <v>-58971.95</v>
      </c>
      <c r="I355" s="619">
        <v>-56500.07</v>
      </c>
      <c r="J355" s="619">
        <v>-53017.59</v>
      </c>
      <c r="K355" s="619">
        <v>-48856.44</v>
      </c>
      <c r="L355" s="619">
        <v>-45565.31</v>
      </c>
      <c r="M355" s="619">
        <v>-53413.01</v>
      </c>
      <c r="N355" s="619">
        <v>-51639.28</v>
      </c>
      <c r="O355" s="619">
        <v>-50790.29</v>
      </c>
      <c r="P355" s="619">
        <v>-49747.69</v>
      </c>
      <c r="Q355" s="619">
        <v>-34705.440000000002</v>
      </c>
      <c r="R355" s="619">
        <v>-29139.84</v>
      </c>
      <c r="S355" s="498">
        <f t="shared" si="94"/>
        <v>-44879.303749999999</v>
      </c>
      <c r="T355" s="620"/>
      <c r="U355" s="657"/>
      <c r="V355" s="690"/>
      <c r="W355" s="690">
        <f t="shared" si="95"/>
        <v>-44879.303749999999</v>
      </c>
      <c r="X355" s="713"/>
      <c r="Y355" s="690"/>
      <c r="Z355" s="690"/>
      <c r="AA355" s="657"/>
      <c r="AB355" s="690"/>
      <c r="AC355" s="659">
        <f t="shared" si="96"/>
        <v>-44879.303749999999</v>
      </c>
      <c r="AD355" s="658"/>
      <c r="AE355" s="658"/>
      <c r="AF355" s="688">
        <f t="shared" si="80"/>
        <v>0</v>
      </c>
    </row>
    <row r="356" spans="1:32">
      <c r="A356" s="620">
        <v>342</v>
      </c>
      <c r="B356" s="326" t="s">
        <v>1005</v>
      </c>
      <c r="C356" s="326" t="s">
        <v>534</v>
      </c>
      <c r="D356" s="326" t="s">
        <v>1208</v>
      </c>
      <c r="E356" s="618" t="s">
        <v>1645</v>
      </c>
      <c r="F356" s="619">
        <v>-27118.1</v>
      </c>
      <c r="G356" s="619">
        <v>2978.26</v>
      </c>
      <c r="H356" s="619">
        <v>-15171.34</v>
      </c>
      <c r="I356" s="619">
        <v>-10432.950000000001</v>
      </c>
      <c r="J356" s="619">
        <v>-4602.22</v>
      </c>
      <c r="K356" s="619">
        <v>4962.05</v>
      </c>
      <c r="L356" s="619">
        <v>12156.69</v>
      </c>
      <c r="M356" s="619">
        <v>16046.33</v>
      </c>
      <c r="N356" s="619">
        <v>23984.41</v>
      </c>
      <c r="O356" s="619">
        <v>31067.09</v>
      </c>
      <c r="P356" s="619">
        <v>37873.699999999997</v>
      </c>
      <c r="Q356" s="619">
        <v>-100224.79</v>
      </c>
      <c r="R356" s="619">
        <v>-89092.800000000003</v>
      </c>
      <c r="S356" s="498">
        <f t="shared" si="94"/>
        <v>-4955.6850000000004</v>
      </c>
      <c r="T356" s="620"/>
      <c r="U356" s="657"/>
      <c r="V356" s="690"/>
      <c r="W356" s="690">
        <f t="shared" si="95"/>
        <v>-4955.6850000000004</v>
      </c>
      <c r="X356" s="713"/>
      <c r="Y356" s="690"/>
      <c r="Z356" s="690"/>
      <c r="AA356" s="657"/>
      <c r="AB356" s="690"/>
      <c r="AC356" s="659">
        <f t="shared" si="96"/>
        <v>-4955.6850000000004</v>
      </c>
      <c r="AD356" s="658"/>
      <c r="AE356" s="658"/>
      <c r="AF356" s="688">
        <f t="shared" si="80"/>
        <v>0</v>
      </c>
    </row>
    <row r="357" spans="1:32">
      <c r="A357" s="620">
        <v>343</v>
      </c>
      <c r="B357" s="326" t="s">
        <v>1005</v>
      </c>
      <c r="C357" s="326" t="s">
        <v>535</v>
      </c>
      <c r="D357" s="326" t="s">
        <v>1207</v>
      </c>
      <c r="E357" s="618" t="s">
        <v>1646</v>
      </c>
      <c r="F357" s="619">
        <v>1030111.29</v>
      </c>
      <c r="G357" s="619">
        <v>1502122.64</v>
      </c>
      <c r="H357" s="619">
        <v>1584002.58</v>
      </c>
      <c r="I357" s="619">
        <v>1824710.85</v>
      </c>
      <c r="J357" s="619">
        <v>2132970.7000000002</v>
      </c>
      <c r="K357" s="619">
        <v>6942868.6699999999</v>
      </c>
      <c r="L357" s="619">
        <v>7148657.1100000003</v>
      </c>
      <c r="M357" s="619">
        <v>7259055.5899999999</v>
      </c>
      <c r="N357" s="619">
        <v>7487450.7599999998</v>
      </c>
      <c r="O357" s="619">
        <v>7513531.9000000004</v>
      </c>
      <c r="P357" s="619">
        <v>7616251.2300000004</v>
      </c>
      <c r="Q357" s="619">
        <v>8169856.7300000004</v>
      </c>
      <c r="R357" s="619">
        <v>9119545.7400000002</v>
      </c>
      <c r="S357" s="498">
        <f t="shared" si="94"/>
        <v>5354692.2729166672</v>
      </c>
      <c r="T357" s="620"/>
      <c r="U357" s="657"/>
      <c r="V357" s="690"/>
      <c r="W357" s="690">
        <f t="shared" si="95"/>
        <v>5354692.2729166672</v>
      </c>
      <c r="X357" s="713"/>
      <c r="Y357" s="690"/>
      <c r="Z357" s="690"/>
      <c r="AA357" s="657"/>
      <c r="AB357" s="690"/>
      <c r="AC357" s="659">
        <f t="shared" si="96"/>
        <v>5354692.2729166672</v>
      </c>
      <c r="AD357" s="658"/>
      <c r="AE357" s="658"/>
      <c r="AF357" s="688">
        <f t="shared" si="80"/>
        <v>0</v>
      </c>
    </row>
    <row r="358" spans="1:32">
      <c r="A358" s="620">
        <v>344</v>
      </c>
      <c r="B358" s="326" t="s">
        <v>1005</v>
      </c>
      <c r="C358" s="326" t="s">
        <v>535</v>
      </c>
      <c r="D358" s="620" t="s">
        <v>1208</v>
      </c>
      <c r="E358" s="618" t="s">
        <v>1647</v>
      </c>
      <c r="F358" s="619">
        <v>1414436.22</v>
      </c>
      <c r="G358" s="619">
        <v>156745.59</v>
      </c>
      <c r="H358" s="619">
        <v>692716.72</v>
      </c>
      <c r="I358" s="619">
        <v>1115086</v>
      </c>
      <c r="J358" s="619">
        <v>1171393.23</v>
      </c>
      <c r="K358" s="619">
        <v>2824593.05</v>
      </c>
      <c r="L358" s="619">
        <v>2904628.65</v>
      </c>
      <c r="M358" s="619">
        <v>2989308.51</v>
      </c>
      <c r="N358" s="619">
        <v>3089196.77</v>
      </c>
      <c r="O358" s="619">
        <v>3126799.81</v>
      </c>
      <c r="P358" s="619">
        <v>3170217.26</v>
      </c>
      <c r="Q358" s="619">
        <v>3390773.84</v>
      </c>
      <c r="R358" s="619">
        <v>3692365.67</v>
      </c>
      <c r="S358" s="498">
        <f t="shared" si="94"/>
        <v>2265405.0312499995</v>
      </c>
      <c r="T358" s="620"/>
      <c r="U358" s="657"/>
      <c r="V358" s="690"/>
      <c r="W358" s="690">
        <f t="shared" si="95"/>
        <v>2265405.0312499995</v>
      </c>
      <c r="X358" s="713"/>
      <c r="Y358" s="690"/>
      <c r="Z358" s="690"/>
      <c r="AA358" s="657"/>
      <c r="AB358" s="690"/>
      <c r="AC358" s="659">
        <f t="shared" si="96"/>
        <v>2265405.0312499995</v>
      </c>
      <c r="AD358" s="658"/>
      <c r="AE358" s="658"/>
      <c r="AF358" s="688">
        <f t="shared" si="80"/>
        <v>0</v>
      </c>
    </row>
    <row r="359" spans="1:32">
      <c r="A359" s="620">
        <v>345</v>
      </c>
      <c r="B359" s="326" t="s">
        <v>980</v>
      </c>
      <c r="C359" s="326" t="s">
        <v>535</v>
      </c>
      <c r="D359" s="620" t="s">
        <v>1207</v>
      </c>
      <c r="E359" s="618" t="s">
        <v>1646</v>
      </c>
      <c r="F359" s="619">
        <v>14687003.68</v>
      </c>
      <c r="G359" s="619">
        <v>157170.60999999999</v>
      </c>
      <c r="H359" s="619">
        <v>6165862.3399999999</v>
      </c>
      <c r="I359" s="619">
        <v>10673719.439999999</v>
      </c>
      <c r="J359" s="619">
        <v>10858290.310000001</v>
      </c>
      <c r="K359" s="619">
        <v>25464210.609999999</v>
      </c>
      <c r="L359" s="619">
        <v>26022982.27</v>
      </c>
      <c r="M359" s="619">
        <v>26728626.530000001</v>
      </c>
      <c r="N359" s="619">
        <v>27495811.370000001</v>
      </c>
      <c r="O359" s="619">
        <v>27756122.93</v>
      </c>
      <c r="P359" s="619">
        <v>27991593.460000001</v>
      </c>
      <c r="Q359" s="619">
        <v>29920866.98</v>
      </c>
      <c r="R359" s="619">
        <v>32227813.57</v>
      </c>
      <c r="S359" s="498">
        <f t="shared" si="94"/>
        <v>20224388.789583333</v>
      </c>
      <c r="T359" s="620"/>
      <c r="U359" s="657"/>
      <c r="V359" s="690"/>
      <c r="W359" s="690">
        <f t="shared" si="95"/>
        <v>20224388.789583333</v>
      </c>
      <c r="X359" s="713"/>
      <c r="Y359" s="690"/>
      <c r="Z359" s="690"/>
      <c r="AA359" s="657"/>
      <c r="AB359" s="690"/>
      <c r="AC359" s="659">
        <f t="shared" si="96"/>
        <v>20224388.789583333</v>
      </c>
      <c r="AD359" s="658"/>
      <c r="AE359" s="658"/>
      <c r="AF359" s="688">
        <f t="shared" si="80"/>
        <v>0</v>
      </c>
    </row>
    <row r="360" spans="1:32">
      <c r="A360" s="620">
        <v>346</v>
      </c>
      <c r="B360" s="326" t="s">
        <v>977</v>
      </c>
      <c r="C360" s="326" t="s">
        <v>536</v>
      </c>
      <c r="D360" s="620" t="s">
        <v>1207</v>
      </c>
      <c r="E360" s="618" t="s">
        <v>1642</v>
      </c>
      <c r="F360" s="619">
        <v>-9.9999999947613105E-3</v>
      </c>
      <c r="G360" s="619">
        <v>0</v>
      </c>
      <c r="H360" s="619">
        <v>0</v>
      </c>
      <c r="I360" s="619">
        <v>0</v>
      </c>
      <c r="J360" s="619">
        <v>0</v>
      </c>
      <c r="K360" s="619">
        <v>0</v>
      </c>
      <c r="L360" s="619">
        <v>0</v>
      </c>
      <c r="M360" s="619">
        <v>0</v>
      </c>
      <c r="N360" s="619">
        <v>0</v>
      </c>
      <c r="O360" s="619">
        <v>0</v>
      </c>
      <c r="P360" s="619">
        <v>0</v>
      </c>
      <c r="Q360" s="619">
        <v>0</v>
      </c>
      <c r="R360" s="619">
        <v>0</v>
      </c>
      <c r="S360" s="498">
        <f t="shared" si="94"/>
        <v>-4.1666666644838796E-4</v>
      </c>
      <c r="T360" s="620"/>
      <c r="U360" s="657"/>
      <c r="V360" s="690"/>
      <c r="W360" s="690">
        <f t="shared" si="95"/>
        <v>-4.1666666644838796E-4</v>
      </c>
      <c r="X360" s="713"/>
      <c r="Y360" s="690"/>
      <c r="Z360" s="690"/>
      <c r="AA360" s="657"/>
      <c r="AB360" s="690"/>
      <c r="AC360" s="659">
        <f t="shared" si="96"/>
        <v>-4.1666666644838796E-4</v>
      </c>
      <c r="AD360" s="658"/>
      <c r="AE360" s="658"/>
      <c r="AF360" s="688">
        <f t="shared" si="80"/>
        <v>0</v>
      </c>
    </row>
    <row r="361" spans="1:32">
      <c r="A361" s="620">
        <v>347</v>
      </c>
      <c r="B361" s="326" t="s">
        <v>980</v>
      </c>
      <c r="C361" s="326" t="s">
        <v>536</v>
      </c>
      <c r="D361" s="620" t="s">
        <v>1207</v>
      </c>
      <c r="E361" s="618" t="s">
        <v>1642</v>
      </c>
      <c r="F361" s="619">
        <v>107145.27</v>
      </c>
      <c r="G361" s="619">
        <v>16577.55</v>
      </c>
      <c r="H361" s="619">
        <v>16600.02</v>
      </c>
      <c r="I361" s="619">
        <v>16622.5</v>
      </c>
      <c r="J361" s="619">
        <v>16782.759999999998</v>
      </c>
      <c r="K361" s="619">
        <v>505882.98</v>
      </c>
      <c r="L361" s="619">
        <v>506037.91</v>
      </c>
      <c r="M361" s="619">
        <v>527991.24</v>
      </c>
      <c r="N361" s="619">
        <v>528008.38</v>
      </c>
      <c r="O361" s="619">
        <v>528025.52</v>
      </c>
      <c r="P361" s="619">
        <v>528042.66</v>
      </c>
      <c r="Q361" s="619">
        <v>528059.80000000005</v>
      </c>
      <c r="R361" s="619">
        <v>528076.93999999994</v>
      </c>
      <c r="S361" s="498">
        <f t="shared" si="94"/>
        <v>336353.53541666671</v>
      </c>
      <c r="T361" s="620"/>
      <c r="U361" s="657"/>
      <c r="V361" s="690"/>
      <c r="W361" s="690">
        <f t="shared" si="95"/>
        <v>336353.53541666671</v>
      </c>
      <c r="X361" s="713"/>
      <c r="Y361" s="690"/>
      <c r="Z361" s="690"/>
      <c r="AA361" s="657"/>
      <c r="AB361" s="690"/>
      <c r="AC361" s="659">
        <f t="shared" si="96"/>
        <v>336353.53541666671</v>
      </c>
      <c r="AD361" s="658"/>
      <c r="AE361" s="658"/>
      <c r="AF361" s="688">
        <f t="shared" si="80"/>
        <v>0</v>
      </c>
    </row>
    <row r="362" spans="1:32">
      <c r="A362" s="620">
        <v>348</v>
      </c>
      <c r="B362" s="326" t="s">
        <v>1005</v>
      </c>
      <c r="C362" s="326" t="s">
        <v>536</v>
      </c>
      <c r="D362" s="620" t="s">
        <v>1207</v>
      </c>
      <c r="E362" s="618" t="s">
        <v>1642</v>
      </c>
      <c r="F362" s="619">
        <v>36001.379999999997</v>
      </c>
      <c r="G362" s="619">
        <v>5475.86</v>
      </c>
      <c r="H362" s="619">
        <v>5483.28</v>
      </c>
      <c r="I362" s="619">
        <v>5490.7</v>
      </c>
      <c r="J362" s="619">
        <v>5543.64</v>
      </c>
      <c r="K362" s="619">
        <v>167102.23000000001</v>
      </c>
      <c r="L362" s="619">
        <v>167153.4</v>
      </c>
      <c r="M362" s="619">
        <v>174404.98</v>
      </c>
      <c r="N362" s="619">
        <v>174410.64</v>
      </c>
      <c r="O362" s="619">
        <v>174416.3</v>
      </c>
      <c r="P362" s="619">
        <v>174421.97</v>
      </c>
      <c r="Q362" s="619">
        <v>174427.64</v>
      </c>
      <c r="R362" s="619">
        <v>174433.3</v>
      </c>
      <c r="S362" s="498">
        <f t="shared" si="94"/>
        <v>111128.99833333335</v>
      </c>
      <c r="T362" s="620"/>
      <c r="U362" s="657"/>
      <c r="V362" s="690"/>
      <c r="W362" s="690">
        <f t="shared" si="95"/>
        <v>111128.99833333335</v>
      </c>
      <c r="X362" s="713"/>
      <c r="Y362" s="690"/>
      <c r="Z362" s="690"/>
      <c r="AA362" s="657"/>
      <c r="AB362" s="690"/>
      <c r="AC362" s="659">
        <f t="shared" si="96"/>
        <v>111128.99833333335</v>
      </c>
      <c r="AD362" s="658"/>
      <c r="AE362" s="658"/>
      <c r="AF362" s="688">
        <f t="shared" si="80"/>
        <v>0</v>
      </c>
    </row>
    <row r="363" spans="1:32">
      <c r="A363" s="620">
        <v>349</v>
      </c>
      <c r="B363" s="326" t="s">
        <v>1005</v>
      </c>
      <c r="C363" s="326" t="s">
        <v>536</v>
      </c>
      <c r="D363" s="620" t="s">
        <v>1208</v>
      </c>
      <c r="E363" s="618" t="s">
        <v>1648</v>
      </c>
      <c r="F363" s="619">
        <v>9512.19</v>
      </c>
      <c r="G363" s="619">
        <v>1895.4</v>
      </c>
      <c r="H363" s="619">
        <v>1895.4</v>
      </c>
      <c r="I363" s="619">
        <v>1895.4</v>
      </c>
      <c r="J363" s="619">
        <v>1895.4</v>
      </c>
      <c r="K363" s="619">
        <v>57801.8</v>
      </c>
      <c r="L363" s="619">
        <v>57801.8</v>
      </c>
      <c r="M363" s="619">
        <v>60311.839999999997</v>
      </c>
      <c r="N363" s="619">
        <v>60311.839999999997</v>
      </c>
      <c r="O363" s="619">
        <v>60311.839999999997</v>
      </c>
      <c r="P363" s="619">
        <v>60311.839999999997</v>
      </c>
      <c r="Q363" s="619">
        <v>60311.85</v>
      </c>
      <c r="R363" s="619">
        <v>60311.85</v>
      </c>
      <c r="S363" s="498">
        <f t="shared" si="94"/>
        <v>38304.702499999992</v>
      </c>
      <c r="T363" s="620"/>
      <c r="U363" s="657"/>
      <c r="V363" s="690"/>
      <c r="W363" s="690">
        <f t="shared" si="95"/>
        <v>38304.702499999992</v>
      </c>
      <c r="X363" s="713"/>
      <c r="Y363" s="690"/>
      <c r="Z363" s="690"/>
      <c r="AA363" s="657"/>
      <c r="AB363" s="690"/>
      <c r="AC363" s="659">
        <f t="shared" si="96"/>
        <v>38304.702499999992</v>
      </c>
      <c r="AD363" s="658"/>
      <c r="AE363" s="658"/>
      <c r="AF363" s="688">
        <f t="shared" si="80"/>
        <v>0</v>
      </c>
    </row>
    <row r="364" spans="1:32">
      <c r="A364" s="620">
        <v>350</v>
      </c>
      <c r="B364" s="326" t="s">
        <v>1005</v>
      </c>
      <c r="C364" s="326" t="s">
        <v>537</v>
      </c>
      <c r="D364" s="620" t="s">
        <v>1207</v>
      </c>
      <c r="E364" s="618" t="s">
        <v>1649</v>
      </c>
      <c r="F364" s="619">
        <v>-1752961.74</v>
      </c>
      <c r="G364" s="619">
        <v>-156734.28</v>
      </c>
      <c r="H364" s="619">
        <v>-1374074.62</v>
      </c>
      <c r="I364" s="619">
        <v>-1500419.21</v>
      </c>
      <c r="J364" s="619">
        <v>-1570383.62</v>
      </c>
      <c r="K364" s="619">
        <v>-6529214.7000000002</v>
      </c>
      <c r="L364" s="619">
        <v>-6710913.8399999999</v>
      </c>
      <c r="M364" s="619">
        <v>-6772071.4500000002</v>
      </c>
      <c r="N364" s="619">
        <v>-6850954.8600000003</v>
      </c>
      <c r="O364" s="619">
        <v>-7235545.7400000002</v>
      </c>
      <c r="P364" s="619">
        <v>-7308183.5499999998</v>
      </c>
      <c r="Q364" s="619">
        <v>-7527273.8300000001</v>
      </c>
      <c r="R364" s="619">
        <v>-8574114.7400000002</v>
      </c>
      <c r="S364" s="498">
        <f t="shared" si="94"/>
        <v>-4891608.9950000001</v>
      </c>
      <c r="T364" s="620"/>
      <c r="U364" s="657"/>
      <c r="V364" s="690"/>
      <c r="W364" s="690">
        <f t="shared" si="95"/>
        <v>-4891608.9950000001</v>
      </c>
      <c r="X364" s="713"/>
      <c r="Y364" s="690"/>
      <c r="Z364" s="690"/>
      <c r="AA364" s="657"/>
      <c r="AB364" s="690"/>
      <c r="AC364" s="659">
        <f t="shared" si="96"/>
        <v>-4891608.9950000001</v>
      </c>
      <c r="AD364" s="658"/>
      <c r="AE364" s="658"/>
      <c r="AF364" s="688">
        <f t="shared" si="80"/>
        <v>0</v>
      </c>
    </row>
    <row r="365" spans="1:32">
      <c r="A365" s="620">
        <v>351</v>
      </c>
      <c r="B365" s="326" t="s">
        <v>1005</v>
      </c>
      <c r="C365" s="326" t="s">
        <v>537</v>
      </c>
      <c r="D365" s="620" t="s">
        <v>1208</v>
      </c>
      <c r="E365" s="618" t="s">
        <v>1650</v>
      </c>
      <c r="F365" s="619">
        <v>-603695.05000000005</v>
      </c>
      <c r="G365" s="619">
        <v>-29214.48</v>
      </c>
      <c r="H365" s="619">
        <v>-148530</v>
      </c>
      <c r="I365" s="619">
        <v>-171518.93</v>
      </c>
      <c r="J365" s="619">
        <v>-211000.63</v>
      </c>
      <c r="K365" s="619">
        <v>-1883516.22</v>
      </c>
      <c r="L365" s="619">
        <v>-1902261.41</v>
      </c>
      <c r="M365" s="619">
        <v>-1908844.55</v>
      </c>
      <c r="N365" s="619">
        <v>-1927738.13</v>
      </c>
      <c r="O365" s="619">
        <v>-2074194.28</v>
      </c>
      <c r="P365" s="619">
        <v>-2091457.23</v>
      </c>
      <c r="Q365" s="619">
        <v>-2197694.86</v>
      </c>
      <c r="R365" s="619">
        <v>-2456542.67</v>
      </c>
      <c r="S365" s="498">
        <f t="shared" si="94"/>
        <v>-1339674.1316666666</v>
      </c>
      <c r="T365" s="620"/>
      <c r="U365" s="657"/>
      <c r="V365" s="690"/>
      <c r="W365" s="690">
        <f t="shared" si="95"/>
        <v>-1339674.1316666666</v>
      </c>
      <c r="X365" s="713"/>
      <c r="Y365" s="690"/>
      <c r="Z365" s="690"/>
      <c r="AA365" s="657"/>
      <c r="AB365" s="690"/>
      <c r="AC365" s="659">
        <f t="shared" si="96"/>
        <v>-1339674.1316666666</v>
      </c>
      <c r="AD365" s="658"/>
      <c r="AE365" s="658"/>
      <c r="AF365" s="688">
        <f t="shared" si="80"/>
        <v>0</v>
      </c>
    </row>
    <row r="366" spans="1:32">
      <c r="A366" s="620">
        <v>352</v>
      </c>
      <c r="B366" s="326" t="s">
        <v>980</v>
      </c>
      <c r="C366" s="326" t="s">
        <v>537</v>
      </c>
      <c r="D366" s="620" t="s">
        <v>1207</v>
      </c>
      <c r="E366" s="618" t="s">
        <v>1649</v>
      </c>
      <c r="F366" s="619">
        <v>-8395783.8699999992</v>
      </c>
      <c r="G366" s="619">
        <v>-369161.04</v>
      </c>
      <c r="H366" s="619">
        <v>-805695.08</v>
      </c>
      <c r="I366" s="619">
        <v>-1188591.5</v>
      </c>
      <c r="J366" s="619">
        <v>-1742891.06</v>
      </c>
      <c r="K366" s="619">
        <v>-16744232.460000001</v>
      </c>
      <c r="L366" s="619">
        <v>-16950507.079999998</v>
      </c>
      <c r="M366" s="619">
        <v>-17136791.32</v>
      </c>
      <c r="N366" s="619">
        <v>-17451777.640000001</v>
      </c>
      <c r="O366" s="619">
        <v>-18920913.670000002</v>
      </c>
      <c r="P366" s="619">
        <v>-19211314.190000001</v>
      </c>
      <c r="Q366" s="619">
        <v>-20428021.890000001</v>
      </c>
      <c r="R366" s="619">
        <v>-22532955.920000002</v>
      </c>
      <c r="S366" s="498">
        <f t="shared" si="94"/>
        <v>-12201188.902083335</v>
      </c>
      <c r="T366" s="620"/>
      <c r="U366" s="657"/>
      <c r="V366" s="690"/>
      <c r="W366" s="690">
        <f t="shared" si="95"/>
        <v>-12201188.902083335</v>
      </c>
      <c r="X366" s="713"/>
      <c r="Y366" s="690"/>
      <c r="Z366" s="690"/>
      <c r="AA366" s="657"/>
      <c r="AB366" s="690"/>
      <c r="AC366" s="659">
        <f t="shared" si="96"/>
        <v>-12201188.902083335</v>
      </c>
      <c r="AD366" s="658"/>
      <c r="AE366" s="658"/>
      <c r="AF366" s="688">
        <f t="shared" si="80"/>
        <v>0</v>
      </c>
    </row>
    <row r="367" spans="1:32">
      <c r="A367" s="620">
        <v>353</v>
      </c>
      <c r="B367" s="326" t="s">
        <v>1005</v>
      </c>
      <c r="C367" s="326" t="s">
        <v>538</v>
      </c>
      <c r="D367" s="620" t="s">
        <v>1207</v>
      </c>
      <c r="E367" s="618" t="s">
        <v>1651</v>
      </c>
      <c r="F367" s="619">
        <v>-27116.89</v>
      </c>
      <c r="G367" s="619">
        <v>-98.83</v>
      </c>
      <c r="H367" s="619">
        <v>-510.13</v>
      </c>
      <c r="I367" s="619">
        <v>-921.42</v>
      </c>
      <c r="J367" s="619">
        <v>-3854.47</v>
      </c>
      <c r="K367" s="619">
        <v>-9214.41</v>
      </c>
      <c r="L367" s="619">
        <v>-12049.81</v>
      </c>
      <c r="M367" s="619">
        <v>-12180.69</v>
      </c>
      <c r="N367" s="619">
        <v>-12494.34</v>
      </c>
      <c r="O367" s="619">
        <v>-12807.99</v>
      </c>
      <c r="P367" s="619">
        <v>-13121.64</v>
      </c>
      <c r="Q367" s="619">
        <v>-13435.3</v>
      </c>
      <c r="R367" s="619">
        <v>-13748.91</v>
      </c>
      <c r="S367" s="498">
        <f t="shared" si="94"/>
        <v>-9260.1608333333352</v>
      </c>
      <c r="T367" s="620"/>
      <c r="U367" s="657"/>
      <c r="V367" s="690"/>
      <c r="W367" s="690">
        <f t="shared" si="95"/>
        <v>-9260.1608333333352</v>
      </c>
      <c r="X367" s="713"/>
      <c r="Y367" s="690"/>
      <c r="Z367" s="690"/>
      <c r="AA367" s="657"/>
      <c r="AB367" s="690"/>
      <c r="AC367" s="659">
        <f t="shared" si="96"/>
        <v>-9260.1608333333352</v>
      </c>
      <c r="AD367" s="658"/>
      <c r="AE367" s="658"/>
      <c r="AF367" s="688">
        <f t="shared" si="80"/>
        <v>0</v>
      </c>
    </row>
    <row r="368" spans="1:32">
      <c r="A368" s="620">
        <v>354</v>
      </c>
      <c r="B368" s="326" t="s">
        <v>1005</v>
      </c>
      <c r="C368" s="326" t="s">
        <v>538</v>
      </c>
      <c r="D368" s="620" t="s">
        <v>1208</v>
      </c>
      <c r="E368" s="618" t="s">
        <v>1652</v>
      </c>
      <c r="F368" s="619">
        <v>-6420.25</v>
      </c>
      <c r="G368" s="619">
        <v>0</v>
      </c>
      <c r="H368" s="619">
        <v>-142.36000000000001</v>
      </c>
      <c r="I368" s="619">
        <v>-284.72000000000003</v>
      </c>
      <c r="J368" s="619">
        <v>-1299.97</v>
      </c>
      <c r="K368" s="619">
        <v>-2146.1999999999998</v>
      </c>
      <c r="L368" s="619">
        <v>-3127.64</v>
      </c>
      <c r="M368" s="619">
        <v>-3127.64</v>
      </c>
      <c r="N368" s="619">
        <v>-3236.2</v>
      </c>
      <c r="O368" s="619">
        <v>-3344.77</v>
      </c>
      <c r="P368" s="619">
        <v>-3453.34</v>
      </c>
      <c r="Q368" s="619">
        <v>-3561.92</v>
      </c>
      <c r="R368" s="619">
        <v>-3670.46</v>
      </c>
      <c r="S368" s="498">
        <f t="shared" si="94"/>
        <v>-2397.5095833333335</v>
      </c>
      <c r="T368" s="620"/>
      <c r="U368" s="657"/>
      <c r="V368" s="690"/>
      <c r="W368" s="690">
        <f t="shared" si="95"/>
        <v>-2397.5095833333335</v>
      </c>
      <c r="X368" s="713"/>
      <c r="Y368" s="690"/>
      <c r="Z368" s="690"/>
      <c r="AA368" s="657"/>
      <c r="AB368" s="690"/>
      <c r="AC368" s="659">
        <f t="shared" si="96"/>
        <v>-2397.5095833333335</v>
      </c>
      <c r="AD368" s="658"/>
      <c r="AE368" s="658"/>
      <c r="AF368" s="688">
        <f t="shared" si="80"/>
        <v>0</v>
      </c>
    </row>
    <row r="369" spans="1:32">
      <c r="A369" s="620">
        <v>355</v>
      </c>
      <c r="B369" s="326" t="s">
        <v>980</v>
      </c>
      <c r="C369" s="326" t="s">
        <v>538</v>
      </c>
      <c r="D369" s="620" t="s">
        <v>1207</v>
      </c>
      <c r="E369" s="618" t="s">
        <v>1651</v>
      </c>
      <c r="F369" s="619">
        <v>-80703.789999999994</v>
      </c>
      <c r="G369" s="619">
        <v>-299.2</v>
      </c>
      <c r="H369" s="619">
        <v>-1544.36</v>
      </c>
      <c r="I369" s="619">
        <v>-2789.52</v>
      </c>
      <c r="J369" s="619">
        <v>-11668.98</v>
      </c>
      <c r="K369" s="619">
        <v>-27895.599999999999</v>
      </c>
      <c r="L369" s="619">
        <v>-36479.440000000002</v>
      </c>
      <c r="M369" s="619">
        <v>-36875.67</v>
      </c>
      <c r="N369" s="619">
        <v>-37825.21</v>
      </c>
      <c r="O369" s="619">
        <v>-38774.76</v>
      </c>
      <c r="P369" s="619">
        <v>-39724.31</v>
      </c>
      <c r="Q369" s="619">
        <v>-40673.870000000003</v>
      </c>
      <c r="R369" s="619">
        <v>-41623.26</v>
      </c>
      <c r="S369" s="498">
        <f t="shared" si="94"/>
        <v>-27976.203750000004</v>
      </c>
      <c r="T369" s="620"/>
      <c r="U369" s="657"/>
      <c r="V369" s="690"/>
      <c r="W369" s="690">
        <f t="shared" si="95"/>
        <v>-27976.203750000004</v>
      </c>
      <c r="X369" s="713"/>
      <c r="Y369" s="690"/>
      <c r="Z369" s="690"/>
      <c r="AA369" s="657"/>
      <c r="AB369" s="690"/>
      <c r="AC369" s="659">
        <f t="shared" si="96"/>
        <v>-27976.203750000004</v>
      </c>
      <c r="AD369" s="658"/>
      <c r="AE369" s="658"/>
      <c r="AF369" s="688">
        <f t="shared" si="80"/>
        <v>0</v>
      </c>
    </row>
    <row r="370" spans="1:32">
      <c r="A370" s="620">
        <v>356</v>
      </c>
      <c r="B370" s="326" t="s">
        <v>977</v>
      </c>
      <c r="C370" s="326" t="s">
        <v>1209</v>
      </c>
      <c r="D370" s="620"/>
      <c r="E370" s="618" t="s">
        <v>539</v>
      </c>
      <c r="F370" s="619">
        <v>-42184</v>
      </c>
      <c r="G370" s="619">
        <v>-3501.58</v>
      </c>
      <c r="H370" s="619">
        <v>-7003.17</v>
      </c>
      <c r="I370" s="619">
        <v>-10504.95</v>
      </c>
      <c r="J370" s="619">
        <v>-14006.33</v>
      </c>
      <c r="K370" s="619">
        <v>-17507.900000000001</v>
      </c>
      <c r="L370" s="619">
        <v>-21009.48</v>
      </c>
      <c r="M370" s="619">
        <v>-24511.06</v>
      </c>
      <c r="N370" s="619">
        <v>-28012.639999999999</v>
      </c>
      <c r="O370" s="619">
        <v>-31514.22</v>
      </c>
      <c r="P370" s="619">
        <v>-35015.800000000003</v>
      </c>
      <c r="Q370" s="619">
        <v>-38517.379999999997</v>
      </c>
      <c r="R370" s="619">
        <v>-42018.96</v>
      </c>
      <c r="S370" s="498">
        <f t="shared" si="94"/>
        <v>-22767.165833333333</v>
      </c>
      <c r="T370" s="620"/>
      <c r="U370" s="657"/>
      <c r="V370" s="690"/>
      <c r="W370" s="690">
        <f t="shared" si="95"/>
        <v>-22767.165833333333</v>
      </c>
      <c r="X370" s="713"/>
      <c r="Y370" s="690"/>
      <c r="Z370" s="690"/>
      <c r="AA370" s="657"/>
      <c r="AB370" s="690"/>
      <c r="AC370" s="659">
        <f t="shared" si="96"/>
        <v>-22767.165833333333</v>
      </c>
      <c r="AD370" s="658"/>
      <c r="AE370" s="658"/>
      <c r="AF370" s="688">
        <f t="shared" ref="AF370:AF440" si="97">+U370+V370-AD370</f>
        <v>0</v>
      </c>
    </row>
    <row r="371" spans="1:32">
      <c r="A371" s="620">
        <v>357</v>
      </c>
      <c r="B371" s="620"/>
      <c r="C371" s="620"/>
      <c r="D371" s="620"/>
      <c r="E371" s="618" t="s">
        <v>540</v>
      </c>
      <c r="F371" s="305">
        <f t="shared" ref="F371:S371" si="98">SUM(F350:F370)</f>
        <v>221750.09999999934</v>
      </c>
      <c r="G371" s="305">
        <f t="shared" si="98"/>
        <v>1380969.4299999997</v>
      </c>
      <c r="H371" s="305">
        <f t="shared" si="98"/>
        <v>2085165.5499999993</v>
      </c>
      <c r="I371" s="305">
        <f t="shared" si="98"/>
        <v>2488990.19</v>
      </c>
      <c r="J371" s="305">
        <f t="shared" si="98"/>
        <v>2460640.79</v>
      </c>
      <c r="K371" s="305">
        <f t="shared" si="98"/>
        <v>1689883.0100000012</v>
      </c>
      <c r="L371" s="305">
        <f t="shared" si="98"/>
        <v>836330.21000000183</v>
      </c>
      <c r="M371" s="305">
        <f t="shared" si="98"/>
        <v>-178386.6300000003</v>
      </c>
      <c r="N371" s="305">
        <f t="shared" si="98"/>
        <v>-1069793.8499999971</v>
      </c>
      <c r="O371" s="305">
        <f t="shared" si="98"/>
        <v>-1818325.99</v>
      </c>
      <c r="P371" s="305">
        <f t="shared" si="98"/>
        <v>-1985022.0400000031</v>
      </c>
      <c r="Q371" s="305">
        <f t="shared" si="98"/>
        <v>-1178073.7799999949</v>
      </c>
      <c r="R371" s="305">
        <f t="shared" si="98"/>
        <v>169037.26999999196</v>
      </c>
      <c r="S371" s="500">
        <f t="shared" si="98"/>
        <v>408980.88124999689</v>
      </c>
      <c r="T371" s="620"/>
      <c r="U371" s="657"/>
      <c r="V371" s="690"/>
      <c r="W371" s="690"/>
      <c r="X371" s="713"/>
      <c r="Y371" s="690"/>
      <c r="Z371" s="690"/>
      <c r="AA371" s="657"/>
      <c r="AB371" s="690"/>
      <c r="AC371" s="658"/>
      <c r="AD371" s="658"/>
      <c r="AE371" s="658"/>
      <c r="AF371" s="688">
        <f t="shared" si="97"/>
        <v>0</v>
      </c>
    </row>
    <row r="372" spans="1:32">
      <c r="A372" s="620">
        <v>358</v>
      </c>
      <c r="B372" s="620"/>
      <c r="C372" s="620"/>
      <c r="D372" s="620"/>
      <c r="E372" s="618"/>
      <c r="F372" s="619"/>
      <c r="G372" s="324"/>
      <c r="H372" s="315"/>
      <c r="I372" s="315"/>
      <c r="J372" s="316"/>
      <c r="K372" s="317"/>
      <c r="L372" s="318"/>
      <c r="M372" s="319"/>
      <c r="N372" s="320"/>
      <c r="O372" s="606"/>
      <c r="P372" s="321"/>
      <c r="Q372" s="325"/>
      <c r="R372" s="619"/>
      <c r="S372" s="304"/>
      <c r="T372" s="620"/>
      <c r="U372" s="657"/>
      <c r="V372" s="690"/>
      <c r="W372" s="690"/>
      <c r="X372" s="713"/>
      <c r="Y372" s="690"/>
      <c r="Z372" s="690"/>
      <c r="AA372" s="657"/>
      <c r="AB372" s="690"/>
      <c r="AC372" s="658"/>
      <c r="AD372" s="658"/>
      <c r="AE372" s="658"/>
      <c r="AF372" s="688">
        <f t="shared" si="97"/>
        <v>0</v>
      </c>
    </row>
    <row r="373" spans="1:32">
      <c r="A373" s="620">
        <v>359</v>
      </c>
      <c r="B373" s="620"/>
      <c r="C373" s="620"/>
      <c r="D373" s="620"/>
      <c r="E373" s="618"/>
      <c r="F373" s="619"/>
      <c r="G373" s="324"/>
      <c r="H373" s="315"/>
      <c r="I373" s="315"/>
      <c r="J373" s="316"/>
      <c r="K373" s="317"/>
      <c r="L373" s="318"/>
      <c r="M373" s="319"/>
      <c r="N373" s="320"/>
      <c r="O373" s="606"/>
      <c r="P373" s="321"/>
      <c r="Q373" s="325"/>
      <c r="R373" s="619"/>
      <c r="S373" s="304"/>
      <c r="T373" s="620"/>
      <c r="U373" s="657"/>
      <c r="V373" s="690"/>
      <c r="W373" s="690"/>
      <c r="X373" s="713"/>
      <c r="Y373" s="690"/>
      <c r="Z373" s="690"/>
      <c r="AA373" s="657"/>
      <c r="AB373" s="690"/>
      <c r="AC373" s="658"/>
      <c r="AD373" s="658"/>
      <c r="AE373" s="658"/>
      <c r="AF373" s="688">
        <f t="shared" si="97"/>
        <v>0</v>
      </c>
    </row>
    <row r="374" spans="1:32">
      <c r="A374" s="620">
        <v>360</v>
      </c>
      <c r="B374" s="326" t="s">
        <v>977</v>
      </c>
      <c r="C374" s="326" t="s">
        <v>541</v>
      </c>
      <c r="D374" s="620"/>
      <c r="E374" s="618" t="s">
        <v>1653</v>
      </c>
      <c r="F374" s="619">
        <v>0</v>
      </c>
      <c r="G374" s="619">
        <v>0</v>
      </c>
      <c r="H374" s="619">
        <v>0</v>
      </c>
      <c r="I374" s="619">
        <v>0</v>
      </c>
      <c r="J374" s="619">
        <v>0</v>
      </c>
      <c r="K374" s="619">
        <v>0</v>
      </c>
      <c r="L374" s="619">
        <v>-934.33</v>
      </c>
      <c r="M374" s="619">
        <v>-934.33</v>
      </c>
      <c r="N374" s="619">
        <v>-934.33</v>
      </c>
      <c r="O374" s="619">
        <v>-934.33</v>
      </c>
      <c r="P374" s="619">
        <v>-934.33</v>
      </c>
      <c r="Q374" s="619">
        <v>-934.33</v>
      </c>
      <c r="R374" s="619">
        <v>-934.33</v>
      </c>
      <c r="S374" s="498">
        <f t="shared" ref="S374:S383" si="99">((F374+R374)+((G374+H374+I374+J374+K374+L374+M374+N374+O374+P374+Q374)*2))/24</f>
        <v>-506.09541666666672</v>
      </c>
      <c r="T374" s="620"/>
      <c r="U374" s="657"/>
      <c r="V374" s="690"/>
      <c r="W374" s="690">
        <f t="shared" ref="W374:W382" si="100">+S374</f>
        <v>-506.09541666666672</v>
      </c>
      <c r="X374" s="713"/>
      <c r="Y374" s="690"/>
      <c r="Z374" s="690"/>
      <c r="AA374" s="657"/>
      <c r="AB374" s="690"/>
      <c r="AC374" s="659">
        <f t="shared" ref="AC374:AC383" si="101">+S374</f>
        <v>-506.09541666666672</v>
      </c>
      <c r="AD374" s="658"/>
      <c r="AE374" s="658"/>
      <c r="AF374" s="688">
        <f t="shared" si="97"/>
        <v>0</v>
      </c>
    </row>
    <row r="375" spans="1:32">
      <c r="A375" s="620">
        <v>361</v>
      </c>
      <c r="B375" s="326" t="s">
        <v>977</v>
      </c>
      <c r="C375" s="326" t="s">
        <v>543</v>
      </c>
      <c r="D375" s="620"/>
      <c r="E375" s="618" t="s">
        <v>1654</v>
      </c>
      <c r="F375" s="619">
        <v>0</v>
      </c>
      <c r="G375" s="619">
        <v>0</v>
      </c>
      <c r="H375" s="619">
        <v>0</v>
      </c>
      <c r="I375" s="619">
        <v>0</v>
      </c>
      <c r="J375" s="619">
        <v>0</v>
      </c>
      <c r="K375" s="619">
        <v>0</v>
      </c>
      <c r="L375" s="619">
        <v>0</v>
      </c>
      <c r="M375" s="619">
        <v>0</v>
      </c>
      <c r="N375" s="619">
        <v>0</v>
      </c>
      <c r="O375" s="619">
        <v>0</v>
      </c>
      <c r="P375" s="619">
        <v>0</v>
      </c>
      <c r="Q375" s="619">
        <v>0</v>
      </c>
      <c r="R375" s="619">
        <v>0</v>
      </c>
      <c r="S375" s="498">
        <f t="shared" si="99"/>
        <v>0</v>
      </c>
      <c r="T375" s="620"/>
      <c r="U375" s="657"/>
      <c r="V375" s="690"/>
      <c r="W375" s="690">
        <f t="shared" si="100"/>
        <v>0</v>
      </c>
      <c r="X375" s="713"/>
      <c r="Y375" s="690"/>
      <c r="Z375" s="690"/>
      <c r="AA375" s="657"/>
      <c r="AB375" s="690"/>
      <c r="AC375" s="659">
        <f t="shared" si="101"/>
        <v>0</v>
      </c>
      <c r="AD375" s="658"/>
      <c r="AE375" s="658"/>
      <c r="AF375" s="688">
        <f t="shared" si="97"/>
        <v>0</v>
      </c>
    </row>
    <row r="376" spans="1:32">
      <c r="A376" s="620">
        <v>362</v>
      </c>
      <c r="B376" s="538" t="s">
        <v>380</v>
      </c>
      <c r="C376" s="538" t="s">
        <v>380</v>
      </c>
      <c r="D376" s="326" t="s">
        <v>544</v>
      </c>
      <c r="E376" s="618" t="s">
        <v>1655</v>
      </c>
      <c r="F376" s="619">
        <v>147336.4</v>
      </c>
      <c r="G376" s="619">
        <v>11595.3</v>
      </c>
      <c r="H376" s="619">
        <v>36289.72</v>
      </c>
      <c r="I376" s="619">
        <v>63881.3</v>
      </c>
      <c r="J376" s="619">
        <v>72384.92</v>
      </c>
      <c r="K376" s="619">
        <v>79709.919999999998</v>
      </c>
      <c r="L376" s="619">
        <v>94660.39</v>
      </c>
      <c r="M376" s="619">
        <v>114137.21</v>
      </c>
      <c r="N376" s="619">
        <v>114936.66</v>
      </c>
      <c r="O376" s="619">
        <v>153413.89000000001</v>
      </c>
      <c r="P376" s="619">
        <v>162223.39000000001</v>
      </c>
      <c r="Q376" s="619">
        <v>167773.39</v>
      </c>
      <c r="R376" s="619">
        <v>251618.91</v>
      </c>
      <c r="S376" s="498">
        <f t="shared" si="99"/>
        <v>105873.64541666668</v>
      </c>
      <c r="T376" s="620"/>
      <c r="U376" s="657"/>
      <c r="V376" s="690"/>
      <c r="W376" s="690">
        <f t="shared" si="100"/>
        <v>105873.64541666668</v>
      </c>
      <c r="X376" s="713"/>
      <c r="Y376" s="690"/>
      <c r="Z376" s="690"/>
      <c r="AA376" s="657"/>
      <c r="AB376" s="690"/>
      <c r="AC376" s="659">
        <f t="shared" si="101"/>
        <v>105873.64541666668</v>
      </c>
      <c r="AD376" s="658"/>
      <c r="AE376" s="658"/>
      <c r="AF376" s="688">
        <f t="shared" si="97"/>
        <v>0</v>
      </c>
    </row>
    <row r="377" spans="1:32">
      <c r="A377" s="620">
        <v>363</v>
      </c>
      <c r="B377" s="538" t="s">
        <v>380</v>
      </c>
      <c r="C377" s="538" t="s">
        <v>380</v>
      </c>
      <c r="D377" s="326" t="s">
        <v>1424</v>
      </c>
      <c r="E377" s="618" t="s">
        <v>1656</v>
      </c>
      <c r="F377" s="619">
        <v>452956.61</v>
      </c>
      <c r="G377" s="619">
        <v>-311902.46000000002</v>
      </c>
      <c r="H377" s="619">
        <v>-376410.95</v>
      </c>
      <c r="I377" s="619">
        <v>-507107.83</v>
      </c>
      <c r="J377" s="619">
        <v>-556812.68000000005</v>
      </c>
      <c r="K377" s="619">
        <v>-355694.12</v>
      </c>
      <c r="L377" s="619">
        <v>-641758.32999999996</v>
      </c>
      <c r="M377" s="619">
        <v>-619867.71</v>
      </c>
      <c r="N377" s="619">
        <v>-671236.85</v>
      </c>
      <c r="O377" s="619">
        <v>-711010.69</v>
      </c>
      <c r="P377" s="619">
        <v>-713523.32</v>
      </c>
      <c r="Q377" s="619">
        <v>-813020.16000000003</v>
      </c>
      <c r="R377" s="619">
        <v>-783272.35</v>
      </c>
      <c r="S377" s="498">
        <f t="shared" si="99"/>
        <v>-536958.58083333343</v>
      </c>
      <c r="T377" s="620"/>
      <c r="U377" s="657"/>
      <c r="V377" s="690"/>
      <c r="W377" s="690">
        <f t="shared" si="100"/>
        <v>-536958.58083333343</v>
      </c>
      <c r="X377" s="713"/>
      <c r="Y377" s="690"/>
      <c r="Z377" s="690"/>
      <c r="AA377" s="657"/>
      <c r="AB377" s="690"/>
      <c r="AC377" s="659">
        <f t="shared" si="101"/>
        <v>-536958.58083333343</v>
      </c>
      <c r="AD377" s="658"/>
      <c r="AE377" s="658"/>
      <c r="AF377" s="688">
        <f t="shared" si="97"/>
        <v>0</v>
      </c>
    </row>
    <row r="378" spans="1:32">
      <c r="A378" s="620">
        <v>364</v>
      </c>
      <c r="B378" s="538" t="s">
        <v>380</v>
      </c>
      <c r="C378" s="538" t="s">
        <v>380</v>
      </c>
      <c r="D378" s="326" t="s">
        <v>545</v>
      </c>
      <c r="E378" s="618" t="s">
        <v>1657</v>
      </c>
      <c r="F378" s="619">
        <v>50.76</v>
      </c>
      <c r="G378" s="619">
        <v>50.35</v>
      </c>
      <c r="H378" s="619">
        <v>50.35</v>
      </c>
      <c r="I378" s="619">
        <v>50.35</v>
      </c>
      <c r="J378" s="619">
        <v>50.35</v>
      </c>
      <c r="K378" s="619">
        <v>50.35</v>
      </c>
      <c r="L378" s="619">
        <v>50.35</v>
      </c>
      <c r="M378" s="619">
        <v>94.63</v>
      </c>
      <c r="N378" s="619">
        <v>94.63</v>
      </c>
      <c r="O378" s="619">
        <v>158.94</v>
      </c>
      <c r="P378" s="619">
        <v>94.63</v>
      </c>
      <c r="Q378" s="619">
        <v>94.63</v>
      </c>
      <c r="R378" s="619">
        <v>94.63</v>
      </c>
      <c r="S378" s="498">
        <f t="shared" si="99"/>
        <v>76.021249999999995</v>
      </c>
      <c r="T378" s="620"/>
      <c r="U378" s="657"/>
      <c r="V378" s="690"/>
      <c r="W378" s="690">
        <f t="shared" si="100"/>
        <v>76.021249999999995</v>
      </c>
      <c r="X378" s="713"/>
      <c r="Y378" s="690"/>
      <c r="Z378" s="690"/>
      <c r="AA378" s="657"/>
      <c r="AB378" s="690"/>
      <c r="AC378" s="659">
        <f t="shared" si="101"/>
        <v>76.021249999999995</v>
      </c>
      <c r="AD378" s="658"/>
      <c r="AE378" s="658"/>
      <c r="AF378" s="688">
        <f t="shared" si="97"/>
        <v>0</v>
      </c>
    </row>
    <row r="379" spans="1:32">
      <c r="A379" s="620">
        <v>365</v>
      </c>
      <c r="B379" s="538" t="s">
        <v>380</v>
      </c>
      <c r="C379" s="538" t="s">
        <v>380</v>
      </c>
      <c r="D379" s="326" t="s">
        <v>546</v>
      </c>
      <c r="E379" s="618" t="s">
        <v>1658</v>
      </c>
      <c r="F379" s="619">
        <v>165577.54</v>
      </c>
      <c r="G379" s="619">
        <v>13951</v>
      </c>
      <c r="H379" s="619">
        <v>24015</v>
      </c>
      <c r="I379" s="619">
        <v>33665</v>
      </c>
      <c r="J379" s="619">
        <v>43359.35</v>
      </c>
      <c r="K379" s="619">
        <v>56439.81</v>
      </c>
      <c r="L379" s="619">
        <v>66385.31</v>
      </c>
      <c r="M379" s="619">
        <v>76108.460000000006</v>
      </c>
      <c r="N379" s="619">
        <v>85608.46</v>
      </c>
      <c r="O379" s="619">
        <v>96108.46</v>
      </c>
      <c r="P379" s="619">
        <v>106250.3</v>
      </c>
      <c r="Q379" s="619">
        <v>115750.3</v>
      </c>
      <c r="R379" s="619">
        <v>306253.81</v>
      </c>
      <c r="S379" s="498">
        <f t="shared" si="99"/>
        <v>79463.09375</v>
      </c>
      <c r="T379" s="620"/>
      <c r="U379" s="657"/>
      <c r="V379" s="690"/>
      <c r="W379" s="690">
        <f t="shared" si="100"/>
        <v>79463.09375</v>
      </c>
      <c r="X379" s="713"/>
      <c r="Y379" s="690"/>
      <c r="Z379" s="690"/>
      <c r="AA379" s="657"/>
      <c r="AB379" s="690"/>
      <c r="AC379" s="659">
        <f t="shared" si="101"/>
        <v>79463.09375</v>
      </c>
      <c r="AD379" s="658"/>
      <c r="AE379" s="658"/>
      <c r="AF379" s="688">
        <f t="shared" si="97"/>
        <v>0</v>
      </c>
    </row>
    <row r="380" spans="1:32">
      <c r="A380" s="620">
        <v>366</v>
      </c>
      <c r="B380" s="539" t="s">
        <v>380</v>
      </c>
      <c r="C380" s="539" t="s">
        <v>380</v>
      </c>
      <c r="D380" s="326" t="s">
        <v>547</v>
      </c>
      <c r="E380" s="618" t="s">
        <v>1659</v>
      </c>
      <c r="F380" s="619">
        <v>615677.14</v>
      </c>
      <c r="G380" s="619">
        <v>0</v>
      </c>
      <c r="H380" s="619">
        <v>0</v>
      </c>
      <c r="I380" s="619">
        <v>1555.78</v>
      </c>
      <c r="J380" s="619">
        <v>1555.78</v>
      </c>
      <c r="K380" s="619">
        <v>1555.78</v>
      </c>
      <c r="L380" s="619">
        <v>1555.78</v>
      </c>
      <c r="M380" s="619">
        <v>1555.78</v>
      </c>
      <c r="N380" s="619">
        <v>1555.78</v>
      </c>
      <c r="O380" s="619">
        <v>1555.78</v>
      </c>
      <c r="P380" s="619">
        <v>1555.78</v>
      </c>
      <c r="Q380" s="619">
        <v>1555.78</v>
      </c>
      <c r="R380" s="619">
        <v>1555.78</v>
      </c>
      <c r="S380" s="498">
        <f t="shared" si="99"/>
        <v>26884.873333333337</v>
      </c>
      <c r="T380" s="620"/>
      <c r="U380" s="657"/>
      <c r="V380" s="690"/>
      <c r="W380" s="690">
        <f t="shared" si="100"/>
        <v>26884.873333333337</v>
      </c>
      <c r="X380" s="713"/>
      <c r="Y380" s="690"/>
      <c r="Z380" s="690"/>
      <c r="AA380" s="657"/>
      <c r="AB380" s="690"/>
      <c r="AC380" s="659">
        <f t="shared" si="101"/>
        <v>26884.873333333337</v>
      </c>
      <c r="AD380" s="658"/>
      <c r="AE380" s="658"/>
      <c r="AF380" s="688">
        <f t="shared" si="97"/>
        <v>0</v>
      </c>
    </row>
    <row r="381" spans="1:32">
      <c r="A381" s="620">
        <v>367</v>
      </c>
      <c r="B381" s="540" t="s">
        <v>380</v>
      </c>
      <c r="C381" s="540" t="s">
        <v>380</v>
      </c>
      <c r="D381" s="326" t="s">
        <v>548</v>
      </c>
      <c r="E381" s="618" t="s">
        <v>1660</v>
      </c>
      <c r="F381" s="619">
        <v>0</v>
      </c>
      <c r="G381" s="619">
        <v>0</v>
      </c>
      <c r="H381" s="619">
        <v>0</v>
      </c>
      <c r="I381" s="619">
        <v>0</v>
      </c>
      <c r="J381" s="619">
        <v>0</v>
      </c>
      <c r="K381" s="619">
        <v>0</v>
      </c>
      <c r="L381" s="619">
        <v>0</v>
      </c>
      <c r="M381" s="619">
        <v>0</v>
      </c>
      <c r="N381" s="619">
        <v>0</v>
      </c>
      <c r="O381" s="619">
        <v>0</v>
      </c>
      <c r="P381" s="619">
        <v>0</v>
      </c>
      <c r="Q381" s="619">
        <v>0</v>
      </c>
      <c r="R381" s="619">
        <v>0</v>
      </c>
      <c r="S381" s="498">
        <f t="shared" si="99"/>
        <v>0</v>
      </c>
      <c r="T381" s="620"/>
      <c r="U381" s="657"/>
      <c r="V381" s="690"/>
      <c r="W381" s="690">
        <f t="shared" si="100"/>
        <v>0</v>
      </c>
      <c r="X381" s="713"/>
      <c r="Y381" s="690"/>
      <c r="Z381" s="690"/>
      <c r="AA381" s="657"/>
      <c r="AB381" s="690"/>
      <c r="AC381" s="659">
        <f t="shared" si="101"/>
        <v>0</v>
      </c>
      <c r="AD381" s="658"/>
      <c r="AE381" s="658"/>
      <c r="AF381" s="688">
        <f t="shared" si="97"/>
        <v>0</v>
      </c>
    </row>
    <row r="382" spans="1:32">
      <c r="A382" s="620">
        <v>368</v>
      </c>
      <c r="B382" s="326" t="s">
        <v>380</v>
      </c>
      <c r="C382" s="326" t="s">
        <v>549</v>
      </c>
      <c r="D382" s="326" t="s">
        <v>548</v>
      </c>
      <c r="E382" s="329" t="s">
        <v>1661</v>
      </c>
      <c r="F382" s="619">
        <v>0</v>
      </c>
      <c r="G382" s="619">
        <v>0</v>
      </c>
      <c r="H382" s="619">
        <v>0</v>
      </c>
      <c r="I382" s="619">
        <v>0</v>
      </c>
      <c r="J382" s="619">
        <v>0</v>
      </c>
      <c r="K382" s="619">
        <v>0</v>
      </c>
      <c r="L382" s="619">
        <v>0</v>
      </c>
      <c r="M382" s="619">
        <v>0</v>
      </c>
      <c r="N382" s="619">
        <v>0</v>
      </c>
      <c r="O382" s="619">
        <v>0</v>
      </c>
      <c r="P382" s="619">
        <v>0</v>
      </c>
      <c r="Q382" s="619">
        <v>0</v>
      </c>
      <c r="R382" s="619">
        <v>0</v>
      </c>
      <c r="S382" s="498">
        <f t="shared" si="99"/>
        <v>0</v>
      </c>
      <c r="T382" s="620"/>
      <c r="U382" s="657"/>
      <c r="V382" s="690"/>
      <c r="W382" s="690">
        <f t="shared" si="100"/>
        <v>0</v>
      </c>
      <c r="X382" s="713"/>
      <c r="Y382" s="690"/>
      <c r="Z382" s="690"/>
      <c r="AA382" s="657"/>
      <c r="AB382" s="690"/>
      <c r="AC382" s="659">
        <f t="shared" si="101"/>
        <v>0</v>
      </c>
      <c r="AD382" s="658"/>
      <c r="AE382" s="658"/>
      <c r="AF382" s="688">
        <f t="shared" si="97"/>
        <v>0</v>
      </c>
    </row>
    <row r="383" spans="1:32">
      <c r="A383" s="620">
        <v>369</v>
      </c>
      <c r="B383" s="326" t="s">
        <v>980</v>
      </c>
      <c r="C383" s="326" t="s">
        <v>550</v>
      </c>
      <c r="D383" s="326" t="s">
        <v>1202</v>
      </c>
      <c r="E383" s="618" t="s">
        <v>1662</v>
      </c>
      <c r="F383" s="313">
        <v>1144.68</v>
      </c>
      <c r="G383" s="313">
        <v>0</v>
      </c>
      <c r="H383" s="313">
        <v>0</v>
      </c>
      <c r="I383" s="313">
        <v>0</v>
      </c>
      <c r="J383" s="313">
        <v>536.05999999999995</v>
      </c>
      <c r="K383" s="313">
        <v>536.05999999999995</v>
      </c>
      <c r="L383" s="313">
        <v>536.05999999999995</v>
      </c>
      <c r="M383" s="313">
        <v>536.05999999999995</v>
      </c>
      <c r="N383" s="313">
        <v>1072.1199999999999</v>
      </c>
      <c r="O383" s="313">
        <v>1072.1199999999999</v>
      </c>
      <c r="P383" s="313">
        <v>1072.1199999999999</v>
      </c>
      <c r="Q383" s="313">
        <v>1072.1199999999999</v>
      </c>
      <c r="R383" s="313">
        <v>1072.1199999999999</v>
      </c>
      <c r="S383" s="498">
        <f t="shared" si="99"/>
        <v>628.42666666666662</v>
      </c>
      <c r="T383" s="620"/>
      <c r="U383" s="657"/>
      <c r="V383" s="690"/>
      <c r="W383" s="690">
        <f>+S383</f>
        <v>628.42666666666662</v>
      </c>
      <c r="X383" s="713"/>
      <c r="Y383" s="690"/>
      <c r="Z383" s="690"/>
      <c r="AA383" s="657"/>
      <c r="AB383" s="690"/>
      <c r="AC383" s="659">
        <f t="shared" si="101"/>
        <v>628.42666666666662</v>
      </c>
      <c r="AD383" s="658"/>
      <c r="AE383" s="658"/>
      <c r="AF383" s="688">
        <f t="shared" si="97"/>
        <v>0</v>
      </c>
    </row>
    <row r="384" spans="1:32">
      <c r="A384" s="620">
        <v>370</v>
      </c>
      <c r="B384" s="620"/>
      <c r="C384" s="620"/>
      <c r="D384" s="620"/>
      <c r="E384" s="618" t="s">
        <v>551</v>
      </c>
      <c r="F384" s="305">
        <f>SUM(F374:F383)</f>
        <v>1382743.1300000001</v>
      </c>
      <c r="G384" s="305">
        <f t="shared" ref="G384:S384" si="102">SUM(G374:G383)</f>
        <v>-286305.81000000006</v>
      </c>
      <c r="H384" s="305">
        <f t="shared" si="102"/>
        <v>-316055.88</v>
      </c>
      <c r="I384" s="305">
        <f t="shared" si="102"/>
        <v>-407955.4</v>
      </c>
      <c r="J384" s="305">
        <f t="shared" si="102"/>
        <v>-438926.22000000009</v>
      </c>
      <c r="K384" s="305">
        <f t="shared" si="102"/>
        <v>-217402.20000000004</v>
      </c>
      <c r="L384" s="305">
        <f t="shared" si="102"/>
        <v>-479504.77</v>
      </c>
      <c r="M384" s="305">
        <f t="shared" si="102"/>
        <v>-428369.89999999991</v>
      </c>
      <c r="N384" s="305">
        <f t="shared" si="102"/>
        <v>-468903.52999999997</v>
      </c>
      <c r="O384" s="305">
        <f t="shared" si="102"/>
        <v>-459635.8299999999</v>
      </c>
      <c r="P384" s="305">
        <f t="shared" si="102"/>
        <v>-443261.42999999988</v>
      </c>
      <c r="Q384" s="305">
        <f t="shared" si="102"/>
        <v>-527708.2699999999</v>
      </c>
      <c r="R384" s="305">
        <f t="shared" si="102"/>
        <v>-223611.43000000002</v>
      </c>
      <c r="S384" s="500">
        <f t="shared" si="102"/>
        <v>-324538.61583333334</v>
      </c>
      <c r="T384" s="620"/>
      <c r="U384" s="657"/>
      <c r="V384" s="690"/>
      <c r="W384" s="690"/>
      <c r="X384" s="713"/>
      <c r="Y384" s="690"/>
      <c r="Z384" s="690"/>
      <c r="AA384" s="657"/>
      <c r="AB384" s="690"/>
      <c r="AC384" s="658"/>
      <c r="AD384" s="658"/>
      <c r="AE384" s="658"/>
      <c r="AF384" s="688">
        <f t="shared" si="97"/>
        <v>0</v>
      </c>
    </row>
    <row r="385" spans="1:32">
      <c r="A385" s="620">
        <v>371</v>
      </c>
      <c r="B385" s="620"/>
      <c r="C385" s="620"/>
      <c r="D385" s="620"/>
      <c r="E385" s="618"/>
      <c r="F385" s="619"/>
      <c r="G385" s="324"/>
      <c r="H385" s="315"/>
      <c r="I385" s="315"/>
      <c r="J385" s="316"/>
      <c r="K385" s="317"/>
      <c r="L385" s="318"/>
      <c r="M385" s="319"/>
      <c r="N385" s="320"/>
      <c r="O385" s="606"/>
      <c r="P385" s="321"/>
      <c r="Q385" s="325"/>
      <c r="R385" s="619"/>
      <c r="S385" s="304"/>
      <c r="T385" s="620"/>
      <c r="U385" s="657"/>
      <c r="V385" s="690"/>
      <c r="W385" s="690"/>
      <c r="X385" s="713"/>
      <c r="Y385" s="690"/>
      <c r="Z385" s="690"/>
      <c r="AA385" s="657"/>
      <c r="AB385" s="690"/>
      <c r="AC385" s="658"/>
      <c r="AD385" s="658"/>
      <c r="AE385" s="658"/>
      <c r="AF385" s="688">
        <f t="shared" si="97"/>
        <v>0</v>
      </c>
    </row>
    <row r="386" spans="1:32">
      <c r="A386" s="620">
        <v>372</v>
      </c>
      <c r="B386" s="326" t="s">
        <v>977</v>
      </c>
      <c r="C386" s="326" t="s">
        <v>552</v>
      </c>
      <c r="D386" s="326" t="s">
        <v>526</v>
      </c>
      <c r="E386" s="618" t="s">
        <v>553</v>
      </c>
      <c r="F386" s="313">
        <v>10610000</v>
      </c>
      <c r="G386" s="313">
        <v>0</v>
      </c>
      <c r="H386" s="313">
        <v>2960000</v>
      </c>
      <c r="I386" s="313">
        <v>2960000</v>
      </c>
      <c r="J386" s="313">
        <v>2960000</v>
      </c>
      <c r="K386" s="313">
        <v>5440000</v>
      </c>
      <c r="L386" s="313">
        <v>5440000</v>
      </c>
      <c r="M386" s="313">
        <v>5440000</v>
      </c>
      <c r="N386" s="313">
        <v>7920000</v>
      </c>
      <c r="O386" s="313">
        <v>7920000</v>
      </c>
      <c r="P386" s="313">
        <v>7920000</v>
      </c>
      <c r="Q386" s="313">
        <v>10400000</v>
      </c>
      <c r="R386" s="313">
        <v>10400000</v>
      </c>
      <c r="S386" s="498">
        <f>((F386+R386)+((G386+H386+I386+J386+K386+L386+M386+N386+O386+P386+Q386)*2))/24</f>
        <v>5822083.333333333</v>
      </c>
      <c r="T386" s="620"/>
      <c r="U386" s="657"/>
      <c r="V386" s="690"/>
      <c r="W386" s="690">
        <f>+S386</f>
        <v>5822083.333333333</v>
      </c>
      <c r="X386" s="713"/>
      <c r="Y386" s="690"/>
      <c r="Z386" s="690"/>
      <c r="AA386" s="657"/>
      <c r="AB386" s="690"/>
      <c r="AC386" s="659">
        <f>+S386</f>
        <v>5822083.333333333</v>
      </c>
      <c r="AD386" s="658"/>
      <c r="AE386" s="658"/>
      <c r="AF386" s="688">
        <f t="shared" si="97"/>
        <v>0</v>
      </c>
    </row>
    <row r="387" spans="1:32">
      <c r="A387" s="620">
        <v>373</v>
      </c>
      <c r="B387" s="620"/>
      <c r="C387" s="620"/>
      <c r="D387" s="620"/>
      <c r="E387" s="618" t="s">
        <v>554</v>
      </c>
      <c r="F387" s="305">
        <f>+F386</f>
        <v>10610000</v>
      </c>
      <c r="G387" s="305">
        <f t="shared" ref="G387:S387" si="103">+G386</f>
        <v>0</v>
      </c>
      <c r="H387" s="305">
        <f t="shared" si="103"/>
        <v>2960000</v>
      </c>
      <c r="I387" s="305">
        <f t="shared" si="103"/>
        <v>2960000</v>
      </c>
      <c r="J387" s="305">
        <f t="shared" si="103"/>
        <v>2960000</v>
      </c>
      <c r="K387" s="305">
        <f t="shared" si="103"/>
        <v>5440000</v>
      </c>
      <c r="L387" s="305">
        <f t="shared" si="103"/>
        <v>5440000</v>
      </c>
      <c r="M387" s="305">
        <f t="shared" si="103"/>
        <v>5440000</v>
      </c>
      <c r="N387" s="305">
        <f t="shared" si="103"/>
        <v>7920000</v>
      </c>
      <c r="O387" s="305">
        <f t="shared" si="103"/>
        <v>7920000</v>
      </c>
      <c r="P387" s="305">
        <f t="shared" si="103"/>
        <v>7920000</v>
      </c>
      <c r="Q387" s="305">
        <f t="shared" si="103"/>
        <v>10400000</v>
      </c>
      <c r="R387" s="305">
        <f t="shared" si="103"/>
        <v>10400000</v>
      </c>
      <c r="S387" s="500">
        <f t="shared" si="103"/>
        <v>5822083.333333333</v>
      </c>
      <c r="T387" s="620"/>
      <c r="U387" s="657"/>
      <c r="V387" s="690"/>
      <c r="W387" s="690"/>
      <c r="X387" s="713"/>
      <c r="Y387" s="690"/>
      <c r="Z387" s="690"/>
      <c r="AA387" s="657"/>
      <c r="AB387" s="690"/>
      <c r="AC387" s="658"/>
      <c r="AD387" s="658"/>
      <c r="AE387" s="658"/>
      <c r="AF387" s="688">
        <f t="shared" si="97"/>
        <v>0</v>
      </c>
    </row>
    <row r="388" spans="1:32">
      <c r="A388" s="620">
        <v>374</v>
      </c>
      <c r="B388" s="620"/>
      <c r="C388" s="620"/>
      <c r="D388" s="620"/>
      <c r="E388" s="618"/>
      <c r="F388" s="306"/>
      <c r="G388" s="330"/>
      <c r="H388" s="610"/>
      <c r="I388" s="610"/>
      <c r="J388" s="307"/>
      <c r="K388" s="614"/>
      <c r="L388" s="308"/>
      <c r="M388" s="309"/>
      <c r="N388" s="310"/>
      <c r="O388" s="311"/>
      <c r="P388" s="312"/>
      <c r="Q388" s="331"/>
      <c r="R388" s="306"/>
      <c r="S388" s="304"/>
      <c r="T388" s="620"/>
      <c r="U388" s="657"/>
      <c r="V388" s="690"/>
      <c r="W388" s="690"/>
      <c r="X388" s="713"/>
      <c r="Y388" s="690"/>
      <c r="Z388" s="690"/>
      <c r="AA388" s="657"/>
      <c r="AB388" s="690"/>
      <c r="AC388" s="658"/>
      <c r="AD388" s="658"/>
      <c r="AE388" s="658"/>
      <c r="AF388" s="688">
        <f t="shared" si="97"/>
        <v>0</v>
      </c>
    </row>
    <row r="389" spans="1:32" ht="15.75" thickBot="1">
      <c r="A389" s="620">
        <v>375</v>
      </c>
      <c r="B389" s="541"/>
      <c r="C389" s="541"/>
      <c r="D389" s="541"/>
      <c r="E389" s="613" t="s">
        <v>555</v>
      </c>
      <c r="F389" s="332">
        <f t="shared" ref="F389:R389" si="104">+F387+F384+F371+F348+F330+F325+F307+F306+F304+F298+F227+F224+F202+F200+F181+F169+F149+F122+F63+F46+F39+F36+F59+F183+F184+F185+F186+F187+F188+F189+F190+F191+F192+F193+F195+F194+F198+F199+F201+F203+F204+F205+F196+F197</f>
        <v>1117173255.4100006</v>
      </c>
      <c r="G389" s="332">
        <f t="shared" si="104"/>
        <v>874125722.07999992</v>
      </c>
      <c r="H389" s="332">
        <f t="shared" si="104"/>
        <v>939569369.3599999</v>
      </c>
      <c r="I389" s="332">
        <f t="shared" si="104"/>
        <v>996037968.9599998</v>
      </c>
      <c r="J389" s="332">
        <f t="shared" si="104"/>
        <v>998465333.8499999</v>
      </c>
      <c r="K389" s="332">
        <f t="shared" si="104"/>
        <v>1006979612.1500003</v>
      </c>
      <c r="L389" s="332">
        <f t="shared" si="104"/>
        <v>1026172554.4400002</v>
      </c>
      <c r="M389" s="332">
        <f t="shared" si="104"/>
        <v>1052630814.3600003</v>
      </c>
      <c r="N389" s="332">
        <f t="shared" si="104"/>
        <v>1077947351.5200002</v>
      </c>
      <c r="O389" s="332">
        <f t="shared" si="104"/>
        <v>1095026663.5400002</v>
      </c>
      <c r="P389" s="332">
        <f t="shared" si="104"/>
        <v>1143148336.5700002</v>
      </c>
      <c r="Q389" s="332">
        <f t="shared" si="104"/>
        <v>1193037825.99</v>
      </c>
      <c r="R389" s="332">
        <f t="shared" si="104"/>
        <v>1262198971.2999995</v>
      </c>
      <c r="S389" s="332">
        <f>+S387+S384+S371+S348+S330+S325+S307+S306+S304+S298+S227+S224+S202+S200+S181+S169+S149+S122+S63+S46+S39+S36+S59+S183+S184+S185+S186+S187+S188+S189+S190+S191+S192+S193+S195+S194+S198+S199+S201+S203+S204+S205+S196+S197</f>
        <v>1049402305.5145835</v>
      </c>
      <c r="T389" s="541"/>
      <c r="U389" s="662"/>
      <c r="V389" s="691"/>
      <c r="W389" s="691"/>
      <c r="X389" s="716"/>
      <c r="Y389" s="691"/>
      <c r="Z389" s="691"/>
      <c r="AA389" s="662"/>
      <c r="AB389" s="691"/>
      <c r="AC389" s="663"/>
      <c r="AD389" s="663"/>
      <c r="AE389" s="663"/>
      <c r="AF389" s="688">
        <f t="shared" si="97"/>
        <v>0</v>
      </c>
    </row>
    <row r="390" spans="1:32" ht="15.75" thickTop="1">
      <c r="A390" s="620">
        <v>376</v>
      </c>
      <c r="B390" s="620"/>
      <c r="C390" s="620"/>
      <c r="D390" s="620"/>
      <c r="E390" s="618"/>
      <c r="F390" s="619"/>
      <c r="G390" s="324"/>
      <c r="H390" s="315"/>
      <c r="I390" s="315"/>
      <c r="J390" s="316"/>
      <c r="K390" s="317"/>
      <c r="L390" s="318"/>
      <c r="M390" s="319"/>
      <c r="N390" s="320"/>
      <c r="O390" s="606"/>
      <c r="P390" s="321"/>
      <c r="Q390" s="325"/>
      <c r="R390" s="619"/>
      <c r="S390" s="304"/>
      <c r="T390" s="620"/>
      <c r="U390" s="657"/>
      <c r="V390" s="690"/>
      <c r="W390" s="690"/>
      <c r="X390" s="713"/>
      <c r="Y390" s="690"/>
      <c r="Z390" s="690"/>
      <c r="AA390" s="657"/>
      <c r="AB390" s="690"/>
      <c r="AC390" s="658"/>
      <c r="AD390" s="658"/>
      <c r="AE390" s="658"/>
      <c r="AF390" s="688">
        <f t="shared" si="97"/>
        <v>0</v>
      </c>
    </row>
    <row r="391" spans="1:32">
      <c r="A391" s="620">
        <v>377</v>
      </c>
      <c r="B391" s="620"/>
      <c r="C391" s="620"/>
      <c r="D391" s="620"/>
      <c r="E391" s="618"/>
      <c r="F391" s="619"/>
      <c r="G391" s="324"/>
      <c r="H391" s="315"/>
      <c r="I391" s="315"/>
      <c r="J391" s="316"/>
      <c r="K391" s="317"/>
      <c r="L391" s="318"/>
      <c r="M391" s="319"/>
      <c r="N391" s="320"/>
      <c r="O391" s="606"/>
      <c r="P391" s="321"/>
      <c r="Q391" s="325"/>
      <c r="R391" s="619"/>
      <c r="S391" s="304"/>
      <c r="T391" s="620"/>
      <c r="U391" s="657"/>
      <c r="V391" s="690"/>
      <c r="W391" s="690"/>
      <c r="X391" s="713"/>
      <c r="Y391" s="690"/>
      <c r="Z391" s="690"/>
      <c r="AA391" s="657"/>
      <c r="AB391" s="690"/>
      <c r="AC391" s="658"/>
      <c r="AD391" s="658"/>
      <c r="AE391" s="658"/>
      <c r="AF391" s="688">
        <f t="shared" si="97"/>
        <v>0</v>
      </c>
    </row>
    <row r="392" spans="1:32">
      <c r="A392" s="620">
        <v>378</v>
      </c>
      <c r="B392" s="326" t="s">
        <v>977</v>
      </c>
      <c r="C392" s="326" t="s">
        <v>556</v>
      </c>
      <c r="D392" s="326" t="s">
        <v>1210</v>
      </c>
      <c r="E392" s="605" t="s">
        <v>557</v>
      </c>
      <c r="F392" s="619">
        <v>-1000</v>
      </c>
      <c r="G392" s="619">
        <v>-1000</v>
      </c>
      <c r="H392" s="619">
        <v>-1000</v>
      </c>
      <c r="I392" s="619">
        <v>-1000</v>
      </c>
      <c r="J392" s="619">
        <v>-1000</v>
      </c>
      <c r="K392" s="619">
        <v>-1000</v>
      </c>
      <c r="L392" s="619">
        <v>-1000</v>
      </c>
      <c r="M392" s="619">
        <v>-1000</v>
      </c>
      <c r="N392" s="619">
        <v>-1000</v>
      </c>
      <c r="O392" s="619">
        <v>-1000</v>
      </c>
      <c r="P392" s="619">
        <v>-1000</v>
      </c>
      <c r="Q392" s="619">
        <v>-1000</v>
      </c>
      <c r="R392" s="619">
        <v>-1000</v>
      </c>
      <c r="S392" s="498">
        <f>((F392+R392)+((G392+H392+I392+J392+K392+L392+M392+N392+O392+P392+Q392)*2))/24</f>
        <v>-1000</v>
      </c>
      <c r="T392" s="620"/>
      <c r="U392" s="657"/>
      <c r="V392" s="690"/>
      <c r="W392" s="690">
        <f>+S392</f>
        <v>-1000</v>
      </c>
      <c r="X392" s="713"/>
      <c r="Y392" s="690"/>
      <c r="Z392" s="690"/>
      <c r="AA392" s="657"/>
      <c r="AB392" s="690"/>
      <c r="AC392" s="659">
        <f>+S392</f>
        <v>-1000</v>
      </c>
      <c r="AD392" s="658"/>
      <c r="AE392" s="658"/>
      <c r="AF392" s="688">
        <f t="shared" si="97"/>
        <v>0</v>
      </c>
    </row>
    <row r="393" spans="1:32">
      <c r="A393" s="620">
        <v>379</v>
      </c>
      <c r="B393" s="326" t="s">
        <v>977</v>
      </c>
      <c r="C393" s="326" t="s">
        <v>558</v>
      </c>
      <c r="D393" s="326" t="s">
        <v>526</v>
      </c>
      <c r="E393" s="605" t="s">
        <v>559</v>
      </c>
      <c r="F393" s="619">
        <v>-30688673.449999999</v>
      </c>
      <c r="G393" s="619">
        <v>-34416893.780000001</v>
      </c>
      <c r="H393" s="619">
        <v>-34416893.780000001</v>
      </c>
      <c r="I393" s="619">
        <v>-34416893.780000001</v>
      </c>
      <c r="J393" s="619">
        <v>-34416893.780000001</v>
      </c>
      <c r="K393" s="619">
        <v>-34416893.780000001</v>
      </c>
      <c r="L393" s="619">
        <v>-34416893.780000001</v>
      </c>
      <c r="M393" s="619">
        <v>-34416893.780000001</v>
      </c>
      <c r="N393" s="619">
        <v>-34416893.780000001</v>
      </c>
      <c r="O393" s="619">
        <v>-34416893.780000001</v>
      </c>
      <c r="P393" s="619">
        <v>-34416893.780000001</v>
      </c>
      <c r="Q393" s="619">
        <v>-34416893.780000001</v>
      </c>
      <c r="R393" s="619">
        <v>-34416893.780000001</v>
      </c>
      <c r="S393" s="498">
        <f>((F393+R393)+((G393+H393+I393+J393+K393+L393+M393+N393+O393+P393+Q393)*2))/24</f>
        <v>-34261551.266249992</v>
      </c>
      <c r="T393" s="620"/>
      <c r="U393" s="657"/>
      <c r="V393" s="690"/>
      <c r="W393" s="690">
        <f>+S393</f>
        <v>-34261551.266249992</v>
      </c>
      <c r="X393" s="713"/>
      <c r="Y393" s="690"/>
      <c r="Z393" s="690"/>
      <c r="AA393" s="657"/>
      <c r="AB393" s="690"/>
      <c r="AC393" s="659">
        <f>+W393</f>
        <v>-34261551.266249992</v>
      </c>
      <c r="AD393" s="658"/>
      <c r="AE393" s="658"/>
      <c r="AF393" s="688">
        <f t="shared" si="97"/>
        <v>0</v>
      </c>
    </row>
    <row r="394" spans="1:32">
      <c r="A394" s="620">
        <v>381</v>
      </c>
      <c r="B394" s="326" t="s">
        <v>977</v>
      </c>
      <c r="C394" s="326" t="s">
        <v>558</v>
      </c>
      <c r="D394" s="326" t="s">
        <v>561</v>
      </c>
      <c r="E394" s="605" t="s">
        <v>562</v>
      </c>
      <c r="F394" s="619">
        <v>42776</v>
      </c>
      <c r="G394" s="619">
        <v>2144</v>
      </c>
      <c r="H394" s="619">
        <v>4288</v>
      </c>
      <c r="I394" s="619">
        <v>6635</v>
      </c>
      <c r="J394" s="619">
        <v>8982</v>
      </c>
      <c r="K394" s="619">
        <v>11329</v>
      </c>
      <c r="L394" s="619">
        <v>13676</v>
      </c>
      <c r="M394" s="619">
        <v>16023</v>
      </c>
      <c r="N394" s="619">
        <v>18370</v>
      </c>
      <c r="O394" s="619">
        <v>20717</v>
      </c>
      <c r="P394" s="619">
        <v>23064</v>
      </c>
      <c r="Q394" s="619">
        <v>25411</v>
      </c>
      <c r="R394" s="619">
        <v>13231</v>
      </c>
      <c r="S394" s="498">
        <f t="shared" ref="S394:S456" si="105">((F394+R394)+((G394+H394+I394+J394+K394+L394+M394+N394+O394+P394+Q394)*2))/24</f>
        <v>14886.875</v>
      </c>
      <c r="T394" s="620"/>
      <c r="U394" s="657"/>
      <c r="V394" s="690"/>
      <c r="W394" s="690">
        <f t="shared" ref="W394:W398" si="106">+S394</f>
        <v>14886.875</v>
      </c>
      <c r="X394" s="713"/>
      <c r="Y394" s="690"/>
      <c r="Z394" s="690"/>
      <c r="AA394" s="657"/>
      <c r="AB394" s="690"/>
      <c r="AC394" s="659">
        <f t="shared" ref="AC394:AC398" si="107">+S394</f>
        <v>14886.875</v>
      </c>
      <c r="AD394" s="658"/>
      <c r="AE394" s="658"/>
      <c r="AF394" s="688">
        <f t="shared" si="97"/>
        <v>0</v>
      </c>
    </row>
    <row r="395" spans="1:32">
      <c r="A395" s="620">
        <v>383</v>
      </c>
      <c r="B395" s="326" t="s">
        <v>977</v>
      </c>
      <c r="C395" s="326" t="s">
        <v>563</v>
      </c>
      <c r="D395" s="326" t="s">
        <v>526</v>
      </c>
      <c r="E395" s="605" t="s">
        <v>564</v>
      </c>
      <c r="F395" s="619">
        <v>-222117553.21000001</v>
      </c>
      <c r="G395" s="619">
        <v>-222117553.21000001</v>
      </c>
      <c r="H395" s="619">
        <v>-222117553.21000001</v>
      </c>
      <c r="I395" s="619">
        <v>-222117553.21000001</v>
      </c>
      <c r="J395" s="619">
        <v>-222117553.21000001</v>
      </c>
      <c r="K395" s="619">
        <v>-227117553.21000001</v>
      </c>
      <c r="L395" s="619">
        <v>-232117553.21000001</v>
      </c>
      <c r="M395" s="619">
        <v>-239117553.21000001</v>
      </c>
      <c r="N395" s="619">
        <v>-239117553.21000001</v>
      </c>
      <c r="O395" s="619">
        <v>-259117553.21000001</v>
      </c>
      <c r="P395" s="619">
        <v>-266117553.21000001</v>
      </c>
      <c r="Q395" s="619">
        <v>-266117553.21000001</v>
      </c>
      <c r="R395" s="619">
        <v>-266117553.21000001</v>
      </c>
      <c r="S395" s="498">
        <f>((F395+R395)+((G395+H395+I395+J395+K395+L395+M395+N395+O395+P395+Q395)*2))/24</f>
        <v>-238450886.54333332</v>
      </c>
      <c r="T395" s="620"/>
      <c r="U395" s="657"/>
      <c r="V395" s="690"/>
      <c r="W395" s="690">
        <f t="shared" si="106"/>
        <v>-238450886.54333332</v>
      </c>
      <c r="X395" s="713"/>
      <c r="Y395" s="690"/>
      <c r="Z395" s="690"/>
      <c r="AA395" s="657"/>
      <c r="AB395" s="690"/>
      <c r="AC395" s="659">
        <f t="shared" si="107"/>
        <v>-238450886.54333332</v>
      </c>
      <c r="AD395" s="658"/>
      <c r="AE395" s="658"/>
      <c r="AF395" s="688">
        <f t="shared" si="97"/>
        <v>0</v>
      </c>
    </row>
    <row r="396" spans="1:32">
      <c r="A396" s="620">
        <v>384</v>
      </c>
      <c r="B396" s="326" t="s">
        <v>977</v>
      </c>
      <c r="C396" s="326" t="s">
        <v>1425</v>
      </c>
      <c r="D396" s="326"/>
      <c r="E396" s="605" t="s">
        <v>566</v>
      </c>
      <c r="F396" s="619">
        <v>273680.51</v>
      </c>
      <c r="G396" s="619">
        <v>0</v>
      </c>
      <c r="H396" s="619">
        <v>0</v>
      </c>
      <c r="I396" s="619">
        <v>0</v>
      </c>
      <c r="J396" s="619">
        <v>0</v>
      </c>
      <c r="K396" s="619">
        <v>0</v>
      </c>
      <c r="L396" s="619">
        <v>0</v>
      </c>
      <c r="M396" s="619">
        <v>0</v>
      </c>
      <c r="N396" s="619">
        <v>0</v>
      </c>
      <c r="O396" s="619">
        <v>0</v>
      </c>
      <c r="P396" s="619">
        <v>0</v>
      </c>
      <c r="Q396" s="619">
        <v>0</v>
      </c>
      <c r="R396" s="619">
        <v>0</v>
      </c>
      <c r="S396" s="498">
        <f t="shared" si="105"/>
        <v>11403.354583333334</v>
      </c>
      <c r="T396" s="620"/>
      <c r="U396" s="657"/>
      <c r="V396" s="690"/>
      <c r="W396" s="690">
        <f t="shared" si="106"/>
        <v>11403.354583333334</v>
      </c>
      <c r="X396" s="713"/>
      <c r="Y396" s="690"/>
      <c r="Z396" s="690"/>
      <c r="AA396" s="657"/>
      <c r="AB396" s="690"/>
      <c r="AC396" s="659">
        <f t="shared" si="107"/>
        <v>11403.354583333334</v>
      </c>
      <c r="AD396" s="658"/>
      <c r="AE396" s="658"/>
      <c r="AF396" s="688">
        <f t="shared" si="97"/>
        <v>0</v>
      </c>
    </row>
    <row r="397" spans="1:32">
      <c r="A397" s="620">
        <v>385</v>
      </c>
      <c r="B397" s="326" t="s">
        <v>977</v>
      </c>
      <c r="C397" s="326" t="s">
        <v>567</v>
      </c>
      <c r="D397" s="620" t="s">
        <v>380</v>
      </c>
      <c r="E397" s="605" t="s">
        <v>1663</v>
      </c>
      <c r="F397" s="619">
        <v>-2402882.85</v>
      </c>
      <c r="G397" s="619">
        <v>-2402882.85</v>
      </c>
      <c r="H397" s="619">
        <v>-2402882.85</v>
      </c>
      <c r="I397" s="619">
        <v>-2402882.85</v>
      </c>
      <c r="J397" s="619">
        <v>-2402882.85</v>
      </c>
      <c r="K397" s="619">
        <v>-2402882.85</v>
      </c>
      <c r="L397" s="619">
        <v>-2402882.85</v>
      </c>
      <c r="M397" s="619">
        <v>-2402882.85</v>
      </c>
      <c r="N397" s="619">
        <v>-2402882.85</v>
      </c>
      <c r="O397" s="619">
        <v>-2402882.85</v>
      </c>
      <c r="P397" s="619">
        <v>-2402882.85</v>
      </c>
      <c r="Q397" s="619">
        <v>-2402882.85</v>
      </c>
      <c r="R397" s="619">
        <v>-2506034.75</v>
      </c>
      <c r="S397" s="498">
        <f t="shared" si="105"/>
        <v>-2407180.8458333337</v>
      </c>
      <c r="T397" s="620"/>
      <c r="U397" s="657"/>
      <c r="V397" s="690"/>
      <c r="W397" s="690">
        <f t="shared" si="106"/>
        <v>-2407180.8458333337</v>
      </c>
      <c r="X397" s="713"/>
      <c r="Y397" s="690"/>
      <c r="Z397" s="690"/>
      <c r="AA397" s="657"/>
      <c r="AB397" s="690"/>
      <c r="AC397" s="659">
        <f t="shared" si="107"/>
        <v>-2407180.8458333337</v>
      </c>
      <c r="AD397" s="658"/>
      <c r="AE397" s="658"/>
      <c r="AF397" s="688">
        <f t="shared" si="97"/>
        <v>0</v>
      </c>
    </row>
    <row r="398" spans="1:32">
      <c r="A398" s="620">
        <v>386</v>
      </c>
      <c r="B398" s="326" t="s">
        <v>977</v>
      </c>
      <c r="C398" s="326" t="s">
        <v>568</v>
      </c>
      <c r="D398" s="326" t="s">
        <v>1210</v>
      </c>
      <c r="E398" s="605" t="s">
        <v>1664</v>
      </c>
      <c r="F398" s="313">
        <v>84425.49</v>
      </c>
      <c r="G398" s="313">
        <v>84425.49</v>
      </c>
      <c r="H398" s="313">
        <v>84425.49</v>
      </c>
      <c r="I398" s="313">
        <v>84425.49</v>
      </c>
      <c r="J398" s="313">
        <v>84425.49</v>
      </c>
      <c r="K398" s="313">
        <v>84425.49</v>
      </c>
      <c r="L398" s="313">
        <v>84425.49</v>
      </c>
      <c r="M398" s="313">
        <v>84425.49</v>
      </c>
      <c r="N398" s="313">
        <v>84425.49</v>
      </c>
      <c r="O398" s="313">
        <v>84425.49</v>
      </c>
      <c r="P398" s="313">
        <v>84425.49</v>
      </c>
      <c r="Q398" s="313">
        <v>84425.49</v>
      </c>
      <c r="R398" s="313">
        <v>430592.4</v>
      </c>
      <c r="S398" s="499">
        <f t="shared" si="105"/>
        <v>98849.111250000002</v>
      </c>
      <c r="T398" s="620"/>
      <c r="U398" s="657"/>
      <c r="V398" s="690"/>
      <c r="W398" s="690">
        <f t="shared" si="106"/>
        <v>98849.111250000002</v>
      </c>
      <c r="X398" s="713"/>
      <c r="Y398" s="690"/>
      <c r="Z398" s="690"/>
      <c r="AA398" s="657"/>
      <c r="AB398" s="690"/>
      <c r="AC398" s="659">
        <f t="shared" si="107"/>
        <v>98849.111250000002</v>
      </c>
      <c r="AD398" s="658"/>
      <c r="AE398" s="658"/>
      <c r="AF398" s="688">
        <f t="shared" si="97"/>
        <v>0</v>
      </c>
    </row>
    <row r="399" spans="1:32">
      <c r="A399" s="620">
        <v>387</v>
      </c>
      <c r="B399" s="620"/>
      <c r="C399" s="620"/>
      <c r="D399" s="620"/>
      <c r="E399" s="605" t="s">
        <v>569</v>
      </c>
      <c r="F399" s="305">
        <f t="shared" ref="F399:S399" si="108">SUM(F392:F398)</f>
        <v>-254809227.50999999</v>
      </c>
      <c r="G399" s="305">
        <f t="shared" si="108"/>
        <v>-258851760.34999999</v>
      </c>
      <c r="H399" s="305">
        <f t="shared" si="108"/>
        <v>-258849616.34999999</v>
      </c>
      <c r="I399" s="305">
        <f t="shared" si="108"/>
        <v>-258847269.34999999</v>
      </c>
      <c r="J399" s="305">
        <f t="shared" si="108"/>
        <v>-258844922.34999999</v>
      </c>
      <c r="K399" s="305">
        <f t="shared" si="108"/>
        <v>-263842575.34999999</v>
      </c>
      <c r="L399" s="305">
        <f t="shared" si="108"/>
        <v>-268840228.35000002</v>
      </c>
      <c r="M399" s="305">
        <f t="shared" si="108"/>
        <v>-275837881.35000002</v>
      </c>
      <c r="N399" s="305">
        <f t="shared" si="108"/>
        <v>-275835534.35000002</v>
      </c>
      <c r="O399" s="305">
        <f t="shared" si="108"/>
        <v>-295833187.35000002</v>
      </c>
      <c r="P399" s="305">
        <f t="shared" si="108"/>
        <v>-302830840.35000002</v>
      </c>
      <c r="Q399" s="305">
        <f t="shared" si="108"/>
        <v>-302828493.35000002</v>
      </c>
      <c r="R399" s="305">
        <f t="shared" si="108"/>
        <v>-302597658.34000003</v>
      </c>
      <c r="S399" s="500">
        <f t="shared" si="108"/>
        <v>-274995479.31458336</v>
      </c>
      <c r="T399" s="620"/>
      <c r="U399" s="657"/>
      <c r="V399" s="690"/>
      <c r="W399" s="690"/>
      <c r="X399" s="713"/>
      <c r="Y399" s="690"/>
      <c r="Z399" s="690"/>
      <c r="AA399" s="657"/>
      <c r="AB399" s="690"/>
      <c r="AC399" s="658"/>
      <c r="AD399" s="658"/>
      <c r="AE399" s="658"/>
      <c r="AF399" s="688">
        <f t="shared" si="97"/>
        <v>0</v>
      </c>
    </row>
    <row r="400" spans="1:32">
      <c r="A400" s="620">
        <v>388</v>
      </c>
      <c r="B400" s="620"/>
      <c r="C400" s="620"/>
      <c r="D400" s="620"/>
      <c r="E400" s="605"/>
      <c r="F400" s="617"/>
      <c r="G400" s="333"/>
      <c r="H400" s="334"/>
      <c r="I400" s="334"/>
      <c r="J400" s="335"/>
      <c r="K400" s="336"/>
      <c r="L400" s="337"/>
      <c r="M400" s="338"/>
      <c r="N400" s="339"/>
      <c r="O400" s="323"/>
      <c r="P400" s="340"/>
      <c r="Q400" s="341"/>
      <c r="R400" s="617"/>
      <c r="S400" s="304"/>
      <c r="T400" s="620"/>
      <c r="U400" s="657"/>
      <c r="V400" s="690"/>
      <c r="W400" s="690"/>
      <c r="X400" s="713"/>
      <c r="Y400" s="690"/>
      <c r="Z400" s="690"/>
      <c r="AA400" s="657"/>
      <c r="AB400" s="690"/>
      <c r="AC400" s="658"/>
      <c r="AD400" s="658"/>
      <c r="AE400" s="658"/>
      <c r="AF400" s="688">
        <f t="shared" si="97"/>
        <v>0</v>
      </c>
    </row>
    <row r="401" spans="1:32">
      <c r="A401" s="620">
        <v>389</v>
      </c>
      <c r="B401" s="326" t="s">
        <v>977</v>
      </c>
      <c r="C401" s="326" t="s">
        <v>570</v>
      </c>
      <c r="D401" s="326" t="s">
        <v>471</v>
      </c>
      <c r="E401" s="609" t="s">
        <v>571</v>
      </c>
      <c r="F401" s="619">
        <v>-20000000</v>
      </c>
      <c r="G401" s="619">
        <v>-20000000</v>
      </c>
      <c r="H401" s="619">
        <v>-20000000</v>
      </c>
      <c r="I401" s="619">
        <v>-20000000</v>
      </c>
      <c r="J401" s="619">
        <v>-20000000</v>
      </c>
      <c r="K401" s="619">
        <v>-20000000</v>
      </c>
      <c r="L401" s="619">
        <v>-20000000</v>
      </c>
      <c r="M401" s="619">
        <v>-20000000</v>
      </c>
      <c r="N401" s="619">
        <v>-20000000</v>
      </c>
      <c r="O401" s="619">
        <v>-20000000</v>
      </c>
      <c r="P401" s="619">
        <v>-20000000</v>
      </c>
      <c r="Q401" s="619">
        <v>-20000000</v>
      </c>
      <c r="R401" s="619">
        <v>-20000000</v>
      </c>
      <c r="S401" s="498">
        <f t="shared" si="105"/>
        <v>-20000000</v>
      </c>
      <c r="T401" s="620"/>
      <c r="U401" s="657"/>
      <c r="V401" s="690"/>
      <c r="W401" s="690">
        <f t="shared" ref="W401:W418" si="109">+S401</f>
        <v>-20000000</v>
      </c>
      <c r="X401" s="713"/>
      <c r="Y401" s="690"/>
      <c r="Z401" s="690"/>
      <c r="AA401" s="657"/>
      <c r="AB401" s="690"/>
      <c r="AC401" s="659">
        <f t="shared" ref="AC401:AC418" si="110">+S401</f>
        <v>-20000000</v>
      </c>
      <c r="AD401" s="658"/>
      <c r="AE401" s="658"/>
      <c r="AF401" s="688">
        <f t="shared" si="97"/>
        <v>0</v>
      </c>
    </row>
    <row r="402" spans="1:32">
      <c r="A402" s="620">
        <v>390</v>
      </c>
      <c r="B402" s="326" t="s">
        <v>977</v>
      </c>
      <c r="C402" s="326" t="s">
        <v>570</v>
      </c>
      <c r="D402" s="326" t="s">
        <v>473</v>
      </c>
      <c r="E402" s="609" t="s">
        <v>572</v>
      </c>
      <c r="F402" s="619">
        <v>-15000000</v>
      </c>
      <c r="G402" s="619">
        <v>-15000000</v>
      </c>
      <c r="H402" s="619">
        <v>-15000000</v>
      </c>
      <c r="I402" s="619">
        <v>-15000000</v>
      </c>
      <c r="J402" s="619">
        <v>-15000000</v>
      </c>
      <c r="K402" s="619">
        <v>-15000000</v>
      </c>
      <c r="L402" s="619">
        <v>-15000000</v>
      </c>
      <c r="M402" s="619">
        <v>-15000000</v>
      </c>
      <c r="N402" s="619">
        <v>-15000000</v>
      </c>
      <c r="O402" s="619">
        <v>-15000000</v>
      </c>
      <c r="P402" s="619">
        <v>-15000000</v>
      </c>
      <c r="Q402" s="619">
        <v>-15000000</v>
      </c>
      <c r="R402" s="619">
        <v>-15000000</v>
      </c>
      <c r="S402" s="498">
        <f t="shared" si="105"/>
        <v>-15000000</v>
      </c>
      <c r="T402" s="620"/>
      <c r="U402" s="657"/>
      <c r="V402" s="690"/>
      <c r="W402" s="690">
        <f t="shared" si="109"/>
        <v>-15000000</v>
      </c>
      <c r="X402" s="713"/>
      <c r="Y402" s="690"/>
      <c r="Z402" s="690"/>
      <c r="AA402" s="657"/>
      <c r="AB402" s="690"/>
      <c r="AC402" s="659">
        <f t="shared" si="110"/>
        <v>-15000000</v>
      </c>
      <c r="AD402" s="658"/>
      <c r="AE402" s="658"/>
      <c r="AF402" s="688">
        <f t="shared" si="97"/>
        <v>0</v>
      </c>
    </row>
    <row r="403" spans="1:32">
      <c r="A403" s="620">
        <v>391</v>
      </c>
      <c r="B403" s="326" t="s">
        <v>977</v>
      </c>
      <c r="C403" s="326" t="s">
        <v>570</v>
      </c>
      <c r="D403" s="326" t="s">
        <v>475</v>
      </c>
      <c r="E403" s="609" t="s">
        <v>573</v>
      </c>
      <c r="F403" s="619">
        <v>-24361000</v>
      </c>
      <c r="G403" s="619">
        <v>-24361000</v>
      </c>
      <c r="H403" s="619">
        <v>-24341000</v>
      </c>
      <c r="I403" s="619">
        <v>-24341000</v>
      </c>
      <c r="J403" s="619">
        <v>-24341000</v>
      </c>
      <c r="K403" s="619">
        <v>-24249000</v>
      </c>
      <c r="L403" s="619">
        <v>-24249000</v>
      </c>
      <c r="M403" s="619">
        <v>-24249000</v>
      </c>
      <c r="N403" s="619">
        <v>-24239000</v>
      </c>
      <c r="O403" s="619">
        <v>-24239000</v>
      </c>
      <c r="P403" s="619">
        <v>-24239000</v>
      </c>
      <c r="Q403" s="619">
        <v>-24214000</v>
      </c>
      <c r="R403" s="619">
        <v>-24214000</v>
      </c>
      <c r="S403" s="498">
        <f t="shared" si="105"/>
        <v>-24279125</v>
      </c>
      <c r="T403" s="620"/>
      <c r="U403" s="657"/>
      <c r="V403" s="690"/>
      <c r="W403" s="690">
        <f t="shared" si="109"/>
        <v>-24279125</v>
      </c>
      <c r="X403" s="713"/>
      <c r="Y403" s="690"/>
      <c r="Z403" s="690"/>
      <c r="AA403" s="657"/>
      <c r="AB403" s="690"/>
      <c r="AC403" s="659">
        <f t="shared" si="110"/>
        <v>-24279125</v>
      </c>
      <c r="AD403" s="658"/>
      <c r="AE403" s="658"/>
      <c r="AF403" s="688">
        <f t="shared" si="97"/>
        <v>0</v>
      </c>
    </row>
    <row r="404" spans="1:32">
      <c r="A404" s="620">
        <v>392</v>
      </c>
      <c r="B404" s="326" t="s">
        <v>977</v>
      </c>
      <c r="C404" s="326" t="s">
        <v>570</v>
      </c>
      <c r="D404" s="326" t="s">
        <v>477</v>
      </c>
      <c r="E404" s="609" t="s">
        <v>574</v>
      </c>
      <c r="F404" s="619">
        <v>-15000000</v>
      </c>
      <c r="G404" s="619">
        <v>-15000000</v>
      </c>
      <c r="H404" s="619">
        <v>-15000000</v>
      </c>
      <c r="I404" s="619">
        <v>-15000000</v>
      </c>
      <c r="J404" s="619">
        <v>-15000000</v>
      </c>
      <c r="K404" s="619">
        <v>-15000000</v>
      </c>
      <c r="L404" s="619">
        <v>-15000000</v>
      </c>
      <c r="M404" s="619">
        <v>-15000000</v>
      </c>
      <c r="N404" s="619">
        <v>-15000000</v>
      </c>
      <c r="O404" s="619">
        <v>0</v>
      </c>
      <c r="P404" s="619">
        <v>0</v>
      </c>
      <c r="Q404" s="619">
        <v>0</v>
      </c>
      <c r="R404" s="619">
        <v>0</v>
      </c>
      <c r="S404" s="498">
        <f t="shared" si="105"/>
        <v>-10625000</v>
      </c>
      <c r="T404" s="620"/>
      <c r="U404" s="657"/>
      <c r="V404" s="690"/>
      <c r="W404" s="690">
        <f t="shared" si="109"/>
        <v>-10625000</v>
      </c>
      <c r="X404" s="713"/>
      <c r="Y404" s="690"/>
      <c r="Z404" s="690"/>
      <c r="AA404" s="657"/>
      <c r="AB404" s="690"/>
      <c r="AC404" s="659">
        <f t="shared" si="110"/>
        <v>-10625000</v>
      </c>
      <c r="AD404" s="658"/>
      <c r="AE404" s="658"/>
      <c r="AF404" s="688">
        <f t="shared" si="97"/>
        <v>0</v>
      </c>
    </row>
    <row r="405" spans="1:32">
      <c r="A405" s="620">
        <v>393</v>
      </c>
      <c r="B405" s="326" t="s">
        <v>977</v>
      </c>
      <c r="C405" s="326" t="s">
        <v>570</v>
      </c>
      <c r="D405" s="326" t="s">
        <v>479</v>
      </c>
      <c r="E405" s="609" t="s">
        <v>575</v>
      </c>
      <c r="F405" s="619">
        <v>-40000000</v>
      </c>
      <c r="G405" s="619">
        <v>-40000000</v>
      </c>
      <c r="H405" s="619">
        <v>-40000000</v>
      </c>
      <c r="I405" s="619">
        <v>-40000000</v>
      </c>
      <c r="J405" s="619">
        <v>-40000000</v>
      </c>
      <c r="K405" s="619">
        <v>-40000000</v>
      </c>
      <c r="L405" s="619">
        <v>-40000000</v>
      </c>
      <c r="M405" s="619">
        <v>-40000000</v>
      </c>
      <c r="N405" s="619">
        <v>-40000000</v>
      </c>
      <c r="O405" s="619">
        <v>-40000000</v>
      </c>
      <c r="P405" s="619">
        <v>-40000000</v>
      </c>
      <c r="Q405" s="619">
        <v>-40000000</v>
      </c>
      <c r="R405" s="619">
        <v>-40000000</v>
      </c>
      <c r="S405" s="498">
        <f t="shared" si="105"/>
        <v>-40000000</v>
      </c>
      <c r="T405" s="620"/>
      <c r="U405" s="657"/>
      <c r="V405" s="690"/>
      <c r="W405" s="690">
        <f t="shared" si="109"/>
        <v>-40000000</v>
      </c>
      <c r="X405" s="713"/>
      <c r="Y405" s="690"/>
      <c r="Z405" s="690"/>
      <c r="AA405" s="657"/>
      <c r="AB405" s="690"/>
      <c r="AC405" s="659">
        <f t="shared" si="110"/>
        <v>-40000000</v>
      </c>
      <c r="AD405" s="658"/>
      <c r="AE405" s="658"/>
      <c r="AF405" s="688">
        <f t="shared" si="97"/>
        <v>0</v>
      </c>
    </row>
    <row r="406" spans="1:32">
      <c r="A406" s="620">
        <v>394</v>
      </c>
      <c r="B406" s="326" t="s">
        <v>977</v>
      </c>
      <c r="C406" s="326" t="s">
        <v>570</v>
      </c>
      <c r="D406" s="326" t="s">
        <v>481</v>
      </c>
      <c r="E406" s="542" t="s">
        <v>576</v>
      </c>
      <c r="F406" s="619">
        <v>-25000000</v>
      </c>
      <c r="G406" s="619">
        <v>-25000000</v>
      </c>
      <c r="H406" s="619">
        <v>-25000000</v>
      </c>
      <c r="I406" s="619">
        <v>-25000000</v>
      </c>
      <c r="J406" s="619">
        <v>-25000000</v>
      </c>
      <c r="K406" s="619">
        <v>-25000000</v>
      </c>
      <c r="L406" s="619">
        <v>-25000000</v>
      </c>
      <c r="M406" s="619">
        <v>-25000000</v>
      </c>
      <c r="N406" s="619">
        <v>-25000000</v>
      </c>
      <c r="O406" s="619">
        <v>-25000000</v>
      </c>
      <c r="P406" s="619">
        <v>-25000000</v>
      </c>
      <c r="Q406" s="619">
        <v>-25000000</v>
      </c>
      <c r="R406" s="619">
        <v>-25000000</v>
      </c>
      <c r="S406" s="498">
        <f t="shared" si="105"/>
        <v>-25000000</v>
      </c>
      <c r="T406" s="620"/>
      <c r="U406" s="657"/>
      <c r="V406" s="690"/>
      <c r="W406" s="690">
        <f t="shared" si="109"/>
        <v>-25000000</v>
      </c>
      <c r="X406" s="713"/>
      <c r="Y406" s="690"/>
      <c r="Z406" s="690"/>
      <c r="AA406" s="657"/>
      <c r="AB406" s="690"/>
      <c r="AC406" s="659">
        <f t="shared" si="110"/>
        <v>-25000000</v>
      </c>
      <c r="AD406" s="658"/>
      <c r="AE406" s="658"/>
      <c r="AF406" s="688">
        <f t="shared" si="97"/>
        <v>0</v>
      </c>
    </row>
    <row r="407" spans="1:32">
      <c r="A407" s="620">
        <v>395</v>
      </c>
      <c r="B407" s="326" t="s">
        <v>977</v>
      </c>
      <c r="C407" s="326" t="s">
        <v>570</v>
      </c>
      <c r="D407" s="326" t="s">
        <v>483</v>
      </c>
      <c r="E407" s="542" t="s">
        <v>577</v>
      </c>
      <c r="F407" s="619">
        <v>-25000000</v>
      </c>
      <c r="G407" s="619">
        <v>-25000000</v>
      </c>
      <c r="H407" s="619">
        <v>-25000000</v>
      </c>
      <c r="I407" s="619">
        <v>-25000000</v>
      </c>
      <c r="J407" s="619">
        <v>-25000000</v>
      </c>
      <c r="K407" s="619">
        <v>-25000000</v>
      </c>
      <c r="L407" s="619">
        <v>-25000000</v>
      </c>
      <c r="M407" s="619">
        <v>-25000000</v>
      </c>
      <c r="N407" s="619">
        <v>-25000000</v>
      </c>
      <c r="O407" s="619">
        <v>-25000000</v>
      </c>
      <c r="P407" s="619">
        <v>-25000000</v>
      </c>
      <c r="Q407" s="619">
        <v>-25000000</v>
      </c>
      <c r="R407" s="619">
        <v>-25000000</v>
      </c>
      <c r="S407" s="498">
        <f t="shared" si="105"/>
        <v>-25000000</v>
      </c>
      <c r="T407" s="620"/>
      <c r="U407" s="657"/>
      <c r="V407" s="690"/>
      <c r="W407" s="690">
        <f t="shared" si="109"/>
        <v>-25000000</v>
      </c>
      <c r="X407" s="713"/>
      <c r="Y407" s="690"/>
      <c r="Z407" s="690"/>
      <c r="AA407" s="657"/>
      <c r="AB407" s="690"/>
      <c r="AC407" s="659">
        <f t="shared" si="110"/>
        <v>-25000000</v>
      </c>
      <c r="AD407" s="658"/>
      <c r="AE407" s="658"/>
      <c r="AF407" s="688">
        <f t="shared" si="97"/>
        <v>0</v>
      </c>
    </row>
    <row r="408" spans="1:32">
      <c r="A408" s="620">
        <v>396</v>
      </c>
      <c r="B408" s="326" t="s">
        <v>977</v>
      </c>
      <c r="C408" s="326" t="s">
        <v>570</v>
      </c>
      <c r="D408" s="326" t="s">
        <v>486</v>
      </c>
      <c r="E408" s="542" t="s">
        <v>1665</v>
      </c>
      <c r="F408" s="619">
        <v>-12500000</v>
      </c>
      <c r="G408" s="619">
        <v>-12500000</v>
      </c>
      <c r="H408" s="619">
        <v>-12500000</v>
      </c>
      <c r="I408" s="619">
        <v>-12500000</v>
      </c>
      <c r="J408" s="619">
        <v>-12500000</v>
      </c>
      <c r="K408" s="619">
        <v>-12500000</v>
      </c>
      <c r="L408" s="619">
        <v>-12500000</v>
      </c>
      <c r="M408" s="619">
        <v>-12500000</v>
      </c>
      <c r="N408" s="619">
        <v>-12500000</v>
      </c>
      <c r="O408" s="619">
        <v>-12500000</v>
      </c>
      <c r="P408" s="619">
        <v>-12500000</v>
      </c>
      <c r="Q408" s="619">
        <v>-12500000</v>
      </c>
      <c r="R408" s="619">
        <v>-12500000</v>
      </c>
      <c r="S408" s="498">
        <f t="shared" si="105"/>
        <v>-12500000</v>
      </c>
      <c r="T408" s="620"/>
      <c r="U408" s="657"/>
      <c r="V408" s="690"/>
      <c r="W408" s="690">
        <f t="shared" si="109"/>
        <v>-12500000</v>
      </c>
      <c r="X408" s="713"/>
      <c r="Y408" s="690"/>
      <c r="Z408" s="690"/>
      <c r="AA408" s="657"/>
      <c r="AB408" s="690"/>
      <c r="AC408" s="659">
        <f t="shared" si="110"/>
        <v>-12500000</v>
      </c>
      <c r="AD408" s="658"/>
      <c r="AE408" s="658"/>
      <c r="AF408" s="688">
        <f t="shared" si="97"/>
        <v>0</v>
      </c>
    </row>
    <row r="409" spans="1:32">
      <c r="A409" s="620">
        <v>397</v>
      </c>
      <c r="B409" s="326" t="s">
        <v>977</v>
      </c>
      <c r="C409" s="326" t="s">
        <v>570</v>
      </c>
      <c r="D409" s="326" t="s">
        <v>487</v>
      </c>
      <c r="E409" s="542" t="s">
        <v>1666</v>
      </c>
      <c r="F409" s="619">
        <v>-12500000</v>
      </c>
      <c r="G409" s="619">
        <v>-12500000</v>
      </c>
      <c r="H409" s="619">
        <v>-12500000</v>
      </c>
      <c r="I409" s="619">
        <v>-12500000</v>
      </c>
      <c r="J409" s="619">
        <v>-12500000</v>
      </c>
      <c r="K409" s="619">
        <v>-12500000</v>
      </c>
      <c r="L409" s="619">
        <v>-12500000</v>
      </c>
      <c r="M409" s="619">
        <v>-12500000</v>
      </c>
      <c r="N409" s="619">
        <v>-12500000</v>
      </c>
      <c r="O409" s="619">
        <v>-12500000</v>
      </c>
      <c r="P409" s="619">
        <v>-12500000</v>
      </c>
      <c r="Q409" s="619">
        <v>-12500000</v>
      </c>
      <c r="R409" s="619">
        <v>-12500000</v>
      </c>
      <c r="S409" s="498">
        <f t="shared" si="105"/>
        <v>-12500000</v>
      </c>
      <c r="T409" s="620"/>
      <c r="U409" s="657"/>
      <c r="V409" s="690"/>
      <c r="W409" s="690">
        <f t="shared" si="109"/>
        <v>-12500000</v>
      </c>
      <c r="X409" s="713"/>
      <c r="Y409" s="690"/>
      <c r="Z409" s="690"/>
      <c r="AA409" s="657"/>
      <c r="AB409" s="690"/>
      <c r="AC409" s="659">
        <f t="shared" si="110"/>
        <v>-12500000</v>
      </c>
      <c r="AD409" s="658"/>
      <c r="AE409" s="658"/>
      <c r="AF409" s="688">
        <f t="shared" si="97"/>
        <v>0</v>
      </c>
    </row>
    <row r="410" spans="1:32">
      <c r="A410" s="620">
        <v>398</v>
      </c>
      <c r="B410" s="326" t="s">
        <v>977</v>
      </c>
      <c r="C410" s="326" t="s">
        <v>570</v>
      </c>
      <c r="D410" s="326" t="s">
        <v>488</v>
      </c>
      <c r="E410" s="542" t="s">
        <v>1667</v>
      </c>
      <c r="F410" s="619">
        <v>-12500000</v>
      </c>
      <c r="G410" s="619">
        <v>-12500000</v>
      </c>
      <c r="H410" s="619">
        <v>-12500000</v>
      </c>
      <c r="I410" s="619">
        <v>-12500000</v>
      </c>
      <c r="J410" s="619">
        <v>-12500000</v>
      </c>
      <c r="K410" s="619">
        <v>-12500000</v>
      </c>
      <c r="L410" s="619">
        <v>-12500000</v>
      </c>
      <c r="M410" s="619">
        <v>-12500000</v>
      </c>
      <c r="N410" s="619">
        <v>-12500000</v>
      </c>
      <c r="O410" s="619">
        <v>-12500000</v>
      </c>
      <c r="P410" s="619">
        <v>-12500000</v>
      </c>
      <c r="Q410" s="619">
        <v>-12500000</v>
      </c>
      <c r="R410" s="619">
        <v>-12500000</v>
      </c>
      <c r="S410" s="498">
        <f t="shared" si="105"/>
        <v>-12500000</v>
      </c>
      <c r="T410" s="620"/>
      <c r="U410" s="657"/>
      <c r="V410" s="690"/>
      <c r="W410" s="690">
        <f t="shared" si="109"/>
        <v>-12500000</v>
      </c>
      <c r="X410" s="713"/>
      <c r="Y410" s="690"/>
      <c r="Z410" s="690"/>
      <c r="AA410" s="657"/>
      <c r="AB410" s="690"/>
      <c r="AC410" s="659">
        <f t="shared" si="110"/>
        <v>-12500000</v>
      </c>
      <c r="AD410" s="658"/>
      <c r="AE410" s="658"/>
      <c r="AF410" s="688">
        <f t="shared" si="97"/>
        <v>0</v>
      </c>
    </row>
    <row r="411" spans="1:32">
      <c r="A411" s="620">
        <v>399</v>
      </c>
      <c r="B411" s="326" t="s">
        <v>977</v>
      </c>
      <c r="C411" s="326" t="s">
        <v>570</v>
      </c>
      <c r="D411" s="326" t="s">
        <v>489</v>
      </c>
      <c r="E411" s="542" t="s">
        <v>1668</v>
      </c>
      <c r="F411" s="619">
        <v>-12500000</v>
      </c>
      <c r="G411" s="619">
        <v>-12500000</v>
      </c>
      <c r="H411" s="619">
        <v>-12500000</v>
      </c>
      <c r="I411" s="619">
        <v>-12500000</v>
      </c>
      <c r="J411" s="619">
        <v>-12500000</v>
      </c>
      <c r="K411" s="619">
        <v>-12500000</v>
      </c>
      <c r="L411" s="619">
        <v>-12500000</v>
      </c>
      <c r="M411" s="619">
        <v>-12500000</v>
      </c>
      <c r="N411" s="619">
        <v>-12500000</v>
      </c>
      <c r="O411" s="619">
        <v>-12500000</v>
      </c>
      <c r="P411" s="619">
        <v>-12500000</v>
      </c>
      <c r="Q411" s="619">
        <v>-12500000</v>
      </c>
      <c r="R411" s="619">
        <v>-12500000</v>
      </c>
      <c r="S411" s="498">
        <f t="shared" si="105"/>
        <v>-12500000</v>
      </c>
      <c r="T411" s="620"/>
      <c r="U411" s="657"/>
      <c r="V411" s="690"/>
      <c r="W411" s="690">
        <f t="shared" si="109"/>
        <v>-12500000</v>
      </c>
      <c r="X411" s="713"/>
      <c r="Y411" s="690"/>
      <c r="Z411" s="690"/>
      <c r="AA411" s="657"/>
      <c r="AB411" s="690"/>
      <c r="AC411" s="659">
        <f t="shared" si="110"/>
        <v>-12500000</v>
      </c>
      <c r="AD411" s="658"/>
      <c r="AE411" s="658"/>
      <c r="AF411" s="688">
        <f t="shared" si="97"/>
        <v>0</v>
      </c>
    </row>
    <row r="412" spans="1:32">
      <c r="A412" s="620">
        <v>400</v>
      </c>
      <c r="B412" s="326" t="s">
        <v>977</v>
      </c>
      <c r="C412" s="326" t="s">
        <v>570</v>
      </c>
      <c r="D412" s="326" t="s">
        <v>1889</v>
      </c>
      <c r="E412" s="542" t="s">
        <v>1915</v>
      </c>
      <c r="F412" s="619">
        <v>0</v>
      </c>
      <c r="G412" s="619">
        <v>0</v>
      </c>
      <c r="H412" s="619">
        <v>0</v>
      </c>
      <c r="I412" s="619">
        <v>0</v>
      </c>
      <c r="J412" s="619">
        <v>0</v>
      </c>
      <c r="K412" s="619">
        <v>0</v>
      </c>
      <c r="L412" s="619">
        <v>-25000000</v>
      </c>
      <c r="M412" s="619">
        <v>-25000000</v>
      </c>
      <c r="N412" s="619">
        <v>-25000000</v>
      </c>
      <c r="O412" s="619">
        <v>-25000000</v>
      </c>
      <c r="P412" s="619">
        <v>-25000000</v>
      </c>
      <c r="Q412" s="619">
        <v>-25000000</v>
      </c>
      <c r="R412" s="619">
        <v>-25000000</v>
      </c>
      <c r="S412" s="498">
        <f t="shared" si="105"/>
        <v>-13541666.666666666</v>
      </c>
      <c r="T412" s="620"/>
      <c r="U412" s="657"/>
      <c r="V412" s="690"/>
      <c r="W412" s="690">
        <f t="shared" si="109"/>
        <v>-13541666.666666666</v>
      </c>
      <c r="X412" s="713"/>
      <c r="Y412" s="690"/>
      <c r="Z412" s="690"/>
      <c r="AA412" s="657"/>
      <c r="AB412" s="690"/>
      <c r="AC412" s="659">
        <f t="shared" si="110"/>
        <v>-13541666.666666666</v>
      </c>
      <c r="AD412" s="658"/>
      <c r="AE412" s="658"/>
      <c r="AF412" s="688"/>
    </row>
    <row r="413" spans="1:32">
      <c r="A413" s="620">
        <v>401</v>
      </c>
      <c r="B413" s="326" t="s">
        <v>977</v>
      </c>
      <c r="C413" s="326" t="s">
        <v>570</v>
      </c>
      <c r="D413" s="326" t="s">
        <v>1891</v>
      </c>
      <c r="E413" s="542" t="s">
        <v>1916</v>
      </c>
      <c r="F413" s="619">
        <v>0</v>
      </c>
      <c r="G413" s="619">
        <v>0</v>
      </c>
      <c r="H413" s="619">
        <v>0</v>
      </c>
      <c r="I413" s="619">
        <v>0</v>
      </c>
      <c r="J413" s="619">
        <v>0</v>
      </c>
      <c r="K413" s="619">
        <v>0</v>
      </c>
      <c r="L413" s="619">
        <v>-20000000</v>
      </c>
      <c r="M413" s="619">
        <v>-20000000</v>
      </c>
      <c r="N413" s="619">
        <v>-20000000</v>
      </c>
      <c r="O413" s="619">
        <v>-20000000</v>
      </c>
      <c r="P413" s="619">
        <v>-20000000</v>
      </c>
      <c r="Q413" s="619">
        <v>-20000000</v>
      </c>
      <c r="R413" s="619">
        <v>-20000000</v>
      </c>
      <c r="S413" s="498">
        <f t="shared" si="105"/>
        <v>-10833333.333333334</v>
      </c>
      <c r="T413" s="620"/>
      <c r="U413" s="657"/>
      <c r="V413" s="690"/>
      <c r="W413" s="690">
        <f t="shared" si="109"/>
        <v>-10833333.333333334</v>
      </c>
      <c r="X413" s="713"/>
      <c r="Y413" s="690"/>
      <c r="Z413" s="690"/>
      <c r="AA413" s="657"/>
      <c r="AB413" s="690"/>
      <c r="AC413" s="659">
        <f t="shared" si="110"/>
        <v>-10833333.333333334</v>
      </c>
      <c r="AD413" s="658"/>
      <c r="AE413" s="658"/>
      <c r="AF413" s="688"/>
    </row>
    <row r="414" spans="1:32">
      <c r="A414" s="620">
        <v>402</v>
      </c>
      <c r="B414" s="326" t="s">
        <v>977</v>
      </c>
      <c r="C414" s="326" t="s">
        <v>570</v>
      </c>
      <c r="D414" s="326" t="s">
        <v>1893</v>
      </c>
      <c r="E414" s="542" t="s">
        <v>1917</v>
      </c>
      <c r="F414" s="619">
        <v>0</v>
      </c>
      <c r="G414" s="619">
        <v>0</v>
      </c>
      <c r="H414" s="619">
        <v>0</v>
      </c>
      <c r="I414" s="619">
        <v>0</v>
      </c>
      <c r="J414" s="619">
        <v>0</v>
      </c>
      <c r="K414" s="619">
        <v>0</v>
      </c>
      <c r="L414" s="619">
        <v>-30000000</v>
      </c>
      <c r="M414" s="619">
        <v>-30000000</v>
      </c>
      <c r="N414" s="619">
        <v>-30000000</v>
      </c>
      <c r="O414" s="619">
        <v>-30000000</v>
      </c>
      <c r="P414" s="619">
        <v>-30000000</v>
      </c>
      <c r="Q414" s="619">
        <v>-30000000</v>
      </c>
      <c r="R414" s="619">
        <v>-30000000</v>
      </c>
      <c r="S414" s="498">
        <f t="shared" si="105"/>
        <v>-16250000</v>
      </c>
      <c r="T414" s="620"/>
      <c r="U414" s="657"/>
      <c r="V414" s="690"/>
      <c r="W414" s="690">
        <f t="shared" si="109"/>
        <v>-16250000</v>
      </c>
      <c r="X414" s="713"/>
      <c r="Y414" s="690"/>
      <c r="Z414" s="690"/>
      <c r="AA414" s="657"/>
      <c r="AB414" s="690"/>
      <c r="AC414" s="659">
        <f t="shared" si="110"/>
        <v>-16250000</v>
      </c>
      <c r="AD414" s="658"/>
      <c r="AE414" s="658"/>
      <c r="AF414" s="688"/>
    </row>
    <row r="415" spans="1:32">
      <c r="A415" s="620">
        <v>403</v>
      </c>
      <c r="B415" s="326" t="s">
        <v>1874</v>
      </c>
      <c r="C415" s="326" t="s">
        <v>570</v>
      </c>
      <c r="D415" s="326" t="s">
        <v>380</v>
      </c>
      <c r="E415" s="542" t="s">
        <v>728</v>
      </c>
      <c r="F415" s="619">
        <v>0</v>
      </c>
      <c r="G415" s="619">
        <v>1515906.26</v>
      </c>
      <c r="H415" s="619">
        <v>1505331.72</v>
      </c>
      <c r="I415" s="619">
        <v>1495453.58</v>
      </c>
      <c r="J415" s="619">
        <v>1485575.44</v>
      </c>
      <c r="K415" s="619">
        <v>1485511.11</v>
      </c>
      <c r="L415" s="619">
        <v>1816372.27</v>
      </c>
      <c r="M415" s="619">
        <v>1829467.33</v>
      </c>
      <c r="N415" s="619">
        <v>1821810</v>
      </c>
      <c r="O415" s="619">
        <v>1809880.74</v>
      </c>
      <c r="P415" s="619">
        <v>1797951.48</v>
      </c>
      <c r="Q415" s="619">
        <v>1785197.07</v>
      </c>
      <c r="R415" s="619">
        <v>1773272.34</v>
      </c>
      <c r="S415" s="498">
        <f t="shared" si="105"/>
        <v>1602924.4308333334</v>
      </c>
      <c r="T415" s="620"/>
      <c r="U415" s="657">
        <f>+S415</f>
        <v>1602924.4308333334</v>
      </c>
      <c r="V415" s="690"/>
      <c r="W415" s="690"/>
      <c r="X415" s="713"/>
      <c r="Y415" s="690"/>
      <c r="Z415" s="690"/>
      <c r="AA415" s="657"/>
      <c r="AB415" s="690"/>
      <c r="AC415" s="659"/>
      <c r="AD415" s="659">
        <f>+S415</f>
        <v>1602924.4308333334</v>
      </c>
      <c r="AE415" s="658"/>
      <c r="AF415" s="688"/>
    </row>
    <row r="416" spans="1:32">
      <c r="A416" s="620">
        <v>404</v>
      </c>
      <c r="B416" s="326" t="s">
        <v>977</v>
      </c>
      <c r="C416" s="326" t="s">
        <v>570</v>
      </c>
      <c r="D416" s="326" t="s">
        <v>727</v>
      </c>
      <c r="E416" s="542" t="s">
        <v>728</v>
      </c>
      <c r="F416" s="619">
        <v>1525788.02</v>
      </c>
      <c r="G416" s="619">
        <v>0</v>
      </c>
      <c r="H416" s="619">
        <v>0</v>
      </c>
      <c r="I416" s="619">
        <v>0</v>
      </c>
      <c r="J416" s="619">
        <v>0</v>
      </c>
      <c r="K416" s="619">
        <v>0</v>
      </c>
      <c r="L416" s="619">
        <v>0</v>
      </c>
      <c r="M416" s="619">
        <v>0</v>
      </c>
      <c r="N416" s="619">
        <v>0</v>
      </c>
      <c r="O416" s="619">
        <v>0</v>
      </c>
      <c r="P416" s="619">
        <v>0</v>
      </c>
      <c r="Q416" s="619">
        <v>0</v>
      </c>
      <c r="R416" s="619">
        <v>0</v>
      </c>
      <c r="S416" s="498">
        <f t="shared" si="105"/>
        <v>63574.500833333332</v>
      </c>
      <c r="T416" s="620"/>
      <c r="U416" s="657">
        <f>+S416</f>
        <v>63574.500833333332</v>
      </c>
      <c r="V416" s="690"/>
      <c r="W416" s="690"/>
      <c r="X416" s="713"/>
      <c r="Y416" s="690"/>
      <c r="Z416" s="690"/>
      <c r="AA416" s="657"/>
      <c r="AB416" s="690"/>
      <c r="AD416" s="659">
        <f>+S416</f>
        <v>63574.500833333332</v>
      </c>
      <c r="AE416" s="658"/>
      <c r="AF416" s="688" t="e">
        <f>+U416+V416-#REF!</f>
        <v>#REF!</v>
      </c>
    </row>
    <row r="417" spans="1:32">
      <c r="A417" s="620">
        <v>405</v>
      </c>
      <c r="B417" s="326" t="s">
        <v>977</v>
      </c>
      <c r="C417" s="326" t="s">
        <v>1918</v>
      </c>
      <c r="D417" s="326" t="s">
        <v>477</v>
      </c>
      <c r="E417" s="542" t="s">
        <v>1919</v>
      </c>
      <c r="F417" s="619">
        <v>0</v>
      </c>
      <c r="G417" s="619">
        <v>0</v>
      </c>
      <c r="H417" s="619">
        <v>0</v>
      </c>
      <c r="I417" s="619">
        <v>0</v>
      </c>
      <c r="J417" s="619">
        <v>0</v>
      </c>
      <c r="K417" s="619">
        <v>0</v>
      </c>
      <c r="L417" s="619">
        <v>0</v>
      </c>
      <c r="M417" s="619">
        <v>0</v>
      </c>
      <c r="N417" s="619">
        <v>0</v>
      </c>
      <c r="O417" s="619">
        <v>-15000000</v>
      </c>
      <c r="P417" s="619">
        <v>-15000000</v>
      </c>
      <c r="Q417" s="619">
        <v>-15000000</v>
      </c>
      <c r="R417" s="619">
        <v>-15000000</v>
      </c>
      <c r="S417" s="498">
        <f t="shared" si="105"/>
        <v>-4375000</v>
      </c>
      <c r="T417" s="620"/>
      <c r="U417" s="657"/>
      <c r="V417" s="690"/>
      <c r="W417" s="690">
        <f t="shared" si="109"/>
        <v>-4375000</v>
      </c>
      <c r="X417" s="713"/>
      <c r="Y417" s="690"/>
      <c r="Z417" s="690"/>
      <c r="AA417" s="657"/>
      <c r="AB417" s="690"/>
      <c r="AC417" s="659">
        <f>+W417</f>
        <v>-4375000</v>
      </c>
      <c r="AD417" s="658"/>
      <c r="AE417" s="658"/>
      <c r="AF417" s="688"/>
    </row>
    <row r="418" spans="1:32">
      <c r="A418" s="620">
        <v>406</v>
      </c>
      <c r="B418" s="326" t="s">
        <v>977</v>
      </c>
      <c r="C418" s="326" t="s">
        <v>580</v>
      </c>
      <c r="D418" s="326" t="s">
        <v>461</v>
      </c>
      <c r="E418" s="611" t="s">
        <v>581</v>
      </c>
      <c r="F418" s="313">
        <v>-53850000</v>
      </c>
      <c r="G418" s="313">
        <v>-52050000</v>
      </c>
      <c r="H418" s="313">
        <v>-54600000</v>
      </c>
      <c r="I418" s="313">
        <v>-31700000</v>
      </c>
      <c r="J418" s="313">
        <v>-57700000</v>
      </c>
      <c r="K418" s="313">
        <v>-54000000</v>
      </c>
      <c r="L418" s="313">
        <v>-11075000</v>
      </c>
      <c r="M418" s="313">
        <v>-12000000</v>
      </c>
      <c r="N418" s="313">
        <v>-24300000</v>
      </c>
      <c r="O418" s="313">
        <v>-8900000</v>
      </c>
      <c r="P418" s="313">
        <v>-12650000</v>
      </c>
      <c r="Q418" s="313">
        <v>-15100000</v>
      </c>
      <c r="R418" s="313">
        <v>-64600000</v>
      </c>
      <c r="S418" s="717">
        <f>((F418+R418)+((G418+H418+I418+J418+K418+L418+M418+N418+O418+P418+Q418)*2))/24</f>
        <v>-32775000</v>
      </c>
      <c r="T418" s="620"/>
      <c r="U418" s="657"/>
      <c r="V418" s="690"/>
      <c r="W418" s="690">
        <f t="shared" si="109"/>
        <v>-32775000</v>
      </c>
      <c r="X418" s="713"/>
      <c r="Y418" s="690"/>
      <c r="Z418" s="690"/>
      <c r="AA418" s="657"/>
      <c r="AB418" s="690"/>
      <c r="AC418" s="659">
        <f t="shared" si="110"/>
        <v>-32775000</v>
      </c>
      <c r="AD418" s="658"/>
      <c r="AE418" s="658"/>
      <c r="AF418" s="688">
        <f t="shared" si="97"/>
        <v>0</v>
      </c>
    </row>
    <row r="419" spans="1:32">
      <c r="A419" s="620">
        <v>407</v>
      </c>
      <c r="B419" s="620"/>
      <c r="C419" s="620"/>
      <c r="D419" s="620"/>
      <c r="E419" s="605" t="s">
        <v>582</v>
      </c>
      <c r="F419" s="305">
        <f t="shared" ref="F419:S419" si="111">SUM(F401:F418)</f>
        <v>-266685211.97999999</v>
      </c>
      <c r="G419" s="305">
        <f t="shared" si="111"/>
        <v>-264895093.74000001</v>
      </c>
      <c r="H419" s="305">
        <f t="shared" si="111"/>
        <v>-267435668.28</v>
      </c>
      <c r="I419" s="305">
        <f t="shared" si="111"/>
        <v>-244545546.41999999</v>
      </c>
      <c r="J419" s="305">
        <f t="shared" si="111"/>
        <v>-270555424.56</v>
      </c>
      <c r="K419" s="305">
        <f t="shared" si="111"/>
        <v>-266763488.88999999</v>
      </c>
      <c r="L419" s="305">
        <f t="shared" si="111"/>
        <v>-298507627.73000002</v>
      </c>
      <c r="M419" s="305">
        <f t="shared" si="111"/>
        <v>-299419532.67000002</v>
      </c>
      <c r="N419" s="305">
        <f t="shared" si="111"/>
        <v>-311717190</v>
      </c>
      <c r="O419" s="305">
        <f t="shared" si="111"/>
        <v>-296329119.25999999</v>
      </c>
      <c r="P419" s="305">
        <f t="shared" si="111"/>
        <v>-300091048.51999998</v>
      </c>
      <c r="Q419" s="305">
        <f t="shared" si="111"/>
        <v>-302528802.93000001</v>
      </c>
      <c r="R419" s="305">
        <f t="shared" si="111"/>
        <v>-352040727.66000003</v>
      </c>
      <c r="S419" s="305">
        <f t="shared" si="111"/>
        <v>-286012626.06833333</v>
      </c>
      <c r="T419" s="620"/>
      <c r="U419" s="657"/>
      <c r="V419" s="690"/>
      <c r="W419" s="690"/>
      <c r="X419" s="713"/>
      <c r="Y419" s="690"/>
      <c r="Z419" s="690"/>
      <c r="AA419" s="657"/>
      <c r="AB419" s="690"/>
      <c r="AC419" s="658"/>
      <c r="AD419" s="658"/>
      <c r="AE419" s="658"/>
      <c r="AF419" s="688">
        <f t="shared" si="97"/>
        <v>0</v>
      </c>
    </row>
    <row r="420" spans="1:32">
      <c r="A420" s="620">
        <v>408</v>
      </c>
      <c r="B420" s="620"/>
      <c r="C420" s="620"/>
      <c r="D420" s="620"/>
      <c r="E420" s="605"/>
      <c r="F420" s="619"/>
      <c r="G420" s="324"/>
      <c r="H420" s="315"/>
      <c r="I420" s="315"/>
      <c r="J420" s="316"/>
      <c r="K420" s="317"/>
      <c r="L420" s="318"/>
      <c r="M420" s="319"/>
      <c r="N420" s="320"/>
      <c r="O420" s="606"/>
      <c r="P420" s="321"/>
      <c r="Q420" s="325"/>
      <c r="R420" s="619"/>
      <c r="S420" s="501">
        <f t="shared" ref="S420:S422" si="112">((F420+R420)+((G420+H420+I420+J420+K420+L420+M420+N420+O420+P420+Q420)*2))/24</f>
        <v>0</v>
      </c>
      <c r="T420" s="620"/>
      <c r="U420" s="657"/>
      <c r="V420" s="690"/>
      <c r="W420" s="690"/>
      <c r="X420" s="713"/>
      <c r="Y420" s="690"/>
      <c r="Z420" s="690"/>
      <c r="AA420" s="657"/>
      <c r="AB420" s="690"/>
      <c r="AC420" s="658"/>
      <c r="AD420" s="658"/>
      <c r="AE420" s="658"/>
      <c r="AF420" s="688">
        <f t="shared" si="97"/>
        <v>0</v>
      </c>
    </row>
    <row r="421" spans="1:32">
      <c r="A421" s="620">
        <v>409</v>
      </c>
      <c r="B421" s="620" t="s">
        <v>1874</v>
      </c>
      <c r="C421" s="620" t="s">
        <v>1920</v>
      </c>
      <c r="D421" s="620" t="s">
        <v>1921</v>
      </c>
      <c r="E421" s="605" t="s">
        <v>1922</v>
      </c>
      <c r="F421" s="619">
        <v>0</v>
      </c>
      <c r="G421" s="324">
        <v>0</v>
      </c>
      <c r="H421" s="315">
        <v>-206053.78</v>
      </c>
      <c r="I421" s="315">
        <v>-199317.51</v>
      </c>
      <c r="J421" s="316">
        <v>-193785.08</v>
      </c>
      <c r="K421" s="317">
        <v>-188235.46</v>
      </c>
      <c r="L421" s="318">
        <v>-183548.05</v>
      </c>
      <c r="M421" s="319">
        <v>-170533.22</v>
      </c>
      <c r="N421" s="320">
        <v>-167018.01</v>
      </c>
      <c r="O421" s="606">
        <v>-162266.29999999999</v>
      </c>
      <c r="P421" s="321">
        <v>-159196.99</v>
      </c>
      <c r="Q421" s="325">
        <v>-156117.07</v>
      </c>
      <c r="R421" s="619">
        <v>-150363.85</v>
      </c>
      <c r="S421" s="501">
        <f t="shared" si="112"/>
        <v>-155104.44958333333</v>
      </c>
      <c r="T421" s="620"/>
      <c r="U421" s="657"/>
      <c r="V421" s="690">
        <f>+S421</f>
        <v>-155104.44958333333</v>
      </c>
      <c r="W421" s="690"/>
      <c r="X421" s="713"/>
      <c r="Y421" s="690"/>
      <c r="Z421" s="690"/>
      <c r="AA421" s="657"/>
      <c r="AB421" s="690"/>
      <c r="AC421" s="658"/>
      <c r="AD421" s="659">
        <f>+V421</f>
        <v>-155104.44958333333</v>
      </c>
      <c r="AE421" s="658"/>
      <c r="AF421" s="688"/>
    </row>
    <row r="422" spans="1:32">
      <c r="A422" s="620">
        <v>410</v>
      </c>
      <c r="B422" s="620" t="s">
        <v>1874</v>
      </c>
      <c r="C422" s="620" t="s">
        <v>1920</v>
      </c>
      <c r="D422" s="620" t="s">
        <v>1923</v>
      </c>
      <c r="E422" s="605" t="s">
        <v>1924</v>
      </c>
      <c r="F422" s="619">
        <v>0</v>
      </c>
      <c r="G422" s="324">
        <v>0</v>
      </c>
      <c r="H422" s="315">
        <v>0</v>
      </c>
      <c r="I422" s="315">
        <v>0</v>
      </c>
      <c r="J422" s="316">
        <v>0</v>
      </c>
      <c r="K422" s="317">
        <v>0</v>
      </c>
      <c r="L422" s="318">
        <v>0</v>
      </c>
      <c r="M422" s="319">
        <v>0</v>
      </c>
      <c r="N422" s="320">
        <v>0</v>
      </c>
      <c r="O422" s="606">
        <v>0</v>
      </c>
      <c r="P422" s="321">
        <v>0</v>
      </c>
      <c r="Q422" s="325">
        <v>0</v>
      </c>
      <c r="R422" s="619">
        <v>0</v>
      </c>
      <c r="S422" s="501">
        <f t="shared" si="112"/>
        <v>0</v>
      </c>
      <c r="T422" s="620"/>
      <c r="U422" s="657"/>
      <c r="V422" s="690"/>
      <c r="W422" s="690"/>
      <c r="X422" s="713"/>
      <c r="Y422" s="690"/>
      <c r="Z422" s="690"/>
      <c r="AA422" s="657"/>
      <c r="AB422" s="690"/>
      <c r="AC422" s="658"/>
      <c r="AD422" s="658"/>
      <c r="AE422" s="658"/>
      <c r="AF422" s="688"/>
    </row>
    <row r="423" spans="1:32">
      <c r="A423" s="620">
        <v>411</v>
      </c>
      <c r="B423" s="620"/>
      <c r="C423" s="620"/>
      <c r="D423" s="620"/>
      <c r="E423" s="605"/>
      <c r="F423" s="619"/>
      <c r="G423" s="324"/>
      <c r="H423" s="315"/>
      <c r="I423" s="315"/>
      <c r="J423" s="316"/>
      <c r="K423" s="317"/>
      <c r="L423" s="318"/>
      <c r="M423" s="319"/>
      <c r="N423" s="320"/>
      <c r="O423" s="606"/>
      <c r="P423" s="321"/>
      <c r="Q423" s="325"/>
      <c r="R423" s="619"/>
      <c r="S423" s="304"/>
      <c r="T423" s="620"/>
      <c r="U423" s="657"/>
      <c r="V423" s="690"/>
      <c r="W423" s="690"/>
      <c r="X423" s="713"/>
      <c r="Y423" s="690"/>
      <c r="Z423" s="690"/>
      <c r="AA423" s="657"/>
      <c r="AB423" s="690"/>
      <c r="AC423" s="658"/>
      <c r="AD423" s="658"/>
      <c r="AE423" s="658"/>
      <c r="AF423" s="688"/>
    </row>
    <row r="424" spans="1:32">
      <c r="A424" s="620">
        <v>412</v>
      </c>
      <c r="B424" s="326" t="s">
        <v>977</v>
      </c>
      <c r="C424" s="326" t="s">
        <v>583</v>
      </c>
      <c r="D424" s="620" t="s">
        <v>380</v>
      </c>
      <c r="E424" s="605" t="s">
        <v>584</v>
      </c>
      <c r="F424" s="619">
        <v>0</v>
      </c>
      <c r="G424" s="619">
        <v>-30000000</v>
      </c>
      <c r="H424" s="619">
        <v>-30000000</v>
      </c>
      <c r="I424" s="619">
        <v>-70000000</v>
      </c>
      <c r="J424" s="619">
        <v>-70000000</v>
      </c>
      <c r="K424" s="619">
        <v>-70000000</v>
      </c>
      <c r="L424" s="619">
        <v>-40000000</v>
      </c>
      <c r="M424" s="619">
        <v>-40000000</v>
      </c>
      <c r="N424" s="619">
        <v>-40000000</v>
      </c>
      <c r="O424" s="619">
        <v>-40000000</v>
      </c>
      <c r="P424" s="619">
        <v>-40000000</v>
      </c>
      <c r="Q424" s="619">
        <v>-40000000</v>
      </c>
      <c r="R424" s="619">
        <v>0</v>
      </c>
      <c r="S424" s="304">
        <f t="shared" si="105"/>
        <v>-42500000</v>
      </c>
      <c r="T424" s="620"/>
      <c r="U424" s="657"/>
      <c r="V424" s="690"/>
      <c r="W424" s="690">
        <f t="shared" ref="W424:W425" si="113">+S424</f>
        <v>-42500000</v>
      </c>
      <c r="X424" s="713"/>
      <c r="Y424" s="690"/>
      <c r="Z424" s="690"/>
      <c r="AA424" s="657"/>
      <c r="AB424" s="690"/>
      <c r="AC424" s="659">
        <f>+S424</f>
        <v>-42500000</v>
      </c>
      <c r="AD424" s="658"/>
      <c r="AE424" s="658"/>
      <c r="AF424" s="688">
        <f t="shared" si="97"/>
        <v>0</v>
      </c>
    </row>
    <row r="425" spans="1:32">
      <c r="A425" s="620">
        <v>413</v>
      </c>
      <c r="B425" s="326" t="s">
        <v>977</v>
      </c>
      <c r="C425" s="326" t="s">
        <v>585</v>
      </c>
      <c r="D425" s="326" t="s">
        <v>586</v>
      </c>
      <c r="E425" s="611" t="s">
        <v>587</v>
      </c>
      <c r="F425" s="619">
        <v>0</v>
      </c>
      <c r="G425" s="619">
        <v>0</v>
      </c>
      <c r="H425" s="619">
        <v>0</v>
      </c>
      <c r="I425" s="619">
        <v>0</v>
      </c>
      <c r="J425" s="619">
        <v>0</v>
      </c>
      <c r="K425" s="619">
        <v>0</v>
      </c>
      <c r="L425" s="619">
        <v>0</v>
      </c>
      <c r="M425" s="619">
        <v>0</v>
      </c>
      <c r="N425" s="619">
        <v>0</v>
      </c>
      <c r="O425" s="619">
        <v>0</v>
      </c>
      <c r="P425" s="619">
        <v>0</v>
      </c>
      <c r="Q425" s="619">
        <v>0</v>
      </c>
      <c r="R425" s="619">
        <v>0</v>
      </c>
      <c r="S425" s="304">
        <f t="shared" si="105"/>
        <v>0</v>
      </c>
      <c r="T425" s="620"/>
      <c r="U425" s="657"/>
      <c r="V425" s="690"/>
      <c r="W425" s="690">
        <f t="shared" si="113"/>
        <v>0</v>
      </c>
      <c r="X425" s="713"/>
      <c r="Y425" s="690"/>
      <c r="Z425" s="690"/>
      <c r="AA425" s="657"/>
      <c r="AB425" s="690"/>
      <c r="AC425" s="659">
        <f>+S425</f>
        <v>0</v>
      </c>
      <c r="AD425" s="658"/>
      <c r="AE425" s="658"/>
      <c r="AF425" s="688">
        <f t="shared" si="97"/>
        <v>0</v>
      </c>
    </row>
    <row r="426" spans="1:32">
      <c r="A426" s="620">
        <v>414</v>
      </c>
      <c r="B426" s="620"/>
      <c r="C426" s="620"/>
      <c r="D426" s="620"/>
      <c r="E426" s="605"/>
      <c r="F426" s="619"/>
      <c r="G426" s="324"/>
      <c r="H426" s="315"/>
      <c r="I426" s="315"/>
      <c r="J426" s="316"/>
      <c r="K426" s="317"/>
      <c r="L426" s="318"/>
      <c r="M426" s="319"/>
      <c r="N426" s="320"/>
      <c r="O426" s="606"/>
      <c r="P426" s="321"/>
      <c r="Q426" s="325"/>
      <c r="R426" s="619"/>
      <c r="S426" s="304"/>
      <c r="T426" s="620"/>
      <c r="U426" s="657"/>
      <c r="V426" s="690"/>
      <c r="W426" s="690"/>
      <c r="X426" s="713"/>
      <c r="Y426" s="690"/>
      <c r="Z426" s="690"/>
      <c r="AA426" s="657"/>
      <c r="AB426" s="690"/>
      <c r="AC426" s="658"/>
      <c r="AD426" s="658"/>
      <c r="AE426" s="658"/>
      <c r="AF426" s="688">
        <f t="shared" si="97"/>
        <v>0</v>
      </c>
    </row>
    <row r="427" spans="1:32">
      <c r="A427" s="620">
        <v>415</v>
      </c>
      <c r="B427" s="326" t="s">
        <v>977</v>
      </c>
      <c r="C427" s="326" t="s">
        <v>588</v>
      </c>
      <c r="D427" s="326" t="s">
        <v>526</v>
      </c>
      <c r="E427" s="605" t="s">
        <v>1669</v>
      </c>
      <c r="F427" s="619">
        <v>-6429388.5499999998</v>
      </c>
      <c r="G427" s="619">
        <v>-3052420.41</v>
      </c>
      <c r="H427" s="619">
        <v>-1738753.51</v>
      </c>
      <c r="I427" s="619">
        <v>-1658173.93</v>
      </c>
      <c r="J427" s="619">
        <v>-2409461.09</v>
      </c>
      <c r="K427" s="619">
        <v>-2747484.7</v>
      </c>
      <c r="L427" s="619">
        <v>-2696374.04</v>
      </c>
      <c r="M427" s="619">
        <v>-2878166.01</v>
      </c>
      <c r="N427" s="619">
        <v>-4328379.6399999997</v>
      </c>
      <c r="O427" s="619">
        <v>-3695293.5</v>
      </c>
      <c r="P427" s="619">
        <v>-3240152.14</v>
      </c>
      <c r="Q427" s="619">
        <v>-3867143.32</v>
      </c>
      <c r="R427" s="619">
        <v>-6520933.0099999998</v>
      </c>
      <c r="S427" s="498">
        <f t="shared" si="105"/>
        <v>-3232246.9224999999</v>
      </c>
      <c r="T427" s="620"/>
      <c r="U427" s="657"/>
      <c r="V427" s="690">
        <f t="shared" ref="V427:V440" si="114">+S427</f>
        <v>-3232246.9224999999</v>
      </c>
      <c r="W427" s="690"/>
      <c r="X427" s="713"/>
      <c r="Y427" s="690"/>
      <c r="Z427" s="690"/>
      <c r="AA427" s="657"/>
      <c r="AB427" s="690"/>
      <c r="AC427" s="658"/>
      <c r="AD427" s="659">
        <f t="shared" ref="AD427:AD441" si="115">+V427</f>
        <v>-3232246.9224999999</v>
      </c>
      <c r="AE427" s="658"/>
      <c r="AF427" s="688">
        <f t="shared" si="97"/>
        <v>0</v>
      </c>
    </row>
    <row r="428" spans="1:32">
      <c r="A428" s="620">
        <v>416</v>
      </c>
      <c r="B428" s="326" t="s">
        <v>977</v>
      </c>
      <c r="C428" s="326" t="s">
        <v>589</v>
      </c>
      <c r="D428" s="326" t="s">
        <v>729</v>
      </c>
      <c r="E428" s="614" t="s">
        <v>1670</v>
      </c>
      <c r="F428" s="619">
        <v>-557521.93999999994</v>
      </c>
      <c r="G428" s="619">
        <v>-336848.1</v>
      </c>
      <c r="H428" s="619">
        <v>-178970.22</v>
      </c>
      <c r="I428" s="619">
        <v>-326239.73</v>
      </c>
      <c r="J428" s="619">
        <v>-129589.75</v>
      </c>
      <c r="K428" s="619">
        <v>-163776.26</v>
      </c>
      <c r="L428" s="619">
        <v>-372115.42</v>
      </c>
      <c r="M428" s="619">
        <v>-361277.87</v>
      </c>
      <c r="N428" s="619">
        <v>-370995.73</v>
      </c>
      <c r="O428" s="619">
        <v>-474940.26</v>
      </c>
      <c r="P428" s="619">
        <v>-471474.43</v>
      </c>
      <c r="Q428" s="619">
        <v>-268582.7</v>
      </c>
      <c r="R428" s="619">
        <v>-440504.1</v>
      </c>
      <c r="S428" s="498">
        <f t="shared" si="105"/>
        <v>-329485.29083333333</v>
      </c>
      <c r="T428" s="620"/>
      <c r="U428" s="657"/>
      <c r="V428" s="690">
        <f t="shared" si="114"/>
        <v>-329485.29083333333</v>
      </c>
      <c r="W428" s="690"/>
      <c r="X428" s="713"/>
      <c r="Y428" s="690"/>
      <c r="Z428" s="690"/>
      <c r="AA428" s="657"/>
      <c r="AB428" s="690"/>
      <c r="AC428" s="658"/>
      <c r="AD428" s="659">
        <f t="shared" si="115"/>
        <v>-329485.29083333333</v>
      </c>
      <c r="AE428" s="658"/>
      <c r="AF428" s="688">
        <f t="shared" si="97"/>
        <v>0</v>
      </c>
    </row>
    <row r="429" spans="1:32">
      <c r="A429" s="620">
        <v>417</v>
      </c>
      <c r="B429" s="326" t="s">
        <v>977</v>
      </c>
      <c r="C429" s="326" t="s">
        <v>589</v>
      </c>
      <c r="D429" s="326" t="s">
        <v>1211</v>
      </c>
      <c r="E429" s="605" t="s">
        <v>590</v>
      </c>
      <c r="F429" s="619">
        <v>-43539082.770000003</v>
      </c>
      <c r="G429" s="619">
        <v>-26860683.850000001</v>
      </c>
      <c r="H429" s="619">
        <v>-40298348.840000004</v>
      </c>
      <c r="I429" s="619">
        <v>-48354825.450000003</v>
      </c>
      <c r="J429" s="619">
        <v>-10887326.09</v>
      </c>
      <c r="K429" s="619">
        <v>-7322383.7400000002</v>
      </c>
      <c r="L429" s="619">
        <v>-7672115.7999999998</v>
      </c>
      <c r="M429" s="619">
        <v>-7408981.7199999997</v>
      </c>
      <c r="N429" s="619">
        <v>-7498183.4800000004</v>
      </c>
      <c r="O429" s="619">
        <v>-8246130.1399999997</v>
      </c>
      <c r="P429" s="619">
        <v>-13966099.76</v>
      </c>
      <c r="Q429" s="619">
        <v>-17572127.510000002</v>
      </c>
      <c r="R429" s="619">
        <v>-26928352.75</v>
      </c>
      <c r="S429" s="498">
        <f t="shared" si="105"/>
        <v>-19276743.678333331</v>
      </c>
      <c r="T429" s="620"/>
      <c r="U429" s="657"/>
      <c r="V429" s="690">
        <f t="shared" si="114"/>
        <v>-19276743.678333331</v>
      </c>
      <c r="W429" s="690"/>
      <c r="X429" s="713"/>
      <c r="Y429" s="690"/>
      <c r="Z429" s="690"/>
      <c r="AA429" s="657"/>
      <c r="AB429" s="690"/>
      <c r="AC429" s="658"/>
      <c r="AD429" s="659">
        <f t="shared" si="115"/>
        <v>-19276743.678333331</v>
      </c>
      <c r="AE429" s="658"/>
      <c r="AF429" s="688">
        <f t="shared" si="97"/>
        <v>0</v>
      </c>
    </row>
    <row r="430" spans="1:32">
      <c r="A430" s="620">
        <v>418</v>
      </c>
      <c r="B430" s="326" t="s">
        <v>977</v>
      </c>
      <c r="C430" s="326" t="s">
        <v>589</v>
      </c>
      <c r="D430" s="326" t="s">
        <v>419</v>
      </c>
      <c r="E430" s="611" t="s">
        <v>1672</v>
      </c>
      <c r="F430" s="619">
        <v>-245670.98</v>
      </c>
      <c r="G430" s="619">
        <v>0</v>
      </c>
      <c r="H430" s="619">
        <v>-23614.45</v>
      </c>
      <c r="I430" s="619">
        <v>-44412.61</v>
      </c>
      <c r="J430" s="619">
        <v>-66013.789999999994</v>
      </c>
      <c r="K430" s="619">
        <v>-88940.15</v>
      </c>
      <c r="L430" s="619">
        <v>-110629.87</v>
      </c>
      <c r="M430" s="619">
        <v>-131228.97</v>
      </c>
      <c r="N430" s="619">
        <v>-152858.88</v>
      </c>
      <c r="O430" s="619">
        <v>-172506.03</v>
      </c>
      <c r="P430" s="619">
        <v>-192985.69</v>
      </c>
      <c r="Q430" s="619">
        <v>-216037.74</v>
      </c>
      <c r="R430" s="619">
        <v>-237373</v>
      </c>
      <c r="S430" s="498">
        <f t="shared" si="105"/>
        <v>-120062.51416666666</v>
      </c>
      <c r="T430" s="620"/>
      <c r="U430" s="657"/>
      <c r="V430" s="690">
        <f t="shared" si="114"/>
        <v>-120062.51416666666</v>
      </c>
      <c r="W430" s="690"/>
      <c r="X430" s="713"/>
      <c r="Y430" s="690"/>
      <c r="Z430" s="690"/>
      <c r="AA430" s="657"/>
      <c r="AB430" s="690"/>
      <c r="AC430" s="658"/>
      <c r="AD430" s="659">
        <f t="shared" si="115"/>
        <v>-120062.51416666666</v>
      </c>
      <c r="AE430" s="658"/>
      <c r="AF430" s="688">
        <f t="shared" si="97"/>
        <v>0</v>
      </c>
    </row>
    <row r="431" spans="1:32">
      <c r="A431" s="620">
        <v>419</v>
      </c>
      <c r="B431" s="326" t="s">
        <v>977</v>
      </c>
      <c r="C431" s="326" t="s">
        <v>589</v>
      </c>
      <c r="D431" s="326" t="s">
        <v>1212</v>
      </c>
      <c r="E431" s="611" t="s">
        <v>1671</v>
      </c>
      <c r="F431" s="619">
        <v>-11172210.310000001</v>
      </c>
      <c r="G431" s="619">
        <v>-5667710.3099999996</v>
      </c>
      <c r="H431" s="619">
        <v>-2893939.67</v>
      </c>
      <c r="I431" s="619">
        <v>-3106406.66</v>
      </c>
      <c r="J431" s="619">
        <v>-3421205.3</v>
      </c>
      <c r="K431" s="619">
        <v>-3515414.66</v>
      </c>
      <c r="L431" s="619">
        <v>-2452428.29</v>
      </c>
      <c r="M431" s="619">
        <v>-7659905.5899999999</v>
      </c>
      <c r="N431" s="619">
        <v>-2839792</v>
      </c>
      <c r="O431" s="619">
        <v>-4132064.97</v>
      </c>
      <c r="P431" s="619">
        <v>-6589053.7599999998</v>
      </c>
      <c r="Q431" s="619">
        <v>-8140193.0800000001</v>
      </c>
      <c r="R431" s="619">
        <v>-5546502.1100000003</v>
      </c>
      <c r="S431" s="498">
        <f t="shared" si="105"/>
        <v>-4898122.541666667</v>
      </c>
      <c r="T431" s="620"/>
      <c r="U431" s="657"/>
      <c r="V431" s="690">
        <f t="shared" si="114"/>
        <v>-4898122.541666667</v>
      </c>
      <c r="W431" s="690"/>
      <c r="X431" s="713"/>
      <c r="Y431" s="690"/>
      <c r="Z431" s="690"/>
      <c r="AA431" s="657"/>
      <c r="AB431" s="690"/>
      <c r="AC431" s="658"/>
      <c r="AD431" s="659">
        <f t="shared" si="115"/>
        <v>-4898122.541666667</v>
      </c>
      <c r="AE431" s="658"/>
      <c r="AF431" s="688">
        <f t="shared" si="97"/>
        <v>0</v>
      </c>
    </row>
    <row r="432" spans="1:32">
      <c r="A432" s="620">
        <v>420</v>
      </c>
      <c r="B432" s="326" t="s">
        <v>977</v>
      </c>
      <c r="C432" s="326" t="s">
        <v>589</v>
      </c>
      <c r="D432" s="326" t="s">
        <v>1213</v>
      </c>
      <c r="E432" s="605" t="s">
        <v>591</v>
      </c>
      <c r="F432" s="619">
        <v>-3247355.18</v>
      </c>
      <c r="G432" s="619">
        <v>-2950390.62</v>
      </c>
      <c r="H432" s="619">
        <v>-2864483.76</v>
      </c>
      <c r="I432" s="619">
        <v>-1682878.63</v>
      </c>
      <c r="J432" s="619">
        <v>-737494.22</v>
      </c>
      <c r="K432" s="619">
        <v>-482887.61</v>
      </c>
      <c r="L432" s="619">
        <v>-464115.63</v>
      </c>
      <c r="M432" s="619">
        <v>-980571.85</v>
      </c>
      <c r="N432" s="619">
        <v>-517872.79</v>
      </c>
      <c r="O432" s="619">
        <v>-410602.67</v>
      </c>
      <c r="P432" s="619">
        <v>-611688.97</v>
      </c>
      <c r="Q432" s="619">
        <v>-407659.48</v>
      </c>
      <c r="R432" s="619">
        <v>-1112884.77</v>
      </c>
      <c r="S432" s="498">
        <f t="shared" si="105"/>
        <v>-1190897.1837500001</v>
      </c>
      <c r="T432" s="620"/>
      <c r="U432" s="657"/>
      <c r="V432" s="690">
        <f t="shared" si="114"/>
        <v>-1190897.1837500001</v>
      </c>
      <c r="W432" s="690"/>
      <c r="X432" s="713"/>
      <c r="Y432" s="690"/>
      <c r="Z432" s="690"/>
      <c r="AA432" s="657"/>
      <c r="AB432" s="690"/>
      <c r="AC432" s="658"/>
      <c r="AD432" s="659">
        <f t="shared" si="115"/>
        <v>-1190897.1837500001</v>
      </c>
      <c r="AE432" s="658"/>
      <c r="AF432" s="688">
        <f t="shared" si="97"/>
        <v>0</v>
      </c>
    </row>
    <row r="433" spans="1:32">
      <c r="A433" s="620">
        <v>421</v>
      </c>
      <c r="B433" s="326" t="s">
        <v>977</v>
      </c>
      <c r="C433" s="326" t="s">
        <v>589</v>
      </c>
      <c r="D433" s="326" t="s">
        <v>1214</v>
      </c>
      <c r="E433" s="605" t="s">
        <v>1678</v>
      </c>
      <c r="F433" s="619">
        <v>-1523.6</v>
      </c>
      <c r="G433" s="619">
        <v>-2424.7800000000002</v>
      </c>
      <c r="H433" s="619">
        <v>-541.85</v>
      </c>
      <c r="I433" s="619">
        <v>115.64</v>
      </c>
      <c r="J433" s="619">
        <v>-1229.81</v>
      </c>
      <c r="K433" s="619">
        <v>-6089.12</v>
      </c>
      <c r="L433" s="619">
        <v>-74.599999999999497</v>
      </c>
      <c r="M433" s="619">
        <v>-11322.06</v>
      </c>
      <c r="N433" s="619">
        <v>-61.779999999997003</v>
      </c>
      <c r="O433" s="619">
        <v>-289.77999999999702</v>
      </c>
      <c r="P433" s="619">
        <v>-899.42999999999699</v>
      </c>
      <c r="Q433" s="619">
        <v>-25.9899999999969</v>
      </c>
      <c r="R433" s="619">
        <v>-9861.52</v>
      </c>
      <c r="S433" s="498">
        <f t="shared" si="105"/>
        <v>-2378.0099999999989</v>
      </c>
      <c r="T433" s="620"/>
      <c r="U433" s="657"/>
      <c r="V433" s="690">
        <f t="shared" si="114"/>
        <v>-2378.0099999999989</v>
      </c>
      <c r="W433" s="690"/>
      <c r="X433" s="713"/>
      <c r="Y433" s="690"/>
      <c r="Z433" s="690"/>
      <c r="AA433" s="657"/>
      <c r="AB433" s="690"/>
      <c r="AC433" s="658"/>
      <c r="AD433" s="659">
        <f t="shared" si="115"/>
        <v>-2378.0099999999989</v>
      </c>
      <c r="AE433" s="658"/>
      <c r="AF433" s="688">
        <f t="shared" si="97"/>
        <v>0</v>
      </c>
    </row>
    <row r="434" spans="1:32">
      <c r="A434" s="620">
        <v>422</v>
      </c>
      <c r="B434" s="326" t="s">
        <v>977</v>
      </c>
      <c r="C434" s="326" t="s">
        <v>589</v>
      </c>
      <c r="D434" s="326" t="s">
        <v>1215</v>
      </c>
      <c r="E434" s="605" t="s">
        <v>1673</v>
      </c>
      <c r="F434" s="619">
        <v>0</v>
      </c>
      <c r="G434" s="619">
        <v>4.13</v>
      </c>
      <c r="H434" s="619">
        <v>4.13</v>
      </c>
      <c r="I434" s="619">
        <v>4.13</v>
      </c>
      <c r="J434" s="619">
        <v>4.13</v>
      </c>
      <c r="K434" s="619">
        <v>56.1</v>
      </c>
      <c r="L434" s="619">
        <v>56.1</v>
      </c>
      <c r="M434" s="619">
        <v>2656.1</v>
      </c>
      <c r="N434" s="619">
        <v>-4162.92</v>
      </c>
      <c r="O434" s="619">
        <v>-4162.92</v>
      </c>
      <c r="P434" s="619">
        <v>-4162.92</v>
      </c>
      <c r="Q434" s="619">
        <v>0</v>
      </c>
      <c r="R434" s="619">
        <v>0</v>
      </c>
      <c r="S434" s="498">
        <f t="shared" si="105"/>
        <v>-808.66166666666675</v>
      </c>
      <c r="T434" s="620"/>
      <c r="U434" s="657"/>
      <c r="V434" s="690">
        <f t="shared" si="114"/>
        <v>-808.66166666666675</v>
      </c>
      <c r="W434" s="690"/>
      <c r="X434" s="713"/>
      <c r="Y434" s="690"/>
      <c r="Z434" s="690"/>
      <c r="AA434" s="657"/>
      <c r="AB434" s="690"/>
      <c r="AC434" s="658"/>
      <c r="AD434" s="659">
        <f t="shared" si="115"/>
        <v>-808.66166666666675</v>
      </c>
      <c r="AE434" s="658"/>
      <c r="AF434" s="688">
        <f t="shared" si="97"/>
        <v>0</v>
      </c>
    </row>
    <row r="435" spans="1:32">
      <c r="A435" s="620">
        <v>423</v>
      </c>
      <c r="B435" s="326" t="s">
        <v>977</v>
      </c>
      <c r="C435" s="326" t="s">
        <v>589</v>
      </c>
      <c r="D435" s="326" t="s">
        <v>1216</v>
      </c>
      <c r="E435" s="605" t="s">
        <v>1674</v>
      </c>
      <c r="F435" s="619">
        <v>2.89901436190121E-12</v>
      </c>
      <c r="G435" s="619">
        <v>0</v>
      </c>
      <c r="H435" s="619">
        <v>0</v>
      </c>
      <c r="I435" s="619">
        <v>-114581.26</v>
      </c>
      <c r="J435" s="619">
        <v>-116772.93</v>
      </c>
      <c r="K435" s="619">
        <v>0</v>
      </c>
      <c r="L435" s="619">
        <v>0</v>
      </c>
      <c r="M435" s="619">
        <v>50964.44</v>
      </c>
      <c r="N435" s="619">
        <v>-117909.33</v>
      </c>
      <c r="O435" s="619">
        <v>-112026.75</v>
      </c>
      <c r="P435" s="619">
        <v>51255.519999999997</v>
      </c>
      <c r="Q435" s="619">
        <v>101096.61</v>
      </c>
      <c r="R435" s="619">
        <v>101096.61</v>
      </c>
      <c r="S435" s="498">
        <f t="shared" si="105"/>
        <v>-17285.449583333335</v>
      </c>
      <c r="T435" s="620"/>
      <c r="U435" s="657"/>
      <c r="V435" s="690">
        <f t="shared" si="114"/>
        <v>-17285.449583333335</v>
      </c>
      <c r="W435" s="690"/>
      <c r="X435" s="713"/>
      <c r="Y435" s="690"/>
      <c r="Z435" s="690"/>
      <c r="AA435" s="657"/>
      <c r="AB435" s="690"/>
      <c r="AC435" s="658"/>
      <c r="AD435" s="659">
        <f t="shared" si="115"/>
        <v>-17285.449583333335</v>
      </c>
      <c r="AE435" s="658"/>
      <c r="AF435" s="688">
        <f t="shared" si="97"/>
        <v>0</v>
      </c>
    </row>
    <row r="436" spans="1:32">
      <c r="A436" s="620">
        <v>424</v>
      </c>
      <c r="B436" s="326" t="s">
        <v>977</v>
      </c>
      <c r="C436" s="326" t="s">
        <v>589</v>
      </c>
      <c r="D436" s="326" t="s">
        <v>1217</v>
      </c>
      <c r="E436" s="605" t="s">
        <v>1675</v>
      </c>
      <c r="F436" s="619">
        <v>-20867.39</v>
      </c>
      <c r="G436" s="619">
        <v>-19631.25</v>
      </c>
      <c r="H436" s="619">
        <v>-19126.38</v>
      </c>
      <c r="I436" s="619">
        <v>-18210.55</v>
      </c>
      <c r="J436" s="619">
        <v>-15794.76</v>
      </c>
      <c r="K436" s="619">
        <v>-13267.2</v>
      </c>
      <c r="L436" s="619">
        <v>-12174.84</v>
      </c>
      <c r="M436" s="619">
        <v>-14643.43</v>
      </c>
      <c r="N436" s="619">
        <v>-16296.07</v>
      </c>
      <c r="O436" s="619">
        <v>-16851.669999999998</v>
      </c>
      <c r="P436" s="619">
        <v>-18984.599999999999</v>
      </c>
      <c r="Q436" s="619">
        <v>-9215.7099999999991</v>
      </c>
      <c r="R436" s="619">
        <v>-11663.77</v>
      </c>
      <c r="S436" s="498">
        <f t="shared" si="105"/>
        <v>-15871.836666666668</v>
      </c>
      <c r="T436" s="620"/>
      <c r="U436" s="657"/>
      <c r="V436" s="690">
        <f t="shared" si="114"/>
        <v>-15871.836666666668</v>
      </c>
      <c r="W436" s="690"/>
      <c r="X436" s="713"/>
      <c r="Y436" s="690"/>
      <c r="Z436" s="690"/>
      <c r="AA436" s="657"/>
      <c r="AB436" s="690"/>
      <c r="AC436" s="658"/>
      <c r="AD436" s="659">
        <f t="shared" si="115"/>
        <v>-15871.836666666668</v>
      </c>
      <c r="AE436" s="658"/>
      <c r="AF436" s="688">
        <f t="shared" si="97"/>
        <v>0</v>
      </c>
    </row>
    <row r="437" spans="1:32">
      <c r="A437" s="620">
        <v>425</v>
      </c>
      <c r="B437" s="326" t="s">
        <v>977</v>
      </c>
      <c r="C437" s="326" t="s">
        <v>589</v>
      </c>
      <c r="D437" s="326" t="s">
        <v>1218</v>
      </c>
      <c r="E437" s="605" t="s">
        <v>1676</v>
      </c>
      <c r="F437" s="619">
        <v>0</v>
      </c>
      <c r="G437" s="619">
        <v>24768.26</v>
      </c>
      <c r="H437" s="619">
        <v>24342.58</v>
      </c>
      <c r="I437" s="619">
        <v>-3.6379788070917101E-12</v>
      </c>
      <c r="J437" s="619">
        <v>-3.6379788070917101E-12</v>
      </c>
      <c r="K437" s="619">
        <v>-3.6379788070917101E-12</v>
      </c>
      <c r="L437" s="619">
        <v>-3.6379788070917101E-12</v>
      </c>
      <c r="M437" s="619">
        <v>-3.6379788070917101E-12</v>
      </c>
      <c r="N437" s="619">
        <v>-3.6379788070917101E-12</v>
      </c>
      <c r="O437" s="619">
        <v>-3.6379788070917101E-12</v>
      </c>
      <c r="P437" s="619">
        <v>-3.6379788070917101E-12</v>
      </c>
      <c r="Q437" s="619">
        <v>-3.6379788070917101E-12</v>
      </c>
      <c r="R437" s="619">
        <v>-3.6379788070917101E-12</v>
      </c>
      <c r="S437" s="498">
        <f t="shared" si="105"/>
        <v>4092.5699999999997</v>
      </c>
      <c r="T437" s="620"/>
      <c r="U437" s="657"/>
      <c r="V437" s="690">
        <f t="shared" si="114"/>
        <v>4092.5699999999997</v>
      </c>
      <c r="W437" s="690"/>
      <c r="X437" s="713"/>
      <c r="Y437" s="690"/>
      <c r="Z437" s="690"/>
      <c r="AA437" s="657"/>
      <c r="AB437" s="690"/>
      <c r="AC437" s="658"/>
      <c r="AD437" s="659">
        <f t="shared" si="115"/>
        <v>4092.5699999999997</v>
      </c>
      <c r="AE437" s="658"/>
      <c r="AF437" s="688">
        <f t="shared" si="97"/>
        <v>0</v>
      </c>
    </row>
    <row r="438" spans="1:32">
      <c r="A438" s="620">
        <v>426</v>
      </c>
      <c r="B438" s="326" t="s">
        <v>977</v>
      </c>
      <c r="C438" s="326" t="s">
        <v>589</v>
      </c>
      <c r="D438" s="326" t="s">
        <v>1219</v>
      </c>
      <c r="E438" s="605" t="s">
        <v>1677</v>
      </c>
      <c r="F438" s="619">
        <v>3.6379788070917101E-12</v>
      </c>
      <c r="G438" s="619">
        <v>0</v>
      </c>
      <c r="H438" s="619">
        <v>0</v>
      </c>
      <c r="I438" s="619">
        <v>-23110.86</v>
      </c>
      <c r="J438" s="619">
        <v>-23068.71</v>
      </c>
      <c r="K438" s="619">
        <v>0</v>
      </c>
      <c r="L438" s="619">
        <v>0</v>
      </c>
      <c r="M438" s="619">
        <v>-23290.36</v>
      </c>
      <c r="N438" s="619">
        <v>-23250.71</v>
      </c>
      <c r="O438" s="619">
        <v>-23853.51</v>
      </c>
      <c r="P438" s="619">
        <v>-24147.06</v>
      </c>
      <c r="Q438" s="619">
        <v>-47891.3</v>
      </c>
      <c r="R438" s="619">
        <v>-47891.3</v>
      </c>
      <c r="S438" s="498">
        <f t="shared" si="105"/>
        <v>-17713.18</v>
      </c>
      <c r="T438" s="620"/>
      <c r="U438" s="657"/>
      <c r="V438" s="690">
        <f t="shared" si="114"/>
        <v>-17713.18</v>
      </c>
      <c r="W438" s="690"/>
      <c r="X438" s="713"/>
      <c r="Y438" s="690"/>
      <c r="Z438" s="690"/>
      <c r="AA438" s="657"/>
      <c r="AB438" s="690"/>
      <c r="AC438" s="658"/>
      <c r="AD438" s="659">
        <f t="shared" si="115"/>
        <v>-17713.18</v>
      </c>
      <c r="AE438" s="658"/>
      <c r="AF438" s="688">
        <f t="shared" si="97"/>
        <v>0</v>
      </c>
    </row>
    <row r="439" spans="1:32">
      <c r="A439" s="620">
        <v>427</v>
      </c>
      <c r="B439" s="326" t="s">
        <v>977</v>
      </c>
      <c r="C439" s="326" t="s">
        <v>589</v>
      </c>
      <c r="D439" s="326" t="s">
        <v>1925</v>
      </c>
      <c r="E439" s="605" t="s">
        <v>1926</v>
      </c>
      <c r="F439" s="619">
        <v>0</v>
      </c>
      <c r="G439" s="619">
        <v>0</v>
      </c>
      <c r="H439" s="619">
        <v>0</v>
      </c>
      <c r="I439" s="619">
        <v>0</v>
      </c>
      <c r="J439" s="619">
        <v>0</v>
      </c>
      <c r="K439" s="619">
        <v>0</v>
      </c>
      <c r="L439" s="619">
        <v>0</v>
      </c>
      <c r="M439" s="619">
        <v>0</v>
      </c>
      <c r="N439" s="619">
        <v>-220.5</v>
      </c>
      <c r="O439" s="619">
        <v>-220.5</v>
      </c>
      <c r="P439" s="619">
        <v>0</v>
      </c>
      <c r="Q439" s="619">
        <v>0</v>
      </c>
      <c r="R439" s="619">
        <v>0</v>
      </c>
      <c r="S439" s="498">
        <f t="shared" si="105"/>
        <v>-36.75</v>
      </c>
      <c r="T439" s="620"/>
      <c r="U439" s="657"/>
      <c r="V439" s="690">
        <f>+S439</f>
        <v>-36.75</v>
      </c>
      <c r="W439" s="690"/>
      <c r="X439" s="713"/>
      <c r="Y439" s="690"/>
      <c r="Z439" s="690"/>
      <c r="AA439" s="657"/>
      <c r="AB439" s="690"/>
      <c r="AC439" s="658"/>
      <c r="AD439" s="659">
        <f t="shared" si="115"/>
        <v>-36.75</v>
      </c>
      <c r="AE439" s="658"/>
      <c r="AF439" s="688">
        <f t="shared" si="97"/>
        <v>0</v>
      </c>
    </row>
    <row r="440" spans="1:32">
      <c r="A440" s="620">
        <v>428</v>
      </c>
      <c r="B440" s="326" t="s">
        <v>977</v>
      </c>
      <c r="C440" s="326" t="s">
        <v>592</v>
      </c>
      <c r="D440" s="326" t="s">
        <v>526</v>
      </c>
      <c r="E440" s="605" t="s">
        <v>593</v>
      </c>
      <c r="F440" s="619">
        <v>-1225497.53</v>
      </c>
      <c r="G440" s="619">
        <v>-916289.02</v>
      </c>
      <c r="H440" s="619">
        <v>-893894.98</v>
      </c>
      <c r="I440" s="619">
        <v>-847938.09</v>
      </c>
      <c r="J440" s="619">
        <v>-1296361.82</v>
      </c>
      <c r="K440" s="619">
        <v>-1222757.27</v>
      </c>
      <c r="L440" s="619">
        <v>-736791.79</v>
      </c>
      <c r="M440" s="619">
        <v>-1134554.6200000001</v>
      </c>
      <c r="N440" s="619">
        <v>-5187950.49</v>
      </c>
      <c r="O440" s="619">
        <v>-1565905.63</v>
      </c>
      <c r="P440" s="619">
        <v>-3017429.74</v>
      </c>
      <c r="Q440" s="619">
        <v>-2289242.7599999998</v>
      </c>
      <c r="R440" s="619">
        <v>-3495159.53</v>
      </c>
      <c r="S440" s="498">
        <f t="shared" si="105"/>
        <v>-1789120.3950000003</v>
      </c>
      <c r="T440" s="620"/>
      <c r="U440" s="657"/>
      <c r="V440" s="690">
        <f t="shared" si="114"/>
        <v>-1789120.3950000003</v>
      </c>
      <c r="W440" s="690"/>
      <c r="X440" s="713"/>
      <c r="Y440" s="690"/>
      <c r="Z440" s="690"/>
      <c r="AA440" s="657"/>
      <c r="AB440" s="690"/>
      <c r="AC440" s="658"/>
      <c r="AD440" s="659">
        <f t="shared" si="115"/>
        <v>-1789120.3950000003</v>
      </c>
      <c r="AE440" s="658"/>
      <c r="AF440" s="688">
        <f t="shared" si="97"/>
        <v>0</v>
      </c>
    </row>
    <row r="441" spans="1:32">
      <c r="A441" s="620">
        <v>429</v>
      </c>
      <c r="B441" s="620"/>
      <c r="C441" s="620"/>
      <c r="D441" s="620"/>
      <c r="E441" s="605"/>
      <c r="F441" s="619"/>
      <c r="G441" s="324"/>
      <c r="H441" s="315"/>
      <c r="I441" s="315"/>
      <c r="J441" s="316"/>
      <c r="K441" s="317"/>
      <c r="L441" s="318"/>
      <c r="M441" s="319"/>
      <c r="N441" s="320"/>
      <c r="O441" s="606"/>
      <c r="P441" s="321"/>
      <c r="Q441" s="325"/>
      <c r="R441" s="619"/>
      <c r="S441" s="498"/>
      <c r="T441" s="620"/>
      <c r="U441" s="657"/>
      <c r="V441" s="690"/>
      <c r="W441" s="690"/>
      <c r="X441" s="713"/>
      <c r="Y441" s="690"/>
      <c r="Z441" s="690"/>
      <c r="AA441" s="657"/>
      <c r="AB441" s="690"/>
      <c r="AC441" s="658"/>
      <c r="AD441" s="659">
        <f t="shared" si="115"/>
        <v>0</v>
      </c>
      <c r="AE441" s="658"/>
      <c r="AF441" s="688">
        <f t="shared" ref="AF441:AF513" si="116">+U441+V441-AD441</f>
        <v>0</v>
      </c>
    </row>
    <row r="442" spans="1:32">
      <c r="A442" s="620">
        <v>430</v>
      </c>
      <c r="B442" s="326" t="s">
        <v>977</v>
      </c>
      <c r="C442" s="326" t="s">
        <v>594</v>
      </c>
      <c r="D442" s="326" t="s">
        <v>423</v>
      </c>
      <c r="E442" s="607" t="s">
        <v>1426</v>
      </c>
      <c r="F442" s="619">
        <v>-1704352.31</v>
      </c>
      <c r="G442" s="619">
        <v>-1185350.18</v>
      </c>
      <c r="H442" s="619">
        <v>-2242639.23</v>
      </c>
      <c r="I442" s="619">
        <v>-1088614.98</v>
      </c>
      <c r="J442" s="619">
        <v>-1109584.99</v>
      </c>
      <c r="K442" s="619">
        <v>-1021661.18</v>
      </c>
      <c r="L442" s="619">
        <v>-902069.26</v>
      </c>
      <c r="M442" s="619">
        <v>-919673.94</v>
      </c>
      <c r="N442" s="619">
        <v>-1277411.8700000001</v>
      </c>
      <c r="O442" s="619">
        <v>-1109369.68</v>
      </c>
      <c r="P442" s="619">
        <v>-1220956.3700000001</v>
      </c>
      <c r="Q442" s="619">
        <v>-1138489.29</v>
      </c>
      <c r="R442" s="619">
        <v>-1330718.17</v>
      </c>
      <c r="S442" s="498">
        <f t="shared" si="105"/>
        <v>-1227779.6841666666</v>
      </c>
      <c r="T442" s="620"/>
      <c r="U442" s="657"/>
      <c r="V442" s="690"/>
      <c r="W442" s="690"/>
      <c r="X442" s="713">
        <f>+S442</f>
        <v>-1227779.6841666666</v>
      </c>
      <c r="Y442" s="690"/>
      <c r="Z442" s="690"/>
      <c r="AA442" s="657"/>
      <c r="AB442" s="690">
        <f t="shared" ref="AB442:AB449" si="117">+S442</f>
        <v>-1227779.6841666666</v>
      </c>
      <c r="AC442" s="658"/>
      <c r="AD442" s="659"/>
      <c r="AE442" s="658"/>
      <c r="AF442" s="688">
        <f t="shared" si="116"/>
        <v>0</v>
      </c>
    </row>
    <row r="443" spans="1:32">
      <c r="A443" s="620">
        <v>431</v>
      </c>
      <c r="B443" s="326" t="s">
        <v>977</v>
      </c>
      <c r="C443" s="326" t="s">
        <v>594</v>
      </c>
      <c r="D443" s="326" t="s">
        <v>1427</v>
      </c>
      <c r="E443" s="605" t="s">
        <v>1679</v>
      </c>
      <c r="F443" s="619">
        <v>0</v>
      </c>
      <c r="G443" s="619">
        <v>-519552.23</v>
      </c>
      <c r="H443" s="619">
        <v>-969604.43</v>
      </c>
      <c r="I443" s="619">
        <v>-569082.82999999996</v>
      </c>
      <c r="J443" s="619">
        <v>-513669.2</v>
      </c>
      <c r="K443" s="619">
        <v>-783318.31</v>
      </c>
      <c r="L443" s="619">
        <v>-381146.96</v>
      </c>
      <c r="M443" s="619">
        <v>-514237.45</v>
      </c>
      <c r="N443" s="619">
        <v>-281315.93</v>
      </c>
      <c r="O443" s="619">
        <v>-606998.31000000006</v>
      </c>
      <c r="P443" s="619">
        <v>-508022.18</v>
      </c>
      <c r="Q443" s="619">
        <v>-907109.46</v>
      </c>
      <c r="R443" s="619">
        <v>-1029872.32</v>
      </c>
      <c r="S443" s="498">
        <f t="shared" si="105"/>
        <v>-589082.78749999998</v>
      </c>
      <c r="T443" s="620"/>
      <c r="U443" s="657"/>
      <c r="V443" s="690"/>
      <c r="W443" s="690"/>
      <c r="X443" s="713">
        <f t="shared" ref="X443:X449" si="118">+S443</f>
        <v>-589082.78749999998</v>
      </c>
      <c r="Y443" s="690"/>
      <c r="Z443" s="690"/>
      <c r="AA443" s="657"/>
      <c r="AB443" s="690">
        <f t="shared" si="117"/>
        <v>-589082.78749999998</v>
      </c>
      <c r="AC443" s="658"/>
      <c r="AD443" s="659"/>
      <c r="AE443" s="658"/>
      <c r="AF443" s="688">
        <f t="shared" si="116"/>
        <v>0</v>
      </c>
    </row>
    <row r="444" spans="1:32">
      <c r="A444" s="620">
        <v>432</v>
      </c>
      <c r="B444" s="326" t="s">
        <v>977</v>
      </c>
      <c r="C444" s="326" t="s">
        <v>594</v>
      </c>
      <c r="D444" s="326" t="s">
        <v>1220</v>
      </c>
      <c r="E444" s="605" t="s">
        <v>1680</v>
      </c>
      <c r="F444" s="619">
        <v>-154330.98000000001</v>
      </c>
      <c r="G444" s="619">
        <v>-1026743.85</v>
      </c>
      <c r="H444" s="619">
        <v>-1065529.23</v>
      </c>
      <c r="I444" s="619">
        <v>-120684.51</v>
      </c>
      <c r="J444" s="619">
        <v>-30479.96</v>
      </c>
      <c r="K444" s="619">
        <v>-619.00000000000705</v>
      </c>
      <c r="L444" s="619">
        <v>-30200.11</v>
      </c>
      <c r="M444" s="619">
        <v>-10964.17</v>
      </c>
      <c r="N444" s="619">
        <v>-14254.17</v>
      </c>
      <c r="O444" s="619">
        <v>-23975.279999999999</v>
      </c>
      <c r="P444" s="619">
        <v>-20685.28</v>
      </c>
      <c r="Q444" s="619">
        <v>-172283.13</v>
      </c>
      <c r="R444" s="619">
        <v>-156065.51</v>
      </c>
      <c r="S444" s="498">
        <f t="shared" si="105"/>
        <v>-222634.74458333326</v>
      </c>
      <c r="T444" s="620"/>
      <c r="U444" s="657"/>
      <c r="V444" s="690"/>
      <c r="W444" s="690"/>
      <c r="X444" s="713">
        <f t="shared" si="118"/>
        <v>-222634.74458333326</v>
      </c>
      <c r="Y444" s="690"/>
      <c r="Z444" s="690"/>
      <c r="AA444" s="657"/>
      <c r="AB444" s="690">
        <f t="shared" si="117"/>
        <v>-222634.74458333326</v>
      </c>
      <c r="AC444" s="658"/>
      <c r="AD444" s="659"/>
      <c r="AE444" s="658"/>
      <c r="AF444" s="688">
        <f t="shared" si="116"/>
        <v>0</v>
      </c>
    </row>
    <row r="445" spans="1:32">
      <c r="A445" s="620">
        <v>433</v>
      </c>
      <c r="B445" s="326" t="s">
        <v>977</v>
      </c>
      <c r="C445" s="326" t="s">
        <v>594</v>
      </c>
      <c r="D445" s="326" t="s">
        <v>1221</v>
      </c>
      <c r="E445" s="607" t="s">
        <v>595</v>
      </c>
      <c r="F445" s="619">
        <v>0</v>
      </c>
      <c r="G445" s="619">
        <v>-103102</v>
      </c>
      <c r="H445" s="619">
        <v>-103102</v>
      </c>
      <c r="I445" s="619">
        <v>0</v>
      </c>
      <c r="J445" s="619">
        <v>0</v>
      </c>
      <c r="K445" s="619">
        <v>0</v>
      </c>
      <c r="L445" s="619">
        <v>0</v>
      </c>
      <c r="M445" s="619">
        <v>0</v>
      </c>
      <c r="N445" s="619">
        <v>0</v>
      </c>
      <c r="O445" s="619">
        <v>0</v>
      </c>
      <c r="P445" s="619">
        <v>0</v>
      </c>
      <c r="Q445" s="619">
        <v>0</v>
      </c>
      <c r="R445" s="619">
        <v>0</v>
      </c>
      <c r="S445" s="498">
        <f t="shared" si="105"/>
        <v>-17183.666666666668</v>
      </c>
      <c r="T445" s="620"/>
      <c r="U445" s="657"/>
      <c r="V445" s="690"/>
      <c r="W445" s="690"/>
      <c r="X445" s="713">
        <f t="shared" si="118"/>
        <v>-17183.666666666668</v>
      </c>
      <c r="Y445" s="690"/>
      <c r="Z445" s="690"/>
      <c r="AA445" s="657"/>
      <c r="AB445" s="690">
        <f t="shared" si="117"/>
        <v>-17183.666666666668</v>
      </c>
      <c r="AC445" s="658"/>
      <c r="AD445" s="659"/>
      <c r="AE445" s="658"/>
      <c r="AF445" s="688">
        <f t="shared" si="116"/>
        <v>0</v>
      </c>
    </row>
    <row r="446" spans="1:32">
      <c r="A446" s="620">
        <v>434</v>
      </c>
      <c r="B446" s="326" t="s">
        <v>977</v>
      </c>
      <c r="C446" s="326" t="s">
        <v>594</v>
      </c>
      <c r="D446" s="326" t="s">
        <v>596</v>
      </c>
      <c r="E446" s="607" t="s">
        <v>597</v>
      </c>
      <c r="F446" s="619">
        <v>-7846.82</v>
      </c>
      <c r="G446" s="619">
        <v>-4049.93</v>
      </c>
      <c r="H446" s="619">
        <v>0</v>
      </c>
      <c r="I446" s="619">
        <v>0</v>
      </c>
      <c r="J446" s="619">
        <v>-3826.77</v>
      </c>
      <c r="K446" s="619">
        <v>-5785.53</v>
      </c>
      <c r="L446" s="619">
        <v>-278.16000000000003</v>
      </c>
      <c r="M446" s="619">
        <v>1.7053025658242399E-13</v>
      </c>
      <c r="N446" s="619">
        <v>-1917.97</v>
      </c>
      <c r="O446" s="619">
        <v>2.2737367544323201E-13</v>
      </c>
      <c r="P446" s="619">
        <v>-1140</v>
      </c>
      <c r="Q446" s="619">
        <v>1434.96</v>
      </c>
      <c r="R446" s="619">
        <v>-5404.1</v>
      </c>
      <c r="S446" s="498">
        <f t="shared" si="105"/>
        <v>-1849.0716666666667</v>
      </c>
      <c r="T446" s="620"/>
      <c r="U446" s="657"/>
      <c r="V446" s="690"/>
      <c r="W446" s="690"/>
      <c r="X446" s="713">
        <f t="shared" si="118"/>
        <v>-1849.0716666666667</v>
      </c>
      <c r="Y446" s="690"/>
      <c r="Z446" s="690"/>
      <c r="AA446" s="657"/>
      <c r="AB446" s="690">
        <f t="shared" si="117"/>
        <v>-1849.0716666666667</v>
      </c>
      <c r="AC446" s="658"/>
      <c r="AD446" s="659"/>
      <c r="AE446" s="658"/>
      <c r="AF446" s="688">
        <f t="shared" si="116"/>
        <v>0</v>
      </c>
    </row>
    <row r="447" spans="1:32">
      <c r="A447" s="620">
        <v>435</v>
      </c>
      <c r="B447" s="326" t="s">
        <v>977</v>
      </c>
      <c r="C447" s="326" t="s">
        <v>594</v>
      </c>
      <c r="D447" s="326" t="s">
        <v>425</v>
      </c>
      <c r="E447" s="607" t="s">
        <v>598</v>
      </c>
      <c r="F447" s="619">
        <v>0</v>
      </c>
      <c r="G447" s="619">
        <v>0</v>
      </c>
      <c r="H447" s="619">
        <v>0</v>
      </c>
      <c r="I447" s="619">
        <v>0</v>
      </c>
      <c r="J447" s="619">
        <v>0</v>
      </c>
      <c r="K447" s="619">
        <v>0</v>
      </c>
      <c r="L447" s="619">
        <v>0</v>
      </c>
      <c r="M447" s="619">
        <v>0</v>
      </c>
      <c r="N447" s="619">
        <v>-29.74</v>
      </c>
      <c r="O447" s="619">
        <v>-29.74</v>
      </c>
      <c r="P447" s="619">
        <v>0</v>
      </c>
      <c r="Q447" s="619">
        <v>0</v>
      </c>
      <c r="R447" s="619">
        <v>0</v>
      </c>
      <c r="S447" s="498">
        <f t="shared" si="105"/>
        <v>-4.9566666666666661</v>
      </c>
      <c r="T447" s="620"/>
      <c r="U447" s="657"/>
      <c r="V447" s="690"/>
      <c r="W447" s="690"/>
      <c r="X447" s="713">
        <f t="shared" si="118"/>
        <v>-4.9566666666666661</v>
      </c>
      <c r="Y447" s="690"/>
      <c r="Z447" s="690"/>
      <c r="AA447" s="657"/>
      <c r="AB447" s="690">
        <f t="shared" si="117"/>
        <v>-4.9566666666666661</v>
      </c>
      <c r="AC447" s="658"/>
      <c r="AD447" s="659"/>
      <c r="AE447" s="658"/>
      <c r="AF447" s="688">
        <f t="shared" si="116"/>
        <v>0</v>
      </c>
    </row>
    <row r="448" spans="1:32">
      <c r="A448" s="620">
        <v>436</v>
      </c>
      <c r="B448" s="326" t="s">
        <v>977</v>
      </c>
      <c r="C448" s="326" t="s">
        <v>594</v>
      </c>
      <c r="D448" s="326" t="s">
        <v>428</v>
      </c>
      <c r="E448" s="605" t="s">
        <v>599</v>
      </c>
      <c r="F448" s="619">
        <v>0</v>
      </c>
      <c r="G448" s="619">
        <v>0</v>
      </c>
      <c r="H448" s="619">
        <v>0</v>
      </c>
      <c r="I448" s="619">
        <v>0</v>
      </c>
      <c r="J448" s="619">
        <v>0</v>
      </c>
      <c r="K448" s="619">
        <v>0</v>
      </c>
      <c r="L448" s="619">
        <v>0</v>
      </c>
      <c r="M448" s="619">
        <v>0</v>
      </c>
      <c r="N448" s="619">
        <v>0</v>
      </c>
      <c r="O448" s="619">
        <v>0</v>
      </c>
      <c r="P448" s="619">
        <v>0</v>
      </c>
      <c r="Q448" s="619">
        <v>0</v>
      </c>
      <c r="R448" s="619">
        <v>0</v>
      </c>
      <c r="S448" s="498"/>
      <c r="T448" s="620"/>
      <c r="U448" s="657"/>
      <c r="V448" s="690"/>
      <c r="W448" s="690"/>
      <c r="X448" s="713"/>
      <c r="Y448" s="690"/>
      <c r="Z448" s="690"/>
      <c r="AA448" s="657"/>
      <c r="AB448" s="690"/>
      <c r="AC448" s="658"/>
      <c r="AD448" s="659"/>
      <c r="AE448" s="658"/>
      <c r="AF448" s="688">
        <f t="shared" si="116"/>
        <v>0</v>
      </c>
    </row>
    <row r="449" spans="1:32">
      <c r="A449" s="620">
        <v>437</v>
      </c>
      <c r="B449" s="326" t="s">
        <v>977</v>
      </c>
      <c r="C449" s="326" t="s">
        <v>594</v>
      </c>
      <c r="D449" s="326" t="s">
        <v>430</v>
      </c>
      <c r="E449" s="605" t="s">
        <v>1681</v>
      </c>
      <c r="F449" s="617">
        <v>-141047.06</v>
      </c>
      <c r="G449" s="617">
        <v>-235826.31</v>
      </c>
      <c r="H449" s="617">
        <v>-217771.7</v>
      </c>
      <c r="I449" s="617">
        <v>-241018.49</v>
      </c>
      <c r="J449" s="617">
        <v>-238130.01</v>
      </c>
      <c r="K449" s="617">
        <v>-126537.31</v>
      </c>
      <c r="L449" s="617">
        <v>-123539.78</v>
      </c>
      <c r="M449" s="617">
        <v>-107664.4</v>
      </c>
      <c r="N449" s="617">
        <v>-126691.93</v>
      </c>
      <c r="O449" s="617">
        <v>-229571.79</v>
      </c>
      <c r="P449" s="617">
        <v>-232516.69</v>
      </c>
      <c r="Q449" s="617">
        <v>-239827.82</v>
      </c>
      <c r="R449" s="617">
        <v>-122705.44</v>
      </c>
      <c r="S449" s="498">
        <f t="shared" si="105"/>
        <v>-187581.04</v>
      </c>
      <c r="T449" s="620"/>
      <c r="U449" s="657"/>
      <c r="V449" s="690"/>
      <c r="W449" s="690"/>
      <c r="X449" s="713">
        <f t="shared" si="118"/>
        <v>-187581.04</v>
      </c>
      <c r="Y449" s="690"/>
      <c r="Z449" s="690"/>
      <c r="AA449" s="657"/>
      <c r="AB449" s="690">
        <f t="shared" si="117"/>
        <v>-187581.04</v>
      </c>
      <c r="AC449" s="658"/>
      <c r="AD449" s="659"/>
      <c r="AE449" s="658"/>
      <c r="AF449" s="688">
        <f t="shared" si="116"/>
        <v>0</v>
      </c>
    </row>
    <row r="450" spans="1:32">
      <c r="A450" s="620">
        <v>438</v>
      </c>
      <c r="B450" s="326" t="s">
        <v>977</v>
      </c>
      <c r="C450" s="326" t="s">
        <v>594</v>
      </c>
      <c r="D450" s="326" t="s">
        <v>432</v>
      </c>
      <c r="E450" s="605" t="s">
        <v>1927</v>
      </c>
      <c r="F450" s="617">
        <v>0</v>
      </c>
      <c r="G450" s="617">
        <v>0</v>
      </c>
      <c r="H450" s="617">
        <v>0</v>
      </c>
      <c r="I450" s="617">
        <v>0</v>
      </c>
      <c r="J450" s="617">
        <v>0</v>
      </c>
      <c r="K450" s="617">
        <v>0</v>
      </c>
      <c r="L450" s="617">
        <v>0</v>
      </c>
      <c r="M450" s="617">
        <v>0</v>
      </c>
      <c r="N450" s="617">
        <v>0</v>
      </c>
      <c r="O450" s="617">
        <v>0</v>
      </c>
      <c r="P450" s="617">
        <v>0</v>
      </c>
      <c r="Q450" s="617">
        <v>0</v>
      </c>
      <c r="R450" s="617">
        <v>0</v>
      </c>
      <c r="S450" s="498">
        <f t="shared" si="105"/>
        <v>0</v>
      </c>
      <c r="T450" s="620"/>
      <c r="U450" s="657"/>
      <c r="V450" s="690"/>
      <c r="W450" s="690"/>
      <c r="X450" s="713"/>
      <c r="Y450" s="690"/>
      <c r="Z450" s="690"/>
      <c r="AA450" s="657"/>
      <c r="AB450" s="690"/>
      <c r="AC450" s="658"/>
      <c r="AD450" s="659"/>
      <c r="AE450" s="658"/>
      <c r="AF450" s="688"/>
    </row>
    <row r="451" spans="1:32">
      <c r="A451" s="620">
        <v>439</v>
      </c>
      <c r="B451" s="620"/>
      <c r="C451" s="620"/>
      <c r="D451" s="620"/>
      <c r="E451" s="605" t="s">
        <v>600</v>
      </c>
      <c r="F451" s="305">
        <f t="shared" ref="F451:S451" si="119">SUM(F442:F449)</f>
        <v>-2007577.1700000002</v>
      </c>
      <c r="G451" s="305">
        <f t="shared" si="119"/>
        <v>-3074624.5</v>
      </c>
      <c r="H451" s="305">
        <f t="shared" si="119"/>
        <v>-4598646.5900000008</v>
      </c>
      <c r="I451" s="305">
        <f t="shared" si="119"/>
        <v>-2019400.81</v>
      </c>
      <c r="J451" s="305">
        <f t="shared" si="119"/>
        <v>-1895690.93</v>
      </c>
      <c r="K451" s="305">
        <f t="shared" si="119"/>
        <v>-1937921.3300000003</v>
      </c>
      <c r="L451" s="305">
        <f t="shared" si="119"/>
        <v>-1437234.27</v>
      </c>
      <c r="M451" s="305">
        <f t="shared" si="119"/>
        <v>-1552539.9599999997</v>
      </c>
      <c r="N451" s="305">
        <f t="shared" si="119"/>
        <v>-1701621.6099999999</v>
      </c>
      <c r="O451" s="305">
        <f t="shared" si="119"/>
        <v>-1969944.8</v>
      </c>
      <c r="P451" s="305">
        <f t="shared" si="119"/>
        <v>-1983320.52</v>
      </c>
      <c r="Q451" s="305">
        <f t="shared" si="119"/>
        <v>-2456274.7399999998</v>
      </c>
      <c r="R451" s="305">
        <f t="shared" si="119"/>
        <v>-2644765.54</v>
      </c>
      <c r="S451" s="500">
        <f t="shared" si="119"/>
        <v>-2246115.9512500004</v>
      </c>
      <c r="T451" s="620"/>
      <c r="U451" s="657"/>
      <c r="V451" s="690"/>
      <c r="W451" s="690"/>
      <c r="X451" s="713"/>
      <c r="Y451" s="690"/>
      <c r="Z451" s="690"/>
      <c r="AA451" s="657"/>
      <c r="AB451" s="690"/>
      <c r="AC451" s="658"/>
      <c r="AD451" s="658"/>
      <c r="AE451" s="658"/>
      <c r="AF451" s="688">
        <f t="shared" si="116"/>
        <v>0</v>
      </c>
    </row>
    <row r="452" spans="1:32">
      <c r="A452" s="620">
        <v>440</v>
      </c>
      <c r="B452" s="620"/>
      <c r="C452" s="620"/>
      <c r="D452" s="620"/>
      <c r="E452" s="605"/>
      <c r="F452" s="619"/>
      <c r="G452" s="324"/>
      <c r="H452" s="315"/>
      <c r="I452" s="315"/>
      <c r="J452" s="316"/>
      <c r="K452" s="317"/>
      <c r="L452" s="318"/>
      <c r="M452" s="319"/>
      <c r="N452" s="320"/>
      <c r="O452" s="606"/>
      <c r="P452" s="321"/>
      <c r="Q452" s="325"/>
      <c r="R452" s="619"/>
      <c r="S452" s="304"/>
      <c r="T452" s="620"/>
      <c r="U452" s="657"/>
      <c r="V452" s="690"/>
      <c r="W452" s="690"/>
      <c r="X452" s="713"/>
      <c r="Y452" s="690"/>
      <c r="Z452" s="690"/>
      <c r="AA452" s="657"/>
      <c r="AB452" s="690"/>
      <c r="AC452" s="658"/>
      <c r="AD452" s="658"/>
      <c r="AE452" s="658"/>
      <c r="AF452" s="688">
        <f t="shared" si="116"/>
        <v>0</v>
      </c>
    </row>
    <row r="453" spans="1:32">
      <c r="A453" s="620">
        <v>441</v>
      </c>
      <c r="B453" s="326" t="s">
        <v>977</v>
      </c>
      <c r="C453" s="326" t="s">
        <v>601</v>
      </c>
      <c r="D453" s="620" t="s">
        <v>83</v>
      </c>
      <c r="E453" s="605" t="s">
        <v>1684</v>
      </c>
      <c r="F453" s="619">
        <v>-1.45519152283669E-11</v>
      </c>
      <c r="G453" s="619">
        <v>0</v>
      </c>
      <c r="H453" s="619">
        <v>0</v>
      </c>
      <c r="I453" s="619">
        <v>-107662.78</v>
      </c>
      <c r="J453" s="619">
        <v>0</v>
      </c>
      <c r="K453" s="619">
        <v>0</v>
      </c>
      <c r="L453" s="619">
        <v>0</v>
      </c>
      <c r="M453" s="619">
        <v>0</v>
      </c>
      <c r="N453" s="619">
        <v>-119237.11</v>
      </c>
      <c r="O453" s="619">
        <v>0</v>
      </c>
      <c r="P453" s="619">
        <v>0</v>
      </c>
      <c r="Q453" s="619">
        <v>0</v>
      </c>
      <c r="R453" s="619">
        <v>0</v>
      </c>
      <c r="S453" s="498">
        <f t="shared" si="105"/>
        <v>-18908.324166666669</v>
      </c>
      <c r="T453" s="620"/>
      <c r="U453" s="657"/>
      <c r="V453" s="690">
        <f t="shared" ref="V453:V456" si="120">+S453</f>
        <v>-18908.324166666669</v>
      </c>
      <c r="W453" s="690"/>
      <c r="X453" s="713"/>
      <c r="Y453" s="690"/>
      <c r="Z453" s="690"/>
      <c r="AA453" s="657"/>
      <c r="AB453" s="690"/>
      <c r="AC453" s="658"/>
      <c r="AD453" s="659">
        <f t="shared" ref="AD453:AD456" si="121">+V453</f>
        <v>-18908.324166666669</v>
      </c>
      <c r="AE453" s="658"/>
      <c r="AF453" s="688">
        <f t="shared" si="116"/>
        <v>0</v>
      </c>
    </row>
    <row r="454" spans="1:32">
      <c r="A454" s="620">
        <v>442</v>
      </c>
      <c r="B454" s="326" t="s">
        <v>977</v>
      </c>
      <c r="C454" s="326" t="s">
        <v>601</v>
      </c>
      <c r="D454" s="620" t="s">
        <v>1428</v>
      </c>
      <c r="E454" s="605" t="s">
        <v>1685</v>
      </c>
      <c r="F454" s="619">
        <v>1.45519152283669E-11</v>
      </c>
      <c r="G454" s="619">
        <v>0</v>
      </c>
      <c r="H454" s="619">
        <v>0</v>
      </c>
      <c r="I454" s="619">
        <v>-80808.570000000007</v>
      </c>
      <c r="J454" s="619">
        <v>0</v>
      </c>
      <c r="K454" s="619">
        <v>0</v>
      </c>
      <c r="L454" s="619">
        <v>0</v>
      </c>
      <c r="M454" s="619">
        <v>0</v>
      </c>
      <c r="N454" s="619">
        <v>-84293.21</v>
      </c>
      <c r="O454" s="619">
        <v>0</v>
      </c>
      <c r="P454" s="619">
        <v>907.8</v>
      </c>
      <c r="Q454" s="619">
        <v>907.8</v>
      </c>
      <c r="R454" s="619">
        <v>907.8</v>
      </c>
      <c r="S454" s="498">
        <f t="shared" si="105"/>
        <v>-13569.356666666672</v>
      </c>
      <c r="T454" s="620"/>
      <c r="U454" s="657"/>
      <c r="V454" s="690">
        <f t="shared" si="120"/>
        <v>-13569.356666666672</v>
      </c>
      <c r="W454" s="690"/>
      <c r="X454" s="713"/>
      <c r="Y454" s="690"/>
      <c r="Z454" s="690"/>
      <c r="AA454" s="657"/>
      <c r="AB454" s="690"/>
      <c r="AC454" s="658"/>
      <c r="AD454" s="659">
        <f t="shared" si="121"/>
        <v>-13569.356666666672</v>
      </c>
      <c r="AE454" s="658"/>
      <c r="AF454" s="688">
        <f t="shared" si="116"/>
        <v>0</v>
      </c>
    </row>
    <row r="455" spans="1:32">
      <c r="A455" s="620">
        <v>443</v>
      </c>
      <c r="B455" s="326" t="s">
        <v>977</v>
      </c>
      <c r="C455" s="326" t="s">
        <v>602</v>
      </c>
      <c r="D455" s="326" t="s">
        <v>526</v>
      </c>
      <c r="E455" s="605" t="s">
        <v>1682</v>
      </c>
      <c r="F455" s="619">
        <v>1.8189894035458601E-12</v>
      </c>
      <c r="G455" s="619">
        <v>1309.1600000000001</v>
      </c>
      <c r="H455" s="619">
        <v>1309.1600000000001</v>
      </c>
      <c r="I455" s="619">
        <v>-12620.42</v>
      </c>
      <c r="J455" s="619">
        <v>1309.1600000000001</v>
      </c>
      <c r="K455" s="619">
        <v>1309.1600000000001</v>
      </c>
      <c r="L455" s="619">
        <v>1309.1600000000001</v>
      </c>
      <c r="M455" s="619">
        <v>1309.1600000000001</v>
      </c>
      <c r="N455" s="619">
        <v>-14590.46</v>
      </c>
      <c r="O455" s="619">
        <v>-1.8189894035458601E-12</v>
      </c>
      <c r="P455" s="619">
        <v>-1.8189894035458601E-12</v>
      </c>
      <c r="Q455" s="619">
        <v>-1.8189894035458601E-12</v>
      </c>
      <c r="R455" s="619">
        <v>-1.8189894035458601E-12</v>
      </c>
      <c r="S455" s="498">
        <f t="shared" si="105"/>
        <v>-1612.9933333333331</v>
      </c>
      <c r="T455" s="620"/>
      <c r="U455" s="657"/>
      <c r="V455" s="690">
        <f t="shared" si="120"/>
        <v>-1612.9933333333331</v>
      </c>
      <c r="W455" s="690"/>
      <c r="X455" s="713"/>
      <c r="Y455" s="690"/>
      <c r="Z455" s="690"/>
      <c r="AA455" s="657"/>
      <c r="AB455" s="690"/>
      <c r="AC455" s="658"/>
      <c r="AD455" s="659">
        <f t="shared" si="121"/>
        <v>-1612.9933333333331</v>
      </c>
      <c r="AE455" s="658"/>
      <c r="AF455" s="688">
        <f t="shared" si="116"/>
        <v>0</v>
      </c>
    </row>
    <row r="456" spans="1:32">
      <c r="A456" s="620">
        <v>444</v>
      </c>
      <c r="B456" s="326" t="s">
        <v>977</v>
      </c>
      <c r="C456" s="326" t="s">
        <v>602</v>
      </c>
      <c r="D456" s="326" t="s">
        <v>560</v>
      </c>
      <c r="E456" s="605" t="s">
        <v>1683</v>
      </c>
      <c r="F456" s="619">
        <v>-1309.05</v>
      </c>
      <c r="G456" s="619">
        <v>-1711.24</v>
      </c>
      <c r="H456" s="619">
        <v>-2214.2399999999998</v>
      </c>
      <c r="I456" s="619">
        <v>-2841.3</v>
      </c>
      <c r="J456" s="619">
        <v>-1734.02</v>
      </c>
      <c r="K456" s="619">
        <v>-2162.9</v>
      </c>
      <c r="L456" s="619">
        <v>-2574.96</v>
      </c>
      <c r="M456" s="619">
        <v>-2997.03</v>
      </c>
      <c r="N456" s="619">
        <v>-1010.92</v>
      </c>
      <c r="O456" s="619">
        <v>-1402.37</v>
      </c>
      <c r="P456" s="619">
        <v>-412.51</v>
      </c>
      <c r="Q456" s="619">
        <v>-832.16</v>
      </c>
      <c r="R456" s="619">
        <v>-1221.53</v>
      </c>
      <c r="S456" s="498">
        <f t="shared" si="105"/>
        <v>-1763.2449999999999</v>
      </c>
      <c r="T456" s="620"/>
      <c r="U456" s="657"/>
      <c r="V456" s="690">
        <f t="shared" si="120"/>
        <v>-1763.2449999999999</v>
      </c>
      <c r="W456" s="690"/>
      <c r="X456" s="713"/>
      <c r="Y456" s="690"/>
      <c r="Z456" s="690"/>
      <c r="AA456" s="657"/>
      <c r="AB456" s="690"/>
      <c r="AC456" s="658"/>
      <c r="AD456" s="659">
        <f t="shared" si="121"/>
        <v>-1763.2449999999999</v>
      </c>
      <c r="AE456" s="658"/>
      <c r="AF456" s="688">
        <f t="shared" si="116"/>
        <v>0</v>
      </c>
    </row>
    <row r="457" spans="1:32">
      <c r="A457" s="620">
        <v>445</v>
      </c>
      <c r="B457" s="620"/>
      <c r="C457" s="620"/>
      <c r="D457" s="620"/>
      <c r="E457" s="605" t="s">
        <v>603</v>
      </c>
      <c r="F457" s="305">
        <f t="shared" ref="F457:S457" si="122">SUM(F453:F456)</f>
        <v>-1309.0499999999981</v>
      </c>
      <c r="G457" s="305">
        <f t="shared" si="122"/>
        <v>-402.07999999999993</v>
      </c>
      <c r="H457" s="305">
        <f t="shared" si="122"/>
        <v>-905.0799999999997</v>
      </c>
      <c r="I457" s="305">
        <f t="shared" si="122"/>
        <v>-203933.07</v>
      </c>
      <c r="J457" s="305">
        <f t="shared" si="122"/>
        <v>-424.8599999999999</v>
      </c>
      <c r="K457" s="305">
        <f t="shared" si="122"/>
        <v>-853.74</v>
      </c>
      <c r="L457" s="305">
        <f t="shared" si="122"/>
        <v>-1265.8</v>
      </c>
      <c r="M457" s="305">
        <f t="shared" si="122"/>
        <v>-1687.8700000000001</v>
      </c>
      <c r="N457" s="305">
        <f t="shared" si="122"/>
        <v>-219131.7</v>
      </c>
      <c r="O457" s="305">
        <f t="shared" si="122"/>
        <v>-1402.3700000000017</v>
      </c>
      <c r="P457" s="305">
        <f t="shared" si="122"/>
        <v>495.28999999999814</v>
      </c>
      <c r="Q457" s="305">
        <f t="shared" si="122"/>
        <v>75.639999999998167</v>
      </c>
      <c r="R457" s="305">
        <f t="shared" si="122"/>
        <v>-313.73000000000184</v>
      </c>
      <c r="S457" s="500">
        <f t="shared" si="122"/>
        <v>-35853.919166666674</v>
      </c>
      <c r="T457" s="620"/>
      <c r="U457" s="657"/>
      <c r="V457" s="690"/>
      <c r="W457" s="690"/>
      <c r="X457" s="713"/>
      <c r="Y457" s="690"/>
      <c r="Z457" s="690"/>
      <c r="AA457" s="657"/>
      <c r="AB457" s="690"/>
      <c r="AC457" s="658"/>
      <c r="AD457" s="658"/>
      <c r="AE457" s="658"/>
      <c r="AF457" s="688">
        <f t="shared" si="116"/>
        <v>0</v>
      </c>
    </row>
    <row r="458" spans="1:32">
      <c r="A458" s="620">
        <v>446</v>
      </c>
      <c r="B458" s="620"/>
      <c r="C458" s="620"/>
      <c r="D458" s="620"/>
      <c r="E458" s="605"/>
      <c r="F458" s="619"/>
      <c r="G458" s="324"/>
      <c r="H458" s="315"/>
      <c r="I458" s="315"/>
      <c r="J458" s="316"/>
      <c r="K458" s="317"/>
      <c r="L458" s="318"/>
      <c r="M458" s="319"/>
      <c r="N458" s="320"/>
      <c r="O458" s="606"/>
      <c r="P458" s="321"/>
      <c r="Q458" s="325"/>
      <c r="R458" s="619"/>
      <c r="S458" s="304"/>
      <c r="T458" s="620"/>
      <c r="U458" s="657"/>
      <c r="V458" s="690"/>
      <c r="W458" s="690"/>
      <c r="X458" s="713"/>
      <c r="Y458" s="690"/>
      <c r="Z458" s="690"/>
      <c r="AA458" s="657"/>
      <c r="AB458" s="690"/>
      <c r="AC458" s="658"/>
      <c r="AD458" s="658"/>
      <c r="AE458" s="658"/>
      <c r="AF458" s="688">
        <f t="shared" si="116"/>
        <v>0</v>
      </c>
    </row>
    <row r="459" spans="1:32">
      <c r="A459" s="620">
        <v>447</v>
      </c>
      <c r="B459" s="620"/>
      <c r="C459" s="620"/>
      <c r="D459" s="620"/>
      <c r="E459" s="605" t="s">
        <v>604</v>
      </c>
      <c r="F459" s="305">
        <f>SUM(F421:F440)+F451+F457</f>
        <v>-68448004.469999999</v>
      </c>
      <c r="G459" s="305">
        <f>SUM(G421:G440)+G451+G457</f>
        <v>-72856652.530000001</v>
      </c>
      <c r="H459" s="305">
        <f t="shared" ref="H459:R459" si="123">SUM(H421:H440)+H451+H457</f>
        <v>-83692932.400000021</v>
      </c>
      <c r="I459" s="305">
        <f t="shared" si="123"/>
        <v>-128599309.39000002</v>
      </c>
      <c r="J459" s="305">
        <f t="shared" si="123"/>
        <v>-91194215.01000002</v>
      </c>
      <c r="K459" s="305">
        <f t="shared" si="123"/>
        <v>-87689955.140000001</v>
      </c>
      <c r="L459" s="305">
        <f t="shared" si="123"/>
        <v>-56138812.299999997</v>
      </c>
      <c r="M459" s="305">
        <f t="shared" si="123"/>
        <v>-62275082.989999995</v>
      </c>
      <c r="N459" s="305">
        <f t="shared" si="123"/>
        <v>-63145705.640000008</v>
      </c>
      <c r="O459" s="305">
        <f t="shared" si="123"/>
        <v>-60988461.799999997</v>
      </c>
      <c r="P459" s="305">
        <f t="shared" si="123"/>
        <v>-70227845.199999988</v>
      </c>
      <c r="Q459" s="305">
        <f t="shared" si="123"/>
        <v>-75329339.150000006</v>
      </c>
      <c r="R459" s="305">
        <f t="shared" si="123"/>
        <v>-47045472.370000005</v>
      </c>
      <c r="S459" s="500">
        <f>SUM(S424:S440)+S451+S457+S421+S422</f>
        <v>-75823754.164166704</v>
      </c>
      <c r="T459" s="620"/>
      <c r="U459" s="657"/>
      <c r="V459" s="690"/>
      <c r="W459" s="690"/>
      <c r="X459" s="713"/>
      <c r="Y459" s="690"/>
      <c r="Z459" s="690"/>
      <c r="AA459" s="657"/>
      <c r="AB459" s="690"/>
      <c r="AC459" s="658"/>
      <c r="AD459" s="658"/>
      <c r="AE459" s="658"/>
      <c r="AF459" s="688">
        <f t="shared" si="116"/>
        <v>0</v>
      </c>
    </row>
    <row r="460" spans="1:32">
      <c r="A460" s="620">
        <v>448</v>
      </c>
      <c r="B460" s="620"/>
      <c r="C460" s="620"/>
      <c r="D460" s="620"/>
      <c r="E460" s="605"/>
      <c r="F460" s="619"/>
      <c r="G460" s="324"/>
      <c r="H460" s="315"/>
      <c r="I460" s="315"/>
      <c r="J460" s="316"/>
      <c r="K460" s="317"/>
      <c r="L460" s="318"/>
      <c r="M460" s="319"/>
      <c r="N460" s="320"/>
      <c r="O460" s="606"/>
      <c r="P460" s="321"/>
      <c r="Q460" s="325"/>
      <c r="R460" s="619"/>
      <c r="S460" s="304"/>
      <c r="T460" s="620"/>
      <c r="U460" s="657"/>
      <c r="V460" s="690"/>
      <c r="W460" s="690"/>
      <c r="X460" s="713"/>
      <c r="Y460" s="690"/>
      <c r="Z460" s="690"/>
      <c r="AA460" s="657"/>
      <c r="AB460" s="690"/>
      <c r="AC460" s="658"/>
      <c r="AD460" s="658"/>
      <c r="AE460" s="658"/>
      <c r="AF460" s="688">
        <f t="shared" si="116"/>
        <v>0</v>
      </c>
    </row>
    <row r="461" spans="1:32">
      <c r="A461" s="620">
        <v>449</v>
      </c>
      <c r="B461" s="620"/>
      <c r="C461" s="620"/>
      <c r="D461" s="620"/>
      <c r="E461" s="605"/>
      <c r="F461" s="619"/>
      <c r="G461" s="324"/>
      <c r="H461" s="315"/>
      <c r="I461" s="315"/>
      <c r="J461" s="316"/>
      <c r="K461" s="317"/>
      <c r="L461" s="318"/>
      <c r="M461" s="319"/>
      <c r="N461" s="320"/>
      <c r="O461" s="606"/>
      <c r="P461" s="321"/>
      <c r="Q461" s="325"/>
      <c r="R461" s="619"/>
      <c r="S461" s="304"/>
      <c r="T461" s="620"/>
      <c r="U461" s="657"/>
      <c r="V461" s="690"/>
      <c r="W461" s="690"/>
      <c r="X461" s="713"/>
      <c r="Y461" s="690"/>
      <c r="Z461" s="690"/>
      <c r="AA461" s="657"/>
      <c r="AB461" s="690"/>
      <c r="AC461" s="658"/>
      <c r="AD461" s="658"/>
      <c r="AE461" s="658"/>
      <c r="AF461" s="688"/>
    </row>
    <row r="462" spans="1:32">
      <c r="A462" s="620">
        <v>450</v>
      </c>
      <c r="B462" s="620">
        <v>47</v>
      </c>
      <c r="C462" s="620" t="s">
        <v>619</v>
      </c>
      <c r="D462" s="620" t="s">
        <v>461</v>
      </c>
      <c r="E462" s="605" t="s">
        <v>1928</v>
      </c>
      <c r="F462" s="619">
        <v>-379517.67</v>
      </c>
      <c r="G462" s="324">
        <v>-379517.67</v>
      </c>
      <c r="H462" s="315">
        <v>-379517.67</v>
      </c>
      <c r="I462" s="315">
        <v>-607717.67000000004</v>
      </c>
      <c r="J462" s="316">
        <v>-607717.67000000004</v>
      </c>
      <c r="K462" s="317">
        <v>-607717.67000000004</v>
      </c>
      <c r="L462" s="318">
        <v>-703517.67</v>
      </c>
      <c r="M462" s="319">
        <v>-703517.67</v>
      </c>
      <c r="N462" s="320">
        <v>-703517.67</v>
      </c>
      <c r="O462" s="606">
        <v>-338797.26</v>
      </c>
      <c r="P462" s="321">
        <v>-91243.58</v>
      </c>
      <c r="Q462" s="325">
        <v>4.3655745685100601E-11</v>
      </c>
      <c r="R462" s="619">
        <v>-30100</v>
      </c>
      <c r="S462" s="498">
        <f t="shared" ref="S462:S684" si="124">((F462+R462)+((G462+H462+I462+J462+K462+L462+M462+N462+O462+P462+Q462)*2))/24</f>
        <v>-443965.91958333337</v>
      </c>
      <c r="T462" s="620"/>
      <c r="U462" s="657"/>
      <c r="V462" s="690">
        <f>+S462</f>
        <v>-443965.91958333337</v>
      </c>
      <c r="W462" s="690"/>
      <c r="X462" s="713"/>
      <c r="Y462" s="690"/>
      <c r="Z462" s="690"/>
      <c r="AA462" s="657"/>
      <c r="AB462" s="690"/>
      <c r="AC462" s="658"/>
      <c r="AD462" s="659">
        <f>+S462</f>
        <v>-443965.91958333337</v>
      </c>
      <c r="AE462" s="658"/>
      <c r="AF462" s="688"/>
    </row>
    <row r="463" spans="1:32">
      <c r="A463" s="620">
        <v>451</v>
      </c>
      <c r="B463" s="326" t="s">
        <v>977</v>
      </c>
      <c r="C463" s="326" t="s">
        <v>620</v>
      </c>
      <c r="D463" s="326" t="s">
        <v>492</v>
      </c>
      <c r="E463" s="605" t="s">
        <v>621</v>
      </c>
      <c r="F463" s="619">
        <v>-24135</v>
      </c>
      <c r="G463" s="619">
        <v>-24135</v>
      </c>
      <c r="H463" s="619">
        <v>-24135</v>
      </c>
      <c r="I463" s="619">
        <v>-24135</v>
      </c>
      <c r="J463" s="619">
        <v>-24135</v>
      </c>
      <c r="K463" s="619">
        <v>-24135</v>
      </c>
      <c r="L463" s="619">
        <v>-24135</v>
      </c>
      <c r="M463" s="619">
        <v>-24135</v>
      </c>
      <c r="N463" s="619">
        <v>-24135</v>
      </c>
      <c r="O463" s="619">
        <v>-24135</v>
      </c>
      <c r="P463" s="619">
        <v>-24135</v>
      </c>
      <c r="Q463" s="619">
        <v>-24135</v>
      </c>
      <c r="R463" s="619">
        <v>-24135</v>
      </c>
      <c r="S463" s="498">
        <f t="shared" si="124"/>
        <v>-24135</v>
      </c>
      <c r="T463" s="620"/>
      <c r="U463" s="657"/>
      <c r="V463" s="690">
        <f t="shared" ref="V463:V484" si="125">+S463</f>
        <v>-24135</v>
      </c>
      <c r="W463" s="690"/>
      <c r="X463" s="713"/>
      <c r="Y463" s="690"/>
      <c r="Z463" s="690"/>
      <c r="AA463" s="657"/>
      <c r="AB463" s="690"/>
      <c r="AC463" s="658"/>
      <c r="AD463" s="659">
        <f t="shared" ref="AD463:AD480" si="126">+V463</f>
        <v>-24135</v>
      </c>
      <c r="AE463" s="658"/>
      <c r="AF463" s="688">
        <f t="shared" si="116"/>
        <v>0</v>
      </c>
    </row>
    <row r="464" spans="1:32">
      <c r="A464" s="620">
        <v>452</v>
      </c>
      <c r="B464" s="326" t="s">
        <v>977</v>
      </c>
      <c r="C464" s="326" t="s">
        <v>605</v>
      </c>
      <c r="D464" s="326" t="s">
        <v>970</v>
      </c>
      <c r="E464" s="605" t="s">
        <v>1686</v>
      </c>
      <c r="F464" s="619">
        <v>9.3132257461547893E-10</v>
      </c>
      <c r="G464" s="619">
        <v>0</v>
      </c>
      <c r="H464" s="619">
        <v>0</v>
      </c>
      <c r="I464" s="619">
        <v>0</v>
      </c>
      <c r="J464" s="619">
        <v>0</v>
      </c>
      <c r="K464" s="619">
        <v>0</v>
      </c>
      <c r="L464" s="619">
        <v>0</v>
      </c>
      <c r="M464" s="619">
        <v>0</v>
      </c>
      <c r="N464" s="619">
        <v>0</v>
      </c>
      <c r="O464" s="619">
        <v>0</v>
      </c>
      <c r="P464" s="619">
        <v>0</v>
      </c>
      <c r="Q464" s="619">
        <v>0</v>
      </c>
      <c r="R464" s="619">
        <v>0</v>
      </c>
      <c r="S464" s="498">
        <f t="shared" si="124"/>
        <v>3.8805107275644955E-11</v>
      </c>
      <c r="T464" s="620"/>
      <c r="U464" s="657"/>
      <c r="V464" s="690">
        <f t="shared" si="125"/>
        <v>3.8805107275644955E-11</v>
      </c>
      <c r="W464" s="690"/>
      <c r="X464" s="713"/>
      <c r="Y464" s="690"/>
      <c r="Z464" s="690"/>
      <c r="AA464" s="657"/>
      <c r="AB464" s="690"/>
      <c r="AC464" s="658"/>
      <c r="AD464" s="659">
        <f t="shared" si="126"/>
        <v>3.8805107275644955E-11</v>
      </c>
      <c r="AE464" s="658"/>
      <c r="AF464" s="688">
        <f t="shared" si="116"/>
        <v>0</v>
      </c>
    </row>
    <row r="465" spans="1:32">
      <c r="A465" s="620">
        <v>453</v>
      </c>
      <c r="B465" s="326" t="s">
        <v>977</v>
      </c>
      <c r="C465" s="326" t="s">
        <v>606</v>
      </c>
      <c r="D465" s="326" t="s">
        <v>969</v>
      </c>
      <c r="E465" s="605" t="s">
        <v>1687</v>
      </c>
      <c r="F465" s="619">
        <v>-129565.47</v>
      </c>
      <c r="G465" s="619">
        <v>-154802.07</v>
      </c>
      <c r="H465" s="619">
        <v>-155416.01</v>
      </c>
      <c r="I465" s="619">
        <v>-167490.20000000001</v>
      </c>
      <c r="J465" s="619">
        <v>-104211.76</v>
      </c>
      <c r="K465" s="619">
        <v>-127291.67</v>
      </c>
      <c r="L465" s="619">
        <v>-130276.45</v>
      </c>
      <c r="M465" s="619">
        <v>-150713.28</v>
      </c>
      <c r="N465" s="619">
        <v>-168428.32</v>
      </c>
      <c r="O465" s="619">
        <v>-92548.62</v>
      </c>
      <c r="P465" s="619">
        <v>-114503.63</v>
      </c>
      <c r="Q465" s="619">
        <v>-119017.89</v>
      </c>
      <c r="R465" s="619">
        <v>-139783.25</v>
      </c>
      <c r="S465" s="498">
        <f t="shared" si="124"/>
        <v>-134947.85499999998</v>
      </c>
      <c r="T465" s="620"/>
      <c r="U465" s="657"/>
      <c r="V465" s="690">
        <f t="shared" si="125"/>
        <v>-134947.85499999998</v>
      </c>
      <c r="W465" s="690"/>
      <c r="X465" s="713"/>
      <c r="Y465" s="690"/>
      <c r="Z465" s="690"/>
      <c r="AA465" s="657"/>
      <c r="AB465" s="690"/>
      <c r="AC465" s="658"/>
      <c r="AD465" s="659">
        <f t="shared" si="126"/>
        <v>-134947.85499999998</v>
      </c>
      <c r="AE465" s="658"/>
      <c r="AF465" s="688">
        <f t="shared" si="116"/>
        <v>0</v>
      </c>
    </row>
    <row r="466" spans="1:32">
      <c r="A466" s="620">
        <v>454</v>
      </c>
      <c r="B466" s="326" t="s">
        <v>977</v>
      </c>
      <c r="C466" s="326" t="s">
        <v>606</v>
      </c>
      <c r="D466" s="326" t="s">
        <v>1211</v>
      </c>
      <c r="E466" s="605" t="s">
        <v>1688</v>
      </c>
      <c r="F466" s="619">
        <v>-91467.8</v>
      </c>
      <c r="G466" s="619">
        <v>-99661.6</v>
      </c>
      <c r="H466" s="619">
        <v>-34028.67</v>
      </c>
      <c r="I466" s="619">
        <v>-41411.040000000001</v>
      </c>
      <c r="J466" s="619">
        <v>-49001.66</v>
      </c>
      <c r="K466" s="619">
        <v>-61904.91</v>
      </c>
      <c r="L466" s="619">
        <v>-71772.570000000007</v>
      </c>
      <c r="M466" s="619">
        <v>-82456.28</v>
      </c>
      <c r="N466" s="619">
        <v>-92381.74</v>
      </c>
      <c r="O466" s="619">
        <v>-101952.82</v>
      </c>
      <c r="P466" s="619">
        <v>-120343.18</v>
      </c>
      <c r="Q466" s="619">
        <v>-134804.47</v>
      </c>
      <c r="R466" s="619">
        <v>-147991.14000000001</v>
      </c>
      <c r="S466" s="498">
        <f t="shared" si="124"/>
        <v>-84120.700833333321</v>
      </c>
      <c r="T466" s="620"/>
      <c r="U466" s="657"/>
      <c r="V466" s="690">
        <f t="shared" si="125"/>
        <v>-84120.700833333321</v>
      </c>
      <c r="W466" s="690"/>
      <c r="X466" s="713"/>
      <c r="Y466" s="690"/>
      <c r="Z466" s="690"/>
      <c r="AA466" s="657"/>
      <c r="AB466" s="690"/>
      <c r="AC466" s="658"/>
      <c r="AD466" s="659">
        <f t="shared" si="126"/>
        <v>-84120.700833333321</v>
      </c>
      <c r="AE466" s="658"/>
      <c r="AF466" s="688">
        <f t="shared" si="116"/>
        <v>0</v>
      </c>
    </row>
    <row r="467" spans="1:32">
      <c r="A467" s="620">
        <v>455</v>
      </c>
      <c r="B467" s="326" t="s">
        <v>977</v>
      </c>
      <c r="C467" s="326" t="s">
        <v>606</v>
      </c>
      <c r="D467" s="326" t="s">
        <v>970</v>
      </c>
      <c r="E467" s="605" t="s">
        <v>1689</v>
      </c>
      <c r="F467" s="619">
        <v>-10477.540000000001</v>
      </c>
      <c r="G467" s="619">
        <v>-15422.37</v>
      </c>
      <c r="H467" s="619">
        <v>-14310.3</v>
      </c>
      <c r="I467" s="619">
        <v>-14371.42</v>
      </c>
      <c r="J467" s="619">
        <v>-183.34000000000199</v>
      </c>
      <c r="K467" s="619">
        <v>-381.16000000000201</v>
      </c>
      <c r="L467" s="619">
        <v>-658.79000000000201</v>
      </c>
      <c r="M467" s="619">
        <v>-561.12000000000205</v>
      </c>
      <c r="N467" s="619">
        <v>-760.22000000000196</v>
      </c>
      <c r="O467" s="619">
        <v>-898.33000000000197</v>
      </c>
      <c r="P467" s="619">
        <v>-97.270000000002099</v>
      </c>
      <c r="Q467" s="619">
        <v>-194.88000000000201</v>
      </c>
      <c r="R467" s="619">
        <v>-11252.53</v>
      </c>
      <c r="S467" s="498">
        <f t="shared" si="124"/>
        <v>-4892.0195833333346</v>
      </c>
      <c r="T467" s="620"/>
      <c r="U467" s="657"/>
      <c r="V467" s="690">
        <f t="shared" si="125"/>
        <v>-4892.0195833333346</v>
      </c>
      <c r="W467" s="690"/>
      <c r="X467" s="713"/>
      <c r="Y467" s="690"/>
      <c r="Z467" s="690"/>
      <c r="AA467" s="657"/>
      <c r="AB467" s="690"/>
      <c r="AC467" s="658"/>
      <c r="AD467" s="659">
        <f t="shared" si="126"/>
        <v>-4892.0195833333346</v>
      </c>
      <c r="AE467" s="658"/>
      <c r="AF467" s="688">
        <f t="shared" si="116"/>
        <v>0</v>
      </c>
    </row>
    <row r="468" spans="1:32">
      <c r="A468" s="620">
        <v>456</v>
      </c>
      <c r="B468" s="326" t="s">
        <v>977</v>
      </c>
      <c r="C468" s="326" t="s">
        <v>606</v>
      </c>
      <c r="D468" s="326" t="s">
        <v>83</v>
      </c>
      <c r="E468" s="605" t="s">
        <v>1690</v>
      </c>
      <c r="F468" s="619">
        <v>-5803.23</v>
      </c>
      <c r="G468" s="619">
        <v>-11582.07</v>
      </c>
      <c r="H468" s="619">
        <v>-18648.330000000002</v>
      </c>
      <c r="I468" s="619">
        <v>-25096.81</v>
      </c>
      <c r="J468" s="619">
        <v>-9025.06</v>
      </c>
      <c r="K468" s="619">
        <v>-13022.16</v>
      </c>
      <c r="L468" s="619">
        <v>-14887</v>
      </c>
      <c r="M468" s="619">
        <v>-2948.76</v>
      </c>
      <c r="N468" s="619">
        <v>-3587.88</v>
      </c>
      <c r="O468" s="619">
        <v>-4258.08</v>
      </c>
      <c r="P468" s="619">
        <v>-847.91000000000201</v>
      </c>
      <c r="Q468" s="619">
        <v>-1289.18</v>
      </c>
      <c r="R468" s="619">
        <v>-5342.62</v>
      </c>
      <c r="S468" s="498">
        <f t="shared" si="124"/>
        <v>-9230.5137500000001</v>
      </c>
      <c r="T468" s="620"/>
      <c r="U468" s="657"/>
      <c r="V468" s="690">
        <f t="shared" si="125"/>
        <v>-9230.5137500000001</v>
      </c>
      <c r="W468" s="690"/>
      <c r="X468" s="713"/>
      <c r="Y468" s="690"/>
      <c r="Z468" s="690"/>
      <c r="AA468" s="657"/>
      <c r="AB468" s="690"/>
      <c r="AC468" s="658"/>
      <c r="AD468" s="659">
        <f t="shared" si="126"/>
        <v>-9230.5137500000001</v>
      </c>
      <c r="AE468" s="658"/>
      <c r="AF468" s="688">
        <f t="shared" si="116"/>
        <v>0</v>
      </c>
    </row>
    <row r="469" spans="1:32">
      <c r="A469" s="620">
        <v>457</v>
      </c>
      <c r="B469" s="326" t="s">
        <v>977</v>
      </c>
      <c r="C469" s="326" t="s">
        <v>606</v>
      </c>
      <c r="D469" s="620" t="s">
        <v>1180</v>
      </c>
      <c r="E469" s="605" t="s">
        <v>1691</v>
      </c>
      <c r="F469" s="619">
        <v>-985.4</v>
      </c>
      <c r="G469" s="619">
        <v>0</v>
      </c>
      <c r="H469" s="619">
        <v>0</v>
      </c>
      <c r="I469" s="619">
        <v>-5312.44</v>
      </c>
      <c r="J469" s="619">
        <v>0</v>
      </c>
      <c r="K469" s="619">
        <v>0</v>
      </c>
      <c r="L469" s="619">
        <v>-25079.21</v>
      </c>
      <c r="M469" s="619">
        <v>0</v>
      </c>
      <c r="N469" s="619">
        <v>0</v>
      </c>
      <c r="O469" s="619">
        <v>-27807.85</v>
      </c>
      <c r="P469" s="619">
        <v>-31732.3</v>
      </c>
      <c r="Q469" s="619">
        <v>-41733.56</v>
      </c>
      <c r="R469" s="619">
        <v>0</v>
      </c>
      <c r="S469" s="498">
        <f t="shared" si="124"/>
        <v>-11013.171666666667</v>
      </c>
      <c r="T469" s="620"/>
      <c r="U469" s="657"/>
      <c r="V469" s="690">
        <f t="shared" si="125"/>
        <v>-11013.171666666667</v>
      </c>
      <c r="W469" s="690"/>
      <c r="X469" s="713"/>
      <c r="Y469" s="690"/>
      <c r="Z469" s="690"/>
      <c r="AA469" s="657"/>
      <c r="AB469" s="690"/>
      <c r="AC469" s="658"/>
      <c r="AD469" s="659">
        <f t="shared" si="126"/>
        <v>-11013.171666666667</v>
      </c>
      <c r="AE469" s="658"/>
      <c r="AF469" s="688">
        <f t="shared" si="116"/>
        <v>0</v>
      </c>
    </row>
    <row r="470" spans="1:32">
      <c r="A470" s="620">
        <v>458</v>
      </c>
      <c r="B470" s="326" t="s">
        <v>977</v>
      </c>
      <c r="C470" s="326" t="s">
        <v>606</v>
      </c>
      <c r="D470" s="326" t="s">
        <v>1429</v>
      </c>
      <c r="E470" s="605" t="s">
        <v>1692</v>
      </c>
      <c r="F470" s="619">
        <v>0</v>
      </c>
      <c r="G470" s="619">
        <v>0</v>
      </c>
      <c r="H470" s="619">
        <v>0</v>
      </c>
      <c r="I470" s="619">
        <v>-1781.97</v>
      </c>
      <c r="J470" s="619">
        <v>852.74</v>
      </c>
      <c r="K470" s="619">
        <v>852.74</v>
      </c>
      <c r="L470" s="619">
        <v>-1709.42</v>
      </c>
      <c r="M470" s="619">
        <v>852.74</v>
      </c>
      <c r="N470" s="619">
        <v>13.11</v>
      </c>
      <c r="O470" s="619">
        <v>-895.76</v>
      </c>
      <c r="P470" s="619">
        <v>-306.87</v>
      </c>
      <c r="Q470" s="619">
        <v>-548.22</v>
      </c>
      <c r="R470" s="619">
        <v>-766.71</v>
      </c>
      <c r="S470" s="498">
        <f t="shared" si="124"/>
        <v>-254.52208333333331</v>
      </c>
      <c r="T470" s="620"/>
      <c r="U470" s="657"/>
      <c r="V470" s="690">
        <f t="shared" si="125"/>
        <v>-254.52208333333331</v>
      </c>
      <c r="W470" s="690"/>
      <c r="X470" s="713"/>
      <c r="Y470" s="690"/>
      <c r="Z470" s="690"/>
      <c r="AA470" s="657"/>
      <c r="AB470" s="690"/>
      <c r="AC470" s="658"/>
      <c r="AD470" s="659">
        <f t="shared" si="126"/>
        <v>-254.52208333333331</v>
      </c>
      <c r="AE470" s="658"/>
      <c r="AF470" s="688">
        <f t="shared" si="116"/>
        <v>0</v>
      </c>
    </row>
    <row r="471" spans="1:32">
      <c r="A471" s="620">
        <v>459</v>
      </c>
      <c r="B471" s="326" t="s">
        <v>977</v>
      </c>
      <c r="C471" s="326" t="s">
        <v>606</v>
      </c>
      <c r="D471" s="326" t="s">
        <v>106</v>
      </c>
      <c r="E471" s="605" t="s">
        <v>1693</v>
      </c>
      <c r="F471" s="619">
        <v>-9109.7999999999993</v>
      </c>
      <c r="G471" s="619">
        <v>-17034.45</v>
      </c>
      <c r="H471" s="619">
        <v>-28797.9</v>
      </c>
      <c r="I471" s="619">
        <v>-37576.379999999997</v>
      </c>
      <c r="J471" s="619">
        <v>-11906.16</v>
      </c>
      <c r="K471" s="619">
        <v>51711.99</v>
      </c>
      <c r="L471" s="619">
        <v>47225.06</v>
      </c>
      <c r="M471" s="619">
        <v>43899.66</v>
      </c>
      <c r="N471" s="619">
        <v>-8675.73</v>
      </c>
      <c r="O471" s="619">
        <v>-10195.17</v>
      </c>
      <c r="P471" s="619">
        <v>-1543.67</v>
      </c>
      <c r="Q471" s="619">
        <v>-2272.86</v>
      </c>
      <c r="R471" s="619">
        <v>-10011.82</v>
      </c>
      <c r="S471" s="498">
        <f t="shared" si="124"/>
        <v>1272.798333333332</v>
      </c>
      <c r="T471" s="620"/>
      <c r="U471" s="657"/>
      <c r="V471" s="690">
        <f t="shared" si="125"/>
        <v>1272.798333333332</v>
      </c>
      <c r="W471" s="690"/>
      <c r="X471" s="713"/>
      <c r="Y471" s="690"/>
      <c r="Z471" s="690"/>
      <c r="AA471" s="657"/>
      <c r="AB471" s="690"/>
      <c r="AC471" s="658"/>
      <c r="AD471" s="659">
        <f t="shared" si="126"/>
        <v>1272.798333333332</v>
      </c>
      <c r="AE471" s="658"/>
      <c r="AF471" s="688">
        <f t="shared" si="116"/>
        <v>0</v>
      </c>
    </row>
    <row r="472" spans="1:32">
      <c r="A472" s="620">
        <v>460</v>
      </c>
      <c r="B472" s="326" t="s">
        <v>977</v>
      </c>
      <c r="C472" s="326" t="s">
        <v>606</v>
      </c>
      <c r="D472" s="326" t="s">
        <v>1430</v>
      </c>
      <c r="E472" s="605" t="s">
        <v>1694</v>
      </c>
      <c r="F472" s="619">
        <v>-71423.69</v>
      </c>
      <c r="G472" s="619">
        <v>0</v>
      </c>
      <c r="H472" s="619">
        <v>0</v>
      </c>
      <c r="I472" s="619">
        <v>-78265.179999999993</v>
      </c>
      <c r="J472" s="619">
        <v>0</v>
      </c>
      <c r="K472" s="619">
        <v>0</v>
      </c>
      <c r="L472" s="619">
        <v>-146828.9</v>
      </c>
      <c r="M472" s="619">
        <v>-3548.45999999999</v>
      </c>
      <c r="N472" s="619">
        <v>8.1854523159563493E-12</v>
      </c>
      <c r="O472" s="619">
        <v>-82589.990000000005</v>
      </c>
      <c r="P472" s="619">
        <v>-108008.53</v>
      </c>
      <c r="Q472" s="619">
        <v>-55569.09</v>
      </c>
      <c r="R472" s="619">
        <v>-79962.61</v>
      </c>
      <c r="S472" s="498">
        <f t="shared" si="124"/>
        <v>-45875.274999999994</v>
      </c>
      <c r="T472" s="620"/>
      <c r="U472" s="657"/>
      <c r="V472" s="690">
        <f t="shared" si="125"/>
        <v>-45875.274999999994</v>
      </c>
      <c r="W472" s="690"/>
      <c r="X472" s="713"/>
      <c r="Y472" s="690"/>
      <c r="Z472" s="690"/>
      <c r="AA472" s="657"/>
      <c r="AB472" s="690"/>
      <c r="AC472" s="658"/>
      <c r="AD472" s="659">
        <f t="shared" si="126"/>
        <v>-45875.274999999994</v>
      </c>
      <c r="AE472" s="658"/>
      <c r="AF472" s="688">
        <f t="shared" si="116"/>
        <v>0</v>
      </c>
    </row>
    <row r="473" spans="1:32">
      <c r="A473" s="620">
        <v>461</v>
      </c>
      <c r="B473" s="326" t="s">
        <v>977</v>
      </c>
      <c r="C473" s="326" t="s">
        <v>606</v>
      </c>
      <c r="D473" s="326" t="s">
        <v>1929</v>
      </c>
      <c r="E473" s="605" t="s">
        <v>1694</v>
      </c>
      <c r="F473" s="619">
        <v>0</v>
      </c>
      <c r="G473" s="619">
        <v>-6089.54</v>
      </c>
      <c r="H473" s="619">
        <v>-16011.4</v>
      </c>
      <c r="I473" s="619">
        <v>-25667.31</v>
      </c>
      <c r="J473" s="619">
        <v>-33140.21</v>
      </c>
      <c r="K473" s="619">
        <v>-13082.53</v>
      </c>
      <c r="L473" s="619">
        <v>-20607.52</v>
      </c>
      <c r="M473" s="619">
        <v>-28197.32</v>
      </c>
      <c r="N473" s="619">
        <v>-19606.07</v>
      </c>
      <c r="O473" s="619">
        <v>-26881.07</v>
      </c>
      <c r="P473" s="619">
        <v>-34787.53</v>
      </c>
      <c r="Q473" s="619">
        <v>-16447.91</v>
      </c>
      <c r="R473" s="619">
        <v>-23699.43</v>
      </c>
      <c r="S473" s="498">
        <f t="shared" si="124"/>
        <v>-21030.677083333332</v>
      </c>
      <c r="T473" s="620"/>
      <c r="U473" s="657"/>
      <c r="V473" s="690">
        <f>+S473</f>
        <v>-21030.677083333332</v>
      </c>
      <c r="W473" s="690"/>
      <c r="X473" s="713"/>
      <c r="Y473" s="690"/>
      <c r="Z473" s="690"/>
      <c r="AA473" s="657"/>
      <c r="AB473" s="690"/>
      <c r="AC473" s="658"/>
      <c r="AD473" s="659">
        <f t="shared" si="126"/>
        <v>-21030.677083333332</v>
      </c>
      <c r="AE473" s="658"/>
      <c r="AF473" s="688">
        <f t="shared" si="116"/>
        <v>0</v>
      </c>
    </row>
    <row r="474" spans="1:32">
      <c r="A474" s="620">
        <v>462</v>
      </c>
      <c r="B474" s="326" t="s">
        <v>977</v>
      </c>
      <c r="C474" s="326" t="s">
        <v>607</v>
      </c>
      <c r="D474" s="326"/>
      <c r="E474" s="605" t="s">
        <v>1695</v>
      </c>
      <c r="F474" s="619">
        <v>-4512.1000000000004</v>
      </c>
      <c r="G474" s="619">
        <v>-8005.13</v>
      </c>
      <c r="H474" s="619">
        <v>-2175.64</v>
      </c>
      <c r="I474" s="619">
        <v>-16022.16</v>
      </c>
      <c r="J474" s="619">
        <v>-1720.98</v>
      </c>
      <c r="K474" s="619">
        <v>-17838.740000000002</v>
      </c>
      <c r="L474" s="619">
        <v>-550.78000000000202</v>
      </c>
      <c r="M474" s="619">
        <v>-2048</v>
      </c>
      <c r="N474" s="619">
        <v>-8330.27</v>
      </c>
      <c r="O474" s="619">
        <v>-7944.76</v>
      </c>
      <c r="P474" s="619">
        <v>-6135.49</v>
      </c>
      <c r="Q474" s="619">
        <v>-6993.22</v>
      </c>
      <c r="R474" s="619">
        <v>-11696.45</v>
      </c>
      <c r="S474" s="498">
        <f t="shared" si="124"/>
        <v>-7155.7870833333327</v>
      </c>
      <c r="T474" s="620"/>
      <c r="U474" s="657"/>
      <c r="V474" s="690">
        <f t="shared" si="125"/>
        <v>-7155.7870833333327</v>
      </c>
      <c r="W474" s="690"/>
      <c r="X474" s="713"/>
      <c r="Y474" s="690"/>
      <c r="Z474" s="690"/>
      <c r="AA474" s="657"/>
      <c r="AB474" s="690"/>
      <c r="AC474" s="658"/>
      <c r="AD474" s="659">
        <f t="shared" si="126"/>
        <v>-7155.7870833333327</v>
      </c>
      <c r="AE474" s="658"/>
      <c r="AF474" s="688">
        <f t="shared" si="116"/>
        <v>0</v>
      </c>
    </row>
    <row r="475" spans="1:32">
      <c r="A475" s="620">
        <v>463</v>
      </c>
      <c r="B475" s="326" t="s">
        <v>980</v>
      </c>
      <c r="C475" s="326" t="s">
        <v>607</v>
      </c>
      <c r="D475" s="326" t="s">
        <v>526</v>
      </c>
      <c r="E475" s="605" t="s">
        <v>1726</v>
      </c>
      <c r="F475" s="619">
        <v>-26.14</v>
      </c>
      <c r="G475" s="619">
        <v>0</v>
      </c>
      <c r="H475" s="619">
        <v>-20.87</v>
      </c>
      <c r="I475" s="619">
        <v>0</v>
      </c>
      <c r="J475" s="619">
        <v>0</v>
      </c>
      <c r="K475" s="619">
        <v>-72.22</v>
      </c>
      <c r="L475" s="619">
        <v>-21.68</v>
      </c>
      <c r="M475" s="619">
        <v>-21</v>
      </c>
      <c r="N475" s="619">
        <v>-46.58</v>
      </c>
      <c r="O475" s="619">
        <v>-8.9999999999996305E-2</v>
      </c>
      <c r="P475" s="619">
        <v>-5.25</v>
      </c>
      <c r="Q475" s="619">
        <v>3.5527136788005001E-15</v>
      </c>
      <c r="R475" s="619">
        <v>-13.91</v>
      </c>
      <c r="S475" s="498">
        <f t="shared" si="124"/>
        <v>-17.309583333333336</v>
      </c>
      <c r="T475" s="620"/>
      <c r="U475" s="657"/>
      <c r="V475" s="690">
        <f t="shared" si="125"/>
        <v>-17.309583333333336</v>
      </c>
      <c r="W475" s="690"/>
      <c r="X475" s="713"/>
      <c r="Y475" s="690"/>
      <c r="Z475" s="690"/>
      <c r="AA475" s="657"/>
      <c r="AB475" s="690"/>
      <c r="AC475" s="658"/>
      <c r="AD475" s="659">
        <f t="shared" si="126"/>
        <v>-17.309583333333336</v>
      </c>
      <c r="AE475" s="658"/>
      <c r="AF475" s="688">
        <f t="shared" si="116"/>
        <v>0</v>
      </c>
    </row>
    <row r="476" spans="1:32">
      <c r="A476" s="620">
        <v>464</v>
      </c>
      <c r="B476" s="326" t="s">
        <v>1005</v>
      </c>
      <c r="C476" s="326" t="s">
        <v>608</v>
      </c>
      <c r="D476" s="326" t="s">
        <v>969</v>
      </c>
      <c r="E476" s="605" t="s">
        <v>1727</v>
      </c>
      <c r="F476" s="619">
        <v>0</v>
      </c>
      <c r="G476" s="619">
        <v>0</v>
      </c>
      <c r="H476" s="619">
        <v>0</v>
      </c>
      <c r="I476" s="619">
        <v>0</v>
      </c>
      <c r="J476" s="619">
        <v>0</v>
      </c>
      <c r="K476" s="619">
        <v>0</v>
      </c>
      <c r="L476" s="619">
        <v>0</v>
      </c>
      <c r="M476" s="619">
        <v>-157394</v>
      </c>
      <c r="N476" s="619">
        <v>-314788</v>
      </c>
      <c r="O476" s="619">
        <v>-472182</v>
      </c>
      <c r="P476" s="619">
        <v>-629576</v>
      </c>
      <c r="Q476" s="619">
        <v>0</v>
      </c>
      <c r="R476" s="619">
        <v>0</v>
      </c>
      <c r="S476" s="498">
        <f t="shared" si="124"/>
        <v>-131161.66666666666</v>
      </c>
      <c r="T476" s="620"/>
      <c r="U476" s="657"/>
      <c r="V476" s="690">
        <f t="shared" si="125"/>
        <v>-131161.66666666666</v>
      </c>
      <c r="W476" s="690"/>
      <c r="X476" s="713"/>
      <c r="Y476" s="690"/>
      <c r="Z476" s="690"/>
      <c r="AA476" s="657"/>
      <c r="AB476" s="690"/>
      <c r="AC476" s="658"/>
      <c r="AD476" s="659">
        <f t="shared" si="126"/>
        <v>-131161.66666666666</v>
      </c>
      <c r="AE476" s="658"/>
      <c r="AF476" s="688">
        <f t="shared" si="116"/>
        <v>0</v>
      </c>
    </row>
    <row r="477" spans="1:32">
      <c r="A477" s="620">
        <v>465</v>
      </c>
      <c r="B477" s="326" t="s">
        <v>1005</v>
      </c>
      <c r="C477" s="326" t="s">
        <v>608</v>
      </c>
      <c r="D477" s="326" t="s">
        <v>481</v>
      </c>
      <c r="E477" s="605" t="s">
        <v>1717</v>
      </c>
      <c r="F477" s="619">
        <v>-709456.17</v>
      </c>
      <c r="G477" s="619">
        <v>-544458.74</v>
      </c>
      <c r="H477" s="619">
        <v>-781478.16</v>
      </c>
      <c r="I477" s="619">
        <v>-1007790.95</v>
      </c>
      <c r="J477" s="619">
        <v>-383831.59</v>
      </c>
      <c r="K477" s="619">
        <v>-405417.44</v>
      </c>
      <c r="L477" s="619">
        <v>-452361.79</v>
      </c>
      <c r="M477" s="619">
        <v>-148123.29</v>
      </c>
      <c r="N477" s="619">
        <v>-199462.39</v>
      </c>
      <c r="O477" s="619">
        <v>-279629.99</v>
      </c>
      <c r="P477" s="619">
        <v>-293035.52000000002</v>
      </c>
      <c r="Q477" s="619">
        <v>-564104.62</v>
      </c>
      <c r="R477" s="619">
        <v>-920291.67</v>
      </c>
      <c r="S477" s="498">
        <f t="shared" si="124"/>
        <v>-489547.36666666664</v>
      </c>
      <c r="T477" s="620"/>
      <c r="U477" s="657"/>
      <c r="V477" s="690">
        <f t="shared" si="125"/>
        <v>-489547.36666666664</v>
      </c>
      <c r="W477" s="690"/>
      <c r="X477" s="713"/>
      <c r="Y477" s="690"/>
      <c r="Z477" s="690"/>
      <c r="AA477" s="657"/>
      <c r="AB477" s="690"/>
      <c r="AC477" s="658"/>
      <c r="AD477" s="659">
        <f t="shared" si="126"/>
        <v>-489547.36666666664</v>
      </c>
      <c r="AE477" s="658"/>
      <c r="AF477" s="688">
        <f t="shared" si="116"/>
        <v>0</v>
      </c>
    </row>
    <row r="478" spans="1:32">
      <c r="A478" s="620">
        <v>466</v>
      </c>
      <c r="B478" s="326" t="s">
        <v>980</v>
      </c>
      <c r="C478" s="326" t="s">
        <v>608</v>
      </c>
      <c r="D478" s="326" t="s">
        <v>969</v>
      </c>
      <c r="E478" s="605" t="s">
        <v>1727</v>
      </c>
      <c r="F478" s="619">
        <v>-2609583</v>
      </c>
      <c r="G478" s="619">
        <v>-2837921</v>
      </c>
      <c r="H478" s="619">
        <v>-3066259</v>
      </c>
      <c r="I478" s="619">
        <v>-3294597</v>
      </c>
      <c r="J478" s="619">
        <v>-1999040.86</v>
      </c>
      <c r="K478" s="619">
        <v>-2181038.86</v>
      </c>
      <c r="L478" s="619">
        <v>-2400108.86</v>
      </c>
      <c r="M478" s="619">
        <v>-2619178.86</v>
      </c>
      <c r="N478" s="619">
        <v>-1861990</v>
      </c>
      <c r="O478" s="619">
        <v>-2094739</v>
      </c>
      <c r="P478" s="619">
        <v>-2327488</v>
      </c>
      <c r="Q478" s="619">
        <v>-2560237</v>
      </c>
      <c r="R478" s="619">
        <v>-2792986</v>
      </c>
      <c r="S478" s="498">
        <f t="shared" si="124"/>
        <v>-2495323.5783333331</v>
      </c>
      <c r="T478" s="620"/>
      <c r="U478" s="657"/>
      <c r="V478" s="690">
        <f t="shared" si="125"/>
        <v>-2495323.5783333331</v>
      </c>
      <c r="W478" s="690"/>
      <c r="X478" s="713"/>
      <c r="Y478" s="690"/>
      <c r="Z478" s="690"/>
      <c r="AA478" s="657"/>
      <c r="AB478" s="690"/>
      <c r="AC478" s="658"/>
      <c r="AD478" s="659">
        <f t="shared" si="126"/>
        <v>-2495323.5783333331</v>
      </c>
      <c r="AE478" s="658"/>
      <c r="AF478" s="688">
        <f t="shared" si="116"/>
        <v>0</v>
      </c>
    </row>
    <row r="479" spans="1:32">
      <c r="A479" s="620">
        <v>467</v>
      </c>
      <c r="B479" s="326" t="s">
        <v>980</v>
      </c>
      <c r="C479" s="326" t="s">
        <v>608</v>
      </c>
      <c r="D479" s="326" t="s">
        <v>481</v>
      </c>
      <c r="E479" s="605" t="s">
        <v>1717</v>
      </c>
      <c r="F479" s="619">
        <v>-21934.62</v>
      </c>
      <c r="G479" s="619">
        <v>-27430.560000000001</v>
      </c>
      <c r="H479" s="619">
        <v>-27532.13</v>
      </c>
      <c r="I479" s="619">
        <v>-31135.78</v>
      </c>
      <c r="J479" s="619">
        <v>-21019.8</v>
      </c>
      <c r="K479" s="619">
        <v>-16692.04</v>
      </c>
      <c r="L479" s="619">
        <v>-9390.43</v>
      </c>
      <c r="M479" s="619">
        <v>-8255.4699999999993</v>
      </c>
      <c r="N479" s="619">
        <v>-7374.55</v>
      </c>
      <c r="O479" s="619">
        <v>-7184.47</v>
      </c>
      <c r="P479" s="619">
        <v>-9990.31</v>
      </c>
      <c r="Q479" s="619">
        <v>-18401.5</v>
      </c>
      <c r="R479" s="619">
        <v>-27823.65</v>
      </c>
      <c r="S479" s="498">
        <f t="shared" si="124"/>
        <v>-17440.514583333334</v>
      </c>
      <c r="T479" s="620"/>
      <c r="U479" s="657"/>
      <c r="V479" s="690">
        <f t="shared" si="125"/>
        <v>-17440.514583333334</v>
      </c>
      <c r="W479" s="690"/>
      <c r="X479" s="713"/>
      <c r="Y479" s="690"/>
      <c r="Z479" s="690"/>
      <c r="AA479" s="657"/>
      <c r="AB479" s="690"/>
      <c r="AC479" s="658"/>
      <c r="AD479" s="659">
        <f t="shared" si="126"/>
        <v>-17440.514583333334</v>
      </c>
      <c r="AE479" s="658"/>
      <c r="AF479" s="688">
        <f t="shared" si="116"/>
        <v>0</v>
      </c>
    </row>
    <row r="480" spans="1:32">
      <c r="A480" s="620">
        <v>468</v>
      </c>
      <c r="B480" s="326" t="s">
        <v>980</v>
      </c>
      <c r="C480" s="326" t="s">
        <v>608</v>
      </c>
      <c r="D480" s="326" t="s">
        <v>483</v>
      </c>
      <c r="E480" s="605" t="s">
        <v>1728</v>
      </c>
      <c r="F480" s="619">
        <v>-1426163.81</v>
      </c>
      <c r="G480" s="619">
        <v>-1358985.08</v>
      </c>
      <c r="H480" s="619">
        <v>-1649868.15</v>
      </c>
      <c r="I480" s="619">
        <v>-2005953.53</v>
      </c>
      <c r="J480" s="619">
        <v>-998560.67</v>
      </c>
      <c r="K480" s="619">
        <v>-806779.99</v>
      </c>
      <c r="L480" s="619">
        <v>-710886.74</v>
      </c>
      <c r="M480" s="619">
        <v>-425571.72</v>
      </c>
      <c r="N480" s="619">
        <v>-472240.06</v>
      </c>
      <c r="O480" s="619">
        <v>-511907.33</v>
      </c>
      <c r="P480" s="619">
        <v>-639920.81000000006</v>
      </c>
      <c r="Q480" s="619">
        <v>-1159905.6000000001</v>
      </c>
      <c r="R480" s="619">
        <v>-1879892.94</v>
      </c>
      <c r="S480" s="498">
        <f t="shared" si="124"/>
        <v>-1032800.67125</v>
      </c>
      <c r="T480" s="620"/>
      <c r="U480" s="657"/>
      <c r="V480" s="690">
        <f t="shared" si="125"/>
        <v>-1032800.67125</v>
      </c>
      <c r="W480" s="690"/>
      <c r="X480" s="713"/>
      <c r="Y480" s="690"/>
      <c r="Z480" s="690"/>
      <c r="AA480" s="657"/>
      <c r="AB480" s="690"/>
      <c r="AC480" s="658"/>
      <c r="AD480" s="659">
        <f t="shared" si="126"/>
        <v>-1032800.67125</v>
      </c>
      <c r="AE480" s="658"/>
      <c r="AF480" s="688">
        <f t="shared" si="116"/>
        <v>0</v>
      </c>
    </row>
    <row r="481" spans="1:32">
      <c r="A481" s="620">
        <v>469</v>
      </c>
      <c r="B481" s="326" t="s">
        <v>980</v>
      </c>
      <c r="C481" s="326" t="s">
        <v>608</v>
      </c>
      <c r="D481" s="326" t="s">
        <v>455</v>
      </c>
      <c r="E481" s="605" t="s">
        <v>1729</v>
      </c>
      <c r="F481" s="619">
        <v>-9882.26</v>
      </c>
      <c r="G481" s="619">
        <v>-9787.02</v>
      </c>
      <c r="H481" s="619">
        <v>-11182.37</v>
      </c>
      <c r="I481" s="619">
        <v>-12538.43</v>
      </c>
      <c r="J481" s="619">
        <v>-5768.13</v>
      </c>
      <c r="K481" s="619">
        <v>-3224</v>
      </c>
      <c r="L481" s="619">
        <v>-2199.13</v>
      </c>
      <c r="M481" s="619">
        <v>-1917.07</v>
      </c>
      <c r="N481" s="619">
        <v>-3151.52</v>
      </c>
      <c r="O481" s="619">
        <v>-2793.12</v>
      </c>
      <c r="P481" s="619">
        <v>-5690.58</v>
      </c>
      <c r="Q481" s="619">
        <v>-8672.2199999999993</v>
      </c>
      <c r="R481" s="619">
        <v>-11504.29</v>
      </c>
      <c r="S481" s="498">
        <f t="shared" si="124"/>
        <v>-6468.0720833333326</v>
      </c>
      <c r="T481" s="620"/>
      <c r="U481" s="657"/>
      <c r="V481" s="690">
        <f t="shared" si="125"/>
        <v>-6468.0720833333326</v>
      </c>
      <c r="W481" s="690"/>
      <c r="X481" s="713"/>
      <c r="Y481" s="690"/>
      <c r="Z481" s="690"/>
      <c r="AA481" s="657"/>
      <c r="AB481" s="690"/>
      <c r="AC481" s="664"/>
      <c r="AD481" s="659">
        <f>+S481</f>
        <v>-6468.0720833333326</v>
      </c>
      <c r="AE481" s="658"/>
      <c r="AF481" s="688">
        <f t="shared" si="116"/>
        <v>0</v>
      </c>
    </row>
    <row r="482" spans="1:32">
      <c r="A482" s="620">
        <v>470</v>
      </c>
      <c r="B482" s="326" t="s">
        <v>980</v>
      </c>
      <c r="C482" s="326" t="s">
        <v>608</v>
      </c>
      <c r="D482" s="326" t="s">
        <v>486</v>
      </c>
      <c r="E482" s="605" t="s">
        <v>1730</v>
      </c>
      <c r="F482" s="619">
        <v>-1344.79</v>
      </c>
      <c r="G482" s="619">
        <v>-643.51</v>
      </c>
      <c r="H482" s="619">
        <v>-1365.44</v>
      </c>
      <c r="I482" s="619">
        <v>-2110.3000000000002</v>
      </c>
      <c r="J482" s="619">
        <v>-428.78</v>
      </c>
      <c r="K482" s="619">
        <v>-863.85</v>
      </c>
      <c r="L482" s="619">
        <v>-1162.3800000000001</v>
      </c>
      <c r="M482" s="619">
        <v>-283.02999999999997</v>
      </c>
      <c r="N482" s="619">
        <v>-539.02</v>
      </c>
      <c r="O482" s="619">
        <v>-772.18</v>
      </c>
      <c r="P482" s="619">
        <v>-370.96</v>
      </c>
      <c r="Q482" s="619">
        <v>-935.52</v>
      </c>
      <c r="R482" s="619">
        <v>-1630.39</v>
      </c>
      <c r="S482" s="498">
        <f t="shared" si="124"/>
        <v>-913.54666666666662</v>
      </c>
      <c r="T482" s="620"/>
      <c r="U482" s="657"/>
      <c r="V482" s="690">
        <f t="shared" si="125"/>
        <v>-913.54666666666662</v>
      </c>
      <c r="W482" s="690"/>
      <c r="X482" s="713"/>
      <c r="Y482" s="690"/>
      <c r="Z482" s="690"/>
      <c r="AA482" s="657"/>
      <c r="AB482" s="690"/>
      <c r="AC482" s="658"/>
      <c r="AD482" s="659">
        <f t="shared" ref="AD482:AD483" si="127">+S482</f>
        <v>-913.54666666666662</v>
      </c>
      <c r="AE482" s="658"/>
      <c r="AF482" s="688">
        <f t="shared" si="116"/>
        <v>0</v>
      </c>
    </row>
    <row r="483" spans="1:32">
      <c r="A483" s="620">
        <v>471</v>
      </c>
      <c r="B483" s="326" t="s">
        <v>980</v>
      </c>
      <c r="C483" s="326" t="s">
        <v>608</v>
      </c>
      <c r="D483" s="326" t="s">
        <v>1222</v>
      </c>
      <c r="E483" s="605" t="s">
        <v>1731</v>
      </c>
      <c r="F483" s="619">
        <v>-460550.9</v>
      </c>
      <c r="G483" s="619">
        <v>-519326.43</v>
      </c>
      <c r="H483" s="619">
        <v>-581865.69999999995</v>
      </c>
      <c r="I483" s="619">
        <v>-649970.06000000006</v>
      </c>
      <c r="J483" s="619">
        <v>-243797.94</v>
      </c>
      <c r="K483" s="619">
        <v>-262177.25</v>
      </c>
      <c r="L483" s="619">
        <v>-282839.92</v>
      </c>
      <c r="M483" s="619">
        <v>-301393.96999999997</v>
      </c>
      <c r="N483" s="619">
        <v>-319341.24</v>
      </c>
      <c r="O483" s="619">
        <v>-337096.42</v>
      </c>
      <c r="P483" s="619">
        <v>-365854.16</v>
      </c>
      <c r="Q483" s="619">
        <v>-411437.86</v>
      </c>
      <c r="R483" s="619">
        <v>-479297.52</v>
      </c>
      <c r="S483" s="498">
        <f t="shared" si="124"/>
        <v>-395418.76333333337</v>
      </c>
      <c r="T483" s="620"/>
      <c r="U483" s="657"/>
      <c r="V483" s="690">
        <f t="shared" si="125"/>
        <v>-395418.76333333337</v>
      </c>
      <c r="W483" s="690"/>
      <c r="X483" s="713"/>
      <c r="Y483" s="690"/>
      <c r="Z483" s="690"/>
      <c r="AA483" s="657"/>
      <c r="AB483" s="690"/>
      <c r="AC483" s="658"/>
      <c r="AD483" s="659">
        <f t="shared" si="127"/>
        <v>-395418.76333333337</v>
      </c>
      <c r="AE483" s="658"/>
      <c r="AF483" s="688">
        <f t="shared" si="116"/>
        <v>0</v>
      </c>
    </row>
    <row r="484" spans="1:32">
      <c r="A484" s="620">
        <v>472</v>
      </c>
      <c r="B484" s="326" t="s">
        <v>980</v>
      </c>
      <c r="C484" s="326" t="s">
        <v>608</v>
      </c>
      <c r="D484" s="326" t="s">
        <v>1223</v>
      </c>
      <c r="E484" s="605" t="s">
        <v>1732</v>
      </c>
      <c r="F484" s="619">
        <v>-1722879.56</v>
      </c>
      <c r="G484" s="619">
        <v>-1846427.53</v>
      </c>
      <c r="H484" s="619">
        <v>-2077328.43</v>
      </c>
      <c r="I484" s="619">
        <v>-1910216.81</v>
      </c>
      <c r="J484" s="619">
        <v>-1204070.96</v>
      </c>
      <c r="K484" s="619">
        <v>-823833.01</v>
      </c>
      <c r="L484" s="619">
        <v>-592575.56000000006</v>
      </c>
      <c r="M484" s="619">
        <v>-555151.97</v>
      </c>
      <c r="N484" s="619">
        <v>-493032.53</v>
      </c>
      <c r="O484" s="619">
        <v>-585370.29</v>
      </c>
      <c r="P484" s="619">
        <v>-1066739.44</v>
      </c>
      <c r="Q484" s="619">
        <v>-1718966.4</v>
      </c>
      <c r="R484" s="619">
        <v>-2281478.2999999998</v>
      </c>
      <c r="S484" s="498">
        <f t="shared" si="124"/>
        <v>-1239657.655</v>
      </c>
      <c r="T484" s="620"/>
      <c r="U484" s="657"/>
      <c r="V484" s="690">
        <f t="shared" si="125"/>
        <v>-1239657.655</v>
      </c>
      <c r="W484" s="690"/>
      <c r="X484" s="713"/>
      <c r="Y484" s="690"/>
      <c r="Z484" s="690"/>
      <c r="AA484" s="657"/>
      <c r="AB484" s="690"/>
      <c r="AC484" s="658"/>
      <c r="AD484" s="659">
        <f>+V484</f>
        <v>-1239657.655</v>
      </c>
      <c r="AE484" s="658"/>
      <c r="AF484" s="688">
        <f t="shared" si="116"/>
        <v>0</v>
      </c>
    </row>
    <row r="485" spans="1:32">
      <c r="A485" s="620">
        <v>473</v>
      </c>
      <c r="B485" s="326" t="s">
        <v>977</v>
      </c>
      <c r="C485" s="326" t="s">
        <v>609</v>
      </c>
      <c r="D485" s="620" t="s">
        <v>1136</v>
      </c>
      <c r="E485" s="605" t="s">
        <v>610</v>
      </c>
      <c r="F485" s="619">
        <v>-2960000</v>
      </c>
      <c r="G485" s="619">
        <v>0</v>
      </c>
      <c r="H485" s="619">
        <v>-2960000</v>
      </c>
      <c r="I485" s="619">
        <v>-2960000</v>
      </c>
      <c r="J485" s="619">
        <v>0</v>
      </c>
      <c r="K485" s="619">
        <v>-2480000</v>
      </c>
      <c r="L485" s="619">
        <v>-2480000</v>
      </c>
      <c r="M485" s="619">
        <v>0</v>
      </c>
      <c r="N485" s="619">
        <v>-2480000</v>
      </c>
      <c r="O485" s="619">
        <v>-2480000</v>
      </c>
      <c r="P485" s="619">
        <v>0</v>
      </c>
      <c r="Q485" s="619">
        <v>-2480000</v>
      </c>
      <c r="R485" s="619">
        <v>-2480000</v>
      </c>
      <c r="S485" s="498">
        <f t="shared" si="124"/>
        <v>-1753333.3333333333</v>
      </c>
      <c r="T485" s="620"/>
      <c r="U485" s="657"/>
      <c r="V485" s="665"/>
      <c r="W485" s="690">
        <f>+S485</f>
        <v>-1753333.3333333333</v>
      </c>
      <c r="X485" s="713"/>
      <c r="Y485" s="690"/>
      <c r="Z485" s="690"/>
      <c r="AA485" s="657"/>
      <c r="AB485" s="690"/>
      <c r="AC485" s="659">
        <f>+W485</f>
        <v>-1753333.3333333333</v>
      </c>
      <c r="AD485" s="664"/>
      <c r="AE485" s="658"/>
      <c r="AF485" s="688">
        <f t="shared" si="116"/>
        <v>0</v>
      </c>
    </row>
    <row r="486" spans="1:32">
      <c r="A486" s="620">
        <v>474</v>
      </c>
      <c r="B486" s="326" t="s">
        <v>1005</v>
      </c>
      <c r="C486" s="326" t="s">
        <v>611</v>
      </c>
      <c r="D486" s="620" t="s">
        <v>1210</v>
      </c>
      <c r="E486" s="605" t="s">
        <v>612</v>
      </c>
      <c r="F486" s="619">
        <v>-214551.55</v>
      </c>
      <c r="G486" s="619">
        <v>-218550.05</v>
      </c>
      <c r="H486" s="619">
        <v>-218801.9</v>
      </c>
      <c r="I486" s="619">
        <v>-215999.99</v>
      </c>
      <c r="J486" s="619">
        <v>-198295.26</v>
      </c>
      <c r="K486" s="619">
        <v>-182418.51</v>
      </c>
      <c r="L486" s="619">
        <v>-179669.64</v>
      </c>
      <c r="M486" s="619">
        <v>-168647.67999999999</v>
      </c>
      <c r="N486" s="619">
        <v>-153082.81</v>
      </c>
      <c r="O486" s="619">
        <v>-144606.22</v>
      </c>
      <c r="P486" s="619">
        <v>-129804.87</v>
      </c>
      <c r="Q486" s="619">
        <v>-123427.45</v>
      </c>
      <c r="R486" s="619">
        <v>-118440.31</v>
      </c>
      <c r="S486" s="498">
        <f t="shared" si="124"/>
        <v>-174983.35916666666</v>
      </c>
      <c r="T486" s="620"/>
      <c r="U486" s="657"/>
      <c r="V486" s="665"/>
      <c r="W486" s="690"/>
      <c r="X486" s="690">
        <f>+S486</f>
        <v>-174983.35916666666</v>
      </c>
      <c r="Y486" s="690"/>
      <c r="Z486" s="690"/>
      <c r="AA486" s="657"/>
      <c r="AB486" s="659">
        <f>+X486</f>
        <v>-174983.35916666666</v>
      </c>
      <c r="AC486" s="658"/>
      <c r="AD486" s="664"/>
      <c r="AE486" s="658"/>
      <c r="AF486" s="688">
        <f t="shared" si="116"/>
        <v>0</v>
      </c>
    </row>
    <row r="487" spans="1:32">
      <c r="A487" s="620">
        <v>475</v>
      </c>
      <c r="B487" s="326" t="s">
        <v>980</v>
      </c>
      <c r="C487" s="326" t="s">
        <v>611</v>
      </c>
      <c r="D487" s="326" t="s">
        <v>1210</v>
      </c>
      <c r="E487" s="605" t="s">
        <v>612</v>
      </c>
      <c r="F487" s="619">
        <v>-678553.58</v>
      </c>
      <c r="G487" s="619">
        <v>-698877.64</v>
      </c>
      <c r="H487" s="619">
        <v>-702196.65</v>
      </c>
      <c r="I487" s="619">
        <v>-680853.69</v>
      </c>
      <c r="J487" s="619">
        <v>-649266.05000000005</v>
      </c>
      <c r="K487" s="619">
        <v>-625554.4</v>
      </c>
      <c r="L487" s="619">
        <v>-613318.13</v>
      </c>
      <c r="M487" s="619">
        <v>-627299.59</v>
      </c>
      <c r="N487" s="619">
        <v>-610978.82999999996</v>
      </c>
      <c r="O487" s="619">
        <v>-619300.19999999995</v>
      </c>
      <c r="P487" s="619">
        <v>-623094.34</v>
      </c>
      <c r="Q487" s="619">
        <v>-647407.01</v>
      </c>
      <c r="R487" s="619">
        <v>-664878.92000000004</v>
      </c>
      <c r="S487" s="498">
        <f t="shared" si="124"/>
        <v>-647488.56500000006</v>
      </c>
      <c r="T487" s="620"/>
      <c r="U487" s="657"/>
      <c r="V487" s="665"/>
      <c r="W487" s="690"/>
      <c r="X487" s="690">
        <f>+S487</f>
        <v>-647488.56500000006</v>
      </c>
      <c r="Y487" s="690"/>
      <c r="Z487" s="690"/>
      <c r="AA487" s="657"/>
      <c r="AB487" s="659">
        <f>+X487</f>
        <v>-647488.56500000006</v>
      </c>
      <c r="AC487" s="658"/>
      <c r="AD487" s="664"/>
      <c r="AE487" s="658"/>
      <c r="AF487" s="688">
        <f t="shared" si="116"/>
        <v>0</v>
      </c>
    </row>
    <row r="488" spans="1:32">
      <c r="A488" s="620">
        <v>476</v>
      </c>
      <c r="B488" s="326" t="s">
        <v>977</v>
      </c>
      <c r="C488" s="326" t="s">
        <v>613</v>
      </c>
      <c r="D488" s="326" t="s">
        <v>471</v>
      </c>
      <c r="E488" s="605" t="s">
        <v>1696</v>
      </c>
      <c r="F488" s="619">
        <v>-374000</v>
      </c>
      <c r="G488" s="619">
        <v>-498666.67</v>
      </c>
      <c r="H488" s="619">
        <v>-623333.34</v>
      </c>
      <c r="I488" s="619">
        <v>-748000</v>
      </c>
      <c r="J488" s="619">
        <v>-124666.67</v>
      </c>
      <c r="K488" s="619">
        <v>-249333.34</v>
      </c>
      <c r="L488" s="619">
        <v>-374000</v>
      </c>
      <c r="M488" s="619">
        <v>-498666.67</v>
      </c>
      <c r="N488" s="619">
        <v>-623333.34</v>
      </c>
      <c r="O488" s="619">
        <v>-748000</v>
      </c>
      <c r="P488" s="619">
        <v>-124666.67</v>
      </c>
      <c r="Q488" s="619">
        <v>-249333.34</v>
      </c>
      <c r="R488" s="619">
        <v>-374000</v>
      </c>
      <c r="S488" s="498">
        <f t="shared" si="124"/>
        <v>-436333.33666666661</v>
      </c>
      <c r="T488" s="620"/>
      <c r="U488" s="657"/>
      <c r="V488" s="690">
        <f t="shared" ref="V488:V531" si="128">+S488</f>
        <v>-436333.33666666661</v>
      </c>
      <c r="W488" s="690"/>
      <c r="X488" s="713"/>
      <c r="Y488" s="690"/>
      <c r="Z488" s="690"/>
      <c r="AA488" s="657"/>
      <c r="AB488" s="690"/>
      <c r="AC488" s="658"/>
      <c r="AD488" s="659">
        <f t="shared" ref="AD488:AD545" si="129">+V488</f>
        <v>-436333.33666666661</v>
      </c>
      <c r="AE488" s="658"/>
      <c r="AF488" s="688">
        <f t="shared" si="116"/>
        <v>0</v>
      </c>
    </row>
    <row r="489" spans="1:32">
      <c r="A489" s="620">
        <v>477</v>
      </c>
      <c r="B489" s="326" t="s">
        <v>977</v>
      </c>
      <c r="C489" s="326" t="s">
        <v>613</v>
      </c>
      <c r="D489" s="326" t="s">
        <v>473</v>
      </c>
      <c r="E489" s="605" t="s">
        <v>1697</v>
      </c>
      <c r="F489" s="619">
        <v>-266175</v>
      </c>
      <c r="G489" s="619">
        <v>-354900</v>
      </c>
      <c r="H489" s="619">
        <v>-443625</v>
      </c>
      <c r="I489" s="619">
        <v>-532350</v>
      </c>
      <c r="J489" s="619">
        <v>-88725</v>
      </c>
      <c r="K489" s="619">
        <v>-177450</v>
      </c>
      <c r="L489" s="619">
        <v>-266175</v>
      </c>
      <c r="M489" s="619">
        <v>-354900</v>
      </c>
      <c r="N489" s="619">
        <v>-443625</v>
      </c>
      <c r="O489" s="619">
        <v>-532350</v>
      </c>
      <c r="P489" s="619">
        <v>-88725</v>
      </c>
      <c r="Q489" s="619">
        <v>-177450</v>
      </c>
      <c r="R489" s="619">
        <v>-266175</v>
      </c>
      <c r="S489" s="498">
        <f t="shared" si="124"/>
        <v>-310537.5</v>
      </c>
      <c r="T489" s="620"/>
      <c r="U489" s="657"/>
      <c r="V489" s="690">
        <f t="shared" si="128"/>
        <v>-310537.5</v>
      </c>
      <c r="W489" s="690"/>
      <c r="X489" s="713"/>
      <c r="Y489" s="690"/>
      <c r="Z489" s="690"/>
      <c r="AA489" s="657"/>
      <c r="AB489" s="690"/>
      <c r="AC489" s="658"/>
      <c r="AD489" s="659">
        <f t="shared" si="129"/>
        <v>-310537.5</v>
      </c>
      <c r="AE489" s="658"/>
      <c r="AF489" s="688">
        <f t="shared" si="116"/>
        <v>0</v>
      </c>
    </row>
    <row r="490" spans="1:32">
      <c r="A490" s="620">
        <v>478</v>
      </c>
      <c r="B490" s="326" t="s">
        <v>977</v>
      </c>
      <c r="C490" s="326" t="s">
        <v>613</v>
      </c>
      <c r="D490" s="326" t="s">
        <v>475</v>
      </c>
      <c r="E490" s="605" t="s">
        <v>1698</v>
      </c>
      <c r="F490" s="619">
        <v>-213158.76</v>
      </c>
      <c r="G490" s="619">
        <v>-319738.13</v>
      </c>
      <c r="H490" s="619">
        <v>-106491.88</v>
      </c>
      <c r="I490" s="619">
        <v>-212983.76</v>
      </c>
      <c r="J490" s="619">
        <v>-319475.63</v>
      </c>
      <c r="K490" s="619">
        <v>-106089.38</v>
      </c>
      <c r="L490" s="619">
        <v>-212178.76</v>
      </c>
      <c r="M490" s="619">
        <v>-318268.13</v>
      </c>
      <c r="N490" s="619">
        <v>-106045.63</v>
      </c>
      <c r="O490" s="619">
        <v>-212091.26</v>
      </c>
      <c r="P490" s="619">
        <v>-318136.88</v>
      </c>
      <c r="Q490" s="619">
        <v>-105936.25</v>
      </c>
      <c r="R490" s="619">
        <v>-211872.5</v>
      </c>
      <c r="S490" s="498">
        <f t="shared" si="124"/>
        <v>-212495.94333333333</v>
      </c>
      <c r="T490" s="620"/>
      <c r="U490" s="657"/>
      <c r="V490" s="690">
        <f t="shared" si="128"/>
        <v>-212495.94333333333</v>
      </c>
      <c r="W490" s="690"/>
      <c r="X490" s="713"/>
      <c r="Y490" s="690"/>
      <c r="Z490" s="690"/>
      <c r="AA490" s="657"/>
      <c r="AB490" s="690"/>
      <c r="AC490" s="658"/>
      <c r="AD490" s="659">
        <f t="shared" si="129"/>
        <v>-212495.94333333333</v>
      </c>
      <c r="AE490" s="658"/>
      <c r="AF490" s="688">
        <f t="shared" si="116"/>
        <v>0</v>
      </c>
    </row>
    <row r="491" spans="1:32">
      <c r="A491" s="620">
        <v>479</v>
      </c>
      <c r="B491" s="326" t="s">
        <v>977</v>
      </c>
      <c r="C491" s="326" t="s">
        <v>613</v>
      </c>
      <c r="D491" s="326" t="s">
        <v>477</v>
      </c>
      <c r="E491" s="605" t="s">
        <v>1699</v>
      </c>
      <c r="F491" s="619">
        <v>-260500</v>
      </c>
      <c r="G491" s="619">
        <v>-325625</v>
      </c>
      <c r="H491" s="619">
        <v>-390750</v>
      </c>
      <c r="I491" s="619">
        <v>-65125</v>
      </c>
      <c r="J491" s="619">
        <v>-130250</v>
      </c>
      <c r="K491" s="619">
        <v>-195375</v>
      </c>
      <c r="L491" s="619">
        <v>-260500</v>
      </c>
      <c r="M491" s="619">
        <v>-325625</v>
      </c>
      <c r="N491" s="619">
        <v>-390750</v>
      </c>
      <c r="O491" s="619">
        <v>-65125</v>
      </c>
      <c r="P491" s="619">
        <v>-130250</v>
      </c>
      <c r="Q491" s="619">
        <v>-195375</v>
      </c>
      <c r="R491" s="619">
        <v>-260500</v>
      </c>
      <c r="S491" s="498">
        <f t="shared" si="124"/>
        <v>-227937.5</v>
      </c>
      <c r="T491" s="620"/>
      <c r="U491" s="657"/>
      <c r="V491" s="690">
        <f t="shared" si="128"/>
        <v>-227937.5</v>
      </c>
      <c r="W491" s="690"/>
      <c r="X491" s="713"/>
      <c r="Y491" s="690"/>
      <c r="Z491" s="690"/>
      <c r="AA491" s="657"/>
      <c r="AB491" s="690"/>
      <c r="AC491" s="658"/>
      <c r="AD491" s="659">
        <f t="shared" si="129"/>
        <v>-227937.5</v>
      </c>
      <c r="AE491" s="658"/>
      <c r="AF491" s="688">
        <f t="shared" si="116"/>
        <v>0</v>
      </c>
    </row>
    <row r="492" spans="1:32">
      <c r="A492" s="620">
        <v>480</v>
      </c>
      <c r="B492" s="326" t="s">
        <v>977</v>
      </c>
      <c r="C492" s="326" t="s">
        <v>613</v>
      </c>
      <c r="D492" s="326" t="s">
        <v>479</v>
      </c>
      <c r="E492" s="605" t="s">
        <v>1700</v>
      </c>
      <c r="F492" s="619">
        <v>-772000</v>
      </c>
      <c r="G492" s="619">
        <v>-965000</v>
      </c>
      <c r="H492" s="619">
        <v>-1158000</v>
      </c>
      <c r="I492" s="619">
        <v>-193000</v>
      </c>
      <c r="J492" s="619">
        <v>-386000</v>
      </c>
      <c r="K492" s="619">
        <v>-579000</v>
      </c>
      <c r="L492" s="619">
        <v>-772000</v>
      </c>
      <c r="M492" s="619">
        <v>-965000</v>
      </c>
      <c r="N492" s="619">
        <v>-1158000</v>
      </c>
      <c r="O492" s="619">
        <v>-193000</v>
      </c>
      <c r="P492" s="619">
        <v>-386000</v>
      </c>
      <c r="Q492" s="619">
        <v>-579000</v>
      </c>
      <c r="R492" s="619">
        <v>-772000</v>
      </c>
      <c r="S492" s="498">
        <f t="shared" si="124"/>
        <v>-675500</v>
      </c>
      <c r="T492" s="620"/>
      <c r="U492" s="657"/>
      <c r="V492" s="690">
        <f t="shared" si="128"/>
        <v>-675500</v>
      </c>
      <c r="W492" s="690"/>
      <c r="X492" s="713"/>
      <c r="Y492" s="690"/>
      <c r="Z492" s="690"/>
      <c r="AA492" s="657"/>
      <c r="AB492" s="690"/>
      <c r="AC492" s="658"/>
      <c r="AD492" s="659">
        <f t="shared" si="129"/>
        <v>-675500</v>
      </c>
      <c r="AE492" s="658"/>
      <c r="AF492" s="688">
        <f t="shared" si="116"/>
        <v>0</v>
      </c>
    </row>
    <row r="493" spans="1:32">
      <c r="A493" s="620">
        <v>481</v>
      </c>
      <c r="B493" s="326" t="s">
        <v>977</v>
      </c>
      <c r="C493" s="326" t="s">
        <v>613</v>
      </c>
      <c r="D493" s="326" t="s">
        <v>481</v>
      </c>
      <c r="E493" s="605" t="s">
        <v>1701</v>
      </c>
      <c r="F493" s="619">
        <v>-342500</v>
      </c>
      <c r="G493" s="619">
        <v>-428125</v>
      </c>
      <c r="H493" s="619">
        <v>0</v>
      </c>
      <c r="I493" s="619">
        <v>-85625</v>
      </c>
      <c r="J493" s="619">
        <v>-171250</v>
      </c>
      <c r="K493" s="619">
        <v>-256875</v>
      </c>
      <c r="L493" s="619">
        <v>-342500</v>
      </c>
      <c r="M493" s="619">
        <v>-428125</v>
      </c>
      <c r="N493" s="619">
        <v>0</v>
      </c>
      <c r="O493" s="619">
        <v>-85625</v>
      </c>
      <c r="P493" s="619">
        <v>-171250</v>
      </c>
      <c r="Q493" s="619">
        <v>-256875</v>
      </c>
      <c r="R493" s="619">
        <v>-342500</v>
      </c>
      <c r="S493" s="498">
        <f t="shared" si="124"/>
        <v>-214062.5</v>
      </c>
      <c r="T493" s="620"/>
      <c r="U493" s="657"/>
      <c r="V493" s="690">
        <f t="shared" si="128"/>
        <v>-214062.5</v>
      </c>
      <c r="W493" s="690"/>
      <c r="X493" s="713"/>
      <c r="Y493" s="690"/>
      <c r="Z493" s="690"/>
      <c r="AA493" s="657"/>
      <c r="AB493" s="690"/>
      <c r="AC493" s="658"/>
      <c r="AD493" s="659">
        <f t="shared" si="129"/>
        <v>-214062.5</v>
      </c>
      <c r="AE493" s="658"/>
      <c r="AF493" s="688">
        <f t="shared" si="116"/>
        <v>0</v>
      </c>
    </row>
    <row r="494" spans="1:32">
      <c r="A494" s="620">
        <v>482</v>
      </c>
      <c r="B494" s="326" t="s">
        <v>977</v>
      </c>
      <c r="C494" s="326" t="s">
        <v>613</v>
      </c>
      <c r="D494" s="326" t="s">
        <v>483</v>
      </c>
      <c r="E494" s="605" t="s">
        <v>1702</v>
      </c>
      <c r="F494" s="619">
        <v>-363333.33</v>
      </c>
      <c r="G494" s="619">
        <v>-454166.66</v>
      </c>
      <c r="H494" s="619">
        <v>-5.8207660913467401E-11</v>
      </c>
      <c r="I494" s="619">
        <v>-90833.330000000104</v>
      </c>
      <c r="J494" s="619">
        <v>-181666.66</v>
      </c>
      <c r="K494" s="619">
        <v>-272500</v>
      </c>
      <c r="L494" s="619">
        <v>-363333.33</v>
      </c>
      <c r="M494" s="619">
        <v>-454166.66</v>
      </c>
      <c r="N494" s="619">
        <v>-1.16415321826935E-10</v>
      </c>
      <c r="O494" s="619">
        <v>-90833.330000000104</v>
      </c>
      <c r="P494" s="619">
        <v>-181666.66</v>
      </c>
      <c r="Q494" s="619">
        <v>-272500</v>
      </c>
      <c r="R494" s="619">
        <v>-363333.33</v>
      </c>
      <c r="S494" s="498">
        <f t="shared" si="124"/>
        <v>-227083.33</v>
      </c>
      <c r="T494" s="620"/>
      <c r="U494" s="657"/>
      <c r="V494" s="690">
        <f t="shared" si="128"/>
        <v>-227083.33</v>
      </c>
      <c r="W494" s="690"/>
      <c r="X494" s="713"/>
      <c r="Y494" s="690"/>
      <c r="Z494" s="690"/>
      <c r="AA494" s="657"/>
      <c r="AB494" s="690"/>
      <c r="AC494" s="658"/>
      <c r="AD494" s="659">
        <f t="shared" si="129"/>
        <v>-227083.33</v>
      </c>
      <c r="AE494" s="658"/>
      <c r="AF494" s="688">
        <f t="shared" si="116"/>
        <v>0</v>
      </c>
    </row>
    <row r="495" spans="1:32">
      <c r="A495" s="620">
        <v>483</v>
      </c>
      <c r="B495" s="326" t="s">
        <v>977</v>
      </c>
      <c r="C495" s="326" t="s">
        <v>613</v>
      </c>
      <c r="D495" s="326" t="s">
        <v>486</v>
      </c>
      <c r="E495" s="605" t="s">
        <v>1703</v>
      </c>
      <c r="F495" s="619">
        <v>-42604.17</v>
      </c>
      <c r="G495" s="619">
        <v>-85208.34</v>
      </c>
      <c r="H495" s="619">
        <v>-127812.5</v>
      </c>
      <c r="I495" s="619">
        <v>-170416.67</v>
      </c>
      <c r="J495" s="619">
        <v>-213020.84</v>
      </c>
      <c r="K495" s="619">
        <v>2.91038304567337E-11</v>
      </c>
      <c r="L495" s="619">
        <v>-42604.17</v>
      </c>
      <c r="M495" s="619">
        <v>-85208.34</v>
      </c>
      <c r="N495" s="619">
        <v>-127812.5</v>
      </c>
      <c r="O495" s="619">
        <v>-170416.67</v>
      </c>
      <c r="P495" s="619">
        <v>-213020.84</v>
      </c>
      <c r="Q495" s="619">
        <v>2.91038304567337E-11</v>
      </c>
      <c r="R495" s="619">
        <v>-42604.17</v>
      </c>
      <c r="S495" s="498">
        <f t="shared" si="124"/>
        <v>-106510.42</v>
      </c>
      <c r="T495" s="620"/>
      <c r="U495" s="657"/>
      <c r="V495" s="690">
        <f t="shared" si="128"/>
        <v>-106510.42</v>
      </c>
      <c r="W495" s="690"/>
      <c r="X495" s="713"/>
      <c r="Y495" s="690"/>
      <c r="Z495" s="690"/>
      <c r="AA495" s="657"/>
      <c r="AB495" s="690"/>
      <c r="AC495" s="658"/>
      <c r="AD495" s="659">
        <f t="shared" si="129"/>
        <v>-106510.42</v>
      </c>
      <c r="AE495" s="658"/>
      <c r="AF495" s="688">
        <f t="shared" si="116"/>
        <v>0</v>
      </c>
    </row>
    <row r="496" spans="1:32">
      <c r="A496" s="620">
        <v>484</v>
      </c>
      <c r="B496" s="326" t="s">
        <v>977</v>
      </c>
      <c r="C496" s="326" t="s">
        <v>613</v>
      </c>
      <c r="D496" s="326" t="s">
        <v>487</v>
      </c>
      <c r="E496" s="605" t="s">
        <v>1704</v>
      </c>
      <c r="F496" s="619">
        <v>-44166.67</v>
      </c>
      <c r="G496" s="619">
        <v>-88333.34</v>
      </c>
      <c r="H496" s="619">
        <v>-132500</v>
      </c>
      <c r="I496" s="619">
        <v>-176666.67</v>
      </c>
      <c r="J496" s="619">
        <v>-220833.34</v>
      </c>
      <c r="K496" s="619">
        <v>2.91038304567337E-11</v>
      </c>
      <c r="L496" s="619">
        <v>-44166.67</v>
      </c>
      <c r="M496" s="619">
        <v>-88333.34</v>
      </c>
      <c r="N496" s="619">
        <v>-132500</v>
      </c>
      <c r="O496" s="619">
        <v>-176666.67</v>
      </c>
      <c r="P496" s="619">
        <v>-220833.34</v>
      </c>
      <c r="Q496" s="619">
        <v>2.91038304567337E-11</v>
      </c>
      <c r="R496" s="619">
        <v>-44166.67</v>
      </c>
      <c r="S496" s="498">
        <f t="shared" si="124"/>
        <v>-110416.67</v>
      </c>
      <c r="T496" s="620"/>
      <c r="U496" s="657"/>
      <c r="V496" s="690">
        <f t="shared" si="128"/>
        <v>-110416.67</v>
      </c>
      <c r="W496" s="690"/>
      <c r="X496" s="713"/>
      <c r="Y496" s="690"/>
      <c r="Z496" s="690"/>
      <c r="AA496" s="657"/>
      <c r="AB496" s="690"/>
      <c r="AC496" s="658"/>
      <c r="AD496" s="659">
        <f t="shared" si="129"/>
        <v>-110416.67</v>
      </c>
      <c r="AE496" s="658"/>
      <c r="AF496" s="688">
        <f t="shared" si="116"/>
        <v>0</v>
      </c>
    </row>
    <row r="497" spans="1:32">
      <c r="A497" s="620">
        <v>485</v>
      </c>
      <c r="B497" s="326" t="s">
        <v>977</v>
      </c>
      <c r="C497" s="326" t="s">
        <v>613</v>
      </c>
      <c r="D497" s="326" t="s">
        <v>488</v>
      </c>
      <c r="E497" s="605" t="s">
        <v>1705</v>
      </c>
      <c r="F497" s="619">
        <v>-213020.83</v>
      </c>
      <c r="G497" s="619">
        <v>0</v>
      </c>
      <c r="H497" s="619">
        <v>-42604.17</v>
      </c>
      <c r="I497" s="619">
        <v>-85208.34</v>
      </c>
      <c r="J497" s="619">
        <v>-127812.5</v>
      </c>
      <c r="K497" s="619">
        <v>-170416.67</v>
      </c>
      <c r="L497" s="619">
        <v>-213020.84</v>
      </c>
      <c r="M497" s="619">
        <v>2.91038304567337E-11</v>
      </c>
      <c r="N497" s="619">
        <v>-42604.17</v>
      </c>
      <c r="O497" s="619">
        <v>-85208.34</v>
      </c>
      <c r="P497" s="619">
        <v>-127812.5</v>
      </c>
      <c r="Q497" s="619">
        <v>-170416.67</v>
      </c>
      <c r="R497" s="619">
        <v>-213020.84</v>
      </c>
      <c r="S497" s="498">
        <f t="shared" si="124"/>
        <v>-106510.41958333332</v>
      </c>
      <c r="T497" s="620"/>
      <c r="U497" s="657"/>
      <c r="V497" s="690">
        <f t="shared" si="128"/>
        <v>-106510.41958333332</v>
      </c>
      <c r="W497" s="690"/>
      <c r="X497" s="713"/>
      <c r="Y497" s="690"/>
      <c r="Z497" s="690"/>
      <c r="AA497" s="657"/>
      <c r="AB497" s="690"/>
      <c r="AC497" s="658"/>
      <c r="AD497" s="659">
        <f t="shared" si="129"/>
        <v>-106510.41958333332</v>
      </c>
      <c r="AE497" s="658"/>
      <c r="AF497" s="688">
        <f t="shared" si="116"/>
        <v>0</v>
      </c>
    </row>
    <row r="498" spans="1:32">
      <c r="A498" s="620">
        <v>486</v>
      </c>
      <c r="B498" s="326" t="s">
        <v>977</v>
      </c>
      <c r="C498" s="326" t="s">
        <v>613</v>
      </c>
      <c r="D498" s="326" t="s">
        <v>489</v>
      </c>
      <c r="E498" s="605" t="s">
        <v>1706</v>
      </c>
      <c r="F498" s="619">
        <v>-220833.33</v>
      </c>
      <c r="G498" s="619">
        <v>0</v>
      </c>
      <c r="H498" s="619">
        <v>-44166.67</v>
      </c>
      <c r="I498" s="619">
        <v>-88333.34</v>
      </c>
      <c r="J498" s="619">
        <v>-132500</v>
      </c>
      <c r="K498" s="619">
        <v>-176666.67</v>
      </c>
      <c r="L498" s="619">
        <v>-220833.34</v>
      </c>
      <c r="M498" s="619">
        <v>2.91038304567337E-11</v>
      </c>
      <c r="N498" s="619">
        <v>-44166.67</v>
      </c>
      <c r="O498" s="619">
        <v>-88333.34</v>
      </c>
      <c r="P498" s="619">
        <v>-132500</v>
      </c>
      <c r="Q498" s="619">
        <v>-176666.67</v>
      </c>
      <c r="R498" s="619">
        <v>-220833.34</v>
      </c>
      <c r="S498" s="498">
        <f t="shared" si="124"/>
        <v>-110416.66958333332</v>
      </c>
      <c r="T498" s="620"/>
      <c r="U498" s="657"/>
      <c r="V498" s="690">
        <f t="shared" si="128"/>
        <v>-110416.66958333332</v>
      </c>
      <c r="W498" s="690"/>
      <c r="X498" s="713"/>
      <c r="Y498" s="690"/>
      <c r="Z498" s="690"/>
      <c r="AA498" s="657"/>
      <c r="AB498" s="690"/>
      <c r="AC498" s="658"/>
      <c r="AD498" s="659">
        <f t="shared" si="129"/>
        <v>-110416.66958333332</v>
      </c>
      <c r="AE498" s="658"/>
      <c r="AF498" s="688">
        <f t="shared" si="116"/>
        <v>0</v>
      </c>
    </row>
    <row r="499" spans="1:32">
      <c r="A499" s="620">
        <v>487</v>
      </c>
      <c r="B499" s="326" t="s">
        <v>977</v>
      </c>
      <c r="C499" s="326" t="s">
        <v>613</v>
      </c>
      <c r="D499" s="326" t="s">
        <v>1889</v>
      </c>
      <c r="E499" s="605" t="s">
        <v>1930</v>
      </c>
      <c r="F499" s="619">
        <v>0</v>
      </c>
      <c r="G499" s="619">
        <v>0</v>
      </c>
      <c r="H499" s="619">
        <v>0</v>
      </c>
      <c r="I499" s="619">
        <v>0</v>
      </c>
      <c r="J499" s="619">
        <v>0</v>
      </c>
      <c r="K499" s="619">
        <v>0</v>
      </c>
      <c r="L499" s="619">
        <v>-75416.67</v>
      </c>
      <c r="M499" s="619">
        <v>-150833.34</v>
      </c>
      <c r="N499" s="619">
        <v>-226250</v>
      </c>
      <c r="O499" s="619">
        <v>-301666.67</v>
      </c>
      <c r="P499" s="619">
        <v>-377083.34</v>
      </c>
      <c r="Q499" s="619">
        <v>-452500</v>
      </c>
      <c r="R499" s="619">
        <v>-75416.67</v>
      </c>
      <c r="S499" s="498">
        <f t="shared" si="124"/>
        <v>-135121.52958333332</v>
      </c>
      <c r="T499" s="620"/>
      <c r="U499" s="657"/>
      <c r="V499" s="690">
        <f>+S499</f>
        <v>-135121.52958333332</v>
      </c>
      <c r="W499" s="690"/>
      <c r="X499" s="713"/>
      <c r="Y499" s="690"/>
      <c r="Z499" s="690"/>
      <c r="AA499" s="657"/>
      <c r="AB499" s="690"/>
      <c r="AC499" s="658"/>
      <c r="AD499" s="659">
        <f t="shared" si="129"/>
        <v>-135121.52958333332</v>
      </c>
      <c r="AE499" s="658"/>
      <c r="AF499" s="688">
        <f t="shared" si="116"/>
        <v>0</v>
      </c>
    </row>
    <row r="500" spans="1:32">
      <c r="A500" s="620">
        <v>488</v>
      </c>
      <c r="B500" s="326" t="s">
        <v>977</v>
      </c>
      <c r="C500" s="326" t="s">
        <v>613</v>
      </c>
      <c r="D500" s="326" t="s">
        <v>1891</v>
      </c>
      <c r="E500" s="605" t="s">
        <v>1931</v>
      </c>
      <c r="F500" s="619">
        <v>0</v>
      </c>
      <c r="G500" s="619">
        <v>0</v>
      </c>
      <c r="H500" s="619">
        <v>0</v>
      </c>
      <c r="I500" s="619">
        <v>0</v>
      </c>
      <c r="J500" s="619">
        <v>0</v>
      </c>
      <c r="K500" s="619">
        <v>0</v>
      </c>
      <c r="L500" s="619">
        <v>-63666.67</v>
      </c>
      <c r="M500" s="619">
        <v>-127333.34</v>
      </c>
      <c r="N500" s="619">
        <v>-191000</v>
      </c>
      <c r="O500" s="619">
        <v>-254666.67</v>
      </c>
      <c r="P500" s="619">
        <v>-318333.34000000003</v>
      </c>
      <c r="Q500" s="619">
        <v>-382000</v>
      </c>
      <c r="R500" s="619">
        <v>-63666.67</v>
      </c>
      <c r="S500" s="498">
        <f t="shared" si="124"/>
        <v>-114069.44624999999</v>
      </c>
      <c r="T500" s="620"/>
      <c r="U500" s="657"/>
      <c r="V500" s="690">
        <f>+S500</f>
        <v>-114069.44624999999</v>
      </c>
      <c r="W500" s="690"/>
      <c r="X500" s="713"/>
      <c r="Y500" s="690"/>
      <c r="Z500" s="690"/>
      <c r="AA500" s="657"/>
      <c r="AB500" s="690"/>
      <c r="AC500" s="658"/>
      <c r="AD500" s="659">
        <f t="shared" si="129"/>
        <v>-114069.44624999999</v>
      </c>
      <c r="AE500" s="658"/>
      <c r="AF500" s="688">
        <f t="shared" si="116"/>
        <v>0</v>
      </c>
    </row>
    <row r="501" spans="1:32">
      <c r="A501" s="620">
        <v>489</v>
      </c>
      <c r="B501" s="326" t="s">
        <v>977</v>
      </c>
      <c r="C501" s="326" t="s">
        <v>613</v>
      </c>
      <c r="D501" s="326" t="s">
        <v>1893</v>
      </c>
      <c r="E501" s="605" t="s">
        <v>1932</v>
      </c>
      <c r="F501" s="619">
        <v>0</v>
      </c>
      <c r="G501" s="619">
        <v>0</v>
      </c>
      <c r="H501" s="619">
        <v>0</v>
      </c>
      <c r="I501" s="619">
        <v>0</v>
      </c>
      <c r="J501" s="619">
        <v>0</v>
      </c>
      <c r="K501" s="619">
        <v>0</v>
      </c>
      <c r="L501" s="619">
        <v>-106500</v>
      </c>
      <c r="M501" s="619">
        <v>-213000</v>
      </c>
      <c r="N501" s="619">
        <v>-319500</v>
      </c>
      <c r="O501" s="619">
        <v>-426000</v>
      </c>
      <c r="P501" s="619">
        <v>-532500</v>
      </c>
      <c r="Q501" s="619">
        <v>-639000</v>
      </c>
      <c r="R501" s="619">
        <v>-106500</v>
      </c>
      <c r="S501" s="498">
        <f t="shared" si="124"/>
        <v>-190812.5</v>
      </c>
      <c r="T501" s="620"/>
      <c r="U501" s="657"/>
      <c r="V501" s="690">
        <f>+S501</f>
        <v>-190812.5</v>
      </c>
      <c r="W501" s="690"/>
      <c r="X501" s="713"/>
      <c r="Y501" s="690"/>
      <c r="Z501" s="690"/>
      <c r="AA501" s="657"/>
      <c r="AB501" s="690"/>
      <c r="AC501" s="658"/>
      <c r="AD501" s="659">
        <f t="shared" si="129"/>
        <v>-190812.5</v>
      </c>
      <c r="AE501" s="658"/>
      <c r="AF501" s="688">
        <f t="shared" si="116"/>
        <v>0</v>
      </c>
    </row>
    <row r="502" spans="1:32">
      <c r="A502" s="620">
        <v>490</v>
      </c>
      <c r="B502" s="326" t="s">
        <v>977</v>
      </c>
      <c r="C502" s="326" t="s">
        <v>1933</v>
      </c>
      <c r="D502" s="326" t="s">
        <v>380</v>
      </c>
      <c r="E502" s="605" t="s">
        <v>1934</v>
      </c>
      <c r="F502" s="619">
        <v>0</v>
      </c>
      <c r="G502" s="619">
        <v>-34533.33</v>
      </c>
      <c r="H502" s="619">
        <v>-103337.65</v>
      </c>
      <c r="I502" s="619">
        <v>-31325.55</v>
      </c>
      <c r="J502" s="619">
        <v>-127122.09</v>
      </c>
      <c r="K502" s="619">
        <v>-55447.77</v>
      </c>
      <c r="L502" s="619">
        <v>-18947.86</v>
      </c>
      <c r="M502" s="619">
        <v>-21537.69</v>
      </c>
      <c r="N502" s="619">
        <v>-23703.39</v>
      </c>
      <c r="O502" s="619">
        <v>-19801.3</v>
      </c>
      <c r="P502" s="619">
        <v>-20648.900000000001</v>
      </c>
      <c r="Q502" s="619">
        <v>-12266.68</v>
      </c>
      <c r="R502" s="619">
        <v>-9.9999999874853494E-3</v>
      </c>
      <c r="S502" s="498">
        <f t="shared" si="124"/>
        <v>-39056.017916666671</v>
      </c>
      <c r="T502" s="620"/>
      <c r="U502" s="657"/>
      <c r="V502" s="690">
        <f>+S502</f>
        <v>-39056.017916666671</v>
      </c>
      <c r="W502" s="690"/>
      <c r="X502" s="713"/>
      <c r="Y502" s="690"/>
      <c r="Z502" s="690"/>
      <c r="AA502" s="657"/>
      <c r="AB502" s="690"/>
      <c r="AC502" s="658"/>
      <c r="AD502" s="659">
        <f>+S502</f>
        <v>-39056.017916666671</v>
      </c>
      <c r="AE502" s="658"/>
      <c r="AF502" s="688">
        <f t="shared" si="116"/>
        <v>0</v>
      </c>
    </row>
    <row r="503" spans="1:32">
      <c r="A503" s="620">
        <v>491</v>
      </c>
      <c r="B503" s="326" t="s">
        <v>977</v>
      </c>
      <c r="C503" s="326" t="s">
        <v>613</v>
      </c>
      <c r="D503" s="326" t="s">
        <v>1137</v>
      </c>
      <c r="E503" s="605" t="s">
        <v>1431</v>
      </c>
      <c r="F503" s="619">
        <v>-3.6379788070917101E-12</v>
      </c>
      <c r="G503" s="619">
        <v>-8072.92</v>
      </c>
      <c r="H503" s="619">
        <v>-15364.59</v>
      </c>
      <c r="I503" s="619">
        <v>-520.84</v>
      </c>
      <c r="J503" s="619">
        <v>-8333.34</v>
      </c>
      <c r="K503" s="619">
        <v>-16406.259999999998</v>
      </c>
      <c r="L503" s="619">
        <v>-520.85000000000196</v>
      </c>
      <c r="M503" s="619">
        <v>-11284.74</v>
      </c>
      <c r="N503" s="619">
        <v>-22048.63</v>
      </c>
      <c r="O503" s="619">
        <v>0</v>
      </c>
      <c r="P503" s="619">
        <v>-10763.89</v>
      </c>
      <c r="Q503" s="619">
        <v>-21180.560000000001</v>
      </c>
      <c r="R503" s="619">
        <v>3.6379788070917101E-12</v>
      </c>
      <c r="S503" s="498">
        <f t="shared" si="124"/>
        <v>-9541.3850000000002</v>
      </c>
      <c r="T503" s="620"/>
      <c r="U503" s="657"/>
      <c r="V503" s="690">
        <f t="shared" si="128"/>
        <v>-9541.3850000000002</v>
      </c>
      <c r="W503" s="690"/>
      <c r="X503" s="713"/>
      <c r="Y503" s="690"/>
      <c r="Z503" s="690"/>
      <c r="AA503" s="657"/>
      <c r="AB503" s="690"/>
      <c r="AC503" s="658"/>
      <c r="AD503" s="659">
        <f t="shared" si="129"/>
        <v>-9541.3850000000002</v>
      </c>
      <c r="AE503" s="658"/>
      <c r="AF503" s="688">
        <f t="shared" si="116"/>
        <v>0</v>
      </c>
    </row>
    <row r="504" spans="1:32">
      <c r="A504" s="620">
        <v>492</v>
      </c>
      <c r="B504" s="326" t="s">
        <v>977</v>
      </c>
      <c r="C504" s="326" t="s">
        <v>613</v>
      </c>
      <c r="D504" s="326" t="s">
        <v>1211</v>
      </c>
      <c r="E504" s="605" t="s">
        <v>1432</v>
      </c>
      <c r="F504" s="619">
        <v>-43049.35</v>
      </c>
      <c r="G504" s="619">
        <v>-164373.76000000001</v>
      </c>
      <c r="H504" s="619">
        <v>-258762.12</v>
      </c>
      <c r="I504" s="619">
        <v>-59583.81</v>
      </c>
      <c r="J504" s="619">
        <v>-101923.77</v>
      </c>
      <c r="K504" s="619">
        <v>-278228.28000000003</v>
      </c>
      <c r="L504" s="619">
        <v>-5006.5</v>
      </c>
      <c r="M504" s="619">
        <v>-49420.89</v>
      </c>
      <c r="N504" s="619">
        <v>-125360.98</v>
      </c>
      <c r="O504" s="619">
        <v>-6581.11</v>
      </c>
      <c r="P504" s="619">
        <v>-22372.26</v>
      </c>
      <c r="Q504" s="619">
        <v>-73841.429999999993</v>
      </c>
      <c r="R504" s="619">
        <v>-16790.72</v>
      </c>
      <c r="S504" s="498">
        <f t="shared" si="124"/>
        <v>-97947.912083333315</v>
      </c>
      <c r="T504" s="620"/>
      <c r="U504" s="657"/>
      <c r="V504" s="690">
        <f t="shared" si="128"/>
        <v>-97947.912083333315</v>
      </c>
      <c r="W504" s="690"/>
      <c r="X504" s="713"/>
      <c r="Y504" s="690"/>
      <c r="Z504" s="690"/>
      <c r="AA504" s="657"/>
      <c r="AB504" s="690"/>
      <c r="AC504" s="658"/>
      <c r="AD504" s="659">
        <f t="shared" si="129"/>
        <v>-97947.912083333315</v>
      </c>
      <c r="AE504" s="658"/>
      <c r="AF504" s="688">
        <f t="shared" si="116"/>
        <v>0</v>
      </c>
    </row>
    <row r="505" spans="1:32">
      <c r="A505" s="620">
        <v>493</v>
      </c>
      <c r="B505" s="326" t="s">
        <v>977</v>
      </c>
      <c r="C505" s="326" t="s">
        <v>614</v>
      </c>
      <c r="D505" s="326" t="s">
        <v>526</v>
      </c>
      <c r="E505" s="605" t="s">
        <v>1710</v>
      </c>
      <c r="F505" s="619">
        <v>-1772825.1</v>
      </c>
      <c r="G505" s="619">
        <v>-2115086.0499999998</v>
      </c>
      <c r="H505" s="619">
        <v>-2114803.94</v>
      </c>
      <c r="I505" s="619">
        <v>-1186420.8400000001</v>
      </c>
      <c r="J505" s="619">
        <v>-1422780.04</v>
      </c>
      <c r="K505" s="619">
        <v>-1743994.17</v>
      </c>
      <c r="L505" s="619">
        <v>-1795389.35</v>
      </c>
      <c r="M505" s="619">
        <v>-2076333.56</v>
      </c>
      <c r="N505" s="619">
        <v>-1157908.2</v>
      </c>
      <c r="O505" s="619">
        <v>-1273699.3500000001</v>
      </c>
      <c r="P505" s="619">
        <v>-1610170.17</v>
      </c>
      <c r="Q505" s="619">
        <v>-1699953.15</v>
      </c>
      <c r="R505" s="619">
        <v>-1925850.86</v>
      </c>
      <c r="S505" s="498">
        <f t="shared" si="124"/>
        <v>-1670489.7333333332</v>
      </c>
      <c r="T505" s="620"/>
      <c r="U505" s="657"/>
      <c r="V505" s="690">
        <f t="shared" si="128"/>
        <v>-1670489.7333333332</v>
      </c>
      <c r="W505" s="690"/>
      <c r="X505" s="713"/>
      <c r="Y505" s="690"/>
      <c r="Z505" s="690"/>
      <c r="AA505" s="657"/>
      <c r="AB505" s="690"/>
      <c r="AC505" s="658"/>
      <c r="AD505" s="659">
        <f t="shared" si="129"/>
        <v>-1670489.7333333332</v>
      </c>
      <c r="AE505" s="658"/>
      <c r="AF505" s="688">
        <f t="shared" si="116"/>
        <v>0</v>
      </c>
    </row>
    <row r="506" spans="1:32">
      <c r="A506" s="620">
        <v>494</v>
      </c>
      <c r="B506" s="326" t="s">
        <v>977</v>
      </c>
      <c r="C506" s="326" t="s">
        <v>614</v>
      </c>
      <c r="D506" s="326" t="s">
        <v>561</v>
      </c>
      <c r="E506" s="605" t="s">
        <v>1711</v>
      </c>
      <c r="F506" s="619">
        <v>-982534</v>
      </c>
      <c r="G506" s="619">
        <v>-1089641.1399999999</v>
      </c>
      <c r="H506" s="619">
        <v>-222918.25</v>
      </c>
      <c r="I506" s="619">
        <v>-319418.82</v>
      </c>
      <c r="J506" s="619">
        <v>-418641.64</v>
      </c>
      <c r="K506" s="619">
        <v>-587312.63</v>
      </c>
      <c r="L506" s="619">
        <v>-716302.53</v>
      </c>
      <c r="M506" s="619">
        <v>-855958.61</v>
      </c>
      <c r="N506" s="619">
        <v>-985702.15</v>
      </c>
      <c r="O506" s="619">
        <v>-1110814.1299999999</v>
      </c>
      <c r="P506" s="619">
        <v>-1351211.96</v>
      </c>
      <c r="Q506" s="619">
        <v>-1798248.89</v>
      </c>
      <c r="R506" s="619">
        <v>-1697134.42</v>
      </c>
      <c r="S506" s="498">
        <f t="shared" si="124"/>
        <v>-899667.08000000007</v>
      </c>
      <c r="T506" s="620"/>
      <c r="U506" s="657"/>
      <c r="V506" s="690">
        <f t="shared" si="128"/>
        <v>-899667.08000000007</v>
      </c>
      <c r="W506" s="690"/>
      <c r="X506" s="713"/>
      <c r="Y506" s="690"/>
      <c r="Z506" s="690"/>
      <c r="AA506" s="657"/>
      <c r="AB506" s="690"/>
      <c r="AC506" s="658"/>
      <c r="AD506" s="659">
        <f t="shared" si="129"/>
        <v>-899667.08000000007</v>
      </c>
      <c r="AE506" s="658"/>
      <c r="AF506" s="688">
        <f t="shared" si="116"/>
        <v>0</v>
      </c>
    </row>
    <row r="507" spans="1:32">
      <c r="A507" s="620">
        <v>495</v>
      </c>
      <c r="B507" s="326" t="s">
        <v>977</v>
      </c>
      <c r="C507" s="326" t="s">
        <v>615</v>
      </c>
      <c r="D507" s="326" t="s">
        <v>1181</v>
      </c>
      <c r="E507" s="605" t="s">
        <v>1707</v>
      </c>
      <c r="F507" s="619">
        <v>-6948083.4400000004</v>
      </c>
      <c r="G507" s="619">
        <v>-99160</v>
      </c>
      <c r="H507" s="619">
        <v>-99160</v>
      </c>
      <c r="I507" s="619">
        <v>0</v>
      </c>
      <c r="J507" s="619">
        <v>0</v>
      </c>
      <c r="K507" s="619">
        <v>0</v>
      </c>
      <c r="L507" s="619">
        <v>-156910</v>
      </c>
      <c r="M507" s="619">
        <v>-130758.33</v>
      </c>
      <c r="N507" s="619">
        <v>-104606.66</v>
      </c>
      <c r="O507" s="619">
        <v>-121320</v>
      </c>
      <c r="P507" s="619">
        <v>-121320</v>
      </c>
      <c r="Q507" s="619">
        <v>0</v>
      </c>
      <c r="R507" s="619">
        <v>-219560</v>
      </c>
      <c r="S507" s="498">
        <f t="shared" si="124"/>
        <v>-368088.05916666664</v>
      </c>
      <c r="T507" s="620"/>
      <c r="U507" s="657"/>
      <c r="V507" s="690">
        <f t="shared" si="128"/>
        <v>-368088.05916666664</v>
      </c>
      <c r="W507" s="690"/>
      <c r="X507" s="713"/>
      <c r="Y507" s="690"/>
      <c r="Z507" s="690"/>
      <c r="AA507" s="657"/>
      <c r="AB507" s="690"/>
      <c r="AC507" s="658"/>
      <c r="AD507" s="659">
        <f t="shared" si="129"/>
        <v>-368088.05916666664</v>
      </c>
      <c r="AE507" s="658"/>
      <c r="AF507" s="688">
        <f t="shared" si="116"/>
        <v>0</v>
      </c>
    </row>
    <row r="508" spans="1:32">
      <c r="A508" s="620">
        <v>496</v>
      </c>
      <c r="B508" s="326" t="s">
        <v>1874</v>
      </c>
      <c r="C508" s="326" t="s">
        <v>615</v>
      </c>
      <c r="D508" s="326" t="s">
        <v>1137</v>
      </c>
      <c r="E508" s="605" t="s">
        <v>1707</v>
      </c>
      <c r="F508" s="619">
        <v>0</v>
      </c>
      <c r="G508" s="619">
        <v>-713994.61</v>
      </c>
      <c r="H508" s="619">
        <v>0</v>
      </c>
      <c r="I508" s="619">
        <v>0</v>
      </c>
      <c r="J508" s="619">
        <v>0</v>
      </c>
      <c r="K508" s="619">
        <v>0</v>
      </c>
      <c r="L508" s="619">
        <v>0</v>
      </c>
      <c r="M508" s="619">
        <v>0</v>
      </c>
      <c r="N508" s="619">
        <v>-72840.87</v>
      </c>
      <c r="O508" s="619">
        <v>0</v>
      </c>
      <c r="P508" s="619">
        <v>-125578.49</v>
      </c>
      <c r="Q508" s="619">
        <v>-525780</v>
      </c>
      <c r="R508" s="619">
        <v>0</v>
      </c>
      <c r="S508" s="498">
        <f t="shared" si="124"/>
        <v>-119849.4975</v>
      </c>
      <c r="T508" s="620"/>
      <c r="U508" s="657"/>
      <c r="V508" s="690">
        <f>+S508</f>
        <v>-119849.4975</v>
      </c>
      <c r="W508" s="690"/>
      <c r="X508" s="713"/>
      <c r="Y508" s="690"/>
      <c r="Z508" s="690"/>
      <c r="AA508" s="657"/>
      <c r="AB508" s="690"/>
      <c r="AC508" s="658"/>
      <c r="AD508" s="659">
        <f t="shared" si="129"/>
        <v>-119849.4975</v>
      </c>
      <c r="AE508" s="658"/>
      <c r="AF508" s="688">
        <f t="shared" si="116"/>
        <v>0</v>
      </c>
    </row>
    <row r="509" spans="1:32">
      <c r="A509" s="620">
        <v>497</v>
      </c>
      <c r="B509" s="326" t="s">
        <v>1874</v>
      </c>
      <c r="C509" s="326" t="s">
        <v>615</v>
      </c>
      <c r="D509" s="326" t="s">
        <v>1881</v>
      </c>
      <c r="E509" s="605" t="s">
        <v>1707</v>
      </c>
      <c r="F509" s="619">
        <v>0</v>
      </c>
      <c r="G509" s="619">
        <v>-1894417.12</v>
      </c>
      <c r="H509" s="619">
        <v>-997396.76</v>
      </c>
      <c r="I509" s="619">
        <v>-2760740.36</v>
      </c>
      <c r="J509" s="619">
        <v>-3565589.79</v>
      </c>
      <c r="K509" s="619">
        <v>-3293283.16</v>
      </c>
      <c r="L509" s="619">
        <v>-3491847.81</v>
      </c>
      <c r="M509" s="619">
        <v>-3678346.64</v>
      </c>
      <c r="N509" s="619">
        <v>-3668579.89</v>
      </c>
      <c r="O509" s="619">
        <v>-3989647.66</v>
      </c>
      <c r="P509" s="619">
        <v>-4882069.3600000003</v>
      </c>
      <c r="Q509" s="619">
        <v>-5803500.46</v>
      </c>
      <c r="R509" s="619">
        <v>-4864687.42</v>
      </c>
      <c r="S509" s="498">
        <f t="shared" si="124"/>
        <v>-3371480.2266666666</v>
      </c>
      <c r="T509" s="620"/>
      <c r="U509" s="657"/>
      <c r="V509" s="690">
        <f t="shared" ref="V509:V510" si="130">+S509</f>
        <v>-3371480.2266666666</v>
      </c>
      <c r="W509" s="690"/>
      <c r="X509" s="713"/>
      <c r="Y509" s="690"/>
      <c r="Z509" s="690"/>
      <c r="AA509" s="657"/>
      <c r="AB509" s="690"/>
      <c r="AC509" s="658"/>
      <c r="AD509" s="659">
        <f t="shared" si="129"/>
        <v>-3371480.2266666666</v>
      </c>
      <c r="AE509" s="658"/>
      <c r="AF509" s="688"/>
    </row>
    <row r="510" spans="1:32">
      <c r="A510" s="620">
        <v>498</v>
      </c>
      <c r="B510" s="326" t="s">
        <v>1874</v>
      </c>
      <c r="C510" s="326" t="s">
        <v>615</v>
      </c>
      <c r="D510" s="326" t="s">
        <v>1883</v>
      </c>
      <c r="E510" s="605" t="s">
        <v>1707</v>
      </c>
      <c r="F510" s="619">
        <v>0</v>
      </c>
      <c r="G510" s="619">
        <v>-8157943.2599999998</v>
      </c>
      <c r="H510" s="619">
        <v>-3636088.48</v>
      </c>
      <c r="I510" s="619">
        <v>-8684567.4199999999</v>
      </c>
      <c r="J510" s="619">
        <v>-7979296.3799999999</v>
      </c>
      <c r="K510" s="619">
        <v>-8166425.1600000001</v>
      </c>
      <c r="L510" s="619">
        <v>-8625732.5</v>
      </c>
      <c r="M510" s="619">
        <v>-9476818.3599999994</v>
      </c>
      <c r="N510" s="619">
        <v>-9878731.6199999992</v>
      </c>
      <c r="O510" s="619">
        <v>-10734957.460000001</v>
      </c>
      <c r="P510" s="619">
        <v>-11316705.210000001</v>
      </c>
      <c r="Q510" s="619">
        <v>-11092668.49</v>
      </c>
      <c r="R510" s="619">
        <v>-9808230.1500000004</v>
      </c>
      <c r="S510" s="498">
        <f t="shared" si="124"/>
        <v>-8554504.117916666</v>
      </c>
      <c r="T510" s="620"/>
      <c r="U510" s="657"/>
      <c r="V510" s="690">
        <f t="shared" si="130"/>
        <v>-8554504.117916666</v>
      </c>
      <c r="W510" s="690"/>
      <c r="X510" s="713"/>
      <c r="Y510" s="690"/>
      <c r="Z510" s="690"/>
      <c r="AA510" s="657"/>
      <c r="AB510" s="690"/>
      <c r="AC510" s="658"/>
      <c r="AD510" s="659">
        <f t="shared" si="129"/>
        <v>-8554504.117916666</v>
      </c>
      <c r="AE510" s="658"/>
      <c r="AF510" s="688"/>
    </row>
    <row r="511" spans="1:32">
      <c r="A511" s="620">
        <v>499</v>
      </c>
      <c r="B511" s="326" t="s">
        <v>977</v>
      </c>
      <c r="C511" s="326" t="s">
        <v>615</v>
      </c>
      <c r="D511" s="326" t="s">
        <v>1224</v>
      </c>
      <c r="E511" s="605" t="s">
        <v>1708</v>
      </c>
      <c r="F511" s="619">
        <v>-69203.53</v>
      </c>
      <c r="G511" s="619">
        <v>-28362.46</v>
      </c>
      <c r="H511" s="619">
        <v>-56724.92</v>
      </c>
      <c r="I511" s="619">
        <v>-79779.47</v>
      </c>
      <c r="J511" s="619">
        <v>-34180.089999999997</v>
      </c>
      <c r="K511" s="619">
        <v>-57234.64</v>
      </c>
      <c r="L511" s="619">
        <v>-80289.19</v>
      </c>
      <c r="M511" s="619">
        <v>-34689.81</v>
      </c>
      <c r="N511" s="619">
        <v>-57744.36</v>
      </c>
      <c r="O511" s="619">
        <v>-80798.91</v>
      </c>
      <c r="P511" s="619">
        <v>-35199.53</v>
      </c>
      <c r="Q511" s="619">
        <v>-58254.080000000002</v>
      </c>
      <c r="R511" s="619">
        <v>0</v>
      </c>
      <c r="S511" s="498">
        <f t="shared" si="124"/>
        <v>-53154.935416666667</v>
      </c>
      <c r="T511" s="620"/>
      <c r="U511" s="657"/>
      <c r="V511" s="690">
        <f t="shared" si="128"/>
        <v>-53154.935416666667</v>
      </c>
      <c r="W511" s="690"/>
      <c r="X511" s="713"/>
      <c r="Y511" s="690"/>
      <c r="Z511" s="690"/>
      <c r="AA511" s="657"/>
      <c r="AB511" s="690"/>
      <c r="AC511" s="658"/>
      <c r="AD511" s="659">
        <f t="shared" si="129"/>
        <v>-53154.935416666667</v>
      </c>
      <c r="AE511" s="658"/>
      <c r="AF511" s="688">
        <f t="shared" si="116"/>
        <v>0</v>
      </c>
    </row>
    <row r="512" spans="1:32">
      <c r="A512" s="620">
        <v>500</v>
      </c>
      <c r="B512" s="326" t="s">
        <v>977</v>
      </c>
      <c r="C512" s="326" t="s">
        <v>615</v>
      </c>
      <c r="D512" s="326" t="s">
        <v>1225</v>
      </c>
      <c r="E512" s="605" t="s">
        <v>1709</v>
      </c>
      <c r="F512" s="619">
        <v>-577471</v>
      </c>
      <c r="G512" s="619">
        <v>-577471</v>
      </c>
      <c r="H512" s="619">
        <v>-577471</v>
      </c>
      <c r="I512" s="619">
        <v>-577471</v>
      </c>
      <c r="J512" s="619">
        <v>-577471</v>
      </c>
      <c r="K512" s="619">
        <v>-577471</v>
      </c>
      <c r="L512" s="619">
        <v>-577471</v>
      </c>
      <c r="M512" s="619">
        <v>-577471</v>
      </c>
      <c r="N512" s="619">
        <v>-577471</v>
      </c>
      <c r="O512" s="619">
        <v>-577471</v>
      </c>
      <c r="P512" s="619">
        <v>-577471</v>
      </c>
      <c r="Q512" s="619">
        <v>-577471</v>
      </c>
      <c r="R512" s="619">
        <v>-554325</v>
      </c>
      <c r="S512" s="498">
        <f t="shared" si="124"/>
        <v>-576506.58333333337</v>
      </c>
      <c r="T512" s="620"/>
      <c r="U512" s="657"/>
      <c r="V512" s="690">
        <f t="shared" si="128"/>
        <v>-576506.58333333337</v>
      </c>
      <c r="W512" s="690"/>
      <c r="X512" s="713"/>
      <c r="Y512" s="690"/>
      <c r="Z512" s="690"/>
      <c r="AA512" s="657"/>
      <c r="AB512" s="690"/>
      <c r="AC512" s="658"/>
      <c r="AD512" s="659">
        <f t="shared" si="129"/>
        <v>-576506.58333333337</v>
      </c>
      <c r="AE512" s="658"/>
      <c r="AF512" s="688">
        <f t="shared" si="116"/>
        <v>0</v>
      </c>
    </row>
    <row r="513" spans="1:32">
      <c r="A513" s="620">
        <v>502</v>
      </c>
      <c r="B513" s="326" t="s">
        <v>977</v>
      </c>
      <c r="C513" s="326" t="s">
        <v>616</v>
      </c>
      <c r="D513" s="326" t="s">
        <v>526</v>
      </c>
      <c r="E513" s="605" t="s">
        <v>617</v>
      </c>
      <c r="F513" s="619">
        <v>-2189962.41</v>
      </c>
      <c r="G513" s="619">
        <v>-2198277.29</v>
      </c>
      <c r="H513" s="619">
        <v>-2204143.64</v>
      </c>
      <c r="I513" s="619">
        <v>-2095013.38</v>
      </c>
      <c r="J513" s="619">
        <v>-2101426.5499999998</v>
      </c>
      <c r="K513" s="619">
        <v>-2108128.67</v>
      </c>
      <c r="L513" s="619">
        <v>-2020123.2</v>
      </c>
      <c r="M513" s="619">
        <v>-1998084.12</v>
      </c>
      <c r="N513" s="619">
        <v>-2003884.61</v>
      </c>
      <c r="O513" s="619">
        <v>-2008086.09</v>
      </c>
      <c r="P513" s="619">
        <v>-1996777.14</v>
      </c>
      <c r="Q513" s="619">
        <v>-1994703.23</v>
      </c>
      <c r="R513" s="619">
        <v>-2137261.0299999998</v>
      </c>
      <c r="S513" s="498">
        <f t="shared" si="124"/>
        <v>-2074354.9699999997</v>
      </c>
      <c r="T513" s="620"/>
      <c r="U513" s="657"/>
      <c r="V513" s="690">
        <f t="shared" si="128"/>
        <v>-2074354.9699999997</v>
      </c>
      <c r="W513" s="690"/>
      <c r="X513" s="713"/>
      <c r="Y513" s="690"/>
      <c r="Z513" s="690"/>
      <c r="AA513" s="657"/>
      <c r="AB513" s="690"/>
      <c r="AC513" s="658"/>
      <c r="AD513" s="659">
        <f t="shared" si="129"/>
        <v>-2074354.9699999997</v>
      </c>
      <c r="AE513" s="658"/>
      <c r="AF513" s="688">
        <f t="shared" si="116"/>
        <v>0</v>
      </c>
    </row>
    <row r="514" spans="1:32">
      <c r="A514" s="620">
        <v>503</v>
      </c>
      <c r="B514" s="326" t="s">
        <v>977</v>
      </c>
      <c r="C514" s="326" t="s">
        <v>1433</v>
      </c>
      <c r="D514" s="326" t="s">
        <v>380</v>
      </c>
      <c r="E514" s="605" t="s">
        <v>449</v>
      </c>
      <c r="F514" s="619">
        <v>-727822.38</v>
      </c>
      <c r="G514" s="619">
        <v>-306376.63</v>
      </c>
      <c r="H514" s="619">
        <v>-2912373.68</v>
      </c>
      <c r="I514" s="619">
        <v>4.65661287307739E-10</v>
      </c>
      <c r="J514" s="619">
        <v>-38913.8299999995</v>
      </c>
      <c r="K514" s="619">
        <v>-316739.25</v>
      </c>
      <c r="L514" s="619">
        <v>-21728.059999999499</v>
      </c>
      <c r="M514" s="619">
        <v>-317082.17</v>
      </c>
      <c r="N514" s="619">
        <v>-397858.57999999903</v>
      </c>
      <c r="O514" s="619">
        <v>-392578.57999999903</v>
      </c>
      <c r="P514" s="619">
        <v>-521056.76999999903</v>
      </c>
      <c r="Q514" s="619">
        <v>-556557.049999999</v>
      </c>
      <c r="R514" s="619">
        <v>5.8207660913467397E-10</v>
      </c>
      <c r="S514" s="498">
        <f t="shared" si="124"/>
        <v>-512097.98249999946</v>
      </c>
      <c r="T514" s="620"/>
      <c r="U514" s="657"/>
      <c r="V514" s="690">
        <f t="shared" si="128"/>
        <v>-512097.98249999946</v>
      </c>
      <c r="W514" s="690"/>
      <c r="X514" s="713"/>
      <c r="Y514" s="690"/>
      <c r="Z514" s="690"/>
      <c r="AA514" s="657"/>
      <c r="AB514" s="690"/>
      <c r="AC514" s="658"/>
      <c r="AD514" s="659">
        <f t="shared" si="129"/>
        <v>-512097.98249999946</v>
      </c>
      <c r="AE514" s="658"/>
      <c r="AF514" s="688">
        <f t="shared" ref="AF514:AF579" si="131">+U514+V514-AD514</f>
        <v>0</v>
      </c>
    </row>
    <row r="515" spans="1:32">
      <c r="A515" s="620">
        <v>504</v>
      </c>
      <c r="B515" s="326" t="s">
        <v>977</v>
      </c>
      <c r="C515" s="326" t="s">
        <v>618</v>
      </c>
      <c r="D515" s="326" t="s">
        <v>1226</v>
      </c>
      <c r="E515" s="605" t="s">
        <v>1715</v>
      </c>
      <c r="F515" s="619">
        <v>-106849.59</v>
      </c>
      <c r="G515" s="619">
        <v>-117137.12</v>
      </c>
      <c r="H515" s="619">
        <v>-125259.76</v>
      </c>
      <c r="I515" s="619">
        <v>-131876.07</v>
      </c>
      <c r="J515" s="619">
        <v>-126017.66</v>
      </c>
      <c r="K515" s="619">
        <v>-120338.22</v>
      </c>
      <c r="L515" s="619">
        <v>-116433.17</v>
      </c>
      <c r="M515" s="619">
        <v>-113259.31</v>
      </c>
      <c r="N515" s="619">
        <v>-111859.15</v>
      </c>
      <c r="O515" s="619">
        <v>-112447.41</v>
      </c>
      <c r="P515" s="619">
        <v>-110389.27</v>
      </c>
      <c r="Q515" s="619">
        <v>-106869.38</v>
      </c>
      <c r="R515" s="619">
        <v>-115735.99</v>
      </c>
      <c r="S515" s="498">
        <f t="shared" si="124"/>
        <v>-116931.60916666668</v>
      </c>
      <c r="T515" s="620"/>
      <c r="U515" s="657"/>
      <c r="V515" s="690">
        <f t="shared" si="128"/>
        <v>-116931.60916666668</v>
      </c>
      <c r="W515" s="690"/>
      <c r="X515" s="713"/>
      <c r="Y515" s="690"/>
      <c r="Z515" s="690"/>
      <c r="AA515" s="657"/>
      <c r="AB515" s="690"/>
      <c r="AC515" s="658"/>
      <c r="AD515" s="659">
        <f t="shared" si="129"/>
        <v>-116931.60916666668</v>
      </c>
      <c r="AE515" s="658"/>
      <c r="AF515" s="688">
        <f t="shared" si="131"/>
        <v>0</v>
      </c>
    </row>
    <row r="516" spans="1:32">
      <c r="A516" s="620">
        <v>505</v>
      </c>
      <c r="B516" s="326" t="s">
        <v>1005</v>
      </c>
      <c r="C516" s="326" t="s">
        <v>618</v>
      </c>
      <c r="D516" s="620" t="s">
        <v>1136</v>
      </c>
      <c r="E516" s="605" t="s">
        <v>1718</v>
      </c>
      <c r="F516" s="619">
        <v>-346866.55</v>
      </c>
      <c r="G516" s="619">
        <v>-504643.62</v>
      </c>
      <c r="H516" s="619">
        <v>-510785.33</v>
      </c>
      <c r="I516" s="619">
        <v>-408184.18</v>
      </c>
      <c r="J516" s="619">
        <v>-281055.83</v>
      </c>
      <c r="K516" s="619">
        <v>-131075.26999999999</v>
      </c>
      <c r="L516" s="619">
        <v>-135004.74</v>
      </c>
      <c r="M516" s="619">
        <v>-108731.64</v>
      </c>
      <c r="N516" s="619">
        <v>-80171.510000000097</v>
      </c>
      <c r="O516" s="619">
        <v>-142810.07</v>
      </c>
      <c r="P516" s="619">
        <v>-339741.63</v>
      </c>
      <c r="Q516" s="619">
        <v>-435241.12</v>
      </c>
      <c r="R516" s="619">
        <v>-532108.17000000004</v>
      </c>
      <c r="S516" s="498">
        <f t="shared" si="124"/>
        <v>-293077.69166666665</v>
      </c>
      <c r="T516" s="620"/>
      <c r="U516" s="657"/>
      <c r="V516" s="690">
        <f t="shared" si="128"/>
        <v>-293077.69166666665</v>
      </c>
      <c r="W516" s="690"/>
      <c r="X516" s="713"/>
      <c r="Y516" s="690"/>
      <c r="Z516" s="690"/>
      <c r="AA516" s="657"/>
      <c r="AB516" s="690"/>
      <c r="AC516" s="658"/>
      <c r="AD516" s="659">
        <f t="shared" si="129"/>
        <v>-293077.69166666665</v>
      </c>
      <c r="AE516" s="658"/>
      <c r="AF516" s="688">
        <f t="shared" si="131"/>
        <v>0</v>
      </c>
    </row>
    <row r="517" spans="1:32">
      <c r="A517" s="620">
        <v>506</v>
      </c>
      <c r="B517" s="326" t="s">
        <v>1005</v>
      </c>
      <c r="C517" s="326" t="s">
        <v>618</v>
      </c>
      <c r="D517" s="620" t="s">
        <v>461</v>
      </c>
      <c r="E517" s="605" t="s">
        <v>1719</v>
      </c>
      <c r="F517" s="619">
        <v>-720197.02</v>
      </c>
      <c r="G517" s="619">
        <v>-763791.89</v>
      </c>
      <c r="H517" s="619">
        <v>-805999.39</v>
      </c>
      <c r="I517" s="619">
        <v>-838498.08</v>
      </c>
      <c r="J517" s="619">
        <v>-858868.55</v>
      </c>
      <c r="K517" s="619">
        <v>-870038.44</v>
      </c>
      <c r="L517" s="619">
        <v>-877963.83</v>
      </c>
      <c r="M517" s="619">
        <v>-887229.66</v>
      </c>
      <c r="N517" s="619">
        <v>-894061.67</v>
      </c>
      <c r="O517" s="619">
        <v>-906081.57</v>
      </c>
      <c r="P517" s="619">
        <v>-935033.47</v>
      </c>
      <c r="Q517" s="619">
        <v>-972123.58</v>
      </c>
      <c r="R517" s="619">
        <v>-1017468.45</v>
      </c>
      <c r="S517" s="498">
        <f t="shared" si="124"/>
        <v>-873210.23875000002</v>
      </c>
      <c r="T517" s="620"/>
      <c r="U517" s="657"/>
      <c r="V517" s="690">
        <f t="shared" si="128"/>
        <v>-873210.23875000002</v>
      </c>
      <c r="W517" s="690"/>
      <c r="X517" s="713"/>
      <c r="Y517" s="690"/>
      <c r="Z517" s="690"/>
      <c r="AA517" s="657"/>
      <c r="AB517" s="690"/>
      <c r="AC517" s="658"/>
      <c r="AD517" s="659">
        <f t="shared" si="129"/>
        <v>-873210.23875000002</v>
      </c>
      <c r="AE517" s="658"/>
      <c r="AF517" s="688">
        <f t="shared" si="131"/>
        <v>0</v>
      </c>
    </row>
    <row r="518" spans="1:32">
      <c r="A518" s="620">
        <v>507</v>
      </c>
      <c r="B518" s="326" t="s">
        <v>1005</v>
      </c>
      <c r="C518" s="326" t="s">
        <v>618</v>
      </c>
      <c r="D518" s="620" t="s">
        <v>448</v>
      </c>
      <c r="E518" s="605" t="s">
        <v>1720</v>
      </c>
      <c r="F518" s="619">
        <v>-48875.44</v>
      </c>
      <c r="G518" s="619">
        <v>-41584.04</v>
      </c>
      <c r="H518" s="619">
        <v>-36640.800000000003</v>
      </c>
      <c r="I518" s="619">
        <v>-34802.36</v>
      </c>
      <c r="J518" s="619">
        <v>-26206.15</v>
      </c>
      <c r="K518" s="619">
        <v>-22542.58</v>
      </c>
      <c r="L518" s="619">
        <v>-20209.169999999998</v>
      </c>
      <c r="M518" s="619">
        <v>-15481.77</v>
      </c>
      <c r="N518" s="619">
        <v>-9985.19</v>
      </c>
      <c r="O518" s="619">
        <v>-7048.96</v>
      </c>
      <c r="P518" s="619">
        <v>-5439.41</v>
      </c>
      <c r="Q518" s="619">
        <v>-3751.38</v>
      </c>
      <c r="R518" s="619">
        <v>-2164.79</v>
      </c>
      <c r="S518" s="498">
        <f t="shared" si="124"/>
        <v>-20767.660416666662</v>
      </c>
      <c r="T518" s="620"/>
      <c r="U518" s="657"/>
      <c r="V518" s="690">
        <f t="shared" si="128"/>
        <v>-20767.660416666662</v>
      </c>
      <c r="W518" s="690"/>
      <c r="X518" s="713"/>
      <c r="Y518" s="690"/>
      <c r="Z518" s="690"/>
      <c r="AA518" s="657"/>
      <c r="AB518" s="690"/>
      <c r="AC518" s="658"/>
      <c r="AD518" s="659">
        <f t="shared" si="129"/>
        <v>-20767.660416666662</v>
      </c>
      <c r="AE518" s="658"/>
      <c r="AF518" s="688">
        <f t="shared" si="131"/>
        <v>0</v>
      </c>
    </row>
    <row r="519" spans="1:32">
      <c r="A519" s="620">
        <v>508</v>
      </c>
      <c r="B519" s="326" t="s">
        <v>1005</v>
      </c>
      <c r="C519" s="326" t="s">
        <v>618</v>
      </c>
      <c r="D519" s="620" t="s">
        <v>492</v>
      </c>
      <c r="E519" s="605" t="s">
        <v>1721</v>
      </c>
      <c r="F519" s="619">
        <v>473546.58</v>
      </c>
      <c r="G519" s="619">
        <v>473546.58</v>
      </c>
      <c r="H519" s="619">
        <v>473546.58</v>
      </c>
      <c r="I519" s="619">
        <v>477618.35</v>
      </c>
      <c r="J519" s="619">
        <v>484868.35</v>
      </c>
      <c r="K519" s="619">
        <v>484868.35</v>
      </c>
      <c r="L519" s="619">
        <v>490971.99</v>
      </c>
      <c r="M519" s="619">
        <v>490971.99</v>
      </c>
      <c r="N519" s="619">
        <v>490971.99</v>
      </c>
      <c r="O519" s="619">
        <v>490971.99</v>
      </c>
      <c r="P519" s="619">
        <v>490971.99</v>
      </c>
      <c r="Q519" s="619">
        <v>490971.99</v>
      </c>
      <c r="R519" s="619">
        <v>490971.99</v>
      </c>
      <c r="S519" s="498">
        <f t="shared" si="124"/>
        <v>485211.61958333344</v>
      </c>
      <c r="T519" s="620"/>
      <c r="U519" s="657"/>
      <c r="V519" s="690">
        <f t="shared" si="128"/>
        <v>485211.61958333344</v>
      </c>
      <c r="W519" s="690"/>
      <c r="X519" s="713"/>
      <c r="Y519" s="690"/>
      <c r="Z519" s="690"/>
      <c r="AA519" s="657"/>
      <c r="AB519" s="690"/>
      <c r="AC519" s="658"/>
      <c r="AD519" s="659">
        <f t="shared" si="129"/>
        <v>485211.61958333344</v>
      </c>
      <c r="AE519" s="658"/>
      <c r="AF519" s="688">
        <f t="shared" si="131"/>
        <v>0</v>
      </c>
    </row>
    <row r="520" spans="1:32">
      <c r="A520" s="620">
        <v>509</v>
      </c>
      <c r="B520" s="326" t="s">
        <v>980</v>
      </c>
      <c r="C520" s="326" t="s">
        <v>618</v>
      </c>
      <c r="D520" s="620" t="s">
        <v>448</v>
      </c>
      <c r="E520" s="605" t="s">
        <v>1720</v>
      </c>
      <c r="F520" s="619">
        <v>-525935.19999999995</v>
      </c>
      <c r="G520" s="619">
        <v>-535814.96</v>
      </c>
      <c r="H520" s="619">
        <v>-589535.4</v>
      </c>
      <c r="I520" s="619">
        <v>-596096.14</v>
      </c>
      <c r="J520" s="619">
        <v>-543837.22</v>
      </c>
      <c r="K520" s="619">
        <v>-520139.56</v>
      </c>
      <c r="L520" s="619">
        <v>-517620.87</v>
      </c>
      <c r="M520" s="619">
        <v>-514170.53</v>
      </c>
      <c r="N520" s="619">
        <v>-561139.03</v>
      </c>
      <c r="O520" s="619">
        <v>-589802.21</v>
      </c>
      <c r="P520" s="619">
        <v>-588925.17000000004</v>
      </c>
      <c r="Q520" s="619">
        <v>-581862.54</v>
      </c>
      <c r="R520" s="619">
        <v>-617037.13</v>
      </c>
      <c r="S520" s="498">
        <f t="shared" si="124"/>
        <v>-559202.48291666666</v>
      </c>
      <c r="T520" s="620"/>
      <c r="U520" s="657"/>
      <c r="V520" s="690">
        <f t="shared" si="128"/>
        <v>-559202.48291666666</v>
      </c>
      <c r="W520" s="690"/>
      <c r="X520" s="713"/>
      <c r="Y520" s="690"/>
      <c r="Z520" s="690"/>
      <c r="AA520" s="657"/>
      <c r="AB520" s="690"/>
      <c r="AC520" s="658"/>
      <c r="AD520" s="659">
        <f t="shared" si="129"/>
        <v>-559202.48291666666</v>
      </c>
      <c r="AE520" s="658"/>
      <c r="AF520" s="688">
        <f t="shared" si="131"/>
        <v>0</v>
      </c>
    </row>
    <row r="521" spans="1:32">
      <c r="A521" s="620">
        <v>510</v>
      </c>
      <c r="B521" s="326" t="s">
        <v>977</v>
      </c>
      <c r="C521" s="326" t="s">
        <v>618</v>
      </c>
      <c r="D521" s="620" t="s">
        <v>1227</v>
      </c>
      <c r="E521" s="605" t="s">
        <v>1712</v>
      </c>
      <c r="F521" s="619">
        <v>-57073.15</v>
      </c>
      <c r="G521" s="619">
        <v>-50323.48</v>
      </c>
      <c r="H521" s="619">
        <v>-50387.77</v>
      </c>
      <c r="I521" s="619">
        <v>-52451.839999999997</v>
      </c>
      <c r="J521" s="619">
        <v>-58475.21</v>
      </c>
      <c r="K521" s="619">
        <v>-39554.39</v>
      </c>
      <c r="L521" s="619">
        <v>-40185.800000000003</v>
      </c>
      <c r="M521" s="619">
        <v>-76952.320000000007</v>
      </c>
      <c r="N521" s="619">
        <v>-54697.34</v>
      </c>
      <c r="O521" s="619">
        <v>-56604.83</v>
      </c>
      <c r="P521" s="619">
        <v>-63644.05</v>
      </c>
      <c r="Q521" s="619">
        <v>195.16999999999101</v>
      </c>
      <c r="R521" s="619">
        <v>-20872.259999999998</v>
      </c>
      <c r="S521" s="498">
        <f t="shared" si="124"/>
        <v>-48504.547083333331</v>
      </c>
      <c r="T521" s="620"/>
      <c r="U521" s="657"/>
      <c r="V521" s="690">
        <f t="shared" si="128"/>
        <v>-48504.547083333331</v>
      </c>
      <c r="W521" s="690"/>
      <c r="X521" s="713"/>
      <c r="Y521" s="690"/>
      <c r="Z521" s="690"/>
      <c r="AA521" s="657"/>
      <c r="AB521" s="690"/>
      <c r="AC521" s="658"/>
      <c r="AD521" s="659">
        <f t="shared" si="129"/>
        <v>-48504.547083333331</v>
      </c>
      <c r="AE521" s="658"/>
      <c r="AF521" s="688">
        <f t="shared" si="131"/>
        <v>0</v>
      </c>
    </row>
    <row r="522" spans="1:32">
      <c r="A522" s="620">
        <v>511</v>
      </c>
      <c r="B522" s="326" t="s">
        <v>977</v>
      </c>
      <c r="C522" s="326" t="s">
        <v>618</v>
      </c>
      <c r="D522" s="620" t="s">
        <v>1228</v>
      </c>
      <c r="E522" s="605" t="s">
        <v>1713</v>
      </c>
      <c r="F522" s="619">
        <v>-1208196.57</v>
      </c>
      <c r="G522" s="619">
        <v>-1375811</v>
      </c>
      <c r="H522" s="619">
        <v>-432011.05</v>
      </c>
      <c r="I522" s="619">
        <v>-585900.9</v>
      </c>
      <c r="J522" s="619">
        <v>-747596.28</v>
      </c>
      <c r="K522" s="619">
        <v>-914694.95</v>
      </c>
      <c r="L522" s="619">
        <v>-1063745.57</v>
      </c>
      <c r="M522" s="619">
        <v>-1232722.99</v>
      </c>
      <c r="N522" s="619">
        <v>-592221.98</v>
      </c>
      <c r="O522" s="619">
        <v>-744924.25</v>
      </c>
      <c r="P522" s="619">
        <v>-936452.18</v>
      </c>
      <c r="Q522" s="619">
        <v>-1087294.27</v>
      </c>
      <c r="R522" s="619">
        <v>-1244918.45</v>
      </c>
      <c r="S522" s="498">
        <f t="shared" si="124"/>
        <v>-911661.07750000001</v>
      </c>
      <c r="T522" s="620"/>
      <c r="U522" s="657"/>
      <c r="V522" s="690">
        <f t="shared" si="128"/>
        <v>-911661.07750000001</v>
      </c>
      <c r="W522" s="690"/>
      <c r="X522" s="713"/>
      <c r="Y522" s="690"/>
      <c r="Z522" s="690"/>
      <c r="AA522" s="657"/>
      <c r="AB522" s="690"/>
      <c r="AC522" s="658"/>
      <c r="AD522" s="659">
        <f t="shared" si="129"/>
        <v>-911661.07750000001</v>
      </c>
      <c r="AE522" s="658"/>
      <c r="AF522" s="688">
        <f t="shared" si="131"/>
        <v>0</v>
      </c>
    </row>
    <row r="523" spans="1:32">
      <c r="A523" s="620">
        <v>512</v>
      </c>
      <c r="B523" s="326" t="s">
        <v>977</v>
      </c>
      <c r="C523" s="326" t="s">
        <v>618</v>
      </c>
      <c r="D523" s="620" t="s">
        <v>1434</v>
      </c>
      <c r="E523" s="605" t="s">
        <v>1714</v>
      </c>
      <c r="F523" s="619">
        <v>628.39</v>
      </c>
      <c r="G523" s="619">
        <v>628.39</v>
      </c>
      <c r="H523" s="619">
        <v>628.39</v>
      </c>
      <c r="I523" s="619">
        <v>628.39</v>
      </c>
      <c r="J523" s="619">
        <v>628.39</v>
      </c>
      <c r="K523" s="619">
        <v>628.39</v>
      </c>
      <c r="L523" s="619">
        <v>628.39</v>
      </c>
      <c r="M523" s="619">
        <v>628.39</v>
      </c>
      <c r="N523" s="619">
        <v>628.39</v>
      </c>
      <c r="O523" s="619">
        <v>628.39</v>
      </c>
      <c r="P523" s="619">
        <v>628.39</v>
      </c>
      <c r="Q523" s="619">
        <v>628.39</v>
      </c>
      <c r="R523" s="619">
        <v>628.39</v>
      </c>
      <c r="S523" s="498">
        <f t="shared" si="124"/>
        <v>628.3900000000001</v>
      </c>
      <c r="T523" s="620"/>
      <c r="U523" s="657"/>
      <c r="V523" s="690">
        <f t="shared" si="128"/>
        <v>628.3900000000001</v>
      </c>
      <c r="W523" s="690"/>
      <c r="X523" s="713"/>
      <c r="Y523" s="690"/>
      <c r="Z523" s="690"/>
      <c r="AA523" s="657"/>
      <c r="AB523" s="690"/>
      <c r="AC523" s="658"/>
      <c r="AD523" s="659">
        <f t="shared" si="129"/>
        <v>628.3900000000001</v>
      </c>
      <c r="AE523" s="658"/>
      <c r="AF523" s="688">
        <f t="shared" si="131"/>
        <v>0</v>
      </c>
    </row>
    <row r="524" spans="1:32">
      <c r="A524" s="620">
        <v>513</v>
      </c>
      <c r="B524" s="326" t="s">
        <v>1005</v>
      </c>
      <c r="C524" s="326" t="s">
        <v>608</v>
      </c>
      <c r="D524" s="620" t="s">
        <v>1222</v>
      </c>
      <c r="E524" s="605" t="s">
        <v>1731</v>
      </c>
      <c r="F524" s="619">
        <v>0</v>
      </c>
      <c r="G524" s="619">
        <v>-16075.52</v>
      </c>
      <c r="H524" s="619">
        <v>-32151.040000000001</v>
      </c>
      <c r="I524" s="619">
        <v>0</v>
      </c>
      <c r="J524" s="619">
        <v>0</v>
      </c>
      <c r="K524" s="619">
        <v>0</v>
      </c>
      <c r="L524" s="619">
        <v>0</v>
      </c>
      <c r="M524" s="619">
        <v>0</v>
      </c>
      <c r="N524" s="619">
        <v>0</v>
      </c>
      <c r="O524" s="619">
        <v>0</v>
      </c>
      <c r="P524" s="619">
        <v>0</v>
      </c>
      <c r="Q524" s="619">
        <v>0</v>
      </c>
      <c r="R524" s="619">
        <v>0</v>
      </c>
      <c r="S524" s="498">
        <f t="shared" si="124"/>
        <v>-4018.8799999999997</v>
      </c>
      <c r="T524" s="620"/>
      <c r="U524" s="657"/>
      <c r="V524" s="690">
        <f>+S524</f>
        <v>-4018.8799999999997</v>
      </c>
      <c r="W524" s="690"/>
      <c r="X524" s="713"/>
      <c r="Y524" s="690"/>
      <c r="Z524" s="690"/>
      <c r="AA524" s="657"/>
      <c r="AB524" s="690"/>
      <c r="AC524" s="658"/>
      <c r="AD524" s="659">
        <f t="shared" si="129"/>
        <v>-4018.8799999999997</v>
      </c>
      <c r="AE524" s="658"/>
      <c r="AF524" s="688">
        <f t="shared" si="131"/>
        <v>0</v>
      </c>
    </row>
    <row r="525" spans="1:32">
      <c r="A525" s="620">
        <v>514</v>
      </c>
      <c r="B525" s="326" t="s">
        <v>1005</v>
      </c>
      <c r="C525" s="326" t="s">
        <v>608</v>
      </c>
      <c r="D525" s="620" t="s">
        <v>1921</v>
      </c>
      <c r="E525" s="605" t="s">
        <v>1935</v>
      </c>
      <c r="F525" s="619">
        <v>0</v>
      </c>
      <c r="G525" s="619">
        <v>0</v>
      </c>
      <c r="H525" s="619">
        <v>0</v>
      </c>
      <c r="I525" s="619">
        <v>0</v>
      </c>
      <c r="J525" s="619">
        <v>0</v>
      </c>
      <c r="K525" s="619">
        <v>0</v>
      </c>
      <c r="L525" s="619">
        <v>-6897.58</v>
      </c>
      <c r="M525" s="619">
        <v>-13795.16</v>
      </c>
      <c r="N525" s="619">
        <v>-19872.939999999999</v>
      </c>
      <c r="O525" s="619">
        <v>0</v>
      </c>
      <c r="P525" s="619">
        <v>0</v>
      </c>
      <c r="Q525" s="619">
        <v>0</v>
      </c>
      <c r="R525" s="619">
        <v>0</v>
      </c>
      <c r="S525" s="498">
        <f t="shared" si="124"/>
        <v>-3380.4733333333329</v>
      </c>
      <c r="T525" s="620"/>
      <c r="U525" s="657"/>
      <c r="V525" s="690">
        <f>+S525</f>
        <v>-3380.4733333333329</v>
      </c>
      <c r="W525" s="690"/>
      <c r="X525" s="713"/>
      <c r="Y525" s="690"/>
      <c r="Z525" s="690"/>
      <c r="AA525" s="657"/>
      <c r="AB525" s="690"/>
      <c r="AC525" s="658"/>
      <c r="AD525" s="659">
        <f t="shared" si="129"/>
        <v>-3380.4733333333329</v>
      </c>
      <c r="AE525" s="658"/>
      <c r="AF525" s="688"/>
    </row>
    <row r="526" spans="1:32">
      <c r="A526" s="620">
        <v>515</v>
      </c>
      <c r="B526" s="326" t="s">
        <v>1874</v>
      </c>
      <c r="C526" s="326" t="s">
        <v>623</v>
      </c>
      <c r="D526" s="620" t="s">
        <v>1881</v>
      </c>
      <c r="E526" s="605" t="s">
        <v>1939</v>
      </c>
      <c r="F526" s="619">
        <v>0</v>
      </c>
      <c r="G526" s="619">
        <v>0</v>
      </c>
      <c r="H526" s="619">
        <v>-2342139.6</v>
      </c>
      <c r="I526" s="619">
        <v>-3399048.29</v>
      </c>
      <c r="J526" s="619">
        <v>-4027988.3</v>
      </c>
      <c r="K526" s="619">
        <v>-4380204.8499999996</v>
      </c>
      <c r="L526" s="619">
        <v>-4728970.04</v>
      </c>
      <c r="M526" s="619">
        <v>-5196910.95</v>
      </c>
      <c r="N526" s="619">
        <v>-6194887.6500000004</v>
      </c>
      <c r="O526" s="619">
        <v>-4675781.1500000004</v>
      </c>
      <c r="P526" s="619">
        <v>-5056612.16</v>
      </c>
      <c r="Q526" s="619">
        <v>-4649236.16</v>
      </c>
      <c r="R526" s="619">
        <v>-5008566.5</v>
      </c>
      <c r="S526" s="498">
        <f t="shared" si="124"/>
        <v>-3929671.8666666658</v>
      </c>
      <c r="T526" s="620"/>
      <c r="U526" s="657"/>
      <c r="V526" s="690">
        <f t="shared" si="128"/>
        <v>-3929671.8666666658</v>
      </c>
      <c r="W526" s="690"/>
      <c r="X526" s="713"/>
      <c r="Y526" s="690"/>
      <c r="Z526" s="690"/>
      <c r="AA526" s="657"/>
      <c r="AB526" s="690"/>
      <c r="AC526" s="658"/>
      <c r="AD526" s="659">
        <f t="shared" si="129"/>
        <v>-3929671.8666666658</v>
      </c>
      <c r="AE526" s="658"/>
      <c r="AF526" s="688">
        <f t="shared" si="131"/>
        <v>0</v>
      </c>
    </row>
    <row r="527" spans="1:32">
      <c r="A527" s="620">
        <v>516</v>
      </c>
      <c r="B527" s="326" t="s">
        <v>1874</v>
      </c>
      <c r="C527" s="326" t="s">
        <v>623</v>
      </c>
      <c r="D527" s="620" t="s">
        <v>1883</v>
      </c>
      <c r="E527" s="605" t="s">
        <v>1939</v>
      </c>
      <c r="F527" s="619">
        <v>0</v>
      </c>
      <c r="G527" s="619">
        <v>-47946602.299999997</v>
      </c>
      <c r="H527" s="619">
        <v>-67505586.75</v>
      </c>
      <c r="I527" s="619">
        <v>-88051807.390000001</v>
      </c>
      <c r="J527" s="619">
        <v>-87171112.069999993</v>
      </c>
      <c r="K527" s="619">
        <v>-88013372.25</v>
      </c>
      <c r="L527" s="619">
        <v>-89814171.189999998</v>
      </c>
      <c r="M527" s="619">
        <v>-91693584.269999996</v>
      </c>
      <c r="N527" s="619">
        <v>-94471180.239999995</v>
      </c>
      <c r="O527" s="619">
        <v>-88325640.670000002</v>
      </c>
      <c r="P527" s="619">
        <v>-87907480.109999999</v>
      </c>
      <c r="Q527" s="619">
        <v>-84508849.859999999</v>
      </c>
      <c r="R527" s="619">
        <v>-84195663.5</v>
      </c>
      <c r="S527" s="498">
        <f t="shared" si="124"/>
        <v>-79792268.237499997</v>
      </c>
      <c r="T527" s="620"/>
      <c r="U527" s="657"/>
      <c r="V527" s="690">
        <f t="shared" si="128"/>
        <v>-79792268.237499997</v>
      </c>
      <c r="W527" s="690"/>
      <c r="X527" s="713"/>
      <c r="Y527" s="690"/>
      <c r="Z527" s="690"/>
      <c r="AA527" s="657"/>
      <c r="AB527" s="690"/>
      <c r="AC527" s="658"/>
      <c r="AD527" s="659">
        <f t="shared" si="129"/>
        <v>-79792268.237499997</v>
      </c>
      <c r="AE527" s="658"/>
      <c r="AF527" s="688">
        <f t="shared" si="131"/>
        <v>0</v>
      </c>
    </row>
    <row r="528" spans="1:32">
      <c r="A528" s="620">
        <v>517</v>
      </c>
      <c r="B528" s="326" t="s">
        <v>1874</v>
      </c>
      <c r="C528" s="326" t="s">
        <v>1940</v>
      </c>
      <c r="D528" s="326" t="s">
        <v>1921</v>
      </c>
      <c r="E528" s="605" t="s">
        <v>1941</v>
      </c>
      <c r="F528" s="619">
        <v>0</v>
      </c>
      <c r="G528" s="619">
        <v>0</v>
      </c>
      <c r="H528" s="619">
        <v>-83666</v>
      </c>
      <c r="I528" s="619">
        <v>-83993.95</v>
      </c>
      <c r="J528" s="619">
        <v>-84322.71</v>
      </c>
      <c r="K528" s="619">
        <v>-84652.28</v>
      </c>
      <c r="L528" s="619">
        <v>-82827.460000000006</v>
      </c>
      <c r="M528" s="619">
        <v>-80997.8</v>
      </c>
      <c r="N528" s="619">
        <v>-79160.53</v>
      </c>
      <c r="O528" s="619">
        <v>-77318.61</v>
      </c>
      <c r="P528" s="619">
        <v>-74998.490000000005</v>
      </c>
      <c r="Q528" s="619">
        <v>-72672.2</v>
      </c>
      <c r="R528" s="619">
        <v>-70339.81</v>
      </c>
      <c r="S528" s="498">
        <f t="shared" si="124"/>
        <v>-69981.661250000005</v>
      </c>
      <c r="T528" s="620"/>
      <c r="U528" s="657"/>
      <c r="V528" s="690">
        <f t="shared" si="128"/>
        <v>-69981.661250000005</v>
      </c>
      <c r="W528" s="690"/>
      <c r="X528" s="713"/>
      <c r="Y528" s="690"/>
      <c r="Z528" s="690"/>
      <c r="AA528" s="657"/>
      <c r="AB528" s="690"/>
      <c r="AC528" s="658"/>
      <c r="AD528" s="659">
        <f t="shared" si="129"/>
        <v>-69981.661250000005</v>
      </c>
      <c r="AE528" s="658"/>
      <c r="AF528" s="688">
        <f t="shared" si="131"/>
        <v>0</v>
      </c>
    </row>
    <row r="529" spans="1:32">
      <c r="A529" s="620">
        <v>518</v>
      </c>
      <c r="B529" s="326" t="s">
        <v>977</v>
      </c>
      <c r="C529" s="326" t="s">
        <v>626</v>
      </c>
      <c r="D529" s="326" t="s">
        <v>526</v>
      </c>
      <c r="E529" s="605" t="s">
        <v>462</v>
      </c>
      <c r="F529" s="619">
        <v>0</v>
      </c>
      <c r="G529" s="619">
        <v>0</v>
      </c>
      <c r="H529" s="619">
        <v>0</v>
      </c>
      <c r="I529" s="619">
        <v>0</v>
      </c>
      <c r="J529" s="619">
        <v>0</v>
      </c>
      <c r="K529" s="619">
        <v>0</v>
      </c>
      <c r="L529" s="619">
        <v>0</v>
      </c>
      <c r="M529" s="619">
        <v>0</v>
      </c>
      <c r="N529" s="619">
        <v>0</v>
      </c>
      <c r="O529" s="619">
        <v>0</v>
      </c>
      <c r="P529" s="619">
        <v>0</v>
      </c>
      <c r="Q529" s="619">
        <v>-830</v>
      </c>
      <c r="R529" s="619">
        <v>0</v>
      </c>
      <c r="S529" s="498">
        <f t="shared" si="124"/>
        <v>-69.166666666666671</v>
      </c>
      <c r="T529" s="620"/>
      <c r="U529" s="657"/>
      <c r="V529" s="690">
        <f t="shared" si="128"/>
        <v>-69.166666666666671</v>
      </c>
      <c r="W529" s="690"/>
      <c r="X529" s="713"/>
      <c r="Y529" s="690"/>
      <c r="Z529" s="690"/>
      <c r="AA529" s="657"/>
      <c r="AB529" s="690"/>
      <c r="AC529" s="658"/>
      <c r="AD529" s="659">
        <f t="shared" si="129"/>
        <v>-69.166666666666671</v>
      </c>
      <c r="AE529" s="658"/>
      <c r="AF529" s="688">
        <f t="shared" si="131"/>
        <v>0</v>
      </c>
    </row>
    <row r="530" spans="1:32">
      <c r="A530" s="620">
        <v>519</v>
      </c>
      <c r="B530" s="326" t="s">
        <v>1005</v>
      </c>
      <c r="C530" s="326" t="s">
        <v>622</v>
      </c>
      <c r="D530" s="326" t="s">
        <v>380</v>
      </c>
      <c r="E530" s="605" t="s">
        <v>1716</v>
      </c>
      <c r="F530" s="619">
        <v>-1558019.97</v>
      </c>
      <c r="G530" s="619">
        <v>-1807036.27</v>
      </c>
      <c r="H530" s="619">
        <v>-2008969.8</v>
      </c>
      <c r="I530" s="619">
        <v>-2179655.12</v>
      </c>
      <c r="J530" s="619">
        <v>-1427485.33</v>
      </c>
      <c r="K530" s="619">
        <v>-1427485.33</v>
      </c>
      <c r="L530" s="619">
        <v>-1427485.33</v>
      </c>
      <c r="M530" s="619">
        <v>-1427485.33</v>
      </c>
      <c r="N530" s="619">
        <v>-1427485.33</v>
      </c>
      <c r="O530" s="619">
        <v>-1400000</v>
      </c>
      <c r="P530" s="619">
        <v>-1400000</v>
      </c>
      <c r="Q530" s="619">
        <v>0</v>
      </c>
      <c r="R530" s="619">
        <v>0</v>
      </c>
      <c r="S530" s="498">
        <f t="shared" si="124"/>
        <v>-1392674.8187500001</v>
      </c>
      <c r="T530" s="620"/>
      <c r="U530" s="657"/>
      <c r="V530" s="690">
        <f t="shared" si="128"/>
        <v>-1392674.8187500001</v>
      </c>
      <c r="W530" s="690"/>
      <c r="X530" s="713"/>
      <c r="Y530" s="690"/>
      <c r="Z530" s="690"/>
      <c r="AA530" s="657"/>
      <c r="AB530" s="690"/>
      <c r="AC530" s="658"/>
      <c r="AD530" s="659">
        <f t="shared" si="129"/>
        <v>-1392674.8187500001</v>
      </c>
      <c r="AE530" s="658"/>
      <c r="AF530" s="688">
        <f t="shared" si="131"/>
        <v>0</v>
      </c>
    </row>
    <row r="531" spans="1:32">
      <c r="A531" s="620">
        <v>520</v>
      </c>
      <c r="B531" s="326" t="s">
        <v>980</v>
      </c>
      <c r="C531" s="326" t="s">
        <v>622</v>
      </c>
      <c r="D531" s="326" t="s">
        <v>380</v>
      </c>
      <c r="E531" s="605" t="s">
        <v>1716</v>
      </c>
      <c r="F531" s="619">
        <v>0</v>
      </c>
      <c r="G531" s="619">
        <v>0</v>
      </c>
      <c r="H531" s="619">
        <v>0</v>
      </c>
      <c r="I531" s="619">
        <v>0</v>
      </c>
      <c r="J531" s="619">
        <v>0</v>
      </c>
      <c r="K531" s="619">
        <v>0</v>
      </c>
      <c r="L531" s="619">
        <v>0</v>
      </c>
      <c r="M531" s="619">
        <v>0</v>
      </c>
      <c r="N531" s="619">
        <v>0</v>
      </c>
      <c r="O531" s="619">
        <v>0</v>
      </c>
      <c r="P531" s="619">
        <v>0</v>
      </c>
      <c r="Q531" s="619">
        <v>0</v>
      </c>
      <c r="R531" s="619">
        <v>0</v>
      </c>
      <c r="S531" s="498">
        <f t="shared" si="124"/>
        <v>0</v>
      </c>
      <c r="T531" s="620"/>
      <c r="U531" s="657"/>
      <c r="V531" s="690">
        <f t="shared" si="128"/>
        <v>0</v>
      </c>
      <c r="W531" s="690"/>
      <c r="X531" s="713"/>
      <c r="Y531" s="690"/>
      <c r="Z531" s="690"/>
      <c r="AA531" s="657"/>
      <c r="AB531" s="690"/>
      <c r="AC531" s="658"/>
      <c r="AD531" s="659">
        <f t="shared" si="129"/>
        <v>0</v>
      </c>
      <c r="AE531" s="658"/>
      <c r="AF531" s="688">
        <f t="shared" si="131"/>
        <v>0</v>
      </c>
    </row>
    <row r="532" spans="1:32">
      <c r="A532" s="620">
        <v>521</v>
      </c>
      <c r="B532" s="326" t="s">
        <v>1005</v>
      </c>
      <c r="C532" s="326" t="s">
        <v>623</v>
      </c>
      <c r="D532" s="620" t="s">
        <v>1229</v>
      </c>
      <c r="E532" s="605" t="s">
        <v>1722</v>
      </c>
      <c r="F532" s="619">
        <v>3704804.32</v>
      </c>
      <c r="G532" s="619">
        <v>3645229.88</v>
      </c>
      <c r="H532" s="619">
        <v>6655527.54</v>
      </c>
      <c r="I532" s="619">
        <v>7948816.1799999997</v>
      </c>
      <c r="J532" s="619">
        <v>8418704.3900000006</v>
      </c>
      <c r="K532" s="619">
        <v>8498491.9399999995</v>
      </c>
      <c r="L532" s="619">
        <v>8600713.7200000007</v>
      </c>
      <c r="M532" s="619">
        <v>8714543.7899999991</v>
      </c>
      <c r="N532" s="619">
        <v>8943481.4000000004</v>
      </c>
      <c r="O532" s="619">
        <v>9110444.2400000002</v>
      </c>
      <c r="P532" s="619">
        <v>9809801.8300000001</v>
      </c>
      <c r="Q532" s="619">
        <v>1631609.22</v>
      </c>
      <c r="R532" s="619">
        <v>3387386.16</v>
      </c>
      <c r="S532" s="498">
        <f t="shared" si="124"/>
        <v>7126954.9474999988</v>
      </c>
      <c r="T532" s="620"/>
      <c r="U532" s="657"/>
      <c r="V532" s="665"/>
      <c r="W532" s="690"/>
      <c r="X532" s="690">
        <f>+S532</f>
        <v>7126954.9474999988</v>
      </c>
      <c r="Y532" s="690"/>
      <c r="Z532" s="690"/>
      <c r="AA532" s="657"/>
      <c r="AB532" s="659">
        <f>+X532</f>
        <v>7126954.9474999988</v>
      </c>
      <c r="AC532" s="658"/>
      <c r="AD532" s="664"/>
      <c r="AE532" s="658"/>
      <c r="AF532" s="688">
        <f t="shared" si="131"/>
        <v>0</v>
      </c>
    </row>
    <row r="533" spans="1:32">
      <c r="A533" s="620">
        <v>522</v>
      </c>
      <c r="B533" s="326" t="s">
        <v>1005</v>
      </c>
      <c r="C533" s="326" t="s">
        <v>623</v>
      </c>
      <c r="D533" s="326" t="s">
        <v>1230</v>
      </c>
      <c r="E533" s="605" t="s">
        <v>1723</v>
      </c>
      <c r="F533" s="619">
        <v>-1108593.69</v>
      </c>
      <c r="G533" s="619">
        <v>-2156297.1</v>
      </c>
      <c r="H533" s="619">
        <v>-3288565.62</v>
      </c>
      <c r="I533" s="619">
        <v>-3918743.38</v>
      </c>
      <c r="J533" s="619">
        <v>-4023173.21</v>
      </c>
      <c r="K533" s="619">
        <v>-3859207.89</v>
      </c>
      <c r="L533" s="619">
        <v>-3724670.44</v>
      </c>
      <c r="M533" s="619">
        <v>-3457335.89</v>
      </c>
      <c r="N533" s="619">
        <v>-2746085.82</v>
      </c>
      <c r="O533" s="619">
        <v>-4553630.62</v>
      </c>
      <c r="P533" s="619">
        <v>-5199110.82</v>
      </c>
      <c r="Q533" s="619">
        <v>-1735827.07</v>
      </c>
      <c r="R533" s="619">
        <v>-2322389.21</v>
      </c>
      <c r="S533" s="498">
        <f t="shared" si="124"/>
        <v>-3364844.9425000008</v>
      </c>
      <c r="T533" s="620"/>
      <c r="U533" s="657"/>
      <c r="V533" s="690"/>
      <c r="W533" s="690"/>
      <c r="X533" s="713">
        <f>+S533</f>
        <v>-3364844.9425000008</v>
      </c>
      <c r="Y533" s="690"/>
      <c r="Z533" s="690"/>
      <c r="AA533" s="657"/>
      <c r="AB533" s="690">
        <f t="shared" ref="AB533:AB536" si="132">+X533</f>
        <v>-3364844.9425000008</v>
      </c>
      <c r="AC533" s="658"/>
      <c r="AD533" s="659">
        <f t="shared" si="129"/>
        <v>0</v>
      </c>
      <c r="AE533" s="658"/>
      <c r="AF533" s="688">
        <f t="shared" si="131"/>
        <v>0</v>
      </c>
    </row>
    <row r="534" spans="1:32">
      <c r="A534" s="620">
        <v>523</v>
      </c>
      <c r="B534" s="326" t="s">
        <v>1005</v>
      </c>
      <c r="C534" s="326" t="s">
        <v>623</v>
      </c>
      <c r="D534" s="326" t="s">
        <v>1231</v>
      </c>
      <c r="E534" s="605" t="s">
        <v>624</v>
      </c>
      <c r="F534" s="619">
        <v>-593186.79</v>
      </c>
      <c r="G534" s="619">
        <v>0</v>
      </c>
      <c r="H534" s="619">
        <v>0</v>
      </c>
      <c r="I534" s="619">
        <v>0</v>
      </c>
      <c r="J534" s="619">
        <v>0</v>
      </c>
      <c r="K534" s="619">
        <v>0</v>
      </c>
      <c r="L534" s="619">
        <v>0</v>
      </c>
      <c r="M534" s="619">
        <v>0</v>
      </c>
      <c r="N534" s="619">
        <v>0</v>
      </c>
      <c r="O534" s="619">
        <v>0</v>
      </c>
      <c r="P534" s="619">
        <v>0</v>
      </c>
      <c r="Q534" s="619">
        <v>0</v>
      </c>
      <c r="R534" s="619">
        <v>0</v>
      </c>
      <c r="S534" s="498">
        <f t="shared" si="124"/>
        <v>-24716.116250000003</v>
      </c>
      <c r="T534" s="620"/>
      <c r="U534" s="657"/>
      <c r="V534" s="690"/>
      <c r="W534" s="690"/>
      <c r="X534" s="713">
        <f t="shared" ref="X534:X543" si="133">+S534</f>
        <v>-24716.116250000003</v>
      </c>
      <c r="Y534" s="690"/>
      <c r="Z534" s="690"/>
      <c r="AA534" s="657"/>
      <c r="AB534" s="690">
        <f t="shared" si="132"/>
        <v>-24716.116250000003</v>
      </c>
      <c r="AC534" s="658"/>
      <c r="AD534" s="659">
        <f t="shared" si="129"/>
        <v>0</v>
      </c>
      <c r="AE534" s="658"/>
      <c r="AF534" s="688">
        <f t="shared" si="131"/>
        <v>0</v>
      </c>
    </row>
    <row r="535" spans="1:32">
      <c r="A535" s="620">
        <v>524</v>
      </c>
      <c r="B535" s="326" t="s">
        <v>1005</v>
      </c>
      <c r="C535" s="326" t="s">
        <v>623</v>
      </c>
      <c r="D535" s="326" t="s">
        <v>1232</v>
      </c>
      <c r="E535" s="605" t="s">
        <v>1724</v>
      </c>
      <c r="F535" s="619">
        <v>-2335027.88</v>
      </c>
      <c r="G535" s="619">
        <v>-1849878.03</v>
      </c>
      <c r="H535" s="619">
        <v>-1392031.55</v>
      </c>
      <c r="I535" s="619">
        <v>-876283.67</v>
      </c>
      <c r="J535" s="619">
        <v>-525555.71</v>
      </c>
      <c r="K535" s="619">
        <v>-338236.72</v>
      </c>
      <c r="L535" s="619">
        <v>-208753.22</v>
      </c>
      <c r="M535" s="619">
        <v>-111957.73</v>
      </c>
      <c r="N535" s="619">
        <v>-29672.6899999997</v>
      </c>
      <c r="O535" s="619">
        <v>52499.2600000003</v>
      </c>
      <c r="P535" s="619">
        <v>253772.23</v>
      </c>
      <c r="Q535" s="619">
        <v>5234050.04</v>
      </c>
      <c r="R535" s="619">
        <v>4487237.01</v>
      </c>
      <c r="S535" s="498">
        <f t="shared" si="124"/>
        <v>107004.73125000014</v>
      </c>
      <c r="T535" s="620"/>
      <c r="U535" s="657"/>
      <c r="V535" s="690"/>
      <c r="W535" s="690"/>
      <c r="X535" s="713">
        <f t="shared" si="133"/>
        <v>107004.73125000014</v>
      </c>
      <c r="Y535" s="690"/>
      <c r="Z535" s="690"/>
      <c r="AA535" s="657"/>
      <c r="AB535" s="690">
        <f t="shared" si="132"/>
        <v>107004.73125000014</v>
      </c>
      <c r="AC535" s="658"/>
      <c r="AD535" s="659">
        <f t="shared" si="129"/>
        <v>0</v>
      </c>
      <c r="AE535" s="658"/>
      <c r="AF535" s="688">
        <f t="shared" si="131"/>
        <v>0</v>
      </c>
    </row>
    <row r="536" spans="1:32">
      <c r="A536" s="620">
        <v>525</v>
      </c>
      <c r="B536" s="326" t="s">
        <v>1005</v>
      </c>
      <c r="C536" s="326" t="s">
        <v>623</v>
      </c>
      <c r="D536" s="326" t="s">
        <v>1233</v>
      </c>
      <c r="E536" s="605" t="s">
        <v>1725</v>
      </c>
      <c r="F536" s="619">
        <v>332004.03999999998</v>
      </c>
      <c r="G536" s="619">
        <v>333767.61</v>
      </c>
      <c r="H536" s="619">
        <v>367209.23</v>
      </c>
      <c r="I536" s="619">
        <v>245259.16</v>
      </c>
      <c r="J536" s="619">
        <v>158012.82999999999</v>
      </c>
      <c r="K536" s="619">
        <v>79157.52</v>
      </c>
      <c r="L536" s="619">
        <v>61679.98</v>
      </c>
      <c r="M536" s="619">
        <v>51660.78</v>
      </c>
      <c r="N536" s="619">
        <v>27164.76</v>
      </c>
      <c r="O536" s="619">
        <v>66468.27</v>
      </c>
      <c r="P536" s="619">
        <v>192148.92</v>
      </c>
      <c r="Q536" s="619">
        <v>-480596.03</v>
      </c>
      <c r="R536" s="619">
        <v>-543667.46</v>
      </c>
      <c r="S536" s="498">
        <f t="shared" si="124"/>
        <v>83008.443333333344</v>
      </c>
      <c r="T536" s="620"/>
      <c r="U536" s="657"/>
      <c r="V536" s="690"/>
      <c r="W536" s="690"/>
      <c r="X536" s="713">
        <f t="shared" si="133"/>
        <v>83008.443333333344</v>
      </c>
      <c r="Y536" s="690"/>
      <c r="Z536" s="690"/>
      <c r="AA536" s="657"/>
      <c r="AB536" s="690">
        <f t="shared" si="132"/>
        <v>83008.443333333344</v>
      </c>
      <c r="AC536" s="658"/>
      <c r="AD536" s="659">
        <f t="shared" si="129"/>
        <v>0</v>
      </c>
      <c r="AE536" s="658"/>
      <c r="AF536" s="688">
        <f t="shared" si="131"/>
        <v>0</v>
      </c>
    </row>
    <row r="537" spans="1:32">
      <c r="A537" s="620">
        <v>526</v>
      </c>
      <c r="B537" s="326" t="s">
        <v>980</v>
      </c>
      <c r="C537" s="326" t="s">
        <v>623</v>
      </c>
      <c r="D537" s="326" t="s">
        <v>461</v>
      </c>
      <c r="E537" s="605" t="s">
        <v>1733</v>
      </c>
      <c r="F537" s="619">
        <v>-40887966.869999997</v>
      </c>
      <c r="G537" s="619">
        <v>0</v>
      </c>
      <c r="H537" s="619">
        <v>0</v>
      </c>
      <c r="I537" s="619">
        <v>0</v>
      </c>
      <c r="J537" s="619">
        <v>0</v>
      </c>
      <c r="K537" s="619">
        <v>0</v>
      </c>
      <c r="L537" s="619">
        <v>0</v>
      </c>
      <c r="M537" s="619">
        <v>0</v>
      </c>
      <c r="N537" s="619">
        <v>0</v>
      </c>
      <c r="O537" s="619">
        <v>0</v>
      </c>
      <c r="P537" s="619">
        <v>0</v>
      </c>
      <c r="Q537" s="619">
        <v>0</v>
      </c>
      <c r="R537" s="619">
        <v>0</v>
      </c>
      <c r="S537" s="498">
        <f t="shared" si="124"/>
        <v>-1703665.2862499999</v>
      </c>
      <c r="T537" s="620"/>
      <c r="U537" s="657"/>
      <c r="V537" s="690"/>
      <c r="W537" s="690"/>
      <c r="X537" s="713">
        <f t="shared" si="133"/>
        <v>-1703665.2862499999</v>
      </c>
      <c r="Y537" s="690"/>
      <c r="Z537" s="690"/>
      <c r="AA537" s="657"/>
      <c r="AB537" s="690">
        <f>+X537</f>
        <v>-1703665.2862499999</v>
      </c>
      <c r="AC537" s="658"/>
      <c r="AD537" s="659">
        <f t="shared" si="129"/>
        <v>0</v>
      </c>
      <c r="AE537" s="658"/>
      <c r="AF537" s="688">
        <f t="shared" si="131"/>
        <v>0</v>
      </c>
    </row>
    <row r="538" spans="1:32">
      <c r="A538" s="620">
        <v>527</v>
      </c>
      <c r="B538" s="326" t="s">
        <v>980</v>
      </c>
      <c r="C538" s="326" t="s">
        <v>623</v>
      </c>
      <c r="D538" s="326" t="s">
        <v>1234</v>
      </c>
      <c r="E538" s="605" t="s">
        <v>1722</v>
      </c>
      <c r="F538" s="619">
        <v>38253031.32</v>
      </c>
      <c r="G538" s="619">
        <v>48162013.890000001</v>
      </c>
      <c r="H538" s="619">
        <v>72468980.939999998</v>
      </c>
      <c r="I538" s="619">
        <v>95192961.480000004</v>
      </c>
      <c r="J538" s="619">
        <v>46106698.380000003</v>
      </c>
      <c r="K538" s="619">
        <v>45847438.399999999</v>
      </c>
      <c r="L538" s="619">
        <v>45944483.780000001</v>
      </c>
      <c r="M538" s="619">
        <v>46085248.100000001</v>
      </c>
      <c r="N538" s="619">
        <v>46772054.539999999</v>
      </c>
      <c r="O538" s="619">
        <v>46706432.990000002</v>
      </c>
      <c r="P538" s="619">
        <v>48679295.020000003</v>
      </c>
      <c r="Q538" s="619">
        <v>4384409.1900000004</v>
      </c>
      <c r="R538" s="619">
        <v>11456753.52</v>
      </c>
      <c r="S538" s="498">
        <f t="shared" si="124"/>
        <v>47600409.094166674</v>
      </c>
      <c r="T538" s="620"/>
      <c r="U538" s="657"/>
      <c r="V538" s="690"/>
      <c r="W538" s="690"/>
      <c r="X538" s="713">
        <f t="shared" si="133"/>
        <v>47600409.094166674</v>
      </c>
      <c r="Y538" s="690"/>
      <c r="Z538" s="690"/>
      <c r="AA538" s="657"/>
      <c r="AB538" s="690">
        <f t="shared" ref="AB538:AB543" si="134">+X538</f>
        <v>47600409.094166674</v>
      </c>
      <c r="AC538" s="658"/>
      <c r="AD538" s="659">
        <f t="shared" si="129"/>
        <v>0</v>
      </c>
      <c r="AE538" s="658"/>
      <c r="AF538" s="688">
        <f t="shared" si="131"/>
        <v>0</v>
      </c>
    </row>
    <row r="539" spans="1:32">
      <c r="A539" s="620">
        <v>528</v>
      </c>
      <c r="B539" s="326" t="s">
        <v>980</v>
      </c>
      <c r="C539" s="326" t="s">
        <v>623</v>
      </c>
      <c r="D539" s="326" t="s">
        <v>1235</v>
      </c>
      <c r="E539" s="605" t="s">
        <v>1723</v>
      </c>
      <c r="F539" s="619">
        <v>1569192.42</v>
      </c>
      <c r="G539" s="619">
        <v>-1020148.36</v>
      </c>
      <c r="H539" s="619">
        <v>-5442810.3399999999</v>
      </c>
      <c r="I539" s="619">
        <v>-7385013.0099999998</v>
      </c>
      <c r="J539" s="619">
        <v>-6549067.3300000001</v>
      </c>
      <c r="K539" s="619">
        <v>-4922617.32</v>
      </c>
      <c r="L539" s="619">
        <v>-2853429.87</v>
      </c>
      <c r="M539" s="619">
        <v>-724893.84</v>
      </c>
      <c r="N539" s="619">
        <v>1555000.36</v>
      </c>
      <c r="O539" s="619">
        <v>-3923421.62</v>
      </c>
      <c r="P539" s="619">
        <v>-4657972.0999999996</v>
      </c>
      <c r="Q539" s="619">
        <v>946819.65999999898</v>
      </c>
      <c r="R539" s="619">
        <v>-1901460.25</v>
      </c>
      <c r="S539" s="498">
        <f t="shared" si="124"/>
        <v>-2928640.6404166669</v>
      </c>
      <c r="T539" s="620"/>
      <c r="U539" s="657"/>
      <c r="V539" s="690"/>
      <c r="W539" s="690"/>
      <c r="X539" s="713">
        <f t="shared" si="133"/>
        <v>-2928640.6404166669</v>
      </c>
      <c r="Y539" s="690"/>
      <c r="Z539" s="690"/>
      <c r="AA539" s="657"/>
      <c r="AB539" s="690">
        <f t="shared" si="134"/>
        <v>-2928640.6404166669</v>
      </c>
      <c r="AC539" s="658"/>
      <c r="AD539" s="659">
        <f t="shared" si="129"/>
        <v>0</v>
      </c>
      <c r="AE539" s="658"/>
      <c r="AF539" s="688">
        <f t="shared" si="131"/>
        <v>0</v>
      </c>
    </row>
    <row r="540" spans="1:32">
      <c r="A540" s="620">
        <v>529</v>
      </c>
      <c r="B540" s="326" t="s">
        <v>980</v>
      </c>
      <c r="C540" s="326" t="s">
        <v>623</v>
      </c>
      <c r="D540" s="326" t="s">
        <v>1236</v>
      </c>
      <c r="E540" s="605" t="s">
        <v>1724</v>
      </c>
      <c r="F540" s="619">
        <v>1242631.18</v>
      </c>
      <c r="G540" s="619">
        <v>981333.26</v>
      </c>
      <c r="H540" s="619">
        <v>699888.78</v>
      </c>
      <c r="I540" s="619">
        <v>389285.93</v>
      </c>
      <c r="J540" s="619">
        <v>211478.86</v>
      </c>
      <c r="K540" s="619">
        <v>103965.13</v>
      </c>
      <c r="L540" s="619">
        <v>38144.839999999902</v>
      </c>
      <c r="M540" s="619">
        <v>-18293.3500000001</v>
      </c>
      <c r="N540" s="619">
        <v>-70006.930000000095</v>
      </c>
      <c r="O540" s="619">
        <v>-120543.07</v>
      </c>
      <c r="P540" s="619">
        <v>-233366.03</v>
      </c>
      <c r="Q540" s="619">
        <v>-8.7311491370201098E-11</v>
      </c>
      <c r="R540" s="619">
        <v>-8.7311491370201098E-11</v>
      </c>
      <c r="S540" s="498">
        <f t="shared" si="124"/>
        <v>216933.58416666664</v>
      </c>
      <c r="T540" s="620"/>
      <c r="U540" s="657"/>
      <c r="V540" s="690"/>
      <c r="W540" s="690"/>
      <c r="X540" s="713">
        <f t="shared" si="133"/>
        <v>216933.58416666664</v>
      </c>
      <c r="Y540" s="690"/>
      <c r="Z540" s="690"/>
      <c r="AA540" s="657"/>
      <c r="AB540" s="690">
        <f t="shared" si="134"/>
        <v>216933.58416666664</v>
      </c>
      <c r="AC540" s="658"/>
      <c r="AD540" s="659">
        <f t="shared" si="129"/>
        <v>0</v>
      </c>
      <c r="AE540" s="658"/>
      <c r="AF540" s="688">
        <f t="shared" si="131"/>
        <v>0</v>
      </c>
    </row>
    <row r="541" spans="1:32">
      <c r="A541" s="620">
        <v>530</v>
      </c>
      <c r="B541" s="326" t="s">
        <v>980</v>
      </c>
      <c r="C541" s="326" t="s">
        <v>623</v>
      </c>
      <c r="D541" s="326" t="s">
        <v>1936</v>
      </c>
      <c r="E541" s="605" t="s">
        <v>1937</v>
      </c>
      <c r="F541" s="619">
        <v>0</v>
      </c>
      <c r="G541" s="619">
        <v>0</v>
      </c>
      <c r="H541" s="619">
        <v>0</v>
      </c>
      <c r="I541" s="619">
        <v>0</v>
      </c>
      <c r="J541" s="619">
        <v>48238516.170000002</v>
      </c>
      <c r="K541" s="619">
        <v>47467721.75</v>
      </c>
      <c r="L541" s="619">
        <v>47028598.560000002</v>
      </c>
      <c r="M541" s="619">
        <v>46691603.600000001</v>
      </c>
      <c r="N541" s="619">
        <v>46402080.859999999</v>
      </c>
      <c r="O541" s="619">
        <v>46118062.170000002</v>
      </c>
      <c r="P541" s="619">
        <v>45226488.729999997</v>
      </c>
      <c r="Q541" s="619">
        <v>43685242.840000004</v>
      </c>
      <c r="R541" s="619">
        <v>41366186.759999998</v>
      </c>
      <c r="S541" s="498">
        <f t="shared" si="124"/>
        <v>32628450.671666671</v>
      </c>
      <c r="T541" s="620"/>
      <c r="U541" s="657"/>
      <c r="V541" s="690"/>
      <c r="W541" s="690"/>
      <c r="X541" s="713">
        <f>+S541</f>
        <v>32628450.671666671</v>
      </c>
      <c r="Y541" s="690"/>
      <c r="Z541" s="690"/>
      <c r="AA541" s="657"/>
      <c r="AB541" s="690">
        <f t="shared" si="134"/>
        <v>32628450.671666671</v>
      </c>
      <c r="AC541" s="658"/>
      <c r="AD541" s="659"/>
      <c r="AE541" s="658"/>
      <c r="AF541" s="688"/>
    </row>
    <row r="542" spans="1:32">
      <c r="A542" s="620">
        <v>531</v>
      </c>
      <c r="B542" s="326" t="s">
        <v>980</v>
      </c>
      <c r="C542" s="326" t="s">
        <v>623</v>
      </c>
      <c r="D542" s="326" t="s">
        <v>1938</v>
      </c>
      <c r="E542" s="605" t="s">
        <v>1937</v>
      </c>
      <c r="F542" s="619">
        <v>0</v>
      </c>
      <c r="G542" s="619">
        <v>0</v>
      </c>
      <c r="H542" s="619">
        <v>0</v>
      </c>
      <c r="I542" s="619">
        <v>0</v>
      </c>
      <c r="J542" s="619">
        <v>0</v>
      </c>
      <c r="K542" s="619">
        <v>0</v>
      </c>
      <c r="L542" s="619">
        <v>0</v>
      </c>
      <c r="M542" s="619">
        <v>0</v>
      </c>
      <c r="N542" s="619">
        <v>0</v>
      </c>
      <c r="O542" s="619">
        <v>0</v>
      </c>
      <c r="P542" s="619">
        <v>0</v>
      </c>
      <c r="Q542" s="619">
        <v>38342676.920000002</v>
      </c>
      <c r="R542" s="619">
        <v>36554943.310000002</v>
      </c>
      <c r="S542" s="498">
        <f t="shared" si="124"/>
        <v>4718345.7145833336</v>
      </c>
      <c r="T542" s="620"/>
      <c r="U542" s="657"/>
      <c r="V542" s="690"/>
      <c r="W542" s="690"/>
      <c r="X542" s="713">
        <f>+S542</f>
        <v>4718345.7145833336</v>
      </c>
      <c r="Y542" s="690"/>
      <c r="Z542" s="690"/>
      <c r="AA542" s="657"/>
      <c r="AB542" s="690">
        <f t="shared" si="134"/>
        <v>4718345.7145833336</v>
      </c>
      <c r="AC542" s="658"/>
      <c r="AD542" s="659"/>
      <c r="AE542" s="658"/>
      <c r="AF542" s="688"/>
    </row>
    <row r="543" spans="1:32">
      <c r="A543" s="620">
        <v>532</v>
      </c>
      <c r="B543" s="326" t="s">
        <v>980</v>
      </c>
      <c r="C543" s="326" t="s">
        <v>623</v>
      </c>
      <c r="D543" s="326" t="s">
        <v>1233</v>
      </c>
      <c r="E543" s="605" t="s">
        <v>1725</v>
      </c>
      <c r="F543" s="619">
        <v>-176888.05</v>
      </c>
      <c r="G543" s="619">
        <v>-176596.49</v>
      </c>
      <c r="H543" s="619">
        <v>-220472.63</v>
      </c>
      <c r="I543" s="619">
        <v>-145427.01</v>
      </c>
      <c r="J543" s="619">
        <v>-836514.01</v>
      </c>
      <c r="K543" s="619">
        <v>-483135.71</v>
      </c>
      <c r="L543" s="619">
        <v>-343626.12</v>
      </c>
      <c r="M543" s="619">
        <v>-340080.24</v>
      </c>
      <c r="N543" s="619">
        <v>-187948.59</v>
      </c>
      <c r="O543" s="619">
        <v>-454889.8</v>
      </c>
      <c r="P543" s="619">
        <v>-1106965.51</v>
      </c>
      <c r="Q543" s="619">
        <v>-2850298.75</v>
      </c>
      <c r="R543" s="619">
        <v>-3280759.84</v>
      </c>
      <c r="S543" s="498">
        <f t="shared" si="124"/>
        <v>-739564.90041666664</v>
      </c>
      <c r="T543" s="620"/>
      <c r="U543" s="657"/>
      <c r="V543" s="690"/>
      <c r="W543" s="690"/>
      <c r="X543" s="713">
        <f t="shared" si="133"/>
        <v>-739564.90041666664</v>
      </c>
      <c r="Y543" s="690"/>
      <c r="Z543" s="690"/>
      <c r="AA543" s="657"/>
      <c r="AB543" s="690">
        <f t="shared" si="134"/>
        <v>-739564.90041666664</v>
      </c>
      <c r="AC543" s="658"/>
      <c r="AD543" s="659">
        <f t="shared" si="129"/>
        <v>0</v>
      </c>
      <c r="AE543" s="660"/>
      <c r="AF543" s="688">
        <f t="shared" si="131"/>
        <v>0</v>
      </c>
    </row>
    <row r="544" spans="1:32">
      <c r="A544" s="620">
        <v>533</v>
      </c>
      <c r="B544" s="326" t="s">
        <v>1005</v>
      </c>
      <c r="C544" s="326" t="s">
        <v>623</v>
      </c>
      <c r="D544" s="326" t="s">
        <v>1237</v>
      </c>
      <c r="E544" s="605" t="s">
        <v>625</v>
      </c>
      <c r="F544" s="619">
        <v>0</v>
      </c>
      <c r="G544" s="619">
        <v>0</v>
      </c>
      <c r="H544" s="619">
        <v>0</v>
      </c>
      <c r="I544" s="619">
        <v>0</v>
      </c>
      <c r="J544" s="619">
        <v>0</v>
      </c>
      <c r="K544" s="619">
        <v>0</v>
      </c>
      <c r="L544" s="619">
        <v>0</v>
      </c>
      <c r="M544" s="619">
        <v>0</v>
      </c>
      <c r="N544" s="619">
        <v>0</v>
      </c>
      <c r="O544" s="619">
        <v>0</v>
      </c>
      <c r="P544" s="619">
        <v>-224.3</v>
      </c>
      <c r="Q544" s="619">
        <v>0</v>
      </c>
      <c r="R544" s="619">
        <v>-29908.85</v>
      </c>
      <c r="S544" s="498">
        <f t="shared" si="124"/>
        <v>-1264.89375</v>
      </c>
      <c r="T544" s="620"/>
      <c r="U544" s="657"/>
      <c r="V544" s="690">
        <f>+S544</f>
        <v>-1264.89375</v>
      </c>
      <c r="W544" s="690"/>
      <c r="X544" s="713"/>
      <c r="Y544" s="690"/>
      <c r="Z544" s="690"/>
      <c r="AA544" s="657"/>
      <c r="AB544" s="690"/>
      <c r="AC544" s="658"/>
      <c r="AD544" s="659">
        <f t="shared" si="129"/>
        <v>-1264.89375</v>
      </c>
      <c r="AE544" s="666"/>
      <c r="AF544" s="688">
        <f t="shared" si="131"/>
        <v>0</v>
      </c>
    </row>
    <row r="545" spans="1:32">
      <c r="A545" s="620">
        <v>534</v>
      </c>
      <c r="B545" s="326" t="s">
        <v>980</v>
      </c>
      <c r="C545" s="326" t="s">
        <v>623</v>
      </c>
      <c r="D545" s="326" t="s">
        <v>1238</v>
      </c>
      <c r="E545" s="605" t="s">
        <v>625</v>
      </c>
      <c r="F545" s="619">
        <v>0</v>
      </c>
      <c r="G545" s="619">
        <v>0</v>
      </c>
      <c r="H545" s="619">
        <v>0</v>
      </c>
      <c r="I545" s="619">
        <v>0</v>
      </c>
      <c r="J545" s="619">
        <v>0</v>
      </c>
      <c r="K545" s="619">
        <v>0</v>
      </c>
      <c r="L545" s="619">
        <v>0</v>
      </c>
      <c r="M545" s="619">
        <v>0</v>
      </c>
      <c r="N545" s="619">
        <v>0</v>
      </c>
      <c r="O545" s="619">
        <v>0</v>
      </c>
      <c r="P545" s="619">
        <v>-745.7</v>
      </c>
      <c r="Q545" s="619">
        <v>0</v>
      </c>
      <c r="R545" s="619">
        <v>-108189.15</v>
      </c>
      <c r="S545" s="498">
        <f t="shared" si="124"/>
        <v>-4570.0229166666659</v>
      </c>
      <c r="T545" s="620"/>
      <c r="U545" s="657"/>
      <c r="V545" s="690">
        <f>+S545</f>
        <v>-4570.0229166666659</v>
      </c>
      <c r="W545" s="690"/>
      <c r="X545" s="713"/>
      <c r="Y545" s="690"/>
      <c r="Z545" s="690"/>
      <c r="AA545" s="657"/>
      <c r="AB545" s="690"/>
      <c r="AC545" s="658"/>
      <c r="AD545" s="659">
        <f t="shared" si="129"/>
        <v>-4570.0229166666659</v>
      </c>
      <c r="AE545" s="659"/>
      <c r="AF545" s="688">
        <f t="shared" si="131"/>
        <v>0</v>
      </c>
    </row>
    <row r="546" spans="1:32">
      <c r="A546" s="620">
        <v>536</v>
      </c>
      <c r="B546" s="620"/>
      <c r="C546" s="620"/>
      <c r="D546" s="620"/>
      <c r="E546" s="605" t="s">
        <v>627</v>
      </c>
      <c r="F546" s="305">
        <f t="shared" ref="F546" si="135">SUM(F462:F545)</f>
        <v>-32063005.899999995</v>
      </c>
      <c r="G546" s="305">
        <f t="shared" ref="G546" si="136">SUM(G462:G545)</f>
        <v>-34451350.739999995</v>
      </c>
      <c r="H546" s="305">
        <f t="shared" ref="H546" si="137">SUM(H462:H545)</f>
        <v>-33219999.679999996</v>
      </c>
      <c r="I546" s="305">
        <f t="shared" ref="I546" si="138">SUM(I462:I545)</f>
        <v>-36492609.619999997</v>
      </c>
      <c r="J546" s="305">
        <f t="shared" ref="J546" si="139">SUM(J462:J545)</f>
        <v>-28684516.499999966</v>
      </c>
      <c r="K546" s="305">
        <f t="shared" ref="K546" si="140">SUM(K462:K545)</f>
        <v>-31630282.010000013</v>
      </c>
      <c r="L546" s="305">
        <f t="shared" ref="L546" si="141">SUM(L462:L545)</f>
        <v>-33481269.949999969</v>
      </c>
      <c r="M546" s="305">
        <f t="shared" ref="M546" si="142">SUM(M462:M545)</f>
        <v>-33183083.010000002</v>
      </c>
      <c r="N546" s="305">
        <f t="shared" ref="N546" si="143">SUM(N462:N545)</f>
        <v>-34166519.859999985</v>
      </c>
      <c r="O546" s="305">
        <f t="shared" ref="O546" si="144">SUM(O462:O545)</f>
        <v>-35545662.090000004</v>
      </c>
      <c r="P546" s="305">
        <f t="shared" ref="P546" si="145">SUM(P462:P545)</f>
        <v>-36503371.73999998</v>
      </c>
      <c r="Q546" s="305">
        <f t="shared" ref="Q546" si="146">SUM(Q462:Q545)</f>
        <v>-40736828.329999983</v>
      </c>
      <c r="R546" s="305">
        <f t="shared" ref="R546" si="147">SUM(R462:R545)</f>
        <v>-39990550.930000007</v>
      </c>
      <c r="S546" s="305">
        <f>SUM(S462:S545)</f>
        <v>-34510189.32874994</v>
      </c>
      <c r="T546" s="620"/>
      <c r="U546" s="657"/>
      <c r="V546" s="690"/>
      <c r="W546" s="690"/>
      <c r="X546" s="713"/>
      <c r="Y546" s="690"/>
      <c r="Z546" s="690"/>
      <c r="AA546" s="657"/>
      <c r="AB546" s="690"/>
      <c r="AC546" s="658"/>
      <c r="AD546" s="658"/>
      <c r="AE546" s="658"/>
      <c r="AF546" s="688">
        <f t="shared" si="131"/>
        <v>0</v>
      </c>
    </row>
    <row r="547" spans="1:32">
      <c r="A547" s="620">
        <v>537</v>
      </c>
      <c r="B547" s="620"/>
      <c r="C547" s="620"/>
      <c r="D547" s="620"/>
      <c r="E547" s="605"/>
      <c r="F547" s="619"/>
      <c r="G547" s="324"/>
      <c r="H547" s="315"/>
      <c r="I547" s="315"/>
      <c r="J547" s="316"/>
      <c r="K547" s="317"/>
      <c r="L547" s="318"/>
      <c r="M547" s="319"/>
      <c r="N547" s="320"/>
      <c r="O547" s="606"/>
      <c r="P547" s="321"/>
      <c r="Q547" s="325"/>
      <c r="R547" s="619"/>
      <c r="S547" s="304"/>
      <c r="T547" s="620"/>
      <c r="U547" s="657"/>
      <c r="V547" s="690"/>
      <c r="W547" s="690"/>
      <c r="X547" s="713"/>
      <c r="Y547" s="690"/>
      <c r="Z547" s="690"/>
      <c r="AA547" s="657"/>
      <c r="AB547" s="690"/>
      <c r="AC547" s="658"/>
      <c r="AD547" s="658"/>
      <c r="AE547" s="658"/>
      <c r="AF547" s="688">
        <f t="shared" si="131"/>
        <v>0</v>
      </c>
    </row>
    <row r="548" spans="1:32">
      <c r="A548" s="620">
        <v>538</v>
      </c>
      <c r="B548" s="326" t="s">
        <v>980</v>
      </c>
      <c r="C548" s="326" t="s">
        <v>619</v>
      </c>
      <c r="D548" s="326" t="s">
        <v>448</v>
      </c>
      <c r="E548" s="605" t="s">
        <v>1749</v>
      </c>
      <c r="F548" s="619">
        <v>-10840395.23</v>
      </c>
      <c r="G548" s="619">
        <v>-10826655.050000001</v>
      </c>
      <c r="H548" s="619">
        <v>-10758174.800000001</v>
      </c>
      <c r="I548" s="619">
        <v>-10644347.890000001</v>
      </c>
      <c r="J548" s="619">
        <v>-10485572.74</v>
      </c>
      <c r="K548" s="619">
        <v>-10425552.9</v>
      </c>
      <c r="L548" s="619">
        <v>-10371495.15</v>
      </c>
      <c r="M548" s="619">
        <v>-10311475.369999999</v>
      </c>
      <c r="N548" s="619">
        <v>-10226825.369999999</v>
      </c>
      <c r="O548" s="619">
        <v>-10149476.9</v>
      </c>
      <c r="P548" s="619">
        <v>-9941631.1199999992</v>
      </c>
      <c r="Q548" s="619">
        <v>-9869455.4700000007</v>
      </c>
      <c r="R548" s="619">
        <v>-9591418.1799999997</v>
      </c>
      <c r="S548" s="498">
        <f t="shared" si="124"/>
        <v>-10352214.122083334</v>
      </c>
      <c r="T548" s="620"/>
      <c r="U548" s="657"/>
      <c r="V548" s="690">
        <f>+S548</f>
        <v>-10352214.122083334</v>
      </c>
      <c r="W548" s="690"/>
      <c r="X548" s="713"/>
      <c r="Y548" s="690"/>
      <c r="Z548" s="690"/>
      <c r="AA548" s="657"/>
      <c r="AB548" s="690"/>
      <c r="AC548" s="658"/>
      <c r="AD548" s="659">
        <f>+V548</f>
        <v>-10352214.122083334</v>
      </c>
      <c r="AE548" s="658"/>
      <c r="AF548" s="688">
        <f t="shared" si="131"/>
        <v>0</v>
      </c>
    </row>
    <row r="549" spans="1:32">
      <c r="A549" s="620">
        <v>539</v>
      </c>
      <c r="B549" s="326" t="s">
        <v>980</v>
      </c>
      <c r="C549" s="326" t="s">
        <v>619</v>
      </c>
      <c r="D549" s="326" t="s">
        <v>492</v>
      </c>
      <c r="E549" s="605" t="s">
        <v>1750</v>
      </c>
      <c r="F549" s="619">
        <v>-466500</v>
      </c>
      <c r="G549" s="619">
        <v>-466500</v>
      </c>
      <c r="H549" s="619">
        <v>-466500</v>
      </c>
      <c r="I549" s="619">
        <v>-466500</v>
      </c>
      <c r="J549" s="619">
        <v>-466500</v>
      </c>
      <c r="K549" s="619">
        <v>-466500</v>
      </c>
      <c r="L549" s="619">
        <v>-466500</v>
      </c>
      <c r="M549" s="619">
        <v>-466500</v>
      </c>
      <c r="N549" s="619">
        <v>-466500</v>
      </c>
      <c r="O549" s="619">
        <v>-466500</v>
      </c>
      <c r="P549" s="619">
        <v>-466500</v>
      </c>
      <c r="Q549" s="619">
        <v>-466500</v>
      </c>
      <c r="R549" s="619">
        <v>-466500</v>
      </c>
      <c r="S549" s="498">
        <f t="shared" si="124"/>
        <v>-466500</v>
      </c>
      <c r="T549" s="620"/>
      <c r="U549" s="657"/>
      <c r="V549" s="690">
        <f t="shared" ref="V549:V550" si="148">+S549</f>
        <v>-466500</v>
      </c>
      <c r="W549" s="690"/>
      <c r="X549" s="713"/>
      <c r="Y549" s="690"/>
      <c r="Z549" s="690"/>
      <c r="AA549" s="657"/>
      <c r="AB549" s="690"/>
      <c r="AC549" s="658"/>
      <c r="AD549" s="659">
        <f t="shared" ref="AD549:AD550" si="149">+V549</f>
        <v>-466500</v>
      </c>
      <c r="AE549" s="658"/>
      <c r="AF549" s="688">
        <f t="shared" si="131"/>
        <v>0</v>
      </c>
    </row>
    <row r="550" spans="1:32">
      <c r="A550" s="620">
        <v>540</v>
      </c>
      <c r="B550" s="326" t="s">
        <v>1005</v>
      </c>
      <c r="C550" s="326" t="s">
        <v>619</v>
      </c>
      <c r="D550" s="326" t="s">
        <v>492</v>
      </c>
      <c r="E550" s="605" t="s">
        <v>1747</v>
      </c>
      <c r="F550" s="619">
        <v>-1545967.84</v>
      </c>
      <c r="G550" s="619">
        <v>-1545967.84</v>
      </c>
      <c r="H550" s="619">
        <v>-1545967.84</v>
      </c>
      <c r="I550" s="619">
        <v>-1545967.84</v>
      </c>
      <c r="J550" s="619">
        <v>-1545967.84</v>
      </c>
      <c r="K550" s="619">
        <v>-1545967.84</v>
      </c>
      <c r="L550" s="619">
        <v>-1000000</v>
      </c>
      <c r="M550" s="619">
        <v>-1000000</v>
      </c>
      <c r="N550" s="619">
        <v>-976315.87</v>
      </c>
      <c r="O550" s="619">
        <v>-976315.87</v>
      </c>
      <c r="P550" s="619">
        <v>-976315.87</v>
      </c>
      <c r="Q550" s="619">
        <v>-976315.87</v>
      </c>
      <c r="R550" s="619">
        <v>-46000.000000000102</v>
      </c>
      <c r="S550" s="498">
        <f t="shared" si="124"/>
        <v>-1202590.5499999996</v>
      </c>
      <c r="T550" s="620"/>
      <c r="U550" s="657"/>
      <c r="V550" s="690">
        <f t="shared" si="148"/>
        <v>-1202590.5499999996</v>
      </c>
      <c r="W550" s="690"/>
      <c r="X550" s="713"/>
      <c r="Y550" s="690"/>
      <c r="Z550" s="690"/>
      <c r="AA550" s="657"/>
      <c r="AB550" s="690"/>
      <c r="AC550" s="658"/>
      <c r="AD550" s="659">
        <f t="shared" si="149"/>
        <v>-1202590.5499999996</v>
      </c>
      <c r="AE550" s="658"/>
      <c r="AF550" s="688">
        <f t="shared" si="131"/>
        <v>0</v>
      </c>
    </row>
    <row r="551" spans="1:32">
      <c r="A551" s="620">
        <v>541</v>
      </c>
      <c r="B551" s="326" t="s">
        <v>977</v>
      </c>
      <c r="C551" s="326" t="s">
        <v>628</v>
      </c>
      <c r="D551" s="326" t="s">
        <v>448</v>
      </c>
      <c r="E551" s="605" t="s">
        <v>1734</v>
      </c>
      <c r="F551" s="619">
        <v>-5590044.1200000001</v>
      </c>
      <c r="G551" s="619">
        <v>-5646294.1200000001</v>
      </c>
      <c r="H551" s="619">
        <v>-5702544.1200000001</v>
      </c>
      <c r="I551" s="619">
        <v>-5613707.8499999996</v>
      </c>
      <c r="J551" s="619">
        <v>-5669957.8499999996</v>
      </c>
      <c r="K551" s="619">
        <v>-5716844.5199999996</v>
      </c>
      <c r="L551" s="619">
        <v>-5771221.8499999996</v>
      </c>
      <c r="M551" s="619">
        <v>-5632150.8200000003</v>
      </c>
      <c r="N551" s="619">
        <v>-5638166.0599999996</v>
      </c>
      <c r="O551" s="619">
        <v>-5644181.2999999998</v>
      </c>
      <c r="P551" s="619">
        <v>-5650196.54</v>
      </c>
      <c r="Q551" s="619">
        <v>-5656211.7800000003</v>
      </c>
      <c r="R551" s="619">
        <v>-5552400.04</v>
      </c>
      <c r="S551" s="498">
        <f t="shared" si="124"/>
        <v>-5659391.5741666667</v>
      </c>
      <c r="T551" s="620"/>
      <c r="U551" s="657"/>
      <c r="W551" s="690"/>
      <c r="X551" s="690">
        <f>+S551</f>
        <v>-5659391.5741666667</v>
      </c>
      <c r="Y551" s="690"/>
      <c r="Z551" s="690"/>
      <c r="AA551" s="657"/>
      <c r="AB551" s="659">
        <f>+X551</f>
        <v>-5659391.5741666667</v>
      </c>
      <c r="AC551" s="658"/>
      <c r="AE551" s="658"/>
      <c r="AF551" s="688">
        <f>+U551+X551-AB551</f>
        <v>0</v>
      </c>
    </row>
    <row r="552" spans="1:32">
      <c r="A552" s="620">
        <v>542</v>
      </c>
      <c r="B552" s="326" t="s">
        <v>977</v>
      </c>
      <c r="C552" s="326" t="s">
        <v>628</v>
      </c>
      <c r="D552" s="326" t="s">
        <v>578</v>
      </c>
      <c r="E552" s="605" t="s">
        <v>1735</v>
      </c>
      <c r="F552" s="619">
        <v>-112904.15</v>
      </c>
      <c r="G552" s="619">
        <v>0</v>
      </c>
      <c r="H552" s="619">
        <v>0</v>
      </c>
      <c r="I552" s="619">
        <v>0</v>
      </c>
      <c r="J552" s="619">
        <v>0</v>
      </c>
      <c r="K552" s="619">
        <v>0</v>
      </c>
      <c r="L552" s="619">
        <v>0</v>
      </c>
      <c r="M552" s="619">
        <v>0</v>
      </c>
      <c r="N552" s="619">
        <v>0</v>
      </c>
      <c r="O552" s="619">
        <v>0</v>
      </c>
      <c r="P552" s="619">
        <v>0</v>
      </c>
      <c r="Q552" s="619">
        <v>0</v>
      </c>
      <c r="R552" s="619">
        <v>0</v>
      </c>
      <c r="S552" s="498">
        <f t="shared" si="124"/>
        <v>-4704.3395833333334</v>
      </c>
      <c r="T552" s="620"/>
      <c r="U552" s="657"/>
      <c r="W552" s="690"/>
      <c r="X552" s="690">
        <f>+S552</f>
        <v>-4704.3395833333334</v>
      </c>
      <c r="Y552" s="690"/>
      <c r="Z552" s="690"/>
      <c r="AA552" s="657"/>
      <c r="AB552" s="659">
        <f>+X552</f>
        <v>-4704.3395833333334</v>
      </c>
      <c r="AC552" s="658"/>
      <c r="AE552" s="658"/>
      <c r="AF552" s="688">
        <f>+U552+X552-AB552</f>
        <v>0</v>
      </c>
    </row>
    <row r="553" spans="1:32">
      <c r="A553" s="620">
        <v>543</v>
      </c>
      <c r="B553" s="326" t="s">
        <v>977</v>
      </c>
      <c r="C553" s="326" t="s">
        <v>628</v>
      </c>
      <c r="D553" s="326" t="s">
        <v>579</v>
      </c>
      <c r="E553" s="605" t="s">
        <v>1736</v>
      </c>
      <c r="F553" s="619">
        <v>-108832</v>
      </c>
      <c r="G553" s="619">
        <v>-108832</v>
      </c>
      <c r="H553" s="619">
        <v>-108832</v>
      </c>
      <c r="I553" s="619">
        <v>-108832</v>
      </c>
      <c r="J553" s="619">
        <v>-108832</v>
      </c>
      <c r="K553" s="619">
        <v>-108832</v>
      </c>
      <c r="L553" s="619">
        <v>-108832</v>
      </c>
      <c r="M553" s="619">
        <v>-108832</v>
      </c>
      <c r="N553" s="619">
        <v>-108832</v>
      </c>
      <c r="O553" s="619">
        <v>-108832</v>
      </c>
      <c r="P553" s="619">
        <v>-108832</v>
      </c>
      <c r="Q553" s="619">
        <v>-108832</v>
      </c>
      <c r="R553" s="619">
        <v>-555072</v>
      </c>
      <c r="S553" s="498">
        <f t="shared" si="124"/>
        <v>-127425.33333333333</v>
      </c>
      <c r="T553" s="620"/>
      <c r="U553" s="657"/>
      <c r="W553" s="690"/>
      <c r="X553" s="690">
        <f>+S553</f>
        <v>-127425.33333333333</v>
      </c>
      <c r="Y553" s="690"/>
      <c r="Z553" s="690"/>
      <c r="AA553" s="657"/>
      <c r="AB553" s="659">
        <f>+X553</f>
        <v>-127425.33333333333</v>
      </c>
      <c r="AC553" s="658"/>
      <c r="AE553" s="658"/>
      <c r="AF553" s="688">
        <f>+U553+X553-AB553</f>
        <v>0</v>
      </c>
    </row>
    <row r="554" spans="1:32">
      <c r="A554" s="620">
        <v>544</v>
      </c>
      <c r="B554" s="326" t="s">
        <v>977</v>
      </c>
      <c r="C554" s="326" t="s">
        <v>629</v>
      </c>
      <c r="D554" s="326" t="s">
        <v>1239</v>
      </c>
      <c r="E554" s="605" t="s">
        <v>1737</v>
      </c>
      <c r="F554" s="619">
        <v>-66788045.990000002</v>
      </c>
      <c r="G554" s="619">
        <v>-67092875.520000003</v>
      </c>
      <c r="H554" s="619">
        <v>-67399102.519999996</v>
      </c>
      <c r="I554" s="619">
        <v>-67706733.280000001</v>
      </c>
      <c r="J554" s="619">
        <v>-68015774.299999997</v>
      </c>
      <c r="K554" s="619">
        <v>-68326232.219999999</v>
      </c>
      <c r="L554" s="619">
        <v>-68638113.450000003</v>
      </c>
      <c r="M554" s="619">
        <v>-68951424.409999996</v>
      </c>
      <c r="N554" s="619">
        <v>-69266171.700000003</v>
      </c>
      <c r="O554" s="619">
        <v>-69582362.049999997</v>
      </c>
      <c r="P554" s="619">
        <v>-69900002.090000004</v>
      </c>
      <c r="Q554" s="619">
        <v>-70219098.450000003</v>
      </c>
      <c r="R554" s="619">
        <v>-74293816.879999995</v>
      </c>
      <c r="S554" s="498">
        <f t="shared" si="124"/>
        <v>-68803235.118750021</v>
      </c>
      <c r="T554" s="620"/>
      <c r="U554" s="657"/>
      <c r="V554" s="690"/>
      <c r="W554" s="690"/>
      <c r="X554" s="713">
        <f>+S554</f>
        <v>-68803235.118750021</v>
      </c>
      <c r="Y554" s="690">
        <f>+X554*Z7</f>
        <v>-51719391.838764392</v>
      </c>
      <c r="Z554" s="690">
        <f>+X554*Z8</f>
        <v>-17083843.279985629</v>
      </c>
      <c r="AA554" s="657"/>
      <c r="AB554" s="690"/>
      <c r="AC554" s="658"/>
      <c r="AD554" s="659"/>
      <c r="AE554" s="658"/>
      <c r="AF554" s="688">
        <f t="shared" si="131"/>
        <v>0</v>
      </c>
    </row>
    <row r="555" spans="1:32">
      <c r="A555" s="620">
        <v>545</v>
      </c>
      <c r="B555" s="326" t="s">
        <v>977</v>
      </c>
      <c r="C555" s="326" t="s">
        <v>619</v>
      </c>
      <c r="D555" s="326" t="s">
        <v>448</v>
      </c>
      <c r="E555" s="605" t="s">
        <v>1942</v>
      </c>
      <c r="F555" s="619">
        <v>0</v>
      </c>
      <c r="G555" s="619">
        <v>0</v>
      </c>
      <c r="H555" s="619">
        <v>0</v>
      </c>
      <c r="I555" s="619">
        <v>0</v>
      </c>
      <c r="J555" s="619">
        <v>0</v>
      </c>
      <c r="K555" s="619">
        <v>0</v>
      </c>
      <c r="L555" s="619">
        <v>0</v>
      </c>
      <c r="M555" s="619">
        <v>0</v>
      </c>
      <c r="N555" s="619">
        <v>0</v>
      </c>
      <c r="O555" s="619">
        <v>-324000</v>
      </c>
      <c r="P555" s="619">
        <v>-324000</v>
      </c>
      <c r="Q555" s="619">
        <v>-324000</v>
      </c>
      <c r="R555" s="619">
        <v>-320100</v>
      </c>
      <c r="S555" s="498">
        <f t="shared" si="124"/>
        <v>-94337.5</v>
      </c>
      <c r="T555" s="620"/>
      <c r="U555" s="657"/>
      <c r="V555" s="690">
        <f>+S555</f>
        <v>-94337.5</v>
      </c>
      <c r="W555" s="690"/>
      <c r="X555" s="713"/>
      <c r="Y555" s="690"/>
      <c r="Z555" s="690"/>
      <c r="AA555" s="657"/>
      <c r="AB555" s="690"/>
      <c r="AC555" s="658"/>
      <c r="AD555" s="659">
        <f>+S555</f>
        <v>-94337.5</v>
      </c>
      <c r="AE555" s="658"/>
      <c r="AF555" s="688"/>
    </row>
    <row r="556" spans="1:32">
      <c r="A556" s="620">
        <v>546</v>
      </c>
      <c r="B556" s="326" t="s">
        <v>977</v>
      </c>
      <c r="C556" s="326" t="s">
        <v>626</v>
      </c>
      <c r="D556" s="326" t="s">
        <v>560</v>
      </c>
      <c r="E556" s="605" t="s">
        <v>495</v>
      </c>
      <c r="F556" s="619">
        <v>0</v>
      </c>
      <c r="G556" s="619">
        <v>0</v>
      </c>
      <c r="H556" s="619">
        <v>0</v>
      </c>
      <c r="I556" s="619">
        <v>0</v>
      </c>
      <c r="J556" s="619">
        <v>0</v>
      </c>
      <c r="K556" s="619">
        <v>0</v>
      </c>
      <c r="L556" s="619">
        <v>0</v>
      </c>
      <c r="M556" s="619">
        <v>0</v>
      </c>
      <c r="N556" s="619">
        <v>0</v>
      </c>
      <c r="O556" s="619">
        <v>0</v>
      </c>
      <c r="P556" s="619">
        <v>0</v>
      </c>
      <c r="Q556" s="619">
        <v>0</v>
      </c>
      <c r="R556" s="619">
        <v>0</v>
      </c>
      <c r="S556" s="498">
        <f t="shared" si="124"/>
        <v>0</v>
      </c>
      <c r="T556" s="620"/>
      <c r="U556" s="657"/>
      <c r="V556" s="690"/>
      <c r="W556" s="690"/>
      <c r="X556" s="713"/>
      <c r="Y556" s="690"/>
      <c r="Z556" s="690"/>
      <c r="AA556" s="657"/>
      <c r="AB556" s="690"/>
      <c r="AC556" s="658"/>
      <c r="AD556" s="659"/>
      <c r="AE556" s="658"/>
      <c r="AF556" s="688">
        <f t="shared" si="131"/>
        <v>0</v>
      </c>
    </row>
    <row r="557" spans="1:32">
      <c r="A557" s="620">
        <v>547</v>
      </c>
      <c r="B557" s="326" t="s">
        <v>977</v>
      </c>
      <c r="C557" s="326" t="s">
        <v>630</v>
      </c>
      <c r="D557" s="326" t="s">
        <v>729</v>
      </c>
      <c r="E557" s="605" t="s">
        <v>1738</v>
      </c>
      <c r="F557" s="619">
        <v>-3373786.93</v>
      </c>
      <c r="G557" s="619">
        <v>-3301647.39</v>
      </c>
      <c r="H557" s="619">
        <v>-3301647.39</v>
      </c>
      <c r="I557" s="619">
        <v>-3301647.39</v>
      </c>
      <c r="J557" s="619">
        <v>-3301647.39</v>
      </c>
      <c r="K557" s="619">
        <v>-3301647.39</v>
      </c>
      <c r="L557" s="619">
        <v>-3301647.39</v>
      </c>
      <c r="M557" s="619">
        <v>-3301647.39</v>
      </c>
      <c r="N557" s="619">
        <v>-3301647.39</v>
      </c>
      <c r="O557" s="619">
        <v>-3301647.39</v>
      </c>
      <c r="P557" s="619">
        <v>-3301647.39</v>
      </c>
      <c r="Q557" s="619">
        <v>-3301647.39</v>
      </c>
      <c r="R557" s="619">
        <v>-3301647.39</v>
      </c>
      <c r="S557" s="498">
        <f t="shared" si="124"/>
        <v>-3304653.2041666671</v>
      </c>
      <c r="T557" s="620"/>
      <c r="U557" s="657"/>
      <c r="V557" s="690"/>
      <c r="W557" s="690"/>
      <c r="X557" s="713">
        <f>+S557</f>
        <v>-3304653.2041666671</v>
      </c>
      <c r="Y557" s="690">
        <f>+X557*Z7</f>
        <v>-2484107.8135720836</v>
      </c>
      <c r="Z557" s="690">
        <f>+X557*Z8</f>
        <v>-820545.39059458335</v>
      </c>
      <c r="AA557" s="657"/>
      <c r="AB557" s="690"/>
      <c r="AC557" s="658"/>
      <c r="AD557" s="659"/>
      <c r="AE557" s="658" t="s">
        <v>1448</v>
      </c>
      <c r="AF557" s="688">
        <f t="shared" si="131"/>
        <v>0</v>
      </c>
    </row>
    <row r="558" spans="1:32">
      <c r="A558" s="620">
        <v>548</v>
      </c>
      <c r="B558" s="326" t="s">
        <v>977</v>
      </c>
      <c r="C558" s="326" t="s">
        <v>630</v>
      </c>
      <c r="D558" s="326" t="s">
        <v>1137</v>
      </c>
      <c r="E558" s="605" t="s">
        <v>1739</v>
      </c>
      <c r="F558" s="619">
        <v>-48360.090000000098</v>
      </c>
      <c r="G558" s="619">
        <v>-1101.4100000000001</v>
      </c>
      <c r="H558" s="619">
        <v>-9536.17</v>
      </c>
      <c r="I558" s="619">
        <v>-35531.65</v>
      </c>
      <c r="J558" s="619">
        <v>-35531.65</v>
      </c>
      <c r="K558" s="619">
        <v>-41190.03</v>
      </c>
      <c r="L558" s="619">
        <v>-41190.03</v>
      </c>
      <c r="M558" s="619">
        <v>-41220.18</v>
      </c>
      <c r="N558" s="619">
        <v>-45069.26</v>
      </c>
      <c r="O558" s="619">
        <v>-45465.53</v>
      </c>
      <c r="P558" s="619">
        <v>-48880.44</v>
      </c>
      <c r="Q558" s="619">
        <v>-55161.33</v>
      </c>
      <c r="R558" s="619">
        <v>-55161.33</v>
      </c>
      <c r="S558" s="498">
        <f t="shared" si="124"/>
        <v>-37636.532500000008</v>
      </c>
      <c r="T558" s="620"/>
      <c r="U558" s="657"/>
      <c r="V558" s="690"/>
      <c r="W558" s="690"/>
      <c r="X558" s="713">
        <f t="shared" ref="X558:X561" si="150">+S558</f>
        <v>-37636.532500000008</v>
      </c>
      <c r="Y558" s="690">
        <f>+X558*Z7</f>
        <v>-28291.381480250009</v>
      </c>
      <c r="Z558" s="690">
        <f>+X558*Z8</f>
        <v>-9345.1510197500011</v>
      </c>
      <c r="AA558" s="657"/>
      <c r="AB558" s="690"/>
      <c r="AC558" s="658"/>
      <c r="AD558" s="659"/>
      <c r="AE558" s="658"/>
      <c r="AF558" s="688">
        <f t="shared" si="131"/>
        <v>0</v>
      </c>
    </row>
    <row r="559" spans="1:32">
      <c r="A559" s="620">
        <v>549</v>
      </c>
      <c r="B559" s="326" t="s">
        <v>977</v>
      </c>
      <c r="C559" s="326" t="s">
        <v>630</v>
      </c>
      <c r="D559" s="326" t="s">
        <v>1240</v>
      </c>
      <c r="E559" s="605" t="s">
        <v>1740</v>
      </c>
      <c r="F559" s="619">
        <v>3199.78</v>
      </c>
      <c r="G559" s="619">
        <v>0</v>
      </c>
      <c r="H559" s="619">
        <v>0</v>
      </c>
      <c r="I559" s="619">
        <v>0</v>
      </c>
      <c r="J559" s="619">
        <v>4021.48</v>
      </c>
      <c r="K559" s="619">
        <v>4021.48</v>
      </c>
      <c r="L559" s="619">
        <v>4021.48</v>
      </c>
      <c r="M559" s="619">
        <v>6854.11</v>
      </c>
      <c r="N559" s="619">
        <v>6854.11</v>
      </c>
      <c r="O559" s="619">
        <v>6854.11</v>
      </c>
      <c r="P559" s="619">
        <v>6854.11</v>
      </c>
      <c r="Q559" s="619">
        <v>6854.11</v>
      </c>
      <c r="R559" s="619">
        <v>6854.11</v>
      </c>
      <c r="S559" s="498">
        <f t="shared" si="124"/>
        <v>4280.1612500000001</v>
      </c>
      <c r="T559" s="620"/>
      <c r="U559" s="657"/>
      <c r="V559" s="690"/>
      <c r="W559" s="690"/>
      <c r="X559" s="713">
        <f t="shared" si="150"/>
        <v>4280.1612500000001</v>
      </c>
      <c r="Y559" s="690">
        <f>+X559*Z7</f>
        <v>3217.3972116250002</v>
      </c>
      <c r="Z559" s="690">
        <f>+X559*Z8</f>
        <v>1062.7640383749999</v>
      </c>
      <c r="AA559" s="657"/>
      <c r="AB559" s="690"/>
      <c r="AC559" s="658"/>
      <c r="AD559" s="659"/>
      <c r="AE559" s="658"/>
      <c r="AF559" s="688">
        <f t="shared" si="131"/>
        <v>0</v>
      </c>
    </row>
    <row r="560" spans="1:32">
      <c r="A560" s="620">
        <v>550</v>
      </c>
      <c r="B560" s="326" t="s">
        <v>977</v>
      </c>
      <c r="C560" s="326" t="s">
        <v>630</v>
      </c>
      <c r="D560" s="326" t="s">
        <v>985</v>
      </c>
      <c r="E560" s="605" t="s">
        <v>1742</v>
      </c>
      <c r="F560" s="619">
        <v>117299.85</v>
      </c>
      <c r="G560" s="619">
        <v>0</v>
      </c>
      <c r="H560" s="619">
        <v>0</v>
      </c>
      <c r="I560" s="619">
        <v>77103.62</v>
      </c>
      <c r="J560" s="619">
        <v>77103.62</v>
      </c>
      <c r="K560" s="619">
        <v>77103.62</v>
      </c>
      <c r="L560" s="619">
        <v>77103.62</v>
      </c>
      <c r="M560" s="619">
        <v>77103.62</v>
      </c>
      <c r="N560" s="619">
        <v>77103.62</v>
      </c>
      <c r="O560" s="619">
        <v>140365.51999999999</v>
      </c>
      <c r="P560" s="619">
        <v>140365.51999999999</v>
      </c>
      <c r="Q560" s="619">
        <v>140365.51999999999</v>
      </c>
      <c r="R560" s="619">
        <v>140365.51999999999</v>
      </c>
      <c r="S560" s="498">
        <f t="shared" si="124"/>
        <v>84379.247083333335</v>
      </c>
      <c r="T560" s="620"/>
      <c r="U560" s="657"/>
      <c r="V560" s="690"/>
      <c r="W560" s="690"/>
      <c r="X560" s="713">
        <f t="shared" si="150"/>
        <v>84379.247083333335</v>
      </c>
      <c r="Y560" s="690">
        <f>+X560*Z7</f>
        <v>63427.880032541674</v>
      </c>
      <c r="Z560" s="690">
        <f>+X560*Z8</f>
        <v>20951.367050791665</v>
      </c>
      <c r="AA560" s="657"/>
      <c r="AB560" s="690"/>
      <c r="AC560" s="658"/>
      <c r="AD560" s="659"/>
      <c r="AE560" s="658" t="s">
        <v>1449</v>
      </c>
      <c r="AF560" s="688">
        <f t="shared" si="131"/>
        <v>0</v>
      </c>
    </row>
    <row r="561" spans="1:32">
      <c r="A561" s="620">
        <v>551</v>
      </c>
      <c r="B561" s="326" t="s">
        <v>977</v>
      </c>
      <c r="C561" s="326" t="s">
        <v>630</v>
      </c>
      <c r="D561" s="326" t="s">
        <v>989</v>
      </c>
      <c r="E561" s="605" t="s">
        <v>1741</v>
      </c>
      <c r="F561" s="619">
        <v>-1014253.48</v>
      </c>
      <c r="G561" s="619">
        <v>-1014253.48</v>
      </c>
      <c r="H561" s="619">
        <v>-1014253.48</v>
      </c>
      <c r="I561" s="619">
        <v>-998215.14</v>
      </c>
      <c r="J561" s="619">
        <v>-961008.7</v>
      </c>
      <c r="K561" s="619">
        <v>-961008.7</v>
      </c>
      <c r="L561" s="619">
        <v>-961008.7</v>
      </c>
      <c r="M561" s="619">
        <v>-961008.7</v>
      </c>
      <c r="N561" s="619">
        <v>-961008.7</v>
      </c>
      <c r="O561" s="619">
        <v>-940392.65</v>
      </c>
      <c r="P561" s="619">
        <v>-947948.91</v>
      </c>
      <c r="Q561" s="619">
        <v>-956826.3</v>
      </c>
      <c r="R561" s="619">
        <v>-985998.22</v>
      </c>
      <c r="S561" s="498">
        <f t="shared" si="124"/>
        <v>-973088.27583333338</v>
      </c>
      <c r="T561" s="620"/>
      <c r="U561" s="657"/>
      <c r="V561" s="690"/>
      <c r="W561" s="690"/>
      <c r="X561" s="713">
        <f t="shared" si="150"/>
        <v>-973088.27583333338</v>
      </c>
      <c r="Y561" s="690">
        <f>+X561*Z7</f>
        <v>-731470.45694391674</v>
      </c>
      <c r="Z561" s="690">
        <f>+X561*Z8</f>
        <v>-241617.81888941667</v>
      </c>
      <c r="AA561" s="657"/>
      <c r="AB561" s="690"/>
      <c r="AC561" s="658"/>
      <c r="AD561" s="659"/>
      <c r="AE561" s="658" t="s">
        <v>1450</v>
      </c>
      <c r="AF561" s="688">
        <f t="shared" si="131"/>
        <v>0</v>
      </c>
    </row>
    <row r="562" spans="1:32">
      <c r="A562" s="620">
        <v>552</v>
      </c>
      <c r="B562" s="326" t="s">
        <v>977</v>
      </c>
      <c r="C562" s="326" t="s">
        <v>631</v>
      </c>
      <c r="D562" s="326" t="s">
        <v>1241</v>
      </c>
      <c r="E562" s="605" t="s">
        <v>1743</v>
      </c>
      <c r="F562" s="619">
        <v>121.7</v>
      </c>
      <c r="G562" s="619">
        <v>116.27</v>
      </c>
      <c r="H562" s="619">
        <v>111.09</v>
      </c>
      <c r="I562" s="619">
        <v>105.87</v>
      </c>
      <c r="J562" s="619">
        <v>97.49</v>
      </c>
      <c r="K562" s="619">
        <v>-116.12</v>
      </c>
      <c r="L562" s="619">
        <v>79.25</v>
      </c>
      <c r="M562" s="619">
        <v>85.32</v>
      </c>
      <c r="N562" s="619">
        <v>70.510000000000005</v>
      </c>
      <c r="O562" s="619">
        <v>56.91</v>
      </c>
      <c r="P562" s="619">
        <v>49.5</v>
      </c>
      <c r="Q562" s="619">
        <v>47.11</v>
      </c>
      <c r="R562" s="619">
        <v>100684.96</v>
      </c>
      <c r="S562" s="498">
        <f t="shared" si="124"/>
        <v>4258.8774999999996</v>
      </c>
      <c r="T562" s="620"/>
      <c r="U562" s="657"/>
      <c r="V562" s="690">
        <f t="shared" ref="V562:V566" si="151">+S562</f>
        <v>4258.8774999999996</v>
      </c>
      <c r="W562" s="690"/>
      <c r="X562" s="713"/>
      <c r="Y562" s="690"/>
      <c r="Z562" s="690"/>
      <c r="AA562" s="657"/>
      <c r="AB562" s="690"/>
      <c r="AC562" s="658"/>
      <c r="AD562" s="659">
        <f t="shared" ref="AD562:AD564" si="152">+V562</f>
        <v>4258.8774999999996</v>
      </c>
      <c r="AE562" s="658"/>
      <c r="AF562" s="688">
        <f t="shared" si="131"/>
        <v>0</v>
      </c>
    </row>
    <row r="563" spans="1:32">
      <c r="A563" s="620">
        <v>553</v>
      </c>
      <c r="B563" s="326" t="s">
        <v>977</v>
      </c>
      <c r="C563" s="326" t="s">
        <v>631</v>
      </c>
      <c r="D563" s="326" t="s">
        <v>1242</v>
      </c>
      <c r="E563" s="605" t="s">
        <v>1745</v>
      </c>
      <c r="F563" s="619">
        <v>-48270</v>
      </c>
      <c r="G563" s="619">
        <v>-48270</v>
      </c>
      <c r="H563" s="619">
        <v>-48270</v>
      </c>
      <c r="I563" s="619">
        <v>-48270</v>
      </c>
      <c r="J563" s="619">
        <v>-48270</v>
      </c>
      <c r="K563" s="619">
        <v>-48270</v>
      </c>
      <c r="L563" s="619">
        <v>-48270</v>
      </c>
      <c r="M563" s="619">
        <v>-48270</v>
      </c>
      <c r="N563" s="619">
        <v>-48270</v>
      </c>
      <c r="O563" s="619">
        <v>-48270</v>
      </c>
      <c r="P563" s="619">
        <v>-24135</v>
      </c>
      <c r="Q563" s="619">
        <v>-24135</v>
      </c>
      <c r="R563" s="619">
        <v>-24135</v>
      </c>
      <c r="S563" s="498">
        <f t="shared" si="124"/>
        <v>-43241.875</v>
      </c>
      <c r="T563" s="620"/>
      <c r="U563" s="657"/>
      <c r="V563" s="690">
        <f t="shared" si="151"/>
        <v>-43241.875</v>
      </c>
      <c r="W563" s="690"/>
      <c r="X563" s="713"/>
      <c r="Y563" s="690"/>
      <c r="Z563" s="690"/>
      <c r="AA563" s="657"/>
      <c r="AB563" s="690"/>
      <c r="AC563" s="658"/>
      <c r="AD563" s="659">
        <f t="shared" si="152"/>
        <v>-43241.875</v>
      </c>
      <c r="AE563" s="658"/>
      <c r="AF563" s="688">
        <f t="shared" si="131"/>
        <v>0</v>
      </c>
    </row>
    <row r="564" spans="1:32">
      <c r="A564" s="620">
        <v>554</v>
      </c>
      <c r="B564" s="326" t="s">
        <v>977</v>
      </c>
      <c r="C564" s="326" t="s">
        <v>631</v>
      </c>
      <c r="D564" s="326" t="s">
        <v>1243</v>
      </c>
      <c r="E564" s="605" t="s">
        <v>1744</v>
      </c>
      <c r="F564" s="619">
        <v>-9444729.6899999995</v>
      </c>
      <c r="G564" s="619">
        <v>-9386229.6899999995</v>
      </c>
      <c r="H564" s="619">
        <v>-9327729.6899999995</v>
      </c>
      <c r="I564" s="619">
        <v>-9269229.6899999995</v>
      </c>
      <c r="J564" s="619">
        <v>-9210729.6899999995</v>
      </c>
      <c r="K564" s="619">
        <v>-9495724.6899999995</v>
      </c>
      <c r="L564" s="619">
        <v>-9505923.6899999995</v>
      </c>
      <c r="M564" s="619">
        <v>-9516122.6899999995</v>
      </c>
      <c r="N564" s="619">
        <v>-9526321.6899999995</v>
      </c>
      <c r="O564" s="619">
        <v>-9536520.6899999995</v>
      </c>
      <c r="P564" s="619">
        <v>-9546719.6899999995</v>
      </c>
      <c r="Q564" s="619">
        <v>-9556918.6899999995</v>
      </c>
      <c r="R564" s="619">
        <v>-6699766.6900000004</v>
      </c>
      <c r="S564" s="498">
        <f t="shared" si="124"/>
        <v>-9329201.5649999995</v>
      </c>
      <c r="T564" s="620"/>
      <c r="U564" s="657"/>
      <c r="V564" s="690">
        <f t="shared" si="151"/>
        <v>-9329201.5649999995</v>
      </c>
      <c r="W564" s="690"/>
      <c r="X564" s="713"/>
      <c r="Y564" s="690"/>
      <c r="Z564" s="690"/>
      <c r="AA564" s="657"/>
      <c r="AB564" s="690"/>
      <c r="AC564" s="658"/>
      <c r="AD564" s="659">
        <f t="shared" si="152"/>
        <v>-9329201.5649999995</v>
      </c>
      <c r="AE564" s="658"/>
      <c r="AF564" s="688">
        <f t="shared" si="131"/>
        <v>0</v>
      </c>
    </row>
    <row r="565" spans="1:32">
      <c r="A565" s="620">
        <v>555</v>
      </c>
      <c r="B565" s="326" t="s">
        <v>977</v>
      </c>
      <c r="C565" s="326" t="s">
        <v>631</v>
      </c>
      <c r="D565" s="326" t="s">
        <v>1244</v>
      </c>
      <c r="E565" s="605" t="s">
        <v>1943</v>
      </c>
      <c r="F565" s="619">
        <v>-974030</v>
      </c>
      <c r="G565" s="619">
        <v>-974030</v>
      </c>
      <c r="H565" s="619">
        <v>-974030</v>
      </c>
      <c r="I565" s="619">
        <v>-974030</v>
      </c>
      <c r="J565" s="619">
        <v>-974030</v>
      </c>
      <c r="K565" s="619">
        <v>-1088889</v>
      </c>
      <c r="L565" s="619">
        <v>-1088889</v>
      </c>
      <c r="M565" s="619">
        <v>-1088889</v>
      </c>
      <c r="N565" s="619">
        <v>-1088889</v>
      </c>
      <c r="O565" s="619">
        <v>-1088889</v>
      </c>
      <c r="P565" s="619">
        <v>-1088889</v>
      </c>
      <c r="Q565" s="619">
        <v>-1088889</v>
      </c>
      <c r="R565" s="619">
        <v>-1045610</v>
      </c>
      <c r="S565" s="498">
        <f t="shared" si="124"/>
        <v>-1044013.5833333334</v>
      </c>
      <c r="T565" s="620"/>
      <c r="U565" s="657"/>
      <c r="V565" s="690">
        <f t="shared" si="151"/>
        <v>-1044013.5833333334</v>
      </c>
      <c r="W565" s="690"/>
      <c r="X565" s="713"/>
      <c r="Y565" s="690"/>
      <c r="Z565" s="690"/>
      <c r="AA565" s="657"/>
      <c r="AB565" s="690"/>
      <c r="AC565" s="658"/>
      <c r="AD565" s="659">
        <f t="shared" ref="AD565:AD570" si="153">+V565</f>
        <v>-1044013.5833333334</v>
      </c>
      <c r="AE565" s="664"/>
      <c r="AF565" s="688">
        <f t="shared" si="131"/>
        <v>0</v>
      </c>
    </row>
    <row r="566" spans="1:32">
      <c r="A566" s="620">
        <v>556</v>
      </c>
      <c r="B566" s="326" t="s">
        <v>977</v>
      </c>
      <c r="C566" s="326" t="s">
        <v>631</v>
      </c>
      <c r="D566" s="326" t="s">
        <v>1944</v>
      </c>
      <c r="E566" s="605" t="s">
        <v>1945</v>
      </c>
      <c r="F566" s="619">
        <v>0</v>
      </c>
      <c r="G566" s="619">
        <v>0</v>
      </c>
      <c r="H566" s="619">
        <v>0</v>
      </c>
      <c r="I566" s="619">
        <v>0</v>
      </c>
      <c r="J566" s="619">
        <v>0</v>
      </c>
      <c r="K566" s="619">
        <v>114859</v>
      </c>
      <c r="L566" s="619">
        <v>114859</v>
      </c>
      <c r="M566" s="619">
        <v>114859</v>
      </c>
      <c r="N566" s="619">
        <v>114859</v>
      </c>
      <c r="O566" s="619">
        <v>114859</v>
      </c>
      <c r="P566" s="619">
        <v>114859</v>
      </c>
      <c r="Q566" s="619">
        <v>114859</v>
      </c>
      <c r="R566" s="619">
        <v>197919</v>
      </c>
      <c r="S566" s="498">
        <f t="shared" si="124"/>
        <v>75247.708333333328</v>
      </c>
      <c r="T566" s="620"/>
      <c r="U566" s="657"/>
      <c r="V566" s="690">
        <f t="shared" si="151"/>
        <v>75247.708333333328</v>
      </c>
      <c r="W566" s="690"/>
      <c r="X566" s="713"/>
      <c r="Y566" s="690"/>
      <c r="Z566" s="690"/>
      <c r="AA566" s="657"/>
      <c r="AB566" s="690"/>
      <c r="AC566" s="658"/>
      <c r="AD566" s="659">
        <f t="shared" si="153"/>
        <v>75247.708333333328</v>
      </c>
      <c r="AE566" s="658"/>
      <c r="AF566" s="688">
        <f t="shared" si="131"/>
        <v>0</v>
      </c>
    </row>
    <row r="567" spans="1:32">
      <c r="A567" s="620">
        <v>557</v>
      </c>
      <c r="B567" s="326" t="s">
        <v>980</v>
      </c>
      <c r="C567" s="326" t="s">
        <v>632</v>
      </c>
      <c r="D567" s="326" t="s">
        <v>1245</v>
      </c>
      <c r="E567" s="605" t="s">
        <v>635</v>
      </c>
      <c r="F567" s="619">
        <v>-49624464.960000001</v>
      </c>
      <c r="G567" s="619">
        <v>-49425126.969999999</v>
      </c>
      <c r="H567" s="619">
        <v>-49225788.950000003</v>
      </c>
      <c r="I567" s="619">
        <v>-49026450.969999999</v>
      </c>
      <c r="J567" s="619">
        <v>-48827112.979999997</v>
      </c>
      <c r="K567" s="619">
        <v>-48627775.049999997</v>
      </c>
      <c r="L567" s="619">
        <v>-48428437.009999998</v>
      </c>
      <c r="M567" s="619">
        <v>-48229103.939999998</v>
      </c>
      <c r="N567" s="619">
        <v>-48029765.960000001</v>
      </c>
      <c r="O567" s="619">
        <v>-47830427.950000003</v>
      </c>
      <c r="P567" s="619">
        <v>-47631089.960000001</v>
      </c>
      <c r="Q567" s="619">
        <v>-47408313.049999997</v>
      </c>
      <c r="R567" s="619">
        <v>-47103890.740000002</v>
      </c>
      <c r="S567" s="498">
        <f t="shared" si="124"/>
        <v>-48421130.886666656</v>
      </c>
      <c r="T567" s="620"/>
      <c r="U567" s="657"/>
      <c r="V567" s="690"/>
      <c r="W567" s="690"/>
      <c r="X567" s="713">
        <f>+S567</f>
        <v>-48421130.886666656</v>
      </c>
      <c r="Y567" s="690"/>
      <c r="Z567" s="690"/>
      <c r="AA567" s="657"/>
      <c r="AB567" s="690">
        <f>+S567</f>
        <v>-48421130.886666656</v>
      </c>
      <c r="AC567" s="658"/>
      <c r="AD567" s="659">
        <f t="shared" si="153"/>
        <v>0</v>
      </c>
      <c r="AE567" s="658"/>
      <c r="AF567" s="688">
        <f t="shared" si="131"/>
        <v>0</v>
      </c>
    </row>
    <row r="568" spans="1:32">
      <c r="A568" s="620">
        <v>558</v>
      </c>
      <c r="B568" s="326" t="s">
        <v>977</v>
      </c>
      <c r="C568" s="326" t="s">
        <v>632</v>
      </c>
      <c r="D568" s="326" t="s">
        <v>1246</v>
      </c>
      <c r="E568" s="605" t="s">
        <v>1746</v>
      </c>
      <c r="F568" s="619">
        <v>-9124558.2599999998</v>
      </c>
      <c r="G568" s="619">
        <v>-9027793.8900000006</v>
      </c>
      <c r="H568" s="619">
        <v>-8931029.4600000009</v>
      </c>
      <c r="I568" s="619">
        <v>-8834265.1099999994</v>
      </c>
      <c r="J568" s="619">
        <v>-8737500.7599999998</v>
      </c>
      <c r="K568" s="619">
        <v>-8640736.4199999999</v>
      </c>
      <c r="L568" s="619">
        <v>-8543971.9700000007</v>
      </c>
      <c r="M568" s="619">
        <v>-8447207.6099999994</v>
      </c>
      <c r="N568" s="619">
        <v>-8350443.2300000004</v>
      </c>
      <c r="O568" s="619">
        <v>-8253678.8300000001</v>
      </c>
      <c r="P568" s="619">
        <v>-8156914.3399999999</v>
      </c>
      <c r="Q568" s="619">
        <v>-8060150.0099999998</v>
      </c>
      <c r="R568" s="619">
        <v>-7963385.4400000004</v>
      </c>
      <c r="S568" s="498">
        <f t="shared" si="124"/>
        <v>-8543971.956666667</v>
      </c>
      <c r="T568" s="620"/>
      <c r="U568" s="657"/>
      <c r="V568" s="690"/>
      <c r="W568" s="690"/>
      <c r="X568" s="713">
        <f>+S568</f>
        <v>-8543971.956666667</v>
      </c>
      <c r="Y568" s="690"/>
      <c r="Z568" s="690"/>
      <c r="AA568" s="657"/>
      <c r="AB568" s="690">
        <f>+S568</f>
        <v>-8543971.956666667</v>
      </c>
      <c r="AC568" s="658"/>
      <c r="AD568" s="659">
        <f t="shared" si="153"/>
        <v>0</v>
      </c>
      <c r="AE568" s="664"/>
      <c r="AF568" s="688">
        <f t="shared" si="131"/>
        <v>0</v>
      </c>
    </row>
    <row r="569" spans="1:32">
      <c r="A569" s="620">
        <v>559</v>
      </c>
      <c r="B569" s="326" t="s">
        <v>1874</v>
      </c>
      <c r="C569" s="326" t="s">
        <v>632</v>
      </c>
      <c r="D569" s="326" t="s">
        <v>1881</v>
      </c>
      <c r="E569" s="605" t="s">
        <v>1939</v>
      </c>
      <c r="F569" s="619">
        <v>0</v>
      </c>
      <c r="G569" s="619">
        <v>0</v>
      </c>
      <c r="H569" s="619">
        <v>-1111122.68</v>
      </c>
      <c r="I569" s="619">
        <v>0</v>
      </c>
      <c r="J569" s="619">
        <v>619044.54</v>
      </c>
      <c r="K569" s="619">
        <v>698790.37</v>
      </c>
      <c r="L569" s="619">
        <v>736498.52</v>
      </c>
      <c r="M569" s="619">
        <v>775109.42</v>
      </c>
      <c r="N569" s="619">
        <v>814640.66</v>
      </c>
      <c r="O569" s="619">
        <v>852120.08</v>
      </c>
      <c r="P569" s="619">
        <v>848983.99</v>
      </c>
      <c r="Q569" s="619">
        <v>2064910.95</v>
      </c>
      <c r="R569" s="619">
        <v>1834765.01</v>
      </c>
      <c r="S569" s="498">
        <f t="shared" si="124"/>
        <v>601363.19625000004</v>
      </c>
      <c r="T569" s="620"/>
      <c r="U569" s="657"/>
      <c r="V569" s="690">
        <f>+S569</f>
        <v>601363.19625000004</v>
      </c>
      <c r="W569" s="690"/>
      <c r="X569" s="713"/>
      <c r="Y569" s="690"/>
      <c r="Z569" s="690"/>
      <c r="AA569" s="657"/>
      <c r="AB569" s="690"/>
      <c r="AC569" s="658"/>
      <c r="AD569" s="659">
        <f t="shared" si="153"/>
        <v>601363.19625000004</v>
      </c>
      <c r="AE569" s="664"/>
      <c r="AF569" s="688">
        <f t="shared" si="131"/>
        <v>0</v>
      </c>
    </row>
    <row r="570" spans="1:32">
      <c r="A570" s="620">
        <v>560</v>
      </c>
      <c r="B570" s="326" t="s">
        <v>1874</v>
      </c>
      <c r="C570" s="326" t="s">
        <v>632</v>
      </c>
      <c r="D570" s="326" t="s">
        <v>1883</v>
      </c>
      <c r="E570" s="605" t="s">
        <v>1939</v>
      </c>
      <c r="F570" s="619">
        <v>0</v>
      </c>
      <c r="G570" s="619">
        <v>1973760.03</v>
      </c>
      <c r="H570" s="619">
        <v>-4137153.52</v>
      </c>
      <c r="I570" s="619">
        <v>1207778.26</v>
      </c>
      <c r="J570" s="619">
        <v>1149487.81</v>
      </c>
      <c r="K570" s="619">
        <v>1174986.7</v>
      </c>
      <c r="L570" s="619">
        <v>1244328.33</v>
      </c>
      <c r="M570" s="619">
        <v>1289161.8799999999</v>
      </c>
      <c r="N570" s="619">
        <v>1350429.02</v>
      </c>
      <c r="O570" s="619">
        <v>1254856.2</v>
      </c>
      <c r="P570" s="619">
        <v>1132432.3400000001</v>
      </c>
      <c r="Q570" s="619">
        <v>1023920.7</v>
      </c>
      <c r="R570" s="619">
        <v>1603848.95</v>
      </c>
      <c r="S570" s="498">
        <f t="shared" si="124"/>
        <v>788826.01874999993</v>
      </c>
      <c r="T570" s="620"/>
      <c r="U570" s="657"/>
      <c r="V570" s="690">
        <f>+S570</f>
        <v>788826.01874999993</v>
      </c>
      <c r="W570" s="690"/>
      <c r="X570" s="713"/>
      <c r="Y570" s="690"/>
      <c r="Z570" s="690"/>
      <c r="AA570" s="657"/>
      <c r="AB570" s="690"/>
      <c r="AC570" s="658"/>
      <c r="AD570" s="659">
        <f t="shared" si="153"/>
        <v>788826.01874999993</v>
      </c>
      <c r="AE570" s="658"/>
      <c r="AF570" s="688">
        <f t="shared" si="131"/>
        <v>0</v>
      </c>
    </row>
    <row r="571" spans="1:32">
      <c r="A571" s="620">
        <v>561</v>
      </c>
      <c r="B571" s="326" t="s">
        <v>980</v>
      </c>
      <c r="C571" s="326" t="s">
        <v>632</v>
      </c>
      <c r="D571" s="326" t="s">
        <v>1420</v>
      </c>
      <c r="E571" s="618" t="s">
        <v>1752</v>
      </c>
      <c r="F571" s="619">
        <v>-1000748.3</v>
      </c>
      <c r="G571" s="619">
        <v>-935174.44</v>
      </c>
      <c r="H571" s="619">
        <v>-860934.91</v>
      </c>
      <c r="I571" s="619">
        <v>-769924.97</v>
      </c>
      <c r="J571" s="619">
        <v>-766991.69</v>
      </c>
      <c r="K571" s="619">
        <v>-809207.04</v>
      </c>
      <c r="L571" s="619">
        <v>-875218.56</v>
      </c>
      <c r="M571" s="619">
        <v>-939453.43999999994</v>
      </c>
      <c r="N571" s="619">
        <v>-1002397.3</v>
      </c>
      <c r="O571" s="619">
        <v>-1067697.32</v>
      </c>
      <c r="P571" s="619">
        <v>-1107757.76</v>
      </c>
      <c r="Q571" s="619">
        <v>-1097259.6100000001</v>
      </c>
      <c r="R571" s="619">
        <v>-1014491.1</v>
      </c>
      <c r="S571" s="498">
        <f t="shared" si="124"/>
        <v>-936636.39500000002</v>
      </c>
      <c r="T571" s="620"/>
      <c r="U571" s="657"/>
      <c r="V571" s="690"/>
      <c r="W571" s="690"/>
      <c r="X571" s="713">
        <f t="shared" ref="X571:X577" si="154">+S571</f>
        <v>-936636.39500000002</v>
      </c>
      <c r="Y571" s="690"/>
      <c r="Z571" s="690"/>
      <c r="AA571" s="657"/>
      <c r="AB571" s="690">
        <f t="shared" ref="AB571:AB577" si="155">+S571</f>
        <v>-936636.39500000002</v>
      </c>
      <c r="AC571" s="658"/>
      <c r="AD571" s="659"/>
      <c r="AE571" s="658"/>
      <c r="AF571" s="688">
        <f t="shared" si="131"/>
        <v>0</v>
      </c>
    </row>
    <row r="572" spans="1:32">
      <c r="A572" s="620">
        <v>562</v>
      </c>
      <c r="B572" s="326" t="s">
        <v>980</v>
      </c>
      <c r="C572" s="326" t="s">
        <v>632</v>
      </c>
      <c r="D572" s="326" t="s">
        <v>1435</v>
      </c>
      <c r="E572" s="605" t="s">
        <v>1753</v>
      </c>
      <c r="F572" s="619">
        <v>-274816.11</v>
      </c>
      <c r="G572" s="619">
        <v>-249265.99</v>
      </c>
      <c r="H572" s="619">
        <v>-220858.9</v>
      </c>
      <c r="I572" s="619">
        <v>-186993.76</v>
      </c>
      <c r="J572" s="619">
        <v>-181732.56</v>
      </c>
      <c r="K572" s="619">
        <v>-191134.66</v>
      </c>
      <c r="L572" s="619">
        <v>-208315.13</v>
      </c>
      <c r="M572" s="619">
        <v>-225020.79999999999</v>
      </c>
      <c r="N572" s="619">
        <v>-241365.35</v>
      </c>
      <c r="O572" s="619">
        <v>-258456.72</v>
      </c>
      <c r="P572" s="619">
        <v>-267227.15000000002</v>
      </c>
      <c r="Q572" s="619">
        <v>-259574.65</v>
      </c>
      <c r="R572" s="619">
        <v>-228610.16</v>
      </c>
      <c r="S572" s="498">
        <f t="shared" si="124"/>
        <v>-228471.5670833333</v>
      </c>
      <c r="T572" s="620"/>
      <c r="U572" s="657"/>
      <c r="V572" s="690"/>
      <c r="W572" s="690"/>
      <c r="X572" s="713">
        <f t="shared" si="154"/>
        <v>-228471.5670833333</v>
      </c>
      <c r="Y572" s="690"/>
      <c r="Z572" s="690"/>
      <c r="AA572" s="657"/>
      <c r="AB572" s="690">
        <f t="shared" si="155"/>
        <v>-228471.5670833333</v>
      </c>
      <c r="AC572" s="658"/>
      <c r="AD572" s="659"/>
      <c r="AE572" s="658"/>
      <c r="AF572" s="688">
        <f t="shared" si="131"/>
        <v>0</v>
      </c>
    </row>
    <row r="573" spans="1:32">
      <c r="A573" s="620">
        <v>563</v>
      </c>
      <c r="B573" s="326" t="s">
        <v>980</v>
      </c>
      <c r="C573" s="326" t="s">
        <v>632</v>
      </c>
      <c r="D573" s="326" t="s">
        <v>1436</v>
      </c>
      <c r="E573" s="605" t="s">
        <v>1754</v>
      </c>
      <c r="F573" s="619">
        <v>-463561.43</v>
      </c>
      <c r="G573" s="619">
        <v>-429335.22</v>
      </c>
      <c r="H573" s="619">
        <v>-391057.16</v>
      </c>
      <c r="I573" s="619">
        <v>-344979.34</v>
      </c>
      <c r="J573" s="619">
        <v>-339852.94</v>
      </c>
      <c r="K573" s="619">
        <v>-355714.93</v>
      </c>
      <c r="L573" s="619">
        <v>-382669.07</v>
      </c>
      <c r="M573" s="619">
        <v>-408852.96</v>
      </c>
      <c r="N573" s="619">
        <v>-434468.51</v>
      </c>
      <c r="O573" s="619">
        <v>-461169.74</v>
      </c>
      <c r="P573" s="619">
        <v>-476076.04</v>
      </c>
      <c r="Q573" s="619">
        <v>-473758.23</v>
      </c>
      <c r="R573" s="619">
        <v>-450758.74</v>
      </c>
      <c r="S573" s="498">
        <f t="shared" si="124"/>
        <v>-412924.51875000005</v>
      </c>
      <c r="T573" s="620"/>
      <c r="U573" s="657"/>
      <c r="V573" s="690"/>
      <c r="W573" s="690"/>
      <c r="X573" s="713">
        <f t="shared" si="154"/>
        <v>-412924.51875000005</v>
      </c>
      <c r="Y573" s="690"/>
      <c r="Z573" s="690"/>
      <c r="AA573" s="657"/>
      <c r="AB573" s="690">
        <f t="shared" si="155"/>
        <v>-412924.51875000005</v>
      </c>
      <c r="AC573" s="658"/>
      <c r="AD573" s="659"/>
      <c r="AE573" s="658"/>
      <c r="AF573" s="688">
        <f t="shared" si="131"/>
        <v>0</v>
      </c>
    </row>
    <row r="574" spans="1:32">
      <c r="A574" s="620">
        <v>564</v>
      </c>
      <c r="B574" s="326" t="s">
        <v>980</v>
      </c>
      <c r="C574" s="326" t="s">
        <v>632</v>
      </c>
      <c r="D574" s="326" t="s">
        <v>1437</v>
      </c>
      <c r="E574" s="605" t="s">
        <v>1755</v>
      </c>
      <c r="F574" s="619">
        <v>-126336.78</v>
      </c>
      <c r="G574" s="619">
        <v>-113252.81</v>
      </c>
      <c r="H574" s="619">
        <v>-98837.58</v>
      </c>
      <c r="I574" s="619">
        <v>-81877.09</v>
      </c>
      <c r="J574" s="619">
        <v>-78252.990000000005</v>
      </c>
      <c r="K574" s="619">
        <v>-81465.86</v>
      </c>
      <c r="L574" s="619">
        <v>-88304.51</v>
      </c>
      <c r="M574" s="619">
        <v>-94920.55</v>
      </c>
      <c r="N574" s="619">
        <v>-101367.35</v>
      </c>
      <c r="O574" s="619">
        <v>-108163.05</v>
      </c>
      <c r="P574" s="619">
        <v>-111075.57</v>
      </c>
      <c r="Q574" s="619">
        <v>-108527.96</v>
      </c>
      <c r="R574" s="619">
        <v>-99392.62</v>
      </c>
      <c r="S574" s="498">
        <f t="shared" si="124"/>
        <v>-98242.501666666663</v>
      </c>
      <c r="T574" s="620"/>
      <c r="U574" s="657"/>
      <c r="V574" s="690"/>
      <c r="W574" s="690"/>
      <c r="X574" s="713">
        <f t="shared" si="154"/>
        <v>-98242.501666666663</v>
      </c>
      <c r="Y574" s="690"/>
      <c r="Z574" s="690"/>
      <c r="AA574" s="657"/>
      <c r="AB574" s="690">
        <f t="shared" si="155"/>
        <v>-98242.501666666663</v>
      </c>
      <c r="AC574" s="658"/>
      <c r="AD574" s="659"/>
      <c r="AE574" s="658"/>
      <c r="AF574" s="688">
        <f t="shared" si="131"/>
        <v>0</v>
      </c>
    </row>
    <row r="575" spans="1:32">
      <c r="A575" s="620">
        <v>565</v>
      </c>
      <c r="B575" s="326" t="s">
        <v>980</v>
      </c>
      <c r="C575" s="326" t="s">
        <v>632</v>
      </c>
      <c r="D575" s="326" t="s">
        <v>1438</v>
      </c>
      <c r="E575" s="605" t="s">
        <v>1756</v>
      </c>
      <c r="F575" s="619">
        <v>-863199.97</v>
      </c>
      <c r="G575" s="619">
        <v>-699908.41</v>
      </c>
      <c r="H575" s="619">
        <v>-529243.91</v>
      </c>
      <c r="I575" s="619">
        <v>-344301.35</v>
      </c>
      <c r="J575" s="619">
        <v>-234375.07</v>
      </c>
      <c r="K575" s="619">
        <v>-162900.16</v>
      </c>
      <c r="L575" s="619">
        <v>-111684.07</v>
      </c>
      <c r="M575" s="619">
        <v>-58935.039999999899</v>
      </c>
      <c r="N575" s="619">
        <v>-5075.4299999999203</v>
      </c>
      <c r="O575" s="619">
        <v>46774.890000000101</v>
      </c>
      <c r="P575" s="619">
        <v>120083.18</v>
      </c>
      <c r="Q575" s="619">
        <v>177539.49</v>
      </c>
      <c r="R575" s="619">
        <v>8.7311491370201098E-11</v>
      </c>
      <c r="S575" s="498">
        <f t="shared" si="124"/>
        <v>-186135.48874999993</v>
      </c>
      <c r="T575" s="620"/>
      <c r="U575" s="657"/>
      <c r="V575" s="690"/>
      <c r="W575" s="690"/>
      <c r="X575" s="713">
        <f t="shared" si="154"/>
        <v>-186135.48874999993</v>
      </c>
      <c r="Y575" s="690"/>
      <c r="Z575" s="690"/>
      <c r="AA575" s="657"/>
      <c r="AB575" s="690">
        <f t="shared" si="155"/>
        <v>-186135.48874999993</v>
      </c>
      <c r="AC575" s="658"/>
      <c r="AD575" s="659"/>
      <c r="AE575" s="658"/>
      <c r="AF575" s="688">
        <f t="shared" si="131"/>
        <v>0</v>
      </c>
    </row>
    <row r="576" spans="1:32">
      <c r="A576" s="620">
        <v>566</v>
      </c>
      <c r="B576" s="326" t="s">
        <v>980</v>
      </c>
      <c r="C576" s="326" t="s">
        <v>632</v>
      </c>
      <c r="D576" s="326" t="s">
        <v>1439</v>
      </c>
      <c r="E576" s="605" t="s">
        <v>1757</v>
      </c>
      <c r="F576" s="619">
        <v>-236935.84</v>
      </c>
      <c r="G576" s="619">
        <v>-183989.76000000001</v>
      </c>
      <c r="H576" s="619">
        <v>-128623.71</v>
      </c>
      <c r="I576" s="619">
        <v>-68609.960000000006</v>
      </c>
      <c r="J576" s="619">
        <v>-32980.78</v>
      </c>
      <c r="K576" s="619">
        <v>-9851.0400000000009</v>
      </c>
      <c r="L576" s="619">
        <v>6665.54</v>
      </c>
      <c r="M576" s="619">
        <v>23623.64</v>
      </c>
      <c r="N576" s="619">
        <v>40910.720000000001</v>
      </c>
      <c r="O576" s="619">
        <v>57554.2</v>
      </c>
      <c r="P576" s="619">
        <v>81250.36</v>
      </c>
      <c r="Q576" s="619">
        <v>99940.78</v>
      </c>
      <c r="R576" s="619">
        <v>0</v>
      </c>
      <c r="S576" s="498">
        <f t="shared" si="124"/>
        <v>-19381.494166666675</v>
      </c>
      <c r="T576" s="620"/>
      <c r="U576" s="657"/>
      <c r="V576" s="690"/>
      <c r="W576" s="690"/>
      <c r="X576" s="713">
        <f t="shared" si="154"/>
        <v>-19381.494166666675</v>
      </c>
      <c r="Y576" s="690"/>
      <c r="Z576" s="690"/>
      <c r="AA576" s="657"/>
      <c r="AB576" s="690">
        <f t="shared" si="155"/>
        <v>-19381.494166666675</v>
      </c>
      <c r="AC576" s="658"/>
      <c r="AD576" s="659"/>
      <c r="AE576" s="658"/>
      <c r="AF576" s="688">
        <f t="shared" si="131"/>
        <v>0</v>
      </c>
    </row>
    <row r="577" spans="1:32">
      <c r="A577" s="620">
        <v>567</v>
      </c>
      <c r="B577" s="326" t="s">
        <v>980</v>
      </c>
      <c r="C577" s="326" t="s">
        <v>632</v>
      </c>
      <c r="D577" s="326" t="s">
        <v>1440</v>
      </c>
      <c r="E577" s="611" t="s">
        <v>1758</v>
      </c>
      <c r="F577" s="619">
        <v>367551.32</v>
      </c>
      <c r="G577" s="619">
        <v>367551.32</v>
      </c>
      <c r="H577" s="619">
        <v>367551.32</v>
      </c>
      <c r="I577" s="619">
        <v>367551.32</v>
      </c>
      <c r="J577" s="619">
        <v>367551.32</v>
      </c>
      <c r="K577" s="619">
        <v>367551.32</v>
      </c>
      <c r="L577" s="619">
        <v>367551.32</v>
      </c>
      <c r="M577" s="619">
        <v>367551.32</v>
      </c>
      <c r="N577" s="619">
        <v>367551.32</v>
      </c>
      <c r="O577" s="619">
        <v>473806.37</v>
      </c>
      <c r="P577" s="619">
        <v>473806.37</v>
      </c>
      <c r="Q577" s="619">
        <v>473806.37</v>
      </c>
      <c r="R577" s="619">
        <v>0</v>
      </c>
      <c r="S577" s="498">
        <f t="shared" si="124"/>
        <v>378800.44416666665</v>
      </c>
      <c r="T577" s="620"/>
      <c r="U577" s="657"/>
      <c r="V577" s="690"/>
      <c r="W577" s="690"/>
      <c r="X577" s="713">
        <f t="shared" si="154"/>
        <v>378800.44416666665</v>
      </c>
      <c r="Y577" s="690"/>
      <c r="Z577" s="690"/>
      <c r="AA577" s="657"/>
      <c r="AB577" s="690">
        <f t="shared" si="155"/>
        <v>378800.44416666665</v>
      </c>
      <c r="AC577" s="658"/>
      <c r="AD577" s="659"/>
      <c r="AE577" s="658"/>
      <c r="AF577" s="688">
        <f t="shared" si="131"/>
        <v>0</v>
      </c>
    </row>
    <row r="578" spans="1:32">
      <c r="A578" s="620">
        <v>568</v>
      </c>
      <c r="B578" s="326" t="s">
        <v>1005</v>
      </c>
      <c r="C578" s="326" t="s">
        <v>632</v>
      </c>
      <c r="D578" s="326" t="s">
        <v>1233</v>
      </c>
      <c r="E578" s="605" t="s">
        <v>1751</v>
      </c>
      <c r="F578" s="619">
        <v>151304.69</v>
      </c>
      <c r="G578" s="619">
        <v>0</v>
      </c>
      <c r="H578" s="619">
        <v>0</v>
      </c>
      <c r="I578" s="619">
        <v>0</v>
      </c>
      <c r="J578" s="619">
        <v>5267.35</v>
      </c>
      <c r="K578" s="619">
        <v>2626.02</v>
      </c>
      <c r="L578" s="619">
        <v>2032.81</v>
      </c>
      <c r="M578" s="619">
        <v>1667.79</v>
      </c>
      <c r="N578" s="619">
        <v>870.6</v>
      </c>
      <c r="O578" s="619">
        <v>2138.62</v>
      </c>
      <c r="P578" s="619">
        <v>31782.5</v>
      </c>
      <c r="Q578" s="619">
        <v>157413.66</v>
      </c>
      <c r="R578" s="619">
        <v>179237.64</v>
      </c>
      <c r="S578" s="498">
        <f t="shared" si="124"/>
        <v>30755.876250000001</v>
      </c>
      <c r="T578" s="620"/>
      <c r="U578" s="657"/>
      <c r="V578" s="690">
        <f t="shared" ref="V578:V579" si="156">+S578</f>
        <v>30755.876250000001</v>
      </c>
      <c r="W578" s="690"/>
      <c r="X578" s="713"/>
      <c r="Y578" s="690"/>
      <c r="Z578" s="690"/>
      <c r="AA578" s="657"/>
      <c r="AB578" s="690"/>
      <c r="AC578" s="658"/>
      <c r="AD578" s="659">
        <f t="shared" ref="AD578:AD579" si="157">+V578</f>
        <v>30755.876250000001</v>
      </c>
      <c r="AE578" s="658"/>
      <c r="AF578" s="688">
        <f t="shared" si="131"/>
        <v>0</v>
      </c>
    </row>
    <row r="579" spans="1:32">
      <c r="A579" s="620">
        <v>569</v>
      </c>
      <c r="B579" s="326" t="s">
        <v>980</v>
      </c>
      <c r="C579" s="326" t="s">
        <v>632</v>
      </c>
      <c r="D579" s="326" t="s">
        <v>1233</v>
      </c>
      <c r="E579" s="611" t="s">
        <v>1751</v>
      </c>
      <c r="F579" s="619">
        <v>934952.23</v>
      </c>
      <c r="G579" s="619">
        <v>269615.28000000003</v>
      </c>
      <c r="H579" s="619">
        <v>336752.89</v>
      </c>
      <c r="I579" s="619">
        <v>221356.89</v>
      </c>
      <c r="J579" s="619">
        <v>117146.9</v>
      </c>
      <c r="K579" s="619">
        <v>67735.67</v>
      </c>
      <c r="L579" s="619">
        <v>47646.15</v>
      </c>
      <c r="M579" s="619">
        <v>46845.95</v>
      </c>
      <c r="N579" s="619">
        <v>25782.880000000001</v>
      </c>
      <c r="O579" s="619">
        <v>62495.17</v>
      </c>
      <c r="P579" s="619">
        <v>154564.26999999999</v>
      </c>
      <c r="Q579" s="619">
        <v>163913.10999999999</v>
      </c>
      <c r="R579" s="619">
        <v>189403.67</v>
      </c>
      <c r="S579" s="498">
        <f t="shared" si="124"/>
        <v>173002.75916666663</v>
      </c>
      <c r="T579" s="620"/>
      <c r="U579" s="657"/>
      <c r="V579" s="690">
        <f t="shared" si="156"/>
        <v>173002.75916666663</v>
      </c>
      <c r="W579" s="690"/>
      <c r="X579" s="713"/>
      <c r="Y579" s="690"/>
      <c r="Z579" s="690"/>
      <c r="AA579" s="657"/>
      <c r="AB579" s="690"/>
      <c r="AC579" s="658"/>
      <c r="AD579" s="659">
        <f t="shared" si="157"/>
        <v>173002.75916666663</v>
      </c>
      <c r="AE579" s="658"/>
      <c r="AF579" s="688">
        <f t="shared" si="131"/>
        <v>0</v>
      </c>
    </row>
    <row r="580" spans="1:32">
      <c r="A580" s="620">
        <v>570</v>
      </c>
      <c r="B580" s="326" t="s">
        <v>977</v>
      </c>
      <c r="C580" s="326" t="s">
        <v>457</v>
      </c>
      <c r="D580" s="326" t="s">
        <v>730</v>
      </c>
      <c r="E580" s="618" t="s">
        <v>731</v>
      </c>
      <c r="F580" s="619">
        <v>49007788.119999997</v>
      </c>
      <c r="G580" s="619">
        <v>49338211.450000003</v>
      </c>
      <c r="H580" s="619">
        <v>49670032.240000002</v>
      </c>
      <c r="I580" s="619">
        <v>50003256.799999997</v>
      </c>
      <c r="J580" s="619">
        <v>50337891.619999997</v>
      </c>
      <c r="K580" s="619">
        <v>50673943.340000004</v>
      </c>
      <c r="L580" s="619">
        <v>51011418.359999999</v>
      </c>
      <c r="M580" s="619">
        <v>51350323.100000001</v>
      </c>
      <c r="N580" s="619">
        <v>51690664.189999998</v>
      </c>
      <c r="O580" s="619">
        <v>52032448.350000001</v>
      </c>
      <c r="P580" s="619">
        <v>52375682.159999996</v>
      </c>
      <c r="Q580" s="619">
        <v>52720372.310000002</v>
      </c>
      <c r="R580" s="619">
        <v>52645191.759999998</v>
      </c>
      <c r="S580" s="498">
        <f t="shared" si="124"/>
        <v>51002561.155000009</v>
      </c>
      <c r="T580" s="620"/>
      <c r="U580" s="657"/>
      <c r="V580" s="665"/>
      <c r="W580" s="690"/>
      <c r="X580" s="690">
        <f>+S580</f>
        <v>51002561.155000009</v>
      </c>
      <c r="Y580" s="718">
        <f>+X580*Z7</f>
        <v>38338625.22021351</v>
      </c>
      <c r="Z580" s="690">
        <f>+X580*Z8</f>
        <v>12663935.934786502</v>
      </c>
      <c r="AA580" s="657"/>
      <c r="AB580" s="690"/>
      <c r="AC580" s="658"/>
      <c r="AD580" s="659"/>
      <c r="AE580" s="658"/>
      <c r="AF580" s="688">
        <f t="shared" ref="AF580:AF656" si="158">+U580+V580-AD580</f>
        <v>0</v>
      </c>
    </row>
    <row r="581" spans="1:32">
      <c r="A581" s="620">
        <v>571</v>
      </c>
      <c r="B581" s="326" t="s">
        <v>977</v>
      </c>
      <c r="C581" s="326" t="s">
        <v>632</v>
      </c>
      <c r="D581" s="326" t="s">
        <v>633</v>
      </c>
      <c r="E581" s="618" t="s">
        <v>634</v>
      </c>
      <c r="F581" s="619">
        <v>-2706980</v>
      </c>
      <c r="G581" s="619">
        <v>-2706980</v>
      </c>
      <c r="H581" s="619">
        <v>-2706980</v>
      </c>
      <c r="I581" s="619">
        <v>-2706980</v>
      </c>
      <c r="J581" s="619">
        <v>-2706980</v>
      </c>
      <c r="K581" s="619">
        <v>-2706980</v>
      </c>
      <c r="L581" s="619">
        <v>-2706980</v>
      </c>
      <c r="M581" s="619">
        <v>-2706980</v>
      </c>
      <c r="N581" s="619">
        <v>-2706980</v>
      </c>
      <c r="O581" s="619">
        <v>-2706980</v>
      </c>
      <c r="P581" s="619">
        <v>-2706980</v>
      </c>
      <c r="Q581" s="619">
        <v>0</v>
      </c>
      <c r="R581" s="619">
        <v>0</v>
      </c>
      <c r="S581" s="498">
        <f t="shared" si="124"/>
        <v>-2368607.5</v>
      </c>
      <c r="T581" s="620"/>
      <c r="U581" s="657"/>
      <c r="V581" s="665">
        <f>+S581</f>
        <v>-2368607.5</v>
      </c>
      <c r="W581" s="690"/>
      <c r="X581" s="690"/>
      <c r="Y581" s="690"/>
      <c r="Z581" s="690"/>
      <c r="AA581" s="657"/>
      <c r="AB581" s="690"/>
      <c r="AC581" s="658"/>
      <c r="AD581" s="659">
        <f>+S581</f>
        <v>-2368607.5</v>
      </c>
      <c r="AE581" s="658"/>
      <c r="AF581" s="688"/>
    </row>
    <row r="582" spans="1:32">
      <c r="A582" s="620">
        <v>572</v>
      </c>
      <c r="B582" s="326" t="s">
        <v>1005</v>
      </c>
      <c r="C582" s="326" t="s">
        <v>623</v>
      </c>
      <c r="D582" s="326" t="s">
        <v>1946</v>
      </c>
      <c r="E582" s="618" t="s">
        <v>1947</v>
      </c>
      <c r="F582" s="619">
        <v>0</v>
      </c>
      <c r="G582" s="619">
        <v>0</v>
      </c>
      <c r="H582" s="619">
        <v>0</v>
      </c>
      <c r="I582" s="619">
        <v>0</v>
      </c>
      <c r="J582" s="619">
        <v>0</v>
      </c>
      <c r="K582" s="619">
        <v>0</v>
      </c>
      <c r="L582" s="619">
        <v>0</v>
      </c>
      <c r="M582" s="619">
        <v>0</v>
      </c>
      <c r="N582" s="619">
        <v>0</v>
      </c>
      <c r="O582" s="619">
        <v>0</v>
      </c>
      <c r="P582" s="619">
        <v>-2751</v>
      </c>
      <c r="Q582" s="619">
        <v>0</v>
      </c>
      <c r="R582" s="619">
        <v>0</v>
      </c>
      <c r="S582" s="498">
        <f t="shared" si="124"/>
        <v>-229.25</v>
      </c>
      <c r="T582" s="620"/>
      <c r="U582" s="657"/>
      <c r="V582" s="665">
        <f>+S582</f>
        <v>-229.25</v>
      </c>
      <c r="W582" s="690"/>
      <c r="X582" s="690"/>
      <c r="Y582" s="690"/>
      <c r="Z582" s="690"/>
      <c r="AA582" s="657"/>
      <c r="AB582" s="690"/>
      <c r="AC582" s="658"/>
      <c r="AD582" s="659">
        <f t="shared" ref="AD582:AD583" si="159">+S582</f>
        <v>-229.25</v>
      </c>
      <c r="AE582" s="658"/>
      <c r="AF582" s="688"/>
    </row>
    <row r="583" spans="1:32">
      <c r="A583" s="620">
        <v>573</v>
      </c>
      <c r="B583" s="326" t="s">
        <v>1005</v>
      </c>
      <c r="C583" s="326" t="s">
        <v>632</v>
      </c>
      <c r="D583" s="326" t="s">
        <v>1196</v>
      </c>
      <c r="E583" s="618" t="s">
        <v>1748</v>
      </c>
      <c r="F583" s="619">
        <v>-444461.68</v>
      </c>
      <c r="G583" s="619">
        <v>0</v>
      </c>
      <c r="H583" s="619">
        <v>0</v>
      </c>
      <c r="I583" s="619">
        <v>0</v>
      </c>
      <c r="J583" s="619">
        <v>0</v>
      </c>
      <c r="K583" s="619">
        <v>0</v>
      </c>
      <c r="L583" s="619">
        <v>0</v>
      </c>
      <c r="M583" s="619">
        <v>0</v>
      </c>
      <c r="N583" s="619">
        <v>0</v>
      </c>
      <c r="O583" s="619">
        <v>0</v>
      </c>
      <c r="P583" s="619">
        <v>0</v>
      </c>
      <c r="Q583" s="619">
        <v>0</v>
      </c>
      <c r="R583" s="619">
        <v>0</v>
      </c>
      <c r="S583" s="498">
        <f t="shared" si="124"/>
        <v>-18519.236666666668</v>
      </c>
      <c r="T583" s="620"/>
      <c r="U583" s="657"/>
      <c r="V583" s="665">
        <f>+S583</f>
        <v>-18519.236666666668</v>
      </c>
      <c r="W583" s="690"/>
      <c r="X583" s="690"/>
      <c r="Y583" s="690"/>
      <c r="Z583" s="690"/>
      <c r="AA583" s="657"/>
      <c r="AB583" s="690"/>
      <c r="AC583" s="658"/>
      <c r="AD583" s="659">
        <f t="shared" si="159"/>
        <v>-18519.236666666668</v>
      </c>
      <c r="AE583" s="658"/>
      <c r="AF583" s="688"/>
    </row>
    <row r="584" spans="1:32">
      <c r="A584" s="620">
        <v>574</v>
      </c>
      <c r="B584" s="326" t="s">
        <v>1005</v>
      </c>
      <c r="C584" s="326" t="s">
        <v>632</v>
      </c>
      <c r="D584" s="326" t="s">
        <v>1948</v>
      </c>
      <c r="E584" s="618" t="s">
        <v>1754</v>
      </c>
      <c r="F584" s="619">
        <v>0</v>
      </c>
      <c r="G584" s="619">
        <v>0</v>
      </c>
      <c r="H584" s="619">
        <v>0</v>
      </c>
      <c r="I584" s="619">
        <v>0</v>
      </c>
      <c r="J584" s="619">
        <v>-624311.89</v>
      </c>
      <c r="K584" s="619">
        <v>-701416.39</v>
      </c>
      <c r="L584" s="619">
        <v>-738531.33</v>
      </c>
      <c r="M584" s="619">
        <v>-776777.21</v>
      </c>
      <c r="N584" s="619">
        <v>-815511.26</v>
      </c>
      <c r="O584" s="619">
        <v>-854258.7</v>
      </c>
      <c r="P584" s="619">
        <v>-880766.49</v>
      </c>
      <c r="Q584" s="619">
        <v>-872379.15</v>
      </c>
      <c r="R584" s="619">
        <v>-842630.59</v>
      </c>
      <c r="S584" s="498">
        <f t="shared" si="124"/>
        <v>-557105.64291666669</v>
      </c>
      <c r="T584" s="620"/>
      <c r="U584" s="657"/>
      <c r="V584" s="665"/>
      <c r="W584" s="690"/>
      <c r="X584" s="690">
        <f>+S584</f>
        <v>-557105.64291666669</v>
      </c>
      <c r="Y584" s="690"/>
      <c r="Z584" s="690"/>
      <c r="AA584" s="657"/>
      <c r="AB584" s="690">
        <f>+S584</f>
        <v>-557105.64291666669</v>
      </c>
      <c r="AC584" s="658"/>
      <c r="AD584" s="659"/>
      <c r="AE584" s="658"/>
      <c r="AF584" s="688"/>
    </row>
    <row r="585" spans="1:32">
      <c r="A585" s="620">
        <v>575</v>
      </c>
      <c r="B585" s="326" t="s">
        <v>1005</v>
      </c>
      <c r="C585" s="326" t="s">
        <v>632</v>
      </c>
      <c r="D585" s="326" t="s">
        <v>1949</v>
      </c>
      <c r="E585" s="618" t="s">
        <v>1950</v>
      </c>
      <c r="F585" s="619">
        <v>0</v>
      </c>
      <c r="G585" s="619">
        <v>0</v>
      </c>
      <c r="H585" s="619">
        <v>0</v>
      </c>
      <c r="I585" s="619">
        <v>0</v>
      </c>
      <c r="J585" s="619">
        <v>0</v>
      </c>
      <c r="K585" s="619">
        <v>0</v>
      </c>
      <c r="L585" s="619">
        <v>0</v>
      </c>
      <c r="M585" s="619">
        <v>0</v>
      </c>
      <c r="N585" s="619">
        <v>0</v>
      </c>
      <c r="O585" s="619">
        <v>0</v>
      </c>
      <c r="P585" s="619">
        <v>0</v>
      </c>
      <c r="Q585" s="619">
        <v>-1349945.46</v>
      </c>
      <c r="R585" s="619">
        <v>-1171372.06</v>
      </c>
      <c r="S585" s="498">
        <f t="shared" si="124"/>
        <v>-161302.62416666668</v>
      </c>
      <c r="T585" s="620"/>
      <c r="U585" s="657"/>
      <c r="V585" s="665"/>
      <c r="W585" s="690"/>
      <c r="X585" s="690">
        <f>+S585</f>
        <v>-161302.62416666668</v>
      </c>
      <c r="Y585" s="690"/>
      <c r="Z585" s="690"/>
      <c r="AA585" s="657"/>
      <c r="AB585" s="690">
        <f>+S585</f>
        <v>-161302.62416666668</v>
      </c>
      <c r="AC585" s="658"/>
      <c r="AD585" s="659"/>
      <c r="AE585" s="658"/>
      <c r="AF585" s="688"/>
    </row>
    <row r="586" spans="1:32">
      <c r="A586" s="620">
        <v>576</v>
      </c>
      <c r="B586" s="326" t="s">
        <v>980</v>
      </c>
      <c r="C586" s="326" t="s">
        <v>623</v>
      </c>
      <c r="D586" s="326" t="s">
        <v>1951</v>
      </c>
      <c r="E586" s="618" t="s">
        <v>1947</v>
      </c>
      <c r="F586" s="619">
        <v>0</v>
      </c>
      <c r="G586" s="619">
        <v>0</v>
      </c>
      <c r="H586" s="619">
        <v>0</v>
      </c>
      <c r="I586" s="619">
        <v>0</v>
      </c>
      <c r="J586" s="619">
        <v>0</v>
      </c>
      <c r="K586" s="619">
        <v>0</v>
      </c>
      <c r="L586" s="619">
        <v>0</v>
      </c>
      <c r="M586" s="619">
        <v>0</v>
      </c>
      <c r="N586" s="619">
        <v>0</v>
      </c>
      <c r="O586" s="619">
        <v>0</v>
      </c>
      <c r="P586" s="619">
        <v>-9146</v>
      </c>
      <c r="Q586" s="619">
        <v>0</v>
      </c>
      <c r="R586" s="619">
        <v>0</v>
      </c>
      <c r="S586" s="498">
        <f t="shared" si="124"/>
        <v>-762.16666666666663</v>
      </c>
      <c r="T586" s="620"/>
      <c r="U586" s="657"/>
      <c r="V586" s="665">
        <f>+S586</f>
        <v>-762.16666666666663</v>
      </c>
      <c r="W586" s="690"/>
      <c r="X586" s="690"/>
      <c r="Y586" s="690"/>
      <c r="Z586" s="690"/>
      <c r="AA586" s="657"/>
      <c r="AB586" s="690"/>
      <c r="AC586" s="658"/>
      <c r="AD586" s="659">
        <f>+S586</f>
        <v>-762.16666666666663</v>
      </c>
      <c r="AE586" s="658"/>
      <c r="AF586" s="688"/>
    </row>
    <row r="587" spans="1:32">
      <c r="A587" s="620">
        <v>577</v>
      </c>
      <c r="B587" s="326" t="s">
        <v>980</v>
      </c>
      <c r="C587" s="326" t="s">
        <v>632</v>
      </c>
      <c r="D587" s="326" t="s">
        <v>1421</v>
      </c>
      <c r="E587" s="618" t="s">
        <v>1748</v>
      </c>
      <c r="F587" s="619">
        <v>-4075395.82</v>
      </c>
      <c r="G587" s="619">
        <v>0</v>
      </c>
      <c r="H587" s="619">
        <v>0</v>
      </c>
      <c r="I587" s="619">
        <v>0</v>
      </c>
      <c r="J587" s="619">
        <v>0</v>
      </c>
      <c r="K587" s="619">
        <v>0</v>
      </c>
      <c r="L587" s="619">
        <v>0</v>
      </c>
      <c r="M587" s="619">
        <v>0</v>
      </c>
      <c r="N587" s="619">
        <v>0</v>
      </c>
      <c r="O587" s="619">
        <v>0</v>
      </c>
      <c r="P587" s="619">
        <v>0</v>
      </c>
      <c r="Q587" s="619">
        <v>0</v>
      </c>
      <c r="R587" s="619">
        <v>0</v>
      </c>
      <c r="S587" s="498">
        <f t="shared" si="124"/>
        <v>-169808.15916666665</v>
      </c>
      <c r="T587" s="620"/>
      <c r="U587" s="657"/>
      <c r="V587" s="665">
        <f>+S587</f>
        <v>-169808.15916666665</v>
      </c>
      <c r="W587" s="690"/>
      <c r="X587" s="690"/>
      <c r="Y587" s="690"/>
      <c r="Z587" s="690"/>
      <c r="AA587" s="657"/>
      <c r="AB587" s="690"/>
      <c r="AC587" s="658"/>
      <c r="AD587" s="659">
        <f>+S587</f>
        <v>-169808.15916666665</v>
      </c>
      <c r="AE587" s="658"/>
      <c r="AF587" s="688"/>
    </row>
    <row r="588" spans="1:32">
      <c r="A588" s="620">
        <v>578</v>
      </c>
      <c r="B588" s="620"/>
      <c r="C588" s="620"/>
      <c r="D588" s="620"/>
      <c r="E588" s="610" t="s">
        <v>636</v>
      </c>
      <c r="F588" s="305">
        <f>SUM(F548:F587)</f>
        <v>-118715360.98000005</v>
      </c>
      <c r="G588" s="305">
        <f t="shared" ref="G588:R588" si="160">SUM(G548:G587)</f>
        <v>-112234229.63999997</v>
      </c>
      <c r="H588" s="305">
        <f t="shared" si="160"/>
        <v>-118623771.25000006</v>
      </c>
      <c r="I588" s="305">
        <f t="shared" si="160"/>
        <v>-111200242.52000003</v>
      </c>
      <c r="J588" s="305">
        <f t="shared" si="160"/>
        <v>-110676301.68999998</v>
      </c>
      <c r="K588" s="305">
        <f t="shared" si="160"/>
        <v>-110632339.43999998</v>
      </c>
      <c r="L588" s="305">
        <f t="shared" si="160"/>
        <v>-109774998.52999994</v>
      </c>
      <c r="M588" s="305">
        <f t="shared" si="160"/>
        <v>-109261606.96000008</v>
      </c>
      <c r="N588" s="305">
        <f t="shared" si="160"/>
        <v>-108851654.8</v>
      </c>
      <c r="O588" s="305">
        <f t="shared" si="160"/>
        <v>-108709356.27000009</v>
      </c>
      <c r="P588" s="305">
        <f t="shared" si="160"/>
        <v>-108194769.05999993</v>
      </c>
      <c r="Q588" s="305">
        <f t="shared" si="160"/>
        <v>-105089956.29000001</v>
      </c>
      <c r="R588" s="305">
        <f t="shared" si="160"/>
        <v>-104913886.56000006</v>
      </c>
      <c r="S588" s="305">
        <f>SUM(S548:S587)</f>
        <v>-110421987.51833339</v>
      </c>
      <c r="T588" s="620"/>
      <c r="U588" s="657"/>
      <c r="V588" s="690"/>
      <c r="W588" s="690"/>
      <c r="X588" s="713"/>
      <c r="Y588" s="690"/>
      <c r="Z588" s="690"/>
      <c r="AA588" s="657"/>
      <c r="AB588" s="690"/>
      <c r="AC588" s="658"/>
      <c r="AD588" s="658"/>
      <c r="AE588" s="658"/>
      <c r="AF588" s="688">
        <f t="shared" si="158"/>
        <v>0</v>
      </c>
    </row>
    <row r="589" spans="1:32">
      <c r="A589" s="620">
        <v>579</v>
      </c>
      <c r="B589" s="620"/>
      <c r="C589" s="620"/>
      <c r="D589" s="620"/>
      <c r="E589" s="605"/>
      <c r="F589" s="619"/>
      <c r="G589" s="324"/>
      <c r="H589" s="315"/>
      <c r="I589" s="315"/>
      <c r="J589" s="316"/>
      <c r="K589" s="317"/>
      <c r="L589" s="318"/>
      <c r="M589" s="319"/>
      <c r="N589" s="320"/>
      <c r="O589" s="606"/>
      <c r="P589" s="321"/>
      <c r="Q589" s="325"/>
      <c r="R589" s="619"/>
      <c r="S589" s="304"/>
      <c r="T589" s="620"/>
      <c r="U589" s="657"/>
      <c r="V589" s="690"/>
      <c r="W589" s="690"/>
      <c r="X589" s="713"/>
      <c r="Y589" s="690"/>
      <c r="Z589" s="690"/>
      <c r="AA589" s="657"/>
      <c r="AB589" s="690"/>
      <c r="AC589" s="658"/>
      <c r="AD589" s="658"/>
      <c r="AE589" s="658"/>
      <c r="AF589" s="688">
        <f t="shared" si="158"/>
        <v>0</v>
      </c>
    </row>
    <row r="590" spans="1:32">
      <c r="A590" s="620">
        <v>580</v>
      </c>
      <c r="B590" s="326" t="s">
        <v>977</v>
      </c>
      <c r="C590" s="326" t="s">
        <v>637</v>
      </c>
      <c r="D590" s="326" t="s">
        <v>526</v>
      </c>
      <c r="E590" s="605" t="s">
        <v>638</v>
      </c>
      <c r="F590" s="619">
        <v>-243929</v>
      </c>
      <c r="G590" s="619">
        <v>-240427.42</v>
      </c>
      <c r="H590" s="619">
        <v>-236925.83</v>
      </c>
      <c r="I590" s="619">
        <v>-233424.05</v>
      </c>
      <c r="J590" s="619">
        <v>-229922.67</v>
      </c>
      <c r="K590" s="619">
        <v>-226421.1</v>
      </c>
      <c r="L590" s="619">
        <v>-222919.52</v>
      </c>
      <c r="M590" s="619">
        <v>-219417.94</v>
      </c>
      <c r="N590" s="619">
        <v>-215916.36</v>
      </c>
      <c r="O590" s="619">
        <v>-212414.78</v>
      </c>
      <c r="P590" s="619">
        <v>-208913.2</v>
      </c>
      <c r="Q590" s="619">
        <v>-205411.62</v>
      </c>
      <c r="R590" s="619">
        <v>-201910.04</v>
      </c>
      <c r="S590" s="498">
        <f t="shared" si="124"/>
        <v>-222919.50083333335</v>
      </c>
      <c r="T590" s="620"/>
      <c r="U590" s="657"/>
      <c r="V590" s="690"/>
      <c r="W590" s="690"/>
      <c r="X590" s="713">
        <f>+S590</f>
        <v>-222919.50083333335</v>
      </c>
      <c r="Y590" s="690"/>
      <c r="Z590" s="690"/>
      <c r="AA590" s="657"/>
      <c r="AB590" s="690">
        <f>+X590</f>
        <v>-222919.50083333335</v>
      </c>
      <c r="AC590" s="658"/>
      <c r="AD590" s="658"/>
      <c r="AE590" s="658"/>
      <c r="AF590" s="688">
        <f t="shared" si="158"/>
        <v>0</v>
      </c>
    </row>
    <row r="591" spans="1:32">
      <c r="A591" s="620">
        <v>581</v>
      </c>
      <c r="B591" s="326" t="s">
        <v>977</v>
      </c>
      <c r="C591" s="326" t="s">
        <v>639</v>
      </c>
      <c r="D591" s="326" t="s">
        <v>1009</v>
      </c>
      <c r="E591" s="605" t="s">
        <v>1759</v>
      </c>
      <c r="F591" s="619">
        <v>10230519.77</v>
      </c>
      <c r="G591" s="619">
        <v>10189450.65</v>
      </c>
      <c r="H591" s="619">
        <v>10148381.529999999</v>
      </c>
      <c r="I591" s="619">
        <v>10107312.4</v>
      </c>
      <c r="J591" s="619">
        <v>10066243.27</v>
      </c>
      <c r="K591" s="619">
        <v>10025174.17</v>
      </c>
      <c r="L591" s="619">
        <v>9984105.0199999996</v>
      </c>
      <c r="M591" s="619">
        <v>9943036.9100000001</v>
      </c>
      <c r="N591" s="619">
        <v>9901967.7899999991</v>
      </c>
      <c r="O591" s="619">
        <v>9860898.6600000001</v>
      </c>
      <c r="P591" s="619">
        <v>9819829.5399999991</v>
      </c>
      <c r="Q591" s="619">
        <v>9774270.3900000006</v>
      </c>
      <c r="R591" s="619">
        <v>9711531.8900000006</v>
      </c>
      <c r="S591" s="498">
        <f t="shared" si="124"/>
        <v>9982641.3466666639</v>
      </c>
      <c r="T591" s="620"/>
      <c r="U591" s="657"/>
      <c r="V591" s="690"/>
      <c r="W591" s="690"/>
      <c r="X591" s="713">
        <f t="shared" ref="X591:X600" si="161">+S591</f>
        <v>9982641.3466666639</v>
      </c>
      <c r="Y591" s="690"/>
      <c r="Z591" s="690"/>
      <c r="AA591" s="657"/>
      <c r="AB591" s="690">
        <f>+S591</f>
        <v>9982641.3466666639</v>
      </c>
      <c r="AC591" s="658"/>
      <c r="AD591" s="658"/>
      <c r="AE591" s="658"/>
      <c r="AF591" s="688">
        <f t="shared" si="158"/>
        <v>0</v>
      </c>
    </row>
    <row r="592" spans="1:32">
      <c r="A592" s="620">
        <v>582</v>
      </c>
      <c r="B592" s="326" t="s">
        <v>977</v>
      </c>
      <c r="C592" s="326" t="s">
        <v>639</v>
      </c>
      <c r="D592" s="326" t="s">
        <v>1010</v>
      </c>
      <c r="E592" s="605" t="s">
        <v>1760</v>
      </c>
      <c r="F592" s="619">
        <v>39297042.920000002</v>
      </c>
      <c r="G592" s="619">
        <v>39137349.799999997</v>
      </c>
      <c r="H592" s="619">
        <v>38977656.649999999</v>
      </c>
      <c r="I592" s="619">
        <v>38817963.509999998</v>
      </c>
      <c r="J592" s="619">
        <v>38658270.439999998</v>
      </c>
      <c r="K592" s="619">
        <v>38498577.340000004</v>
      </c>
      <c r="L592" s="619">
        <v>38338884.200000003</v>
      </c>
      <c r="M592" s="619">
        <v>38179194.590000004</v>
      </c>
      <c r="N592" s="619">
        <v>38019501.460000001</v>
      </c>
      <c r="O592" s="619">
        <v>37859808.329999998</v>
      </c>
      <c r="P592" s="619">
        <v>37700115.229999997</v>
      </c>
      <c r="Q592" s="619">
        <v>37530125.719999999</v>
      </c>
      <c r="R592" s="619">
        <v>37290719.920000002</v>
      </c>
      <c r="S592" s="498">
        <f t="shared" si="124"/>
        <v>38334277.390833333</v>
      </c>
      <c r="T592" s="620"/>
      <c r="U592" s="657"/>
      <c r="V592" s="690"/>
      <c r="W592" s="690"/>
      <c r="X592" s="713">
        <f t="shared" si="161"/>
        <v>38334277.390833333</v>
      </c>
      <c r="Y592" s="690"/>
      <c r="Z592" s="690"/>
      <c r="AA592" s="657"/>
      <c r="AB592" s="690">
        <f>+S592</f>
        <v>38334277.390833333</v>
      </c>
      <c r="AC592" s="658"/>
      <c r="AD592" s="658"/>
      <c r="AE592" s="658"/>
      <c r="AF592" s="688">
        <f t="shared" si="158"/>
        <v>0</v>
      </c>
    </row>
    <row r="593" spans="1:32">
      <c r="A593" s="620">
        <v>583</v>
      </c>
      <c r="B593" s="326" t="s">
        <v>977</v>
      </c>
      <c r="C593" s="326" t="s">
        <v>639</v>
      </c>
      <c r="D593" s="326" t="s">
        <v>994</v>
      </c>
      <c r="E593" s="605" t="s">
        <v>1761</v>
      </c>
      <c r="F593" s="619">
        <v>-99638867.390000001</v>
      </c>
      <c r="G593" s="619">
        <v>-99562756.319999993</v>
      </c>
      <c r="H593" s="619">
        <v>-99486645.239999995</v>
      </c>
      <c r="I593" s="619">
        <v>-99410534.159999996</v>
      </c>
      <c r="J593" s="619">
        <v>-99334423.090000004</v>
      </c>
      <c r="K593" s="619">
        <v>-1.4901161193847699E-8</v>
      </c>
      <c r="L593" s="619">
        <v>-1.4901161193847699E-8</v>
      </c>
      <c r="M593" s="619">
        <v>-1.4901161193847699E-8</v>
      </c>
      <c r="N593" s="619">
        <v>-1.4901161193847699E-8</v>
      </c>
      <c r="O593" s="619">
        <v>-1.4901161193847699E-8</v>
      </c>
      <c r="P593" s="619">
        <v>-1.4901161193847699E-8</v>
      </c>
      <c r="Q593" s="619">
        <v>-1.4901161193847699E-8</v>
      </c>
      <c r="R593" s="619">
        <v>-1.4901161193847699E-8</v>
      </c>
      <c r="S593" s="498">
        <f t="shared" si="124"/>
        <v>-37301149.375416674</v>
      </c>
      <c r="T593" s="620"/>
      <c r="U593" s="657"/>
      <c r="V593" s="690"/>
      <c r="W593" s="690"/>
      <c r="X593" s="713">
        <f t="shared" si="161"/>
        <v>-37301149.375416674</v>
      </c>
      <c r="Y593" s="690">
        <f>+X593*Z7</f>
        <v>-28039273.985500716</v>
      </c>
      <c r="Z593" s="690">
        <f>+X593*Z8</f>
        <v>-9261875.3899159599</v>
      </c>
      <c r="AA593" s="657"/>
      <c r="AB593" s="690"/>
      <c r="AC593" s="658"/>
      <c r="AD593" s="658"/>
      <c r="AE593" s="658" t="s">
        <v>1451</v>
      </c>
      <c r="AF593" s="688">
        <f t="shared" si="158"/>
        <v>0</v>
      </c>
    </row>
    <row r="594" spans="1:32">
      <c r="A594" s="620">
        <v>584</v>
      </c>
      <c r="B594" s="326" t="s">
        <v>977</v>
      </c>
      <c r="C594" s="326" t="s">
        <v>639</v>
      </c>
      <c r="D594" s="326" t="s">
        <v>1011</v>
      </c>
      <c r="E594" s="605" t="s">
        <v>1762</v>
      </c>
      <c r="F594" s="619">
        <v>347877.73</v>
      </c>
      <c r="G594" s="619">
        <v>328898.68</v>
      </c>
      <c r="H594" s="619">
        <v>330302.68</v>
      </c>
      <c r="I594" s="619">
        <v>372396.35</v>
      </c>
      <c r="J594" s="619">
        <v>377559.63</v>
      </c>
      <c r="K594" s="619">
        <v>372596.72</v>
      </c>
      <c r="L594" s="619">
        <v>367161.58</v>
      </c>
      <c r="M594" s="619">
        <v>362934.5</v>
      </c>
      <c r="N594" s="619">
        <v>420633.06</v>
      </c>
      <c r="O594" s="619">
        <v>440461.47</v>
      </c>
      <c r="P594" s="619">
        <v>445104.75</v>
      </c>
      <c r="Q594" s="619">
        <v>-389294.49</v>
      </c>
      <c r="R594" s="619">
        <v>496455.14</v>
      </c>
      <c r="S594" s="498">
        <f t="shared" si="124"/>
        <v>320910.11374999996</v>
      </c>
      <c r="T594" s="620"/>
      <c r="U594" s="657"/>
      <c r="V594" s="690"/>
      <c r="W594" s="690"/>
      <c r="X594" s="713">
        <f t="shared" si="161"/>
        <v>320910.11374999996</v>
      </c>
      <c r="Y594" s="690"/>
      <c r="Z594" s="690"/>
      <c r="AA594" s="657"/>
      <c r="AB594" s="690">
        <f>+S594</f>
        <v>320910.11374999996</v>
      </c>
      <c r="AC594" s="658"/>
      <c r="AD594" s="658"/>
      <c r="AE594" s="658"/>
      <c r="AF594" s="688">
        <f t="shared" si="158"/>
        <v>0</v>
      </c>
    </row>
    <row r="595" spans="1:32">
      <c r="A595" s="620">
        <v>585</v>
      </c>
      <c r="B595" s="326" t="s">
        <v>980</v>
      </c>
      <c r="C595" s="326" t="s">
        <v>639</v>
      </c>
      <c r="D595" s="326" t="s">
        <v>1338</v>
      </c>
      <c r="E595" s="605" t="s">
        <v>1770</v>
      </c>
      <c r="F595" s="619">
        <v>0</v>
      </c>
      <c r="G595" s="619">
        <v>0</v>
      </c>
      <c r="H595" s="619">
        <v>0</v>
      </c>
      <c r="I595" s="619">
        <v>0</v>
      </c>
      <c r="J595" s="619">
        <v>0</v>
      </c>
      <c r="K595" s="619">
        <v>0</v>
      </c>
      <c r="L595" s="619">
        <v>0</v>
      </c>
      <c r="M595" s="619">
        <v>0</v>
      </c>
      <c r="N595" s="619">
        <v>0</v>
      </c>
      <c r="O595" s="619">
        <v>0</v>
      </c>
      <c r="P595" s="619">
        <v>0</v>
      </c>
      <c r="Q595" s="619">
        <v>0</v>
      </c>
      <c r="R595" s="619">
        <v>0</v>
      </c>
      <c r="S595" s="498">
        <f t="shared" si="124"/>
        <v>0</v>
      </c>
      <c r="T595" s="620"/>
      <c r="U595" s="657"/>
      <c r="V595" s="690"/>
      <c r="W595" s="690"/>
      <c r="X595" s="713">
        <f t="shared" si="161"/>
        <v>0</v>
      </c>
      <c r="Y595" s="690"/>
      <c r="Z595" s="690"/>
      <c r="AA595" s="657"/>
      <c r="AB595" s="690"/>
      <c r="AC595" s="658"/>
      <c r="AD595" s="658"/>
      <c r="AE595" s="658" t="s">
        <v>1452</v>
      </c>
      <c r="AF595" s="688">
        <f t="shared" si="158"/>
        <v>0</v>
      </c>
    </row>
    <row r="596" spans="1:32">
      <c r="A596" s="620">
        <v>586</v>
      </c>
      <c r="B596" s="326" t="s">
        <v>1005</v>
      </c>
      <c r="C596" s="326" t="s">
        <v>639</v>
      </c>
      <c r="D596" s="326" t="s">
        <v>1006</v>
      </c>
      <c r="E596" s="605" t="s">
        <v>1766</v>
      </c>
      <c r="F596" s="619">
        <v>895436.16</v>
      </c>
      <c r="G596" s="619">
        <v>891841.56</v>
      </c>
      <c r="H596" s="619">
        <v>888246.94</v>
      </c>
      <c r="I596" s="619">
        <v>884652.33</v>
      </c>
      <c r="J596" s="619">
        <v>881057.7</v>
      </c>
      <c r="K596" s="619">
        <v>877463.1</v>
      </c>
      <c r="L596" s="619">
        <v>873868.48</v>
      </c>
      <c r="M596" s="619">
        <v>870273.95</v>
      </c>
      <c r="N596" s="619">
        <v>866679.33</v>
      </c>
      <c r="O596" s="619">
        <v>863084.72</v>
      </c>
      <c r="P596" s="619">
        <v>859490.1</v>
      </c>
      <c r="Q596" s="619">
        <v>855502.51</v>
      </c>
      <c r="R596" s="619">
        <v>850011.25</v>
      </c>
      <c r="S596" s="498">
        <f t="shared" si="124"/>
        <v>873740.36874999991</v>
      </c>
      <c r="T596" s="620"/>
      <c r="U596" s="657"/>
      <c r="V596" s="690"/>
      <c r="W596" s="690"/>
      <c r="X596" s="713">
        <f t="shared" si="161"/>
        <v>873740.36874999991</v>
      </c>
      <c r="Y596" s="690"/>
      <c r="Z596" s="690"/>
      <c r="AA596" s="657"/>
      <c r="AB596" s="690">
        <f>+S596</f>
        <v>873740.36874999991</v>
      </c>
      <c r="AC596" s="658"/>
      <c r="AD596" s="658"/>
      <c r="AE596" s="658"/>
      <c r="AF596" s="688">
        <f t="shared" si="158"/>
        <v>0</v>
      </c>
    </row>
    <row r="597" spans="1:32">
      <c r="A597" s="620">
        <v>587</v>
      </c>
      <c r="B597" s="326" t="s">
        <v>1005</v>
      </c>
      <c r="C597" s="326" t="s">
        <v>639</v>
      </c>
      <c r="D597" s="326" t="s">
        <v>1007</v>
      </c>
      <c r="E597" s="605" t="s">
        <v>1767</v>
      </c>
      <c r="F597" s="619">
        <v>-798533.89</v>
      </c>
      <c r="G597" s="619">
        <v>-793515.04</v>
      </c>
      <c r="H597" s="619">
        <v>-788496.17</v>
      </c>
      <c r="I597" s="619">
        <v>-783477.27</v>
      </c>
      <c r="J597" s="619">
        <v>-778458.43</v>
      </c>
      <c r="K597" s="619">
        <v>-773439.56</v>
      </c>
      <c r="L597" s="619">
        <v>-768420.69</v>
      </c>
      <c r="M597" s="619">
        <v>-763401.51</v>
      </c>
      <c r="N597" s="619">
        <v>-758382.62</v>
      </c>
      <c r="O597" s="619">
        <v>-753363.76</v>
      </c>
      <c r="P597" s="619">
        <v>-748344.91</v>
      </c>
      <c r="Q597" s="619">
        <v>-751585.57</v>
      </c>
      <c r="R597" s="619">
        <v>-748372.32</v>
      </c>
      <c r="S597" s="498">
        <f t="shared" si="124"/>
        <v>-769528.21958333335</v>
      </c>
      <c r="T597" s="620"/>
      <c r="U597" s="657"/>
      <c r="V597" s="690"/>
      <c r="W597" s="690"/>
      <c r="X597" s="713">
        <f t="shared" si="161"/>
        <v>-769528.21958333335</v>
      </c>
      <c r="Y597" s="690"/>
      <c r="Z597" s="690"/>
      <c r="AA597" s="657"/>
      <c r="AB597" s="690">
        <f>+S597</f>
        <v>-769528.21958333335</v>
      </c>
      <c r="AC597" s="658"/>
      <c r="AD597" s="658"/>
      <c r="AE597" s="658"/>
      <c r="AF597" s="688">
        <f t="shared" si="158"/>
        <v>0</v>
      </c>
    </row>
    <row r="598" spans="1:32">
      <c r="A598" s="620">
        <v>588</v>
      </c>
      <c r="B598" s="326" t="s">
        <v>1005</v>
      </c>
      <c r="C598" s="326" t="s">
        <v>639</v>
      </c>
      <c r="D598" s="326" t="s">
        <v>998</v>
      </c>
      <c r="E598" s="605" t="s">
        <v>1768</v>
      </c>
      <c r="F598" s="619">
        <v>-4420542.34</v>
      </c>
      <c r="G598" s="619">
        <v>-4433550.5599999996</v>
      </c>
      <c r="H598" s="619">
        <v>-4446558.79</v>
      </c>
      <c r="I598" s="619">
        <v>-4459567.03</v>
      </c>
      <c r="J598" s="619">
        <v>-4472575.25</v>
      </c>
      <c r="K598" s="619">
        <v>-4485583.4800000004</v>
      </c>
      <c r="L598" s="619">
        <v>-4498591.7</v>
      </c>
      <c r="M598" s="619">
        <v>-4511599.92</v>
      </c>
      <c r="N598" s="619">
        <v>-4524608.1500000004</v>
      </c>
      <c r="O598" s="619">
        <v>-4537616.3899999997</v>
      </c>
      <c r="P598" s="619">
        <v>-4550624.6100000003</v>
      </c>
      <c r="Q598" s="619">
        <v>-4641330.5999999996</v>
      </c>
      <c r="R598" s="619">
        <v>-4791249.5199999996</v>
      </c>
      <c r="S598" s="498">
        <f t="shared" si="124"/>
        <v>-4514008.5341666667</v>
      </c>
      <c r="T598" s="620"/>
      <c r="U598" s="657"/>
      <c r="V598" s="690"/>
      <c r="W598" s="690"/>
      <c r="X598" s="713">
        <f t="shared" si="161"/>
        <v>-4514008.5341666667</v>
      </c>
      <c r="Y598" s="690"/>
      <c r="Z598" s="690">
        <f>+X598</f>
        <v>-4514008.5341666667</v>
      </c>
      <c r="AA598" s="657"/>
      <c r="AB598" s="690"/>
      <c r="AC598" s="658"/>
      <c r="AD598" s="658"/>
      <c r="AE598" s="658" t="s">
        <v>1453</v>
      </c>
      <c r="AF598" s="688">
        <f t="shared" si="158"/>
        <v>0</v>
      </c>
    </row>
    <row r="599" spans="1:32">
      <c r="A599" s="620">
        <v>589</v>
      </c>
      <c r="B599" s="326" t="s">
        <v>1005</v>
      </c>
      <c r="C599" s="326" t="s">
        <v>639</v>
      </c>
      <c r="D599" s="326" t="s">
        <v>1008</v>
      </c>
      <c r="E599" s="605" t="s">
        <v>1769</v>
      </c>
      <c r="F599" s="619">
        <v>492728.47</v>
      </c>
      <c r="G599" s="619">
        <v>491067.3</v>
      </c>
      <c r="H599" s="619">
        <v>491190.19</v>
      </c>
      <c r="I599" s="619">
        <v>494874.48</v>
      </c>
      <c r="J599" s="619">
        <v>495326.42</v>
      </c>
      <c r="K599" s="619">
        <v>494892.02</v>
      </c>
      <c r="L599" s="619">
        <v>494416.3</v>
      </c>
      <c r="M599" s="619">
        <v>494046.33</v>
      </c>
      <c r="N599" s="619">
        <v>499096.44</v>
      </c>
      <c r="O599" s="619">
        <v>500831.95</v>
      </c>
      <c r="P599" s="619">
        <v>501238.35</v>
      </c>
      <c r="Q599" s="619">
        <v>428206.76</v>
      </c>
      <c r="R599" s="619">
        <v>505732.86</v>
      </c>
      <c r="S599" s="498">
        <f t="shared" si="124"/>
        <v>490368.1004166666</v>
      </c>
      <c r="T599" s="620"/>
      <c r="U599" s="657"/>
      <c r="V599" s="690"/>
      <c r="W599" s="690"/>
      <c r="X599" s="713">
        <f t="shared" si="161"/>
        <v>490368.1004166666</v>
      </c>
      <c r="Y599" s="690"/>
      <c r="Z599" s="690"/>
      <c r="AA599" s="657"/>
      <c r="AB599" s="690">
        <f>+S599</f>
        <v>490368.1004166666</v>
      </c>
      <c r="AC599" s="658"/>
      <c r="AD599" s="658"/>
      <c r="AE599" s="658"/>
      <c r="AF599" s="688">
        <f t="shared" si="158"/>
        <v>0</v>
      </c>
    </row>
    <row r="600" spans="1:32">
      <c r="A600" s="620">
        <v>590</v>
      </c>
      <c r="B600" s="326" t="s">
        <v>1005</v>
      </c>
      <c r="C600" s="326" t="s">
        <v>639</v>
      </c>
      <c r="D600" s="326" t="s">
        <v>1338</v>
      </c>
      <c r="E600" s="605" t="s">
        <v>1770</v>
      </c>
      <c r="F600" s="619">
        <v>0</v>
      </c>
      <c r="G600" s="619">
        <v>0</v>
      </c>
      <c r="H600" s="619">
        <v>0</v>
      </c>
      <c r="I600" s="619">
        <v>0</v>
      </c>
      <c r="J600" s="619">
        <v>0</v>
      </c>
      <c r="K600" s="619">
        <v>0</v>
      </c>
      <c r="L600" s="619">
        <v>0</v>
      </c>
      <c r="M600" s="619">
        <v>0</v>
      </c>
      <c r="N600" s="619">
        <v>0</v>
      </c>
      <c r="O600" s="619">
        <v>0</v>
      </c>
      <c r="P600" s="619">
        <v>0</v>
      </c>
      <c r="Q600" s="619">
        <v>0</v>
      </c>
      <c r="R600" s="619">
        <v>0</v>
      </c>
      <c r="S600" s="498">
        <f t="shared" si="124"/>
        <v>0</v>
      </c>
      <c r="T600" s="620"/>
      <c r="U600" s="657"/>
      <c r="V600" s="690"/>
      <c r="W600" s="690"/>
      <c r="X600" s="713">
        <f t="shared" si="161"/>
        <v>0</v>
      </c>
      <c r="Y600" s="690"/>
      <c r="Z600" s="690"/>
      <c r="AA600" s="657"/>
      <c r="AB600" s="690"/>
      <c r="AC600" s="658"/>
      <c r="AD600" s="658"/>
      <c r="AE600" s="658" t="s">
        <v>1454</v>
      </c>
      <c r="AF600" s="688">
        <f t="shared" si="158"/>
        <v>0</v>
      </c>
    </row>
    <row r="601" spans="1:32">
      <c r="A601" s="620">
        <v>591</v>
      </c>
      <c r="B601" s="326" t="s">
        <v>977</v>
      </c>
      <c r="C601" s="326" t="s">
        <v>640</v>
      </c>
      <c r="D601" s="326" t="s">
        <v>1009</v>
      </c>
      <c r="E601" s="605" t="s">
        <v>1759</v>
      </c>
      <c r="F601" s="619">
        <v>1913970.3</v>
      </c>
      <c r="G601" s="619">
        <v>1893054.62</v>
      </c>
      <c r="H601" s="619">
        <v>1872138.94</v>
      </c>
      <c r="I601" s="619">
        <v>1851223.29</v>
      </c>
      <c r="J601" s="619">
        <v>1830307.64</v>
      </c>
      <c r="K601" s="619">
        <v>1809391.99</v>
      </c>
      <c r="L601" s="619">
        <v>1788476.31</v>
      </c>
      <c r="M601" s="619">
        <v>1767560.66</v>
      </c>
      <c r="N601" s="619">
        <v>1746645</v>
      </c>
      <c r="O601" s="619">
        <v>1725729.32</v>
      </c>
      <c r="P601" s="619">
        <v>1704813.64</v>
      </c>
      <c r="Q601" s="619">
        <v>1683897.97</v>
      </c>
      <c r="R601" s="619">
        <v>1662982.3</v>
      </c>
      <c r="S601" s="498">
        <f t="shared" si="124"/>
        <v>1788476.3066666666</v>
      </c>
      <c r="T601" s="620"/>
      <c r="U601" s="657"/>
      <c r="V601" s="690"/>
      <c r="W601" s="690"/>
      <c r="X601" s="713">
        <f>+S601</f>
        <v>1788476.3066666666</v>
      </c>
      <c r="Y601" s="690"/>
      <c r="Z601" s="690"/>
      <c r="AA601" s="657"/>
      <c r="AB601" s="690">
        <f>+S601</f>
        <v>1788476.3066666666</v>
      </c>
      <c r="AC601" s="658"/>
      <c r="AD601" s="659"/>
      <c r="AE601" s="658"/>
      <c r="AF601" s="688">
        <f t="shared" si="158"/>
        <v>0</v>
      </c>
    </row>
    <row r="602" spans="1:32">
      <c r="A602" s="620">
        <v>592</v>
      </c>
      <c r="B602" s="326" t="s">
        <v>977</v>
      </c>
      <c r="C602" s="326" t="s">
        <v>640</v>
      </c>
      <c r="D602" s="326" t="s">
        <v>1010</v>
      </c>
      <c r="E602" s="605" t="s">
        <v>1760</v>
      </c>
      <c r="F602" s="619">
        <v>7294680.6500000004</v>
      </c>
      <c r="G602" s="619">
        <v>7214029.0300000003</v>
      </c>
      <c r="H602" s="619">
        <v>7133377.3700000001</v>
      </c>
      <c r="I602" s="619">
        <v>7052725.7300000004</v>
      </c>
      <c r="J602" s="619">
        <v>6972074.0999999996</v>
      </c>
      <c r="K602" s="619">
        <v>6891422.5099999998</v>
      </c>
      <c r="L602" s="619">
        <v>6810770.9199999999</v>
      </c>
      <c r="M602" s="619">
        <v>6730119.3099999996</v>
      </c>
      <c r="N602" s="619">
        <v>6649467.6600000001</v>
      </c>
      <c r="O602" s="619">
        <v>6568816.04</v>
      </c>
      <c r="P602" s="619">
        <v>6488164.3399999999</v>
      </c>
      <c r="Q602" s="619">
        <v>6407512.7000000002</v>
      </c>
      <c r="R602" s="619">
        <v>6326861.0300000003</v>
      </c>
      <c r="S602" s="498">
        <f t="shared" si="124"/>
        <v>6810770.8791666673</v>
      </c>
      <c r="T602" s="620"/>
      <c r="U602" s="657"/>
      <c r="V602" s="690"/>
      <c r="W602" s="690"/>
      <c r="X602" s="713">
        <f>+S602</f>
        <v>6810770.8791666673</v>
      </c>
      <c r="Y602" s="690"/>
      <c r="Z602" s="690"/>
      <c r="AA602" s="657"/>
      <c r="AB602" s="690">
        <f>+S602</f>
        <v>6810770.8791666673</v>
      </c>
      <c r="AC602" s="658"/>
      <c r="AD602" s="659"/>
      <c r="AE602" s="658"/>
      <c r="AF602" s="688">
        <f t="shared" si="158"/>
        <v>0</v>
      </c>
    </row>
    <row r="603" spans="1:32">
      <c r="A603" s="620">
        <v>593</v>
      </c>
      <c r="B603" s="326" t="s">
        <v>977</v>
      </c>
      <c r="C603" s="326" t="s">
        <v>640</v>
      </c>
      <c r="D603" s="326" t="s">
        <v>996</v>
      </c>
      <c r="E603" s="605" t="s">
        <v>1763</v>
      </c>
      <c r="F603" s="619">
        <v>-153482.01</v>
      </c>
      <c r="G603" s="619">
        <v>-152777.97</v>
      </c>
      <c r="H603" s="619">
        <v>-152073.93</v>
      </c>
      <c r="I603" s="619">
        <v>-151369.9</v>
      </c>
      <c r="J603" s="619">
        <v>-150665.85999999999</v>
      </c>
      <c r="K603" s="619">
        <v>0</v>
      </c>
      <c r="L603" s="619">
        <v>0</v>
      </c>
      <c r="M603" s="619">
        <v>0</v>
      </c>
      <c r="N603" s="619">
        <v>0</v>
      </c>
      <c r="O603" s="619">
        <v>0</v>
      </c>
      <c r="P603" s="619">
        <v>0</v>
      </c>
      <c r="Q603" s="619">
        <v>0</v>
      </c>
      <c r="R603" s="619">
        <v>0</v>
      </c>
      <c r="S603" s="498">
        <f t="shared" si="124"/>
        <v>-56969.05541666667</v>
      </c>
      <c r="T603" s="620"/>
      <c r="U603" s="657"/>
      <c r="V603" s="665"/>
      <c r="W603" s="690"/>
      <c r="X603" s="690">
        <f>+S603</f>
        <v>-56969.05541666667</v>
      </c>
      <c r="Y603" s="690">
        <f>+X603*Z7</f>
        <v>-42823.638956708339</v>
      </c>
      <c r="Z603" s="690">
        <f>+X603*Z8</f>
        <v>-14145.416459958335</v>
      </c>
      <c r="AA603" s="657"/>
      <c r="AB603" s="690"/>
      <c r="AC603" s="658"/>
      <c r="AD603" s="658"/>
      <c r="AE603" s="658" t="s">
        <v>1455</v>
      </c>
      <c r="AF603" s="688">
        <f t="shared" si="158"/>
        <v>0</v>
      </c>
    </row>
    <row r="604" spans="1:32">
      <c r="A604" s="620">
        <v>594</v>
      </c>
      <c r="B604" s="326" t="s">
        <v>977</v>
      </c>
      <c r="C604" s="326" t="s">
        <v>640</v>
      </c>
      <c r="D604" s="326" t="s">
        <v>1400</v>
      </c>
      <c r="E604" s="605" t="s">
        <v>1764</v>
      </c>
      <c r="F604" s="619">
        <v>-638740.75</v>
      </c>
      <c r="G604" s="619">
        <v>-638740.75</v>
      </c>
      <c r="H604" s="619">
        <v>-638740.75</v>
      </c>
      <c r="I604" s="619">
        <v>-638740.75</v>
      </c>
      <c r="J604" s="619">
        <v>-638740.75</v>
      </c>
      <c r="K604" s="619">
        <v>-638740.75</v>
      </c>
      <c r="L604" s="619">
        <v>-638740.75</v>
      </c>
      <c r="M604" s="619">
        <v>-638740.75</v>
      </c>
      <c r="N604" s="619">
        <v>-638740.75</v>
      </c>
      <c r="O604" s="619">
        <v>-638740.75</v>
      </c>
      <c r="P604" s="619">
        <v>-638740.75</v>
      </c>
      <c r="Q604" s="619">
        <v>-638740.75</v>
      </c>
      <c r="R604" s="619">
        <v>-666160.88</v>
      </c>
      <c r="S604" s="498">
        <f t="shared" si="124"/>
        <v>-639883.25541666662</v>
      </c>
      <c r="T604" s="620"/>
      <c r="U604" s="657"/>
      <c r="W604" s="690"/>
      <c r="X604" s="690">
        <f>+S604</f>
        <v>-639883.25541666662</v>
      </c>
      <c r="Y604" s="690"/>
      <c r="Z604" s="690"/>
      <c r="AA604" s="657"/>
      <c r="AB604" s="690">
        <f>+S604</f>
        <v>-639883.25541666662</v>
      </c>
      <c r="AC604" s="658"/>
      <c r="AD604" s="659"/>
      <c r="AE604" s="658"/>
      <c r="AF604" s="688">
        <f>+U604+X604-AD604</f>
        <v>-639883.25541666662</v>
      </c>
    </row>
    <row r="605" spans="1:32">
      <c r="A605" s="620">
        <v>595</v>
      </c>
      <c r="B605" s="326" t="s">
        <v>977</v>
      </c>
      <c r="C605" s="326" t="s">
        <v>640</v>
      </c>
      <c r="D605" s="326" t="s">
        <v>1011</v>
      </c>
      <c r="E605" s="605" t="s">
        <v>1765</v>
      </c>
      <c r="F605" s="619">
        <v>-40255923.640000001</v>
      </c>
      <c r="G605" s="619">
        <v>-41475441.259999998</v>
      </c>
      <c r="H605" s="619">
        <v>-45749804.460000001</v>
      </c>
      <c r="I605" s="619">
        <v>-50082768.520000003</v>
      </c>
      <c r="J605" s="619">
        <v>-49801847.409999996</v>
      </c>
      <c r="K605" s="619">
        <v>-42694512.810000002</v>
      </c>
      <c r="L605" s="619">
        <v>-43048310.259999998</v>
      </c>
      <c r="M605" s="619">
        <v>-43697144.140000001</v>
      </c>
      <c r="N605" s="619">
        <v>-44434469.880000003</v>
      </c>
      <c r="O605" s="619">
        <v>-42928561.740000002</v>
      </c>
      <c r="P605" s="619">
        <v>-42937621.810000002</v>
      </c>
      <c r="Q605" s="619">
        <v>-42032794.729999997</v>
      </c>
      <c r="R605" s="619">
        <v>-41379613.530000001</v>
      </c>
      <c r="S605" s="498">
        <f t="shared" si="124"/>
        <v>-44141753.800416671</v>
      </c>
      <c r="T605" s="620"/>
      <c r="U605" s="657"/>
      <c r="V605" s="690">
        <f t="shared" ref="V605" si="162">+S605</f>
        <v>-44141753.800416671</v>
      </c>
      <c r="W605" s="690"/>
      <c r="X605" s="713"/>
      <c r="Y605" s="690"/>
      <c r="Z605" s="690"/>
      <c r="AA605" s="657"/>
      <c r="AB605" s="690"/>
      <c r="AC605" s="658"/>
      <c r="AD605" s="659">
        <f t="shared" ref="AD605" si="163">+V605</f>
        <v>-44141753.800416671</v>
      </c>
      <c r="AE605" s="658"/>
      <c r="AF605" s="688">
        <f t="shared" si="158"/>
        <v>0</v>
      </c>
    </row>
    <row r="606" spans="1:32">
      <c r="A606" s="620">
        <v>596</v>
      </c>
      <c r="B606" s="326" t="s">
        <v>1005</v>
      </c>
      <c r="C606" s="326" t="s">
        <v>640</v>
      </c>
      <c r="D606" s="536" t="s">
        <v>1006</v>
      </c>
      <c r="E606" s="605" t="s">
        <v>1766</v>
      </c>
      <c r="F606" s="619">
        <v>167522.1</v>
      </c>
      <c r="G606" s="619">
        <v>165691.44</v>
      </c>
      <c r="H606" s="619">
        <v>163860.78</v>
      </c>
      <c r="I606" s="619">
        <v>162030.10999999999</v>
      </c>
      <c r="J606" s="619">
        <v>160199.45000000001</v>
      </c>
      <c r="K606" s="619">
        <v>158368.76999999999</v>
      </c>
      <c r="L606" s="619">
        <v>156538.10999999999</v>
      </c>
      <c r="M606" s="619">
        <v>154707.46</v>
      </c>
      <c r="N606" s="619">
        <v>152876.79</v>
      </c>
      <c r="O606" s="619">
        <v>151046.13</v>
      </c>
      <c r="P606" s="619">
        <v>149215.47</v>
      </c>
      <c r="Q606" s="619">
        <v>147384.79999999999</v>
      </c>
      <c r="R606" s="619">
        <v>145554.14000000001</v>
      </c>
      <c r="S606" s="498">
        <f t="shared" si="124"/>
        <v>156538.11916666667</v>
      </c>
      <c r="T606" s="620"/>
      <c r="U606" s="657"/>
      <c r="W606" s="690"/>
      <c r="X606" s="690">
        <f>+S606</f>
        <v>156538.11916666667</v>
      </c>
      <c r="Y606" s="690"/>
      <c r="Z606" s="690"/>
      <c r="AA606" s="657"/>
      <c r="AB606" s="690">
        <f>+S606</f>
        <v>156538.11916666667</v>
      </c>
      <c r="AC606" s="658"/>
      <c r="AD606" s="659"/>
      <c r="AE606" s="658"/>
      <c r="AF606" s="688">
        <f>+U606+X606-AD606</f>
        <v>156538.11916666667</v>
      </c>
    </row>
    <row r="607" spans="1:32">
      <c r="A607" s="620">
        <v>597</v>
      </c>
      <c r="B607" s="326" t="s">
        <v>1005</v>
      </c>
      <c r="C607" s="326" t="s">
        <v>640</v>
      </c>
      <c r="D607" s="326" t="s">
        <v>1007</v>
      </c>
      <c r="E607" s="605" t="s">
        <v>1767</v>
      </c>
      <c r="F607" s="619">
        <v>-94506.66</v>
      </c>
      <c r="G607" s="619">
        <v>-92537.75</v>
      </c>
      <c r="H607" s="619">
        <v>-90568.86</v>
      </c>
      <c r="I607" s="619">
        <v>-88599.98</v>
      </c>
      <c r="J607" s="619">
        <v>-86631.06</v>
      </c>
      <c r="K607" s="619">
        <v>-84662.19</v>
      </c>
      <c r="L607" s="619">
        <v>-82693.31</v>
      </c>
      <c r="M607" s="619">
        <v>-80724.41</v>
      </c>
      <c r="N607" s="619">
        <v>-78755.520000000004</v>
      </c>
      <c r="O607" s="619">
        <v>-76786.63</v>
      </c>
      <c r="P607" s="619">
        <v>-74817.77</v>
      </c>
      <c r="Q607" s="619">
        <v>-72848.850000000006</v>
      </c>
      <c r="R607" s="619">
        <v>-70879.97</v>
      </c>
      <c r="S607" s="498">
        <f t="shared" si="124"/>
        <v>-82693.303750000006</v>
      </c>
      <c r="T607" s="620"/>
      <c r="U607" s="657"/>
      <c r="W607" s="690"/>
      <c r="X607" s="690">
        <f>+S607</f>
        <v>-82693.303750000006</v>
      </c>
      <c r="Y607" s="690"/>
      <c r="Z607" s="690"/>
      <c r="AA607" s="657"/>
      <c r="AB607" s="690">
        <f>+S607</f>
        <v>-82693.303750000006</v>
      </c>
      <c r="AC607" s="658"/>
      <c r="AD607" s="659"/>
      <c r="AE607" s="658"/>
      <c r="AF607" s="688">
        <f>+U607+X607-AD607</f>
        <v>-82693.303750000006</v>
      </c>
    </row>
    <row r="608" spans="1:32">
      <c r="A608" s="620">
        <v>598</v>
      </c>
      <c r="B608" s="326" t="s">
        <v>1005</v>
      </c>
      <c r="C608" s="326" t="s">
        <v>640</v>
      </c>
      <c r="D608" s="326" t="s">
        <v>1000</v>
      </c>
      <c r="E608" s="605" t="s">
        <v>1771</v>
      </c>
      <c r="F608" s="619">
        <v>-13433.67</v>
      </c>
      <c r="G608" s="619">
        <v>-13372.05</v>
      </c>
      <c r="H608" s="619">
        <v>-13310.43</v>
      </c>
      <c r="I608" s="619">
        <v>-13248.81</v>
      </c>
      <c r="J608" s="619">
        <v>-13187.19</v>
      </c>
      <c r="K608" s="619">
        <v>-13125.57</v>
      </c>
      <c r="L608" s="619">
        <v>-13063.95</v>
      </c>
      <c r="M608" s="619">
        <v>-13002.33</v>
      </c>
      <c r="N608" s="619">
        <v>-12940.71</v>
      </c>
      <c r="O608" s="619">
        <v>-12879.09</v>
      </c>
      <c r="P608" s="619">
        <v>-12817.47</v>
      </c>
      <c r="Q608" s="619">
        <v>-12755.85</v>
      </c>
      <c r="R608" s="619">
        <v>-12694.23</v>
      </c>
      <c r="S608" s="498">
        <f t="shared" si="124"/>
        <v>-13063.950000000003</v>
      </c>
      <c r="T608" s="620"/>
      <c r="U608" s="657"/>
      <c r="W608" s="690"/>
      <c r="X608" s="690">
        <f>+S608</f>
        <v>-13063.950000000003</v>
      </c>
      <c r="Y608" s="690"/>
      <c r="Z608" s="690">
        <f>+X608</f>
        <v>-13063.950000000003</v>
      </c>
      <c r="AA608" s="657"/>
      <c r="AB608" s="690"/>
      <c r="AC608" s="658"/>
      <c r="AD608" s="659"/>
      <c r="AE608" s="658"/>
      <c r="AF608" s="688">
        <f>+U608+X608-AD608</f>
        <v>-13063.950000000003</v>
      </c>
    </row>
    <row r="609" spans="1:32">
      <c r="A609" s="620">
        <v>599</v>
      </c>
      <c r="B609" s="326" t="s">
        <v>1005</v>
      </c>
      <c r="C609" s="326" t="s">
        <v>640</v>
      </c>
      <c r="D609" s="326" t="s">
        <v>1399</v>
      </c>
      <c r="E609" s="605" t="s">
        <v>1772</v>
      </c>
      <c r="F609" s="619">
        <v>-55906.400000000001</v>
      </c>
      <c r="G609" s="619">
        <v>-55906.400000000001</v>
      </c>
      <c r="H609" s="619">
        <v>-55906.400000000001</v>
      </c>
      <c r="I609" s="619">
        <v>-55906.400000000001</v>
      </c>
      <c r="J609" s="619">
        <v>-55906.400000000001</v>
      </c>
      <c r="K609" s="619">
        <v>-55906.400000000001</v>
      </c>
      <c r="L609" s="619">
        <v>-55906.400000000001</v>
      </c>
      <c r="M609" s="619">
        <v>-55906.400000000001</v>
      </c>
      <c r="N609" s="619">
        <v>-55906.400000000001</v>
      </c>
      <c r="O609" s="619">
        <v>-55906.400000000001</v>
      </c>
      <c r="P609" s="619">
        <v>-55906.400000000001</v>
      </c>
      <c r="Q609" s="619">
        <v>-55906.400000000001</v>
      </c>
      <c r="R609" s="619">
        <v>-58306.37</v>
      </c>
      <c r="S609" s="498">
        <f t="shared" si="124"/>
        <v>-56006.398750000015</v>
      </c>
      <c r="T609" s="620"/>
      <c r="U609" s="657"/>
      <c r="W609" s="690"/>
      <c r="X609" s="690">
        <f>+S609</f>
        <v>-56006.398750000015</v>
      </c>
      <c r="Y609" s="690"/>
      <c r="Z609" s="690"/>
      <c r="AA609" s="657"/>
      <c r="AB609" s="690">
        <f>+S609</f>
        <v>-56006.398750000015</v>
      </c>
      <c r="AC609" s="658"/>
      <c r="AD609" s="659"/>
      <c r="AE609" s="658"/>
      <c r="AF609" s="688">
        <f>+U609+X609-AD609</f>
        <v>-56006.398750000015</v>
      </c>
    </row>
    <row r="610" spans="1:32">
      <c r="A610" s="620">
        <v>600</v>
      </c>
      <c r="B610" s="326" t="s">
        <v>1005</v>
      </c>
      <c r="C610" s="326" t="s">
        <v>640</v>
      </c>
      <c r="D610" s="326" t="s">
        <v>1008</v>
      </c>
      <c r="E610" s="605" t="s">
        <v>1773</v>
      </c>
      <c r="F610" s="619">
        <v>-3065780.91</v>
      </c>
      <c r="G610" s="619">
        <v>-3181548.37</v>
      </c>
      <c r="H610" s="619">
        <v>-3564694.16</v>
      </c>
      <c r="I610" s="619">
        <v>-3952969.04</v>
      </c>
      <c r="J610" s="619">
        <v>-3937409.17</v>
      </c>
      <c r="K610" s="619">
        <v>-3324360.74</v>
      </c>
      <c r="L610" s="619">
        <v>-3364355.18</v>
      </c>
      <c r="M610" s="619">
        <v>-3430173.01</v>
      </c>
      <c r="N610" s="619">
        <v>-3503736.18</v>
      </c>
      <c r="O610" s="619">
        <v>-3380958.09</v>
      </c>
      <c r="P610" s="619">
        <v>-3390779.09</v>
      </c>
      <c r="Q610" s="619">
        <v>-3320611.22</v>
      </c>
      <c r="R610" s="619">
        <v>-3272468.91</v>
      </c>
      <c r="S610" s="498">
        <f t="shared" si="124"/>
        <v>-3460059.9299999997</v>
      </c>
      <c r="T610" s="620"/>
      <c r="U610" s="657"/>
      <c r="V610" s="690">
        <f>+S610</f>
        <v>-3460059.9299999997</v>
      </c>
      <c r="W610" s="690"/>
      <c r="X610" s="713"/>
      <c r="Y610" s="690"/>
      <c r="Z610" s="690"/>
      <c r="AA610" s="657"/>
      <c r="AB610" s="690"/>
      <c r="AC610" s="658"/>
      <c r="AD610" s="659">
        <f>+S610</f>
        <v>-3460059.9299999997</v>
      </c>
      <c r="AE610" s="658"/>
      <c r="AF610" s="688">
        <f t="shared" si="158"/>
        <v>0</v>
      </c>
    </row>
    <row r="611" spans="1:32">
      <c r="A611" s="620">
        <v>601</v>
      </c>
      <c r="B611" s="326" t="s">
        <v>1005</v>
      </c>
      <c r="C611" s="326" t="s">
        <v>639</v>
      </c>
      <c r="D611" s="326" t="s">
        <v>994</v>
      </c>
      <c r="E611" s="605" t="s">
        <v>1761</v>
      </c>
      <c r="F611" s="619">
        <v>0</v>
      </c>
      <c r="G611" s="619">
        <v>0</v>
      </c>
      <c r="H611" s="619">
        <v>0</v>
      </c>
      <c r="I611" s="619">
        <v>0</v>
      </c>
      <c r="J611" s="619">
        <v>0</v>
      </c>
      <c r="K611" s="619">
        <v>-22343046.039999999</v>
      </c>
      <c r="L611" s="619">
        <v>-22325913.43</v>
      </c>
      <c r="M611" s="619">
        <v>-22308780.829999998</v>
      </c>
      <c r="N611" s="619">
        <v>-22291648.23</v>
      </c>
      <c r="O611" s="619">
        <v>-22274515.629999999</v>
      </c>
      <c r="P611" s="619">
        <v>-22257383.030000001</v>
      </c>
      <c r="Q611" s="619">
        <v>-22454623.309999999</v>
      </c>
      <c r="R611" s="619">
        <v>-22776131.02</v>
      </c>
      <c r="S611" s="498">
        <f t="shared" si="124"/>
        <v>-13970331.334166666</v>
      </c>
      <c r="T611" s="620"/>
      <c r="U611" s="657"/>
      <c r="V611" s="690"/>
      <c r="W611" s="690"/>
      <c r="X611" s="713">
        <f>+S611</f>
        <v>-13970331.334166666</v>
      </c>
      <c r="Y611" s="690"/>
      <c r="Z611" s="690">
        <f>+X611</f>
        <v>-13970331.334166666</v>
      </c>
      <c r="AA611" s="657"/>
      <c r="AB611" s="690"/>
      <c r="AC611" s="658"/>
      <c r="AD611" s="659"/>
      <c r="AE611" s="658"/>
      <c r="AF611" s="688"/>
    </row>
    <row r="612" spans="1:32">
      <c r="A612" s="620">
        <v>602</v>
      </c>
      <c r="B612" s="326" t="s">
        <v>1005</v>
      </c>
      <c r="C612" s="326" t="s">
        <v>640</v>
      </c>
      <c r="D612" s="326" t="s">
        <v>996</v>
      </c>
      <c r="E612" s="605" t="s">
        <v>1763</v>
      </c>
      <c r="F612" s="619">
        <v>0</v>
      </c>
      <c r="G612" s="619">
        <v>0</v>
      </c>
      <c r="H612" s="619">
        <v>0</v>
      </c>
      <c r="I612" s="619">
        <v>0</v>
      </c>
      <c r="J612" s="619">
        <v>0</v>
      </c>
      <c r="K612" s="619">
        <v>-36680.65</v>
      </c>
      <c r="L612" s="619">
        <v>-36508.44</v>
      </c>
      <c r="M612" s="619">
        <v>-36336.230000000003</v>
      </c>
      <c r="N612" s="619">
        <v>-36164.019999999997</v>
      </c>
      <c r="O612" s="619">
        <v>-35991.82</v>
      </c>
      <c r="P612" s="619">
        <v>-35819.61</v>
      </c>
      <c r="Q612" s="619">
        <v>-35647.4</v>
      </c>
      <c r="R612" s="619">
        <v>-35475.199999999997</v>
      </c>
      <c r="S612" s="498">
        <f t="shared" si="124"/>
        <v>-22573.814166666667</v>
      </c>
      <c r="T612" s="620"/>
      <c r="U612" s="657"/>
      <c r="V612" s="690"/>
      <c r="W612" s="690"/>
      <c r="X612" s="713">
        <f>+S612</f>
        <v>-22573.814166666667</v>
      </c>
      <c r="Y612" s="690"/>
      <c r="Z612" s="690">
        <f>+X612</f>
        <v>-22573.814166666667</v>
      </c>
      <c r="AA612" s="657"/>
      <c r="AB612" s="690"/>
      <c r="AC612" s="658"/>
      <c r="AD612" s="659"/>
      <c r="AE612" s="658"/>
      <c r="AF612" s="688"/>
    </row>
    <row r="613" spans="1:32">
      <c r="A613" s="620">
        <v>603</v>
      </c>
      <c r="B613" s="326" t="s">
        <v>980</v>
      </c>
      <c r="C613" s="326" t="s">
        <v>639</v>
      </c>
      <c r="D613" s="326" t="s">
        <v>994</v>
      </c>
      <c r="E613" s="605" t="s">
        <v>1761</v>
      </c>
      <c r="F613" s="619">
        <v>0</v>
      </c>
      <c r="G613" s="619">
        <v>0</v>
      </c>
      <c r="H613" s="619">
        <v>0</v>
      </c>
      <c r="I613" s="619">
        <v>0</v>
      </c>
      <c r="J613" s="619">
        <v>0</v>
      </c>
      <c r="K613" s="619">
        <v>-76915265.980000004</v>
      </c>
      <c r="L613" s="619">
        <v>-76856287.510000005</v>
      </c>
      <c r="M613" s="619">
        <v>-76797309.040000007</v>
      </c>
      <c r="N613" s="619">
        <v>-76738330.569999993</v>
      </c>
      <c r="O613" s="619">
        <v>-76679352.090000004</v>
      </c>
      <c r="P613" s="619">
        <v>-76620373.620000005</v>
      </c>
      <c r="Q613" s="619">
        <v>-77299367.390000001</v>
      </c>
      <c r="R613" s="619">
        <v>-78406148.049999997</v>
      </c>
      <c r="S613" s="498">
        <f t="shared" si="124"/>
        <v>-48092446.685416669</v>
      </c>
      <c r="T613" s="620"/>
      <c r="U613" s="657"/>
      <c r="V613" s="690"/>
      <c r="W613" s="690"/>
      <c r="X613" s="713">
        <f>+S613</f>
        <v>-48092446.685416669</v>
      </c>
      <c r="Y613" s="690">
        <f>+X613</f>
        <v>-48092446.685416669</v>
      </c>
      <c r="Z613" s="690"/>
      <c r="AA613" s="657"/>
      <c r="AB613" s="690"/>
      <c r="AC613" s="658"/>
      <c r="AD613" s="659"/>
      <c r="AE613" s="658"/>
      <c r="AF613" s="688"/>
    </row>
    <row r="614" spans="1:32">
      <c r="A614" s="620">
        <v>604</v>
      </c>
      <c r="B614" s="326" t="s">
        <v>980</v>
      </c>
      <c r="C614" s="326" t="s">
        <v>640</v>
      </c>
      <c r="D614" s="326" t="s">
        <v>996</v>
      </c>
      <c r="E614" s="605" t="s">
        <v>1763</v>
      </c>
      <c r="F614" s="619">
        <v>0</v>
      </c>
      <c r="G614" s="619">
        <v>0</v>
      </c>
      <c r="H614" s="619">
        <v>0</v>
      </c>
      <c r="I614" s="619">
        <v>0</v>
      </c>
      <c r="J614" s="619">
        <v>0</v>
      </c>
      <c r="K614" s="619">
        <v>-113281.17</v>
      </c>
      <c r="L614" s="619">
        <v>-112749.34</v>
      </c>
      <c r="M614" s="619">
        <v>-112217.51</v>
      </c>
      <c r="N614" s="619">
        <v>-111685.68</v>
      </c>
      <c r="O614" s="619">
        <v>-111153.85</v>
      </c>
      <c r="P614" s="619">
        <v>-110622.02</v>
      </c>
      <c r="Q614" s="619">
        <v>-110090.19</v>
      </c>
      <c r="R614" s="619">
        <v>-109558.36</v>
      </c>
      <c r="S614" s="498">
        <f t="shared" si="124"/>
        <v>-69714.911666666667</v>
      </c>
      <c r="T614" s="620"/>
      <c r="U614" s="657"/>
      <c r="V614" s="690"/>
      <c r="W614" s="690"/>
      <c r="X614" s="713">
        <f>+S614</f>
        <v>-69714.911666666667</v>
      </c>
      <c r="Y614" s="690">
        <f>+X614</f>
        <v>-69714.911666666667</v>
      </c>
      <c r="Z614" s="690"/>
      <c r="AA614" s="657"/>
      <c r="AB614" s="690"/>
      <c r="AC614" s="658"/>
      <c r="AD614" s="659"/>
      <c r="AE614" s="658"/>
      <c r="AF614" s="688"/>
    </row>
    <row r="615" spans="1:32">
      <c r="A615" s="620">
        <v>605</v>
      </c>
      <c r="B615" s="620"/>
      <c r="C615" s="620"/>
      <c r="D615" s="620"/>
      <c r="E615" s="605" t="s">
        <v>641</v>
      </c>
      <c r="F615" s="305">
        <f>SUM(F590:F614)</f>
        <v>-88739868.560000017</v>
      </c>
      <c r="G615" s="305">
        <f t="shared" ref="G615:P615" si="164">SUM(G590:G614)</f>
        <v>-90329190.810000002</v>
      </c>
      <c r="H615" s="305">
        <f t="shared" si="164"/>
        <v>-95218569.940000013</v>
      </c>
      <c r="I615" s="305">
        <f t="shared" si="164"/>
        <v>-100127427.71000002</v>
      </c>
      <c r="J615" s="305">
        <f t="shared" si="164"/>
        <v>-100058728.63</v>
      </c>
      <c r="K615" s="305">
        <f t="shared" si="164"/>
        <v>-92577139.820000023</v>
      </c>
      <c r="L615" s="305">
        <f t="shared" si="164"/>
        <v>-93210239.560000017</v>
      </c>
      <c r="M615" s="305">
        <f t="shared" si="164"/>
        <v>-94162880.310000017</v>
      </c>
      <c r="N615" s="305">
        <f t="shared" si="164"/>
        <v>-95144417.540000021</v>
      </c>
      <c r="O615" s="305">
        <f t="shared" si="164"/>
        <v>-93727564.400000006</v>
      </c>
      <c r="P615" s="305">
        <f t="shared" si="164"/>
        <v>-93974792.87000002</v>
      </c>
      <c r="Q615" s="305">
        <f>SUM(Q590:Q614)</f>
        <v>-95194107.520000011</v>
      </c>
      <c r="R615" s="305">
        <f t="shared" ref="R615" si="165">SUM(R590:R614)</f>
        <v>-95539119.870000005</v>
      </c>
      <c r="S615" s="500">
        <f>SUM(S590:S614)</f>
        <v>-94655379.443750009</v>
      </c>
      <c r="T615" s="620"/>
      <c r="U615" s="657"/>
      <c r="V615" s="690"/>
      <c r="W615" s="690"/>
      <c r="X615" s="713"/>
      <c r="Y615" s="690"/>
      <c r="Z615" s="690"/>
      <c r="AA615" s="657"/>
      <c r="AB615" s="690"/>
      <c r="AC615" s="658"/>
      <c r="AD615" s="658"/>
      <c r="AE615" s="658"/>
      <c r="AF615" s="688">
        <f t="shared" si="158"/>
        <v>0</v>
      </c>
    </row>
    <row r="616" spans="1:32">
      <c r="A616" s="620">
        <v>606</v>
      </c>
      <c r="B616" s="620"/>
      <c r="C616" s="620"/>
      <c r="D616" s="620"/>
      <c r="E616" s="605"/>
      <c r="F616" s="619"/>
      <c r="G616" s="324"/>
      <c r="H616" s="315"/>
      <c r="I616" s="315"/>
      <c r="J616" s="316"/>
      <c r="K616" s="317"/>
      <c r="L616" s="318"/>
      <c r="M616" s="319"/>
      <c r="N616" s="320"/>
      <c r="O616" s="606"/>
      <c r="P616" s="321"/>
      <c r="Q616" s="325"/>
      <c r="R616" s="619"/>
      <c r="S616" s="304"/>
      <c r="T616" s="620"/>
      <c r="U616" s="657"/>
      <c r="V616" s="690"/>
      <c r="W616" s="690"/>
      <c r="X616" s="713"/>
      <c r="Y616" s="690"/>
      <c r="Z616" s="690"/>
      <c r="AA616" s="657"/>
      <c r="AB616" s="690"/>
      <c r="AC616" s="658"/>
      <c r="AD616" s="658"/>
      <c r="AE616" s="658"/>
      <c r="AF616" s="688">
        <f t="shared" si="158"/>
        <v>0</v>
      </c>
    </row>
    <row r="617" spans="1:32">
      <c r="A617" s="620">
        <v>607</v>
      </c>
      <c r="B617" s="326" t="s">
        <v>1005</v>
      </c>
      <c r="C617" s="326" t="s">
        <v>642</v>
      </c>
      <c r="D617" s="326" t="s">
        <v>1247</v>
      </c>
      <c r="E617" s="605" t="s">
        <v>1775</v>
      </c>
      <c r="F617" s="617">
        <v>-36899838.780000001</v>
      </c>
      <c r="G617" s="617">
        <v>-5659206.4100000001</v>
      </c>
      <c r="H617" s="617">
        <v>-10923602.24</v>
      </c>
      <c r="I617" s="617">
        <v>-16838345.66</v>
      </c>
      <c r="J617" s="617">
        <v>-20972373.75</v>
      </c>
      <c r="K617" s="617">
        <v>-23288857.010000002</v>
      </c>
      <c r="L617" s="617">
        <v>-24957907.989999998</v>
      </c>
      <c r="M617" s="617">
        <v>-26193515.859999999</v>
      </c>
      <c r="N617" s="617">
        <v>-27265717.48</v>
      </c>
      <c r="O617" s="617">
        <v>-28342685.350000001</v>
      </c>
      <c r="P617" s="617">
        <v>-30687397.800000001</v>
      </c>
      <c r="Q617" s="617">
        <v>-34292176</v>
      </c>
      <c r="R617" s="617">
        <v>-39768724.710000001</v>
      </c>
      <c r="S617" s="498">
        <f t="shared" si="124"/>
        <v>-23979672.274583336</v>
      </c>
      <c r="T617" s="620"/>
      <c r="U617" s="657"/>
      <c r="V617" s="690"/>
      <c r="W617" s="690">
        <f t="shared" ref="W617:W684" si="166">+S617</f>
        <v>-23979672.274583336</v>
      </c>
      <c r="X617" s="713"/>
      <c r="Y617" s="690"/>
      <c r="Z617" s="690"/>
      <c r="AA617" s="657"/>
      <c r="AB617" s="690"/>
      <c r="AC617" s="659">
        <f>+S617</f>
        <v>-23979672.274583336</v>
      </c>
      <c r="AD617" s="658"/>
      <c r="AE617" s="658"/>
      <c r="AF617" s="688">
        <f t="shared" si="158"/>
        <v>0</v>
      </c>
    </row>
    <row r="618" spans="1:32">
      <c r="A618" s="620">
        <v>608</v>
      </c>
      <c r="B618" s="326" t="s">
        <v>1005</v>
      </c>
      <c r="C618" s="326" t="s">
        <v>642</v>
      </c>
      <c r="D618" s="326" t="s">
        <v>1248</v>
      </c>
      <c r="E618" s="605" t="s">
        <v>1776</v>
      </c>
      <c r="F618" s="617">
        <v>164849.44</v>
      </c>
      <c r="G618" s="617">
        <v>412580.73</v>
      </c>
      <c r="H618" s="617">
        <v>816333.62</v>
      </c>
      <c r="I618" s="617">
        <v>1518764.99</v>
      </c>
      <c r="J618" s="617">
        <v>1730785.4</v>
      </c>
      <c r="K618" s="617">
        <v>1440073.66</v>
      </c>
      <c r="L618" s="617">
        <v>1514908.04</v>
      </c>
      <c r="M618" s="617">
        <v>1515377.82</v>
      </c>
      <c r="N618" s="617">
        <v>1372102.68</v>
      </c>
      <c r="O618" s="617">
        <v>1448349.36</v>
      </c>
      <c r="P618" s="617">
        <v>2147306.23</v>
      </c>
      <c r="Q618" s="617">
        <v>2207433.56</v>
      </c>
      <c r="R618" s="617">
        <v>2056561.28</v>
      </c>
      <c r="S618" s="498">
        <f t="shared" si="124"/>
        <v>1436226.7874999999</v>
      </c>
      <c r="T618" s="620"/>
      <c r="U618" s="657"/>
      <c r="V618" s="690"/>
      <c r="W618" s="690">
        <f t="shared" si="166"/>
        <v>1436226.7874999999</v>
      </c>
      <c r="X618" s="713"/>
      <c r="Y618" s="690"/>
      <c r="Z618" s="690"/>
      <c r="AA618" s="657"/>
      <c r="AB618" s="690"/>
      <c r="AC618" s="659">
        <f t="shared" ref="AC618:AC683" si="167">+S618</f>
        <v>1436226.7874999999</v>
      </c>
      <c r="AD618" s="658"/>
      <c r="AE618" s="658"/>
      <c r="AF618" s="688">
        <f t="shared" si="158"/>
        <v>0</v>
      </c>
    </row>
    <row r="619" spans="1:32">
      <c r="A619" s="620">
        <v>609</v>
      </c>
      <c r="B619" s="326" t="s">
        <v>1005</v>
      </c>
      <c r="C619" s="326" t="s">
        <v>642</v>
      </c>
      <c r="D619" s="326" t="s">
        <v>1249</v>
      </c>
      <c r="E619" s="605" t="s">
        <v>1777</v>
      </c>
      <c r="F619" s="617">
        <v>-2767726.57</v>
      </c>
      <c r="G619" s="617">
        <v>-303761.21999999997</v>
      </c>
      <c r="H619" s="617">
        <v>-616155.87</v>
      </c>
      <c r="I619" s="617">
        <v>-950886.07</v>
      </c>
      <c r="J619" s="617">
        <v>-1218988.5900000001</v>
      </c>
      <c r="K619" s="617">
        <v>-1396905.06</v>
      </c>
      <c r="L619" s="617">
        <v>-1520877.32</v>
      </c>
      <c r="M619" s="617">
        <v>-1639729.28</v>
      </c>
      <c r="N619" s="617">
        <v>-1743892.29</v>
      </c>
      <c r="O619" s="617">
        <v>-1853754.59</v>
      </c>
      <c r="P619" s="617">
        <v>-2084650.21</v>
      </c>
      <c r="Q619" s="617">
        <v>-2386646.41</v>
      </c>
      <c r="R619" s="617">
        <v>-2759274.39</v>
      </c>
      <c r="S619" s="498">
        <f t="shared" si="124"/>
        <v>-1539978.9491666667</v>
      </c>
      <c r="T619" s="620"/>
      <c r="U619" s="657"/>
      <c r="V619" s="690"/>
      <c r="W619" s="690">
        <f t="shared" si="166"/>
        <v>-1539978.9491666667</v>
      </c>
      <c r="X619" s="713"/>
      <c r="Y619" s="690"/>
      <c r="Z619" s="690"/>
      <c r="AA619" s="657"/>
      <c r="AB619" s="690"/>
      <c r="AC619" s="659">
        <f t="shared" si="167"/>
        <v>-1539978.9491666667</v>
      </c>
      <c r="AD619" s="658"/>
      <c r="AE619" s="658"/>
      <c r="AF619" s="688">
        <f t="shared" si="158"/>
        <v>0</v>
      </c>
    </row>
    <row r="620" spans="1:32">
      <c r="A620" s="620">
        <v>610</v>
      </c>
      <c r="B620" s="326" t="s">
        <v>1005</v>
      </c>
      <c r="C620" s="326" t="s">
        <v>642</v>
      </c>
      <c r="D620" s="326" t="s">
        <v>1250</v>
      </c>
      <c r="E620" s="605" t="s">
        <v>1778</v>
      </c>
      <c r="F620" s="617">
        <v>-49982.23</v>
      </c>
      <c r="G620" s="617">
        <v>0</v>
      </c>
      <c r="H620" s="617">
        <v>0</v>
      </c>
      <c r="I620" s="617">
        <v>0</v>
      </c>
      <c r="J620" s="617">
        <v>0</v>
      </c>
      <c r="K620" s="617">
        <v>0</v>
      </c>
      <c r="L620" s="617">
        <v>0</v>
      </c>
      <c r="M620" s="617">
        <v>0</v>
      </c>
      <c r="N620" s="617">
        <v>0</v>
      </c>
      <c r="O620" s="617">
        <v>0</v>
      </c>
      <c r="P620" s="617">
        <v>0</v>
      </c>
      <c r="Q620" s="617">
        <v>0</v>
      </c>
      <c r="R620" s="617">
        <v>0</v>
      </c>
      <c r="S620" s="498">
        <f t="shared" si="124"/>
        <v>-2082.592916666667</v>
      </c>
      <c r="T620" s="620"/>
      <c r="U620" s="657"/>
      <c r="V620" s="690"/>
      <c r="W620" s="690">
        <f t="shared" si="166"/>
        <v>-2082.592916666667</v>
      </c>
      <c r="X620" s="713"/>
      <c r="Y620" s="690"/>
      <c r="Z620" s="690"/>
      <c r="AA620" s="657"/>
      <c r="AB620" s="690"/>
      <c r="AC620" s="659">
        <f t="shared" si="167"/>
        <v>-2082.592916666667</v>
      </c>
      <c r="AD620" s="658"/>
      <c r="AE620" s="658"/>
      <c r="AF620" s="688">
        <f t="shared" si="158"/>
        <v>0</v>
      </c>
    </row>
    <row r="621" spans="1:32">
      <c r="A621" s="620">
        <v>611</v>
      </c>
      <c r="B621" s="326" t="s">
        <v>1005</v>
      </c>
      <c r="C621" s="326" t="s">
        <v>642</v>
      </c>
      <c r="D621" s="326" t="s">
        <v>1251</v>
      </c>
      <c r="E621" s="605" t="s">
        <v>1779</v>
      </c>
      <c r="F621" s="617">
        <v>-20625012.760000002</v>
      </c>
      <c r="G621" s="617">
        <v>-2998108.82</v>
      </c>
      <c r="H621" s="617">
        <v>-5844376.1500000004</v>
      </c>
      <c r="I621" s="617">
        <v>-9078513.3800000008</v>
      </c>
      <c r="J621" s="617">
        <v>-11278517.199999999</v>
      </c>
      <c r="K621" s="617">
        <v>-12520643.09</v>
      </c>
      <c r="L621" s="617">
        <v>-13428303.67</v>
      </c>
      <c r="M621" s="617">
        <v>-14181182.210000001</v>
      </c>
      <c r="N621" s="617">
        <v>-14852822.18</v>
      </c>
      <c r="O621" s="617">
        <v>-15499886.27</v>
      </c>
      <c r="P621" s="617">
        <v>-16707611.380000001</v>
      </c>
      <c r="Q621" s="617">
        <v>-18721945.16</v>
      </c>
      <c r="R621" s="617">
        <v>-21730220.710000001</v>
      </c>
      <c r="S621" s="498">
        <f t="shared" si="124"/>
        <v>-13024127.187083334</v>
      </c>
      <c r="T621" s="620"/>
      <c r="U621" s="657"/>
      <c r="V621" s="690"/>
      <c r="W621" s="690">
        <f t="shared" si="166"/>
        <v>-13024127.187083334</v>
      </c>
      <c r="X621" s="713"/>
      <c r="Y621" s="690"/>
      <c r="Z621" s="690"/>
      <c r="AA621" s="657"/>
      <c r="AB621" s="690"/>
      <c r="AC621" s="659">
        <f t="shared" si="167"/>
        <v>-13024127.187083334</v>
      </c>
      <c r="AD621" s="658"/>
      <c r="AE621" s="658"/>
      <c r="AF621" s="688">
        <f t="shared" si="158"/>
        <v>0</v>
      </c>
    </row>
    <row r="622" spans="1:32">
      <c r="A622" s="620">
        <v>612</v>
      </c>
      <c r="B622" s="326" t="s">
        <v>1005</v>
      </c>
      <c r="C622" s="326" t="s">
        <v>642</v>
      </c>
      <c r="D622" s="326" t="s">
        <v>1252</v>
      </c>
      <c r="E622" s="605" t="s">
        <v>1780</v>
      </c>
      <c r="F622" s="617">
        <v>340736.39</v>
      </c>
      <c r="G622" s="617">
        <v>150575.98000000001</v>
      </c>
      <c r="H622" s="617">
        <v>428972.95</v>
      </c>
      <c r="I622" s="617">
        <v>794648.35</v>
      </c>
      <c r="J622" s="617">
        <v>911301.65</v>
      </c>
      <c r="K622" s="617">
        <v>788275.79</v>
      </c>
      <c r="L622" s="617">
        <v>795241.41</v>
      </c>
      <c r="M622" s="617">
        <v>813275.91</v>
      </c>
      <c r="N622" s="617">
        <v>716590.19</v>
      </c>
      <c r="O622" s="617">
        <v>764857.29</v>
      </c>
      <c r="P622" s="617">
        <v>1000563.16</v>
      </c>
      <c r="Q622" s="617">
        <v>974203.11</v>
      </c>
      <c r="R622" s="617">
        <v>870919.73</v>
      </c>
      <c r="S622" s="498">
        <f t="shared" si="124"/>
        <v>728694.48750000016</v>
      </c>
      <c r="T622" s="620"/>
      <c r="U622" s="657"/>
      <c r="V622" s="690"/>
      <c r="W622" s="690">
        <f t="shared" si="166"/>
        <v>728694.48750000016</v>
      </c>
      <c r="X622" s="713"/>
      <c r="Y622" s="690"/>
      <c r="Z622" s="690"/>
      <c r="AA622" s="657"/>
      <c r="AB622" s="690"/>
      <c r="AC622" s="659">
        <f t="shared" si="167"/>
        <v>728694.48750000016</v>
      </c>
      <c r="AD622" s="658"/>
      <c r="AE622" s="658"/>
      <c r="AF622" s="688">
        <f t="shared" si="158"/>
        <v>0</v>
      </c>
    </row>
    <row r="623" spans="1:32">
      <c r="A623" s="620">
        <v>613</v>
      </c>
      <c r="B623" s="326" t="s">
        <v>1005</v>
      </c>
      <c r="C623" s="326" t="s">
        <v>642</v>
      </c>
      <c r="D623" s="326" t="s">
        <v>1253</v>
      </c>
      <c r="E623" s="605" t="s">
        <v>1781</v>
      </c>
      <c r="F623" s="617">
        <v>-1216.5999999999999</v>
      </c>
      <c r="G623" s="617">
        <v>0</v>
      </c>
      <c r="H623" s="617">
        <v>0</v>
      </c>
      <c r="I623" s="617">
        <v>0</v>
      </c>
      <c r="J623" s="617">
        <v>0</v>
      </c>
      <c r="K623" s="617">
        <v>-36017.35</v>
      </c>
      <c r="L623" s="617">
        <v>-36017.35</v>
      </c>
      <c r="M623" s="617">
        <v>-36017.35</v>
      </c>
      <c r="N623" s="617">
        <v>-36017.35</v>
      </c>
      <c r="O623" s="617">
        <v>-36017.35</v>
      </c>
      <c r="P623" s="617">
        <v>-36017.35</v>
      </c>
      <c r="Q623" s="617">
        <v>-36017.35</v>
      </c>
      <c r="R623" s="617">
        <v>-36017.35</v>
      </c>
      <c r="S623" s="498">
        <f t="shared" si="124"/>
        <v>-22561.535416666666</v>
      </c>
      <c r="T623" s="620"/>
      <c r="U623" s="657"/>
      <c r="V623" s="690"/>
      <c r="W623" s="690">
        <f t="shared" si="166"/>
        <v>-22561.535416666666</v>
      </c>
      <c r="X623" s="713"/>
      <c r="Y623" s="690"/>
      <c r="Z623" s="690"/>
      <c r="AA623" s="657"/>
      <c r="AB623" s="690"/>
      <c r="AC623" s="659">
        <f t="shared" si="167"/>
        <v>-22561.535416666666</v>
      </c>
      <c r="AD623" s="658"/>
      <c r="AE623" s="658"/>
      <c r="AF623" s="688">
        <f t="shared" si="158"/>
        <v>0</v>
      </c>
    </row>
    <row r="624" spans="1:32">
      <c r="A624" s="620">
        <v>614</v>
      </c>
      <c r="B624" s="326" t="s">
        <v>1005</v>
      </c>
      <c r="C624" s="326" t="s">
        <v>642</v>
      </c>
      <c r="D624" s="326" t="s">
        <v>1254</v>
      </c>
      <c r="E624" s="605" t="s">
        <v>1782</v>
      </c>
      <c r="F624" s="617">
        <v>-1293851.8600000001</v>
      </c>
      <c r="G624" s="617">
        <v>-152819.1</v>
      </c>
      <c r="H624" s="617">
        <v>-307199.43</v>
      </c>
      <c r="I624" s="617">
        <v>-462008.56</v>
      </c>
      <c r="J624" s="617">
        <v>-596551.94999999995</v>
      </c>
      <c r="K624" s="617">
        <v>-681399.05</v>
      </c>
      <c r="L624" s="617">
        <v>-747637.59</v>
      </c>
      <c r="M624" s="617">
        <v>-801380.03</v>
      </c>
      <c r="N624" s="617">
        <v>-853914.22</v>
      </c>
      <c r="O624" s="617">
        <v>-904037.6</v>
      </c>
      <c r="P624" s="617">
        <v>-959221.54</v>
      </c>
      <c r="Q624" s="617">
        <v>-1063583.5</v>
      </c>
      <c r="R624" s="617">
        <v>-1216974.53</v>
      </c>
      <c r="S624" s="498">
        <f t="shared" si="124"/>
        <v>-732097.14708333323</v>
      </c>
      <c r="T624" s="620"/>
      <c r="U624" s="657"/>
      <c r="V624" s="690"/>
      <c r="W624" s="690">
        <f t="shared" si="166"/>
        <v>-732097.14708333323</v>
      </c>
      <c r="X624" s="713"/>
      <c r="Y624" s="690"/>
      <c r="Z624" s="690"/>
      <c r="AA624" s="657"/>
      <c r="AB624" s="690"/>
      <c r="AC624" s="659">
        <f t="shared" si="167"/>
        <v>-732097.14708333323</v>
      </c>
      <c r="AD624" s="658"/>
      <c r="AE624" s="658"/>
      <c r="AF624" s="688">
        <f t="shared" si="158"/>
        <v>0</v>
      </c>
    </row>
    <row r="625" spans="1:32">
      <c r="A625" s="620">
        <v>615</v>
      </c>
      <c r="B625" s="326" t="s">
        <v>980</v>
      </c>
      <c r="C625" s="326" t="s">
        <v>642</v>
      </c>
      <c r="D625" s="326" t="s">
        <v>1247</v>
      </c>
      <c r="E625" s="605" t="s">
        <v>1775</v>
      </c>
      <c r="F625" s="617">
        <v>-112178476.55</v>
      </c>
      <c r="G625" s="617">
        <v>-15541486.24</v>
      </c>
      <c r="H625" s="617">
        <v>-32136970.350000001</v>
      </c>
      <c r="I625" s="617">
        <v>-49933517.75</v>
      </c>
      <c r="J625" s="617">
        <v>-60396406.18</v>
      </c>
      <c r="K625" s="617">
        <v>-67524724.519999996</v>
      </c>
      <c r="L625" s="617">
        <v>-71884740.939999998</v>
      </c>
      <c r="M625" s="617">
        <v>-75559977.310000002</v>
      </c>
      <c r="N625" s="617">
        <v>-78870238.109999999</v>
      </c>
      <c r="O625" s="617">
        <v>-82107883.25</v>
      </c>
      <c r="P625" s="617">
        <v>-88384702.230000004</v>
      </c>
      <c r="Q625" s="617">
        <v>-99293159.810000002</v>
      </c>
      <c r="R625" s="617">
        <v>-116095325.08</v>
      </c>
      <c r="S625" s="498">
        <f t="shared" si="124"/>
        <v>-69647558.95875001</v>
      </c>
      <c r="T625" s="620"/>
      <c r="U625" s="657"/>
      <c r="V625" s="690"/>
      <c r="W625" s="690">
        <f t="shared" si="166"/>
        <v>-69647558.95875001</v>
      </c>
      <c r="X625" s="713"/>
      <c r="Y625" s="690"/>
      <c r="Z625" s="690"/>
      <c r="AA625" s="657"/>
      <c r="AB625" s="690"/>
      <c r="AC625" s="659">
        <f t="shared" si="167"/>
        <v>-69647558.95875001</v>
      </c>
      <c r="AD625" s="658"/>
      <c r="AE625" s="658"/>
      <c r="AF625" s="688">
        <f t="shared" si="158"/>
        <v>0</v>
      </c>
    </row>
    <row r="626" spans="1:32">
      <c r="A626" s="620">
        <v>616</v>
      </c>
      <c r="B626" s="326" t="s">
        <v>980</v>
      </c>
      <c r="C626" s="326" t="s">
        <v>642</v>
      </c>
      <c r="D626" s="326" t="s">
        <v>1248</v>
      </c>
      <c r="E626" s="605" t="s">
        <v>1796</v>
      </c>
      <c r="F626" s="617">
        <v>-1439586.55</v>
      </c>
      <c r="G626" s="617">
        <v>-506033.06</v>
      </c>
      <c r="H626" s="617">
        <v>1835042.22</v>
      </c>
      <c r="I626" s="617">
        <v>2369542.04</v>
      </c>
      <c r="J626" s="617">
        <v>1868319.35</v>
      </c>
      <c r="K626" s="617">
        <v>1872488.19</v>
      </c>
      <c r="L626" s="617">
        <v>1767546.44</v>
      </c>
      <c r="M626" s="617">
        <v>1807230.59</v>
      </c>
      <c r="N626" s="617">
        <v>1634330.51</v>
      </c>
      <c r="O626" s="617">
        <v>1811732.36</v>
      </c>
      <c r="P626" s="617">
        <v>2334200.54</v>
      </c>
      <c r="Q626" s="617">
        <v>2010314.74</v>
      </c>
      <c r="R626" s="617">
        <v>1197917.97</v>
      </c>
      <c r="S626" s="498">
        <f t="shared" si="124"/>
        <v>1556989.9691666665</v>
      </c>
      <c r="T626" s="620"/>
      <c r="U626" s="657"/>
      <c r="V626" s="690"/>
      <c r="W626" s="690">
        <f t="shared" si="166"/>
        <v>1556989.9691666665</v>
      </c>
      <c r="X626" s="713"/>
      <c r="Y626" s="690"/>
      <c r="Z626" s="690"/>
      <c r="AA626" s="657"/>
      <c r="AB626" s="690"/>
      <c r="AC626" s="659">
        <f t="shared" si="167"/>
        <v>1556989.9691666665</v>
      </c>
      <c r="AD626" s="658"/>
      <c r="AE626" s="658"/>
      <c r="AF626" s="688">
        <f t="shared" si="158"/>
        <v>0</v>
      </c>
    </row>
    <row r="627" spans="1:32">
      <c r="A627" s="620">
        <v>617</v>
      </c>
      <c r="B627" s="326" t="s">
        <v>980</v>
      </c>
      <c r="C627" s="326" t="s">
        <v>642</v>
      </c>
      <c r="D627" s="326" t="s">
        <v>1441</v>
      </c>
      <c r="E627" s="605" t="s">
        <v>1797</v>
      </c>
      <c r="F627" s="617">
        <v>-2144806.7000000002</v>
      </c>
      <c r="G627" s="617">
        <v>-534993.67000000004</v>
      </c>
      <c r="H627" s="617">
        <v>-1108567.76</v>
      </c>
      <c r="I627" s="617">
        <v>-1725655.1</v>
      </c>
      <c r="J627" s="617">
        <v>-2063499.86</v>
      </c>
      <c r="K627" s="617">
        <v>-2267619.12</v>
      </c>
      <c r="L627" s="617">
        <v>-2379157.91</v>
      </c>
      <c r="M627" s="617">
        <v>-2467884.13</v>
      </c>
      <c r="N627" s="617">
        <v>-2544422.75</v>
      </c>
      <c r="O627" s="617">
        <v>-2618677.42</v>
      </c>
      <c r="P627" s="617">
        <v>-2794060.89</v>
      </c>
      <c r="Q627" s="617">
        <v>-3109450.8</v>
      </c>
      <c r="R627" s="617">
        <v>-3574036.83</v>
      </c>
      <c r="S627" s="498">
        <f t="shared" si="124"/>
        <v>-2206117.5979166669</v>
      </c>
      <c r="T627" s="620"/>
      <c r="U627" s="657"/>
      <c r="V627" s="690"/>
      <c r="W627" s="690">
        <f t="shared" si="166"/>
        <v>-2206117.5979166669</v>
      </c>
      <c r="X627" s="713"/>
      <c r="Y627" s="690"/>
      <c r="Z627" s="690"/>
      <c r="AA627" s="657"/>
      <c r="AB627" s="690"/>
      <c r="AC627" s="659">
        <f t="shared" si="167"/>
        <v>-2206117.5979166669</v>
      </c>
      <c r="AD627" s="658"/>
      <c r="AE627" s="658"/>
      <c r="AF627" s="688">
        <f t="shared" si="158"/>
        <v>0</v>
      </c>
    </row>
    <row r="628" spans="1:32">
      <c r="A628" s="620">
        <v>618</v>
      </c>
      <c r="B628" s="326" t="s">
        <v>980</v>
      </c>
      <c r="C628" s="326" t="s">
        <v>642</v>
      </c>
      <c r="D628" s="326" t="s">
        <v>1249</v>
      </c>
      <c r="E628" s="605" t="s">
        <v>1777</v>
      </c>
      <c r="F628" s="617">
        <v>-10628565.26</v>
      </c>
      <c r="G628" s="617">
        <v>-1081894.3999999999</v>
      </c>
      <c r="H628" s="617">
        <v>-2267572.48</v>
      </c>
      <c r="I628" s="617">
        <v>-3572928.08</v>
      </c>
      <c r="J628" s="617">
        <v>-4628405.24</v>
      </c>
      <c r="K628" s="617">
        <v>-5366548.62</v>
      </c>
      <c r="L628" s="617">
        <v>-5964647.4900000002</v>
      </c>
      <c r="M628" s="617">
        <v>-6555623.9800000004</v>
      </c>
      <c r="N628" s="617">
        <v>-7188459.2300000004</v>
      </c>
      <c r="O628" s="617">
        <v>-7853023.2599999998</v>
      </c>
      <c r="P628" s="617">
        <v>-8992963.1699999999</v>
      </c>
      <c r="Q628" s="617">
        <v>-10154584.33</v>
      </c>
      <c r="R628" s="617">
        <v>-11495619.82</v>
      </c>
      <c r="S628" s="498">
        <f t="shared" si="124"/>
        <v>-6224061.9016666664</v>
      </c>
      <c r="T628" s="620"/>
      <c r="U628" s="657"/>
      <c r="V628" s="690"/>
      <c r="W628" s="690">
        <f t="shared" si="166"/>
        <v>-6224061.9016666664</v>
      </c>
      <c r="X628" s="713"/>
      <c r="Y628" s="690"/>
      <c r="Z628" s="690"/>
      <c r="AA628" s="657"/>
      <c r="AB628" s="690"/>
      <c r="AC628" s="659">
        <f t="shared" si="167"/>
        <v>-6224061.9016666664</v>
      </c>
      <c r="AD628" s="658"/>
      <c r="AE628" s="658"/>
      <c r="AF628" s="688">
        <f t="shared" si="158"/>
        <v>0</v>
      </c>
    </row>
    <row r="629" spans="1:32">
      <c r="A629" s="620">
        <v>619</v>
      </c>
      <c r="B629" s="326" t="s">
        <v>980</v>
      </c>
      <c r="C629" s="326" t="s">
        <v>642</v>
      </c>
      <c r="D629" s="326" t="s">
        <v>1255</v>
      </c>
      <c r="E629" s="605" t="s">
        <v>1798</v>
      </c>
      <c r="F629" s="617">
        <v>247687.63</v>
      </c>
      <c r="G629" s="617">
        <v>-11142.35</v>
      </c>
      <c r="H629" s="617">
        <v>42139.87</v>
      </c>
      <c r="I629" s="617">
        <v>130678.66</v>
      </c>
      <c r="J629" s="617">
        <v>213184</v>
      </c>
      <c r="K629" s="617">
        <v>254248.99</v>
      </c>
      <c r="L629" s="617">
        <v>271105.64</v>
      </c>
      <c r="M629" s="617">
        <v>304993.3</v>
      </c>
      <c r="N629" s="617">
        <v>338004.12</v>
      </c>
      <c r="O629" s="617">
        <v>359234.39</v>
      </c>
      <c r="P629" s="617">
        <v>410269.92</v>
      </c>
      <c r="Q629" s="617">
        <v>469226.13</v>
      </c>
      <c r="R629" s="617">
        <v>489197.46</v>
      </c>
      <c r="S629" s="498">
        <f t="shared" si="124"/>
        <v>262532.10125000001</v>
      </c>
      <c r="T629" s="620"/>
      <c r="U629" s="657"/>
      <c r="V629" s="690"/>
      <c r="W629" s="690">
        <f t="shared" si="166"/>
        <v>262532.10125000001</v>
      </c>
      <c r="X629" s="713"/>
      <c r="Y629" s="690"/>
      <c r="Z629" s="690"/>
      <c r="AA629" s="657"/>
      <c r="AB629" s="690"/>
      <c r="AC629" s="659">
        <f t="shared" si="167"/>
        <v>262532.10125000001</v>
      </c>
      <c r="AD629" s="658"/>
      <c r="AE629" s="658"/>
      <c r="AF629" s="688">
        <f t="shared" si="158"/>
        <v>0</v>
      </c>
    </row>
    <row r="630" spans="1:32">
      <c r="A630" s="620">
        <v>620</v>
      </c>
      <c r="B630" s="326" t="s">
        <v>980</v>
      </c>
      <c r="C630" s="326" t="s">
        <v>642</v>
      </c>
      <c r="D630" s="326" t="s">
        <v>1442</v>
      </c>
      <c r="E630" s="605" t="s">
        <v>1799</v>
      </c>
      <c r="F630" s="617">
        <v>-241595.26</v>
      </c>
      <c r="G630" s="617">
        <v>-48598.97</v>
      </c>
      <c r="H630" s="617">
        <v>-102084.88</v>
      </c>
      <c r="I630" s="617">
        <v>-160996.44</v>
      </c>
      <c r="J630" s="617">
        <v>-206998.02</v>
      </c>
      <c r="K630" s="617">
        <v>-236122.8</v>
      </c>
      <c r="L630" s="617">
        <v>-259644.24</v>
      </c>
      <c r="M630" s="617">
        <v>-283118.45</v>
      </c>
      <c r="N630" s="617">
        <v>-308323.61</v>
      </c>
      <c r="O630" s="617">
        <v>-334833.71999999997</v>
      </c>
      <c r="P630" s="617">
        <v>-381311.17</v>
      </c>
      <c r="Q630" s="617">
        <v>-425847.36</v>
      </c>
      <c r="R630" s="617">
        <v>-473018.25</v>
      </c>
      <c r="S630" s="498">
        <f t="shared" si="124"/>
        <v>-258765.53458333333</v>
      </c>
      <c r="T630" s="620"/>
      <c r="U630" s="657"/>
      <c r="V630" s="690"/>
      <c r="W630" s="690">
        <f t="shared" si="166"/>
        <v>-258765.53458333333</v>
      </c>
      <c r="X630" s="713"/>
      <c r="Y630" s="690"/>
      <c r="Z630" s="690"/>
      <c r="AA630" s="657"/>
      <c r="AB630" s="690"/>
      <c r="AC630" s="659">
        <f t="shared" si="167"/>
        <v>-258765.53458333333</v>
      </c>
      <c r="AD630" s="658"/>
      <c r="AE630" s="658"/>
      <c r="AF630" s="688">
        <f t="shared" si="158"/>
        <v>0</v>
      </c>
    </row>
    <row r="631" spans="1:32">
      <c r="A631" s="620">
        <v>621</v>
      </c>
      <c r="B631" s="326" t="s">
        <v>980</v>
      </c>
      <c r="C631" s="326" t="s">
        <v>642</v>
      </c>
      <c r="D631" s="326" t="s">
        <v>1250</v>
      </c>
      <c r="E631" s="605" t="s">
        <v>1778</v>
      </c>
      <c r="F631" s="617">
        <v>-29548.43</v>
      </c>
      <c r="G631" s="617">
        <v>0</v>
      </c>
      <c r="H631" s="617">
        <v>0</v>
      </c>
      <c r="I631" s="617">
        <v>0</v>
      </c>
      <c r="J631" s="617">
        <v>0</v>
      </c>
      <c r="K631" s="617">
        <v>0</v>
      </c>
      <c r="L631" s="617">
        <v>0</v>
      </c>
      <c r="M631" s="617">
        <v>0</v>
      </c>
      <c r="N631" s="617">
        <v>0</v>
      </c>
      <c r="O631" s="617">
        <v>0</v>
      </c>
      <c r="P631" s="617">
        <v>0</v>
      </c>
      <c r="Q631" s="617">
        <v>0</v>
      </c>
      <c r="R631" s="617">
        <v>0</v>
      </c>
      <c r="S631" s="498">
        <f t="shared" si="124"/>
        <v>-1231.1845833333334</v>
      </c>
      <c r="T631" s="620"/>
      <c r="U631" s="657"/>
      <c r="V631" s="690"/>
      <c r="W631" s="690">
        <f t="shared" si="166"/>
        <v>-1231.1845833333334</v>
      </c>
      <c r="X631" s="713"/>
      <c r="Y631" s="690"/>
      <c r="Z631" s="690"/>
      <c r="AA631" s="657"/>
      <c r="AB631" s="690"/>
      <c r="AC631" s="659">
        <f t="shared" si="167"/>
        <v>-1231.1845833333334</v>
      </c>
      <c r="AD631" s="658"/>
      <c r="AE631" s="658"/>
      <c r="AF631" s="688">
        <f t="shared" si="158"/>
        <v>0</v>
      </c>
    </row>
    <row r="632" spans="1:32">
      <c r="A632" s="620">
        <v>622</v>
      </c>
      <c r="B632" s="326" t="s">
        <v>980</v>
      </c>
      <c r="C632" s="326" t="s">
        <v>642</v>
      </c>
      <c r="D632" s="326" t="s">
        <v>1251</v>
      </c>
      <c r="E632" s="605" t="s">
        <v>1779</v>
      </c>
      <c r="F632" s="617">
        <v>-79180712.310000002</v>
      </c>
      <c r="G632" s="617">
        <v>-10499037.24</v>
      </c>
      <c r="H632" s="617">
        <v>-21640694.600000001</v>
      </c>
      <c r="I632" s="617">
        <v>-34241316.68</v>
      </c>
      <c r="J632" s="617">
        <v>-41849021.350000001</v>
      </c>
      <c r="K632" s="617">
        <v>-46892253.909999996</v>
      </c>
      <c r="L632" s="617">
        <v>-50312050.200000003</v>
      </c>
      <c r="M632" s="617">
        <v>-53358566.310000002</v>
      </c>
      <c r="N632" s="617">
        <v>-56188948</v>
      </c>
      <c r="O632" s="617">
        <v>-58893899.530000001</v>
      </c>
      <c r="P632" s="617">
        <v>-63590306.25</v>
      </c>
      <c r="Q632" s="617">
        <v>-71795380.379999995</v>
      </c>
      <c r="R632" s="617">
        <v>-84231132.900000006</v>
      </c>
      <c r="S632" s="498">
        <f t="shared" si="124"/>
        <v>-49247283.087916672</v>
      </c>
      <c r="T632" s="620"/>
      <c r="U632" s="657"/>
      <c r="V632" s="690"/>
      <c r="W632" s="690">
        <f t="shared" si="166"/>
        <v>-49247283.087916672</v>
      </c>
      <c r="X632" s="713"/>
      <c r="Y632" s="690"/>
      <c r="Z632" s="690"/>
      <c r="AA632" s="657"/>
      <c r="AB632" s="690"/>
      <c r="AC632" s="659">
        <f t="shared" si="167"/>
        <v>-49247283.087916672</v>
      </c>
      <c r="AD632" s="658"/>
      <c r="AE632" s="658"/>
      <c r="AF632" s="688">
        <f t="shared" si="158"/>
        <v>0</v>
      </c>
    </row>
    <row r="633" spans="1:32">
      <c r="A633" s="620">
        <v>623</v>
      </c>
      <c r="B633" s="326" t="s">
        <v>980</v>
      </c>
      <c r="C633" s="326" t="s">
        <v>642</v>
      </c>
      <c r="D633" s="326" t="s">
        <v>1252</v>
      </c>
      <c r="E633" s="605" t="s">
        <v>1800</v>
      </c>
      <c r="F633" s="617">
        <v>188923.97</v>
      </c>
      <c r="G633" s="617">
        <v>-320152.02</v>
      </c>
      <c r="H633" s="617">
        <v>1037055.3</v>
      </c>
      <c r="I633" s="617">
        <v>1816330.28</v>
      </c>
      <c r="J633" s="617">
        <v>1826263.37</v>
      </c>
      <c r="K633" s="617">
        <v>1837282.8</v>
      </c>
      <c r="L633" s="617">
        <v>1883799.34</v>
      </c>
      <c r="M633" s="617">
        <v>1981656.98</v>
      </c>
      <c r="N633" s="617">
        <v>1850432.57</v>
      </c>
      <c r="O633" s="617">
        <v>1996705.13</v>
      </c>
      <c r="P633" s="617">
        <v>2378792.92</v>
      </c>
      <c r="Q633" s="617">
        <v>2798208.6</v>
      </c>
      <c r="R633" s="617">
        <v>2558275.73</v>
      </c>
      <c r="S633" s="498">
        <f t="shared" si="124"/>
        <v>1704997.9266666668</v>
      </c>
      <c r="T633" s="620"/>
      <c r="U633" s="657"/>
      <c r="V633" s="690"/>
      <c r="W633" s="690">
        <f t="shared" si="166"/>
        <v>1704997.9266666668</v>
      </c>
      <c r="X633" s="713"/>
      <c r="Y633" s="690"/>
      <c r="Z633" s="690"/>
      <c r="AA633" s="657"/>
      <c r="AB633" s="690"/>
      <c r="AC633" s="659">
        <f t="shared" si="167"/>
        <v>1704997.9266666668</v>
      </c>
      <c r="AD633" s="658"/>
      <c r="AE633" s="658"/>
      <c r="AF633" s="688">
        <f t="shared" si="158"/>
        <v>0</v>
      </c>
    </row>
    <row r="634" spans="1:32">
      <c r="A634" s="620">
        <v>624</v>
      </c>
      <c r="B634" s="326" t="s">
        <v>980</v>
      </c>
      <c r="C634" s="326" t="s">
        <v>642</v>
      </c>
      <c r="D634" s="326" t="s">
        <v>1443</v>
      </c>
      <c r="E634" s="605" t="s">
        <v>1801</v>
      </c>
      <c r="F634" s="617">
        <v>-1689706.2</v>
      </c>
      <c r="G634" s="617">
        <v>-402091.06</v>
      </c>
      <c r="H634" s="617">
        <v>-829567.37</v>
      </c>
      <c r="I634" s="617">
        <v>-1314201.75</v>
      </c>
      <c r="J634" s="617">
        <v>-1593120.94</v>
      </c>
      <c r="K634" s="617">
        <v>-1760151.94</v>
      </c>
      <c r="L634" s="617">
        <v>-1868839.88</v>
      </c>
      <c r="M634" s="617">
        <v>-1964165.18</v>
      </c>
      <c r="N634" s="617">
        <v>-2052119.74</v>
      </c>
      <c r="O634" s="617">
        <v>-2135304.36</v>
      </c>
      <c r="P634" s="617">
        <v>-2287736.65</v>
      </c>
      <c r="Q634" s="617">
        <v>-2567636.0299999998</v>
      </c>
      <c r="R634" s="617">
        <v>-2955922.48</v>
      </c>
      <c r="S634" s="498">
        <f t="shared" si="124"/>
        <v>-1758145.7699999998</v>
      </c>
      <c r="T634" s="620"/>
      <c r="U634" s="657"/>
      <c r="V634" s="690"/>
      <c r="W634" s="690">
        <f t="shared" si="166"/>
        <v>-1758145.7699999998</v>
      </c>
      <c r="X634" s="713"/>
      <c r="Y634" s="690"/>
      <c r="Z634" s="690"/>
      <c r="AA634" s="657"/>
      <c r="AB634" s="690"/>
      <c r="AC634" s="659">
        <f t="shared" si="167"/>
        <v>-1758145.7699999998</v>
      </c>
      <c r="AD634" s="658"/>
      <c r="AE634" s="658"/>
      <c r="AF634" s="688">
        <f t="shared" si="158"/>
        <v>0</v>
      </c>
    </row>
    <row r="635" spans="1:32">
      <c r="A635" s="620">
        <v>625</v>
      </c>
      <c r="B635" s="326" t="s">
        <v>980</v>
      </c>
      <c r="C635" s="326" t="s">
        <v>642</v>
      </c>
      <c r="D635" s="326" t="s">
        <v>1253</v>
      </c>
      <c r="E635" s="605" t="s">
        <v>1781</v>
      </c>
      <c r="F635" s="617">
        <v>-54452.09</v>
      </c>
      <c r="G635" s="617">
        <v>-3344.32</v>
      </c>
      <c r="H635" s="617">
        <v>-7503.29</v>
      </c>
      <c r="I635" s="617">
        <v>-10068.129999999999</v>
      </c>
      <c r="J635" s="617">
        <v>-10068.129999999999</v>
      </c>
      <c r="K635" s="617">
        <v>-10068.129999999999</v>
      </c>
      <c r="L635" s="617">
        <v>-12828.35</v>
      </c>
      <c r="M635" s="617">
        <v>-12828.35</v>
      </c>
      <c r="N635" s="617">
        <v>-18661.25</v>
      </c>
      <c r="O635" s="617">
        <v>-18661.25</v>
      </c>
      <c r="P635" s="617">
        <v>-47642.78</v>
      </c>
      <c r="Q635" s="617">
        <v>-47642.78</v>
      </c>
      <c r="R635" s="617">
        <v>-51429.03</v>
      </c>
      <c r="S635" s="498">
        <f t="shared" si="124"/>
        <v>-21021.443333333333</v>
      </c>
      <c r="T635" s="620"/>
      <c r="U635" s="657"/>
      <c r="V635" s="690"/>
      <c r="W635" s="690">
        <f t="shared" si="166"/>
        <v>-21021.443333333333</v>
      </c>
      <c r="X635" s="713"/>
      <c r="Y635" s="690"/>
      <c r="Z635" s="690"/>
      <c r="AA635" s="657"/>
      <c r="AB635" s="690"/>
      <c r="AC635" s="659">
        <f t="shared" si="167"/>
        <v>-21021.443333333333</v>
      </c>
      <c r="AD635" s="658"/>
      <c r="AE635" s="658"/>
      <c r="AF635" s="688">
        <f t="shared" si="158"/>
        <v>0</v>
      </c>
    </row>
    <row r="636" spans="1:32">
      <c r="A636" s="620">
        <v>626</v>
      </c>
      <c r="B636" s="326" t="s">
        <v>980</v>
      </c>
      <c r="C636" s="326" t="s">
        <v>642</v>
      </c>
      <c r="D636" s="326" t="s">
        <v>1256</v>
      </c>
      <c r="E636" s="605" t="s">
        <v>1802</v>
      </c>
      <c r="F636" s="617">
        <v>-2345.14</v>
      </c>
      <c r="G636" s="617">
        <v>-107.98</v>
      </c>
      <c r="H636" s="617">
        <v>-172.24</v>
      </c>
      <c r="I636" s="617">
        <v>-232.24</v>
      </c>
      <c r="J636" s="617">
        <v>-291.83</v>
      </c>
      <c r="K636" s="617">
        <v>-438.9</v>
      </c>
      <c r="L636" s="617">
        <v>-602.17999999999995</v>
      </c>
      <c r="M636" s="617">
        <v>-661.66</v>
      </c>
      <c r="N636" s="617">
        <v>-833.15</v>
      </c>
      <c r="O636" s="617">
        <v>-891.83</v>
      </c>
      <c r="P636" s="617">
        <v>-1231.9100000000001</v>
      </c>
      <c r="Q636" s="617">
        <v>-1511.6</v>
      </c>
      <c r="R636" s="617">
        <v>-1933.11</v>
      </c>
      <c r="S636" s="498">
        <f t="shared" si="124"/>
        <v>-759.55375000000004</v>
      </c>
      <c r="T636" s="620"/>
      <c r="U636" s="657"/>
      <c r="V636" s="690"/>
      <c r="W636" s="690">
        <f t="shared" si="166"/>
        <v>-759.55375000000004</v>
      </c>
      <c r="X636" s="713"/>
      <c r="Y636" s="690"/>
      <c r="Z636" s="690"/>
      <c r="AA636" s="657"/>
      <c r="AB636" s="690"/>
      <c r="AC636" s="659">
        <f t="shared" si="167"/>
        <v>-759.55375000000004</v>
      </c>
      <c r="AD636" s="658"/>
      <c r="AE636" s="658"/>
      <c r="AF636" s="688">
        <f t="shared" si="158"/>
        <v>0</v>
      </c>
    </row>
    <row r="637" spans="1:32">
      <c r="A637" s="620">
        <v>627</v>
      </c>
      <c r="B637" s="326" t="s">
        <v>980</v>
      </c>
      <c r="C637" s="326" t="s">
        <v>642</v>
      </c>
      <c r="D637" s="326" t="s">
        <v>1257</v>
      </c>
      <c r="E637" s="605" t="s">
        <v>1803</v>
      </c>
      <c r="F637" s="617">
        <v>-3467.93</v>
      </c>
      <c r="G637" s="617">
        <v>-496.98</v>
      </c>
      <c r="H637" s="617">
        <v>-920.1</v>
      </c>
      <c r="I637" s="617">
        <v>-1318</v>
      </c>
      <c r="J637" s="617">
        <v>-1584.26</v>
      </c>
      <c r="K637" s="617">
        <v>-1767.52</v>
      </c>
      <c r="L637" s="617">
        <v>-1957.05</v>
      </c>
      <c r="M637" s="617">
        <v>-2080.4499999999998</v>
      </c>
      <c r="N637" s="617">
        <v>-2241.88</v>
      </c>
      <c r="O637" s="617">
        <v>-2378.21</v>
      </c>
      <c r="P637" s="617">
        <v>-2752.26</v>
      </c>
      <c r="Q637" s="617">
        <v>-2972.64</v>
      </c>
      <c r="R637" s="617">
        <v>-3356.48</v>
      </c>
      <c r="S637" s="498">
        <f t="shared" si="124"/>
        <v>-1990.1295833333334</v>
      </c>
      <c r="T637" s="620"/>
      <c r="U637" s="657"/>
      <c r="V637" s="690"/>
      <c r="W637" s="690">
        <f t="shared" si="166"/>
        <v>-1990.1295833333334</v>
      </c>
      <c r="X637" s="713"/>
      <c r="Y637" s="690"/>
      <c r="Z637" s="690"/>
      <c r="AA637" s="657"/>
      <c r="AB637" s="690"/>
      <c r="AC637" s="659">
        <f t="shared" si="167"/>
        <v>-1990.1295833333334</v>
      </c>
      <c r="AD637" s="658"/>
      <c r="AE637" s="658"/>
      <c r="AF637" s="688">
        <f t="shared" si="158"/>
        <v>0</v>
      </c>
    </row>
    <row r="638" spans="1:32">
      <c r="A638" s="620">
        <v>628</v>
      </c>
      <c r="B638" s="620" t="s">
        <v>980</v>
      </c>
      <c r="C638" s="326" t="s">
        <v>642</v>
      </c>
      <c r="D638" s="326" t="s">
        <v>1444</v>
      </c>
      <c r="E638" s="605" t="s">
        <v>1804</v>
      </c>
      <c r="F638" s="617">
        <v>-35.46</v>
      </c>
      <c r="G638" s="617">
        <v>-2.1800000000000002</v>
      </c>
      <c r="H638" s="617">
        <v>-2.37</v>
      </c>
      <c r="I638" s="617">
        <v>-2.37</v>
      </c>
      <c r="J638" s="617">
        <v>-2.37</v>
      </c>
      <c r="K638" s="617">
        <v>-5.9</v>
      </c>
      <c r="L638" s="617">
        <v>-10.06</v>
      </c>
      <c r="M638" s="617">
        <v>-10.06</v>
      </c>
      <c r="N638" s="617">
        <v>-14.55</v>
      </c>
      <c r="O638" s="617">
        <v>-14.55</v>
      </c>
      <c r="P638" s="617">
        <v>-25.87</v>
      </c>
      <c r="Q638" s="617">
        <v>-34.6</v>
      </c>
      <c r="R638" s="617">
        <v>-47.51</v>
      </c>
      <c r="S638" s="498">
        <f t="shared" si="124"/>
        <v>-13.863750000000001</v>
      </c>
      <c r="T638" s="620"/>
      <c r="U638" s="657"/>
      <c r="V638" s="690"/>
      <c r="W638" s="690">
        <f t="shared" si="166"/>
        <v>-13.863750000000001</v>
      </c>
      <c r="X638" s="713"/>
      <c r="Y638" s="690"/>
      <c r="Z638" s="690"/>
      <c r="AA638" s="657"/>
      <c r="AB638" s="690"/>
      <c r="AC638" s="659">
        <f t="shared" si="167"/>
        <v>-13.863750000000001</v>
      </c>
      <c r="AD638" s="658"/>
      <c r="AE638" s="658"/>
      <c r="AF638" s="688">
        <f t="shared" si="158"/>
        <v>0</v>
      </c>
    </row>
    <row r="639" spans="1:32">
      <c r="A639" s="620">
        <v>629</v>
      </c>
      <c r="B639" s="620" t="s">
        <v>980</v>
      </c>
      <c r="C639" s="326" t="s">
        <v>642</v>
      </c>
      <c r="D639" s="326" t="s">
        <v>1258</v>
      </c>
      <c r="E639" s="605" t="s">
        <v>1805</v>
      </c>
      <c r="F639" s="617">
        <v>-3266.14</v>
      </c>
      <c r="G639" s="617">
        <v>0</v>
      </c>
      <c r="H639" s="617">
        <v>0</v>
      </c>
      <c r="I639" s="617">
        <v>0</v>
      </c>
      <c r="J639" s="617">
        <v>0</v>
      </c>
      <c r="K639" s="617">
        <v>0</v>
      </c>
      <c r="L639" s="617">
        <v>0</v>
      </c>
      <c r="M639" s="617">
        <v>0</v>
      </c>
      <c r="N639" s="617">
        <v>0</v>
      </c>
      <c r="O639" s="617">
        <v>0</v>
      </c>
      <c r="P639" s="617">
        <v>0</v>
      </c>
      <c r="Q639" s="617">
        <v>0</v>
      </c>
      <c r="R639" s="617">
        <v>0</v>
      </c>
      <c r="S639" s="498">
        <f t="shared" si="124"/>
        <v>-136.08916666666667</v>
      </c>
      <c r="T639" s="620"/>
      <c r="U639" s="657"/>
      <c r="V639" s="690"/>
      <c r="W639" s="690">
        <f t="shared" si="166"/>
        <v>-136.08916666666667</v>
      </c>
      <c r="X639" s="713"/>
      <c r="Y639" s="690"/>
      <c r="Z639" s="690"/>
      <c r="AA639" s="657"/>
      <c r="AB639" s="690"/>
      <c r="AC639" s="659">
        <f t="shared" si="167"/>
        <v>-136.08916666666667</v>
      </c>
      <c r="AD639" s="658"/>
      <c r="AE639" s="658"/>
      <c r="AF639" s="688">
        <f t="shared" si="158"/>
        <v>0</v>
      </c>
    </row>
    <row r="640" spans="1:32">
      <c r="A640" s="620">
        <v>630</v>
      </c>
      <c r="B640" s="620" t="s">
        <v>980</v>
      </c>
      <c r="C640" s="326" t="s">
        <v>642</v>
      </c>
      <c r="D640" s="326" t="s">
        <v>1254</v>
      </c>
      <c r="E640" s="605" t="s">
        <v>1782</v>
      </c>
      <c r="F640" s="617">
        <v>-1213225.9099999999</v>
      </c>
      <c r="G640" s="617">
        <v>-124207.65</v>
      </c>
      <c r="H640" s="617">
        <v>-247565.82</v>
      </c>
      <c r="I640" s="617">
        <v>-376285.15</v>
      </c>
      <c r="J640" s="617">
        <v>-495128.44</v>
      </c>
      <c r="K640" s="617">
        <v>-602311.25</v>
      </c>
      <c r="L640" s="617">
        <v>-682926.34</v>
      </c>
      <c r="M640" s="617">
        <v>-746372.73</v>
      </c>
      <c r="N640" s="617">
        <v>-816340.67</v>
      </c>
      <c r="O640" s="617">
        <v>-870684.71</v>
      </c>
      <c r="P640" s="617">
        <v>-933734.32</v>
      </c>
      <c r="Q640" s="617">
        <v>-1061766.92</v>
      </c>
      <c r="R640" s="617">
        <v>-1202440.45</v>
      </c>
      <c r="S640" s="498">
        <f t="shared" si="124"/>
        <v>-680429.76500000001</v>
      </c>
      <c r="T640" s="620"/>
      <c r="U640" s="657"/>
      <c r="V640" s="690"/>
      <c r="W640" s="690">
        <f t="shared" si="166"/>
        <v>-680429.76500000001</v>
      </c>
      <c r="X640" s="713"/>
      <c r="Y640" s="690"/>
      <c r="Z640" s="690"/>
      <c r="AA640" s="657"/>
      <c r="AB640" s="690"/>
      <c r="AC640" s="659">
        <f t="shared" si="167"/>
        <v>-680429.76500000001</v>
      </c>
      <c r="AD640" s="658"/>
      <c r="AE640" s="658"/>
      <c r="AF640" s="688">
        <f t="shared" si="158"/>
        <v>0</v>
      </c>
    </row>
    <row r="641" spans="1:32">
      <c r="A641" s="620">
        <v>631</v>
      </c>
      <c r="B641" s="326" t="s">
        <v>980</v>
      </c>
      <c r="C641" s="326" t="s">
        <v>642</v>
      </c>
      <c r="D641" s="326" t="s">
        <v>1259</v>
      </c>
      <c r="E641" s="605" t="s">
        <v>1806</v>
      </c>
      <c r="F641" s="617">
        <v>-37768.239999999998</v>
      </c>
      <c r="G641" s="617">
        <v>-6134.82</v>
      </c>
      <c r="H641" s="617">
        <v>-12012.5</v>
      </c>
      <c r="I641" s="617">
        <v>-13324.49</v>
      </c>
      <c r="J641" s="617">
        <v>-16701.689999999999</v>
      </c>
      <c r="K641" s="617">
        <v>-18129.04</v>
      </c>
      <c r="L641" s="617">
        <v>-19178.830000000002</v>
      </c>
      <c r="M641" s="617">
        <v>-18400.28</v>
      </c>
      <c r="N641" s="617">
        <v>-20825.009999999998</v>
      </c>
      <c r="O641" s="617">
        <v>-19444.53</v>
      </c>
      <c r="P641" s="617">
        <v>-36753.32</v>
      </c>
      <c r="Q641" s="617">
        <v>-18014.23</v>
      </c>
      <c r="R641" s="617">
        <v>-20059.57</v>
      </c>
      <c r="S641" s="498">
        <f t="shared" si="124"/>
        <v>-18986.053750000003</v>
      </c>
      <c r="T641" s="620"/>
      <c r="U641" s="657"/>
      <c r="V641" s="690"/>
      <c r="W641" s="690">
        <f t="shared" si="166"/>
        <v>-18986.053750000003</v>
      </c>
      <c r="X641" s="713"/>
      <c r="Y641" s="690"/>
      <c r="Z641" s="690"/>
      <c r="AA641" s="657"/>
      <c r="AB641" s="690"/>
      <c r="AC641" s="659">
        <f t="shared" si="167"/>
        <v>-18986.053750000003</v>
      </c>
      <c r="AD641" s="658"/>
      <c r="AE641" s="658"/>
      <c r="AF641" s="688">
        <f t="shared" si="158"/>
        <v>0</v>
      </c>
    </row>
    <row r="642" spans="1:32">
      <c r="A642" s="620">
        <v>632</v>
      </c>
      <c r="B642" s="326" t="s">
        <v>980</v>
      </c>
      <c r="C642" s="326" t="s">
        <v>642</v>
      </c>
      <c r="D642" s="326" t="s">
        <v>1445</v>
      </c>
      <c r="E642" s="605" t="s">
        <v>1807</v>
      </c>
      <c r="F642" s="617">
        <v>-33021.06</v>
      </c>
      <c r="G642" s="617">
        <v>-7173.67</v>
      </c>
      <c r="H642" s="617">
        <v>-14301.33</v>
      </c>
      <c r="I642" s="617">
        <v>-21742.2</v>
      </c>
      <c r="J642" s="617">
        <v>-28576.12</v>
      </c>
      <c r="K642" s="617">
        <v>-33849.120000000003</v>
      </c>
      <c r="L642" s="617">
        <v>-37766.85</v>
      </c>
      <c r="M642" s="617">
        <v>-40823.43</v>
      </c>
      <c r="N642" s="617">
        <v>-44129.01</v>
      </c>
      <c r="O642" s="617">
        <v>-46707.47</v>
      </c>
      <c r="P642" s="617">
        <v>-49776.58</v>
      </c>
      <c r="Q642" s="617">
        <v>-56188.43</v>
      </c>
      <c r="R642" s="617">
        <v>-62243.55</v>
      </c>
      <c r="S642" s="498">
        <f t="shared" si="124"/>
        <v>-35722.209583333337</v>
      </c>
      <c r="T642" s="620"/>
      <c r="U642" s="657"/>
      <c r="V642" s="690"/>
      <c r="W642" s="690">
        <f t="shared" si="166"/>
        <v>-35722.209583333337</v>
      </c>
      <c r="X642" s="713"/>
      <c r="Y642" s="690"/>
      <c r="Z642" s="690"/>
      <c r="AA642" s="657"/>
      <c r="AB642" s="690"/>
      <c r="AC642" s="659">
        <f t="shared" si="167"/>
        <v>-35722.209583333337</v>
      </c>
      <c r="AD642" s="658"/>
      <c r="AE642" s="658"/>
      <c r="AF642" s="688">
        <f t="shared" si="158"/>
        <v>0</v>
      </c>
    </row>
    <row r="643" spans="1:32">
      <c r="A643" s="620">
        <v>633</v>
      </c>
      <c r="B643" s="326" t="s">
        <v>1005</v>
      </c>
      <c r="C643" s="326" t="s">
        <v>643</v>
      </c>
      <c r="D643" s="326" t="s">
        <v>1247</v>
      </c>
      <c r="E643" s="605" t="s">
        <v>1783</v>
      </c>
      <c r="F643" s="617">
        <v>999034.86</v>
      </c>
      <c r="G643" s="617">
        <v>-62177.74</v>
      </c>
      <c r="H643" s="617">
        <v>-410981.96</v>
      </c>
      <c r="I643" s="617">
        <v>998030.61</v>
      </c>
      <c r="J643" s="617">
        <v>1978429.15</v>
      </c>
      <c r="K643" s="617">
        <v>2907179.96</v>
      </c>
      <c r="L643" s="617">
        <v>3123756.83</v>
      </c>
      <c r="M643" s="617">
        <v>3282263.93</v>
      </c>
      <c r="N643" s="617">
        <v>3538652.94</v>
      </c>
      <c r="O643" s="617">
        <v>3142494.99</v>
      </c>
      <c r="P643" s="617">
        <v>1649019.22</v>
      </c>
      <c r="Q643" s="617">
        <v>586257.81000000006</v>
      </c>
      <c r="R643" s="617">
        <v>64063.2600000003</v>
      </c>
      <c r="S643" s="498">
        <f t="shared" si="124"/>
        <v>1772039.5666666664</v>
      </c>
      <c r="T643" s="620"/>
      <c r="U643" s="657"/>
      <c r="V643" s="690"/>
      <c r="W643" s="690">
        <f t="shared" si="166"/>
        <v>1772039.5666666664</v>
      </c>
      <c r="X643" s="713"/>
      <c r="Y643" s="690"/>
      <c r="Z643" s="690"/>
      <c r="AA643" s="657"/>
      <c r="AB643" s="690"/>
      <c r="AC643" s="659">
        <f t="shared" si="167"/>
        <v>1772039.5666666664</v>
      </c>
      <c r="AD643" s="658"/>
      <c r="AE643" s="658"/>
      <c r="AF643" s="688">
        <f t="shared" si="158"/>
        <v>0</v>
      </c>
    </row>
    <row r="644" spans="1:32">
      <c r="A644" s="620">
        <v>634</v>
      </c>
      <c r="B644" s="326" t="s">
        <v>1005</v>
      </c>
      <c r="C644" s="326" t="s">
        <v>643</v>
      </c>
      <c r="D644" s="326" t="s">
        <v>1251</v>
      </c>
      <c r="E644" s="605" t="s">
        <v>1784</v>
      </c>
      <c r="F644" s="617">
        <v>550202.9</v>
      </c>
      <c r="G644" s="617">
        <v>24382.080000000002</v>
      </c>
      <c r="H644" s="617">
        <v>-220380.4</v>
      </c>
      <c r="I644" s="617">
        <v>555464.92000000004</v>
      </c>
      <c r="J644" s="617">
        <v>1141879.06</v>
      </c>
      <c r="K644" s="617">
        <v>1624968</v>
      </c>
      <c r="L644" s="617">
        <v>1723115.26</v>
      </c>
      <c r="M644" s="617">
        <v>1750801.68</v>
      </c>
      <c r="N644" s="617">
        <v>1927594.36</v>
      </c>
      <c r="O644" s="617">
        <v>1631275.81</v>
      </c>
      <c r="P644" s="617">
        <v>761588.56</v>
      </c>
      <c r="Q644" s="617">
        <v>-1162.87000000023</v>
      </c>
      <c r="R644" s="617">
        <v>-116275.02</v>
      </c>
      <c r="S644" s="498">
        <f t="shared" si="124"/>
        <v>928040.86666666658</v>
      </c>
      <c r="T644" s="620"/>
      <c r="U644" s="657"/>
      <c r="V644" s="690"/>
      <c r="W644" s="690">
        <f t="shared" si="166"/>
        <v>928040.86666666658</v>
      </c>
      <c r="X644" s="713"/>
      <c r="Y644" s="690"/>
      <c r="Z644" s="690"/>
      <c r="AA644" s="657"/>
      <c r="AB644" s="690"/>
      <c r="AC644" s="659">
        <f t="shared" si="167"/>
        <v>928040.86666666658</v>
      </c>
      <c r="AD644" s="658"/>
      <c r="AE644" s="658"/>
      <c r="AF644" s="688">
        <f t="shared" si="158"/>
        <v>0</v>
      </c>
    </row>
    <row r="645" spans="1:32">
      <c r="A645" s="620">
        <v>635</v>
      </c>
      <c r="B645" s="620" t="s">
        <v>1005</v>
      </c>
      <c r="C645" s="326" t="s">
        <v>643</v>
      </c>
      <c r="D645" s="326" t="s">
        <v>1254</v>
      </c>
      <c r="E645" s="605" t="s">
        <v>1785</v>
      </c>
      <c r="F645" s="617">
        <v>47343.45</v>
      </c>
      <c r="G645" s="617">
        <v>-1561.66</v>
      </c>
      <c r="H645" s="617">
        <v>-1964.01</v>
      </c>
      <c r="I645" s="617">
        <v>18406.63</v>
      </c>
      <c r="J645" s="617">
        <v>68118.36</v>
      </c>
      <c r="K645" s="617">
        <v>86737.25</v>
      </c>
      <c r="L645" s="617">
        <v>99234.39</v>
      </c>
      <c r="M645" s="617">
        <v>100444.61</v>
      </c>
      <c r="N645" s="617">
        <v>102851.18</v>
      </c>
      <c r="O645" s="617">
        <v>97749.4</v>
      </c>
      <c r="P645" s="617">
        <v>48261.72</v>
      </c>
      <c r="Q645" s="617">
        <v>-850.15999999998905</v>
      </c>
      <c r="R645" s="617">
        <v>-32783.61</v>
      </c>
      <c r="S645" s="498">
        <f t="shared" si="124"/>
        <v>52058.969166666669</v>
      </c>
      <c r="T645" s="620"/>
      <c r="U645" s="657"/>
      <c r="V645" s="690"/>
      <c r="W645" s="690">
        <f t="shared" si="166"/>
        <v>52058.969166666669</v>
      </c>
      <c r="X645" s="713"/>
      <c r="Y645" s="690"/>
      <c r="Z645" s="690"/>
      <c r="AA645" s="657"/>
      <c r="AB645" s="690"/>
      <c r="AC645" s="659">
        <f t="shared" si="167"/>
        <v>52058.969166666669</v>
      </c>
      <c r="AD645" s="658"/>
      <c r="AE645" s="658"/>
      <c r="AF645" s="688">
        <f t="shared" si="158"/>
        <v>0</v>
      </c>
    </row>
    <row r="646" spans="1:32">
      <c r="A646" s="620">
        <v>636</v>
      </c>
      <c r="B646" s="620" t="s">
        <v>980</v>
      </c>
      <c r="C646" s="326" t="s">
        <v>643</v>
      </c>
      <c r="D646" s="326" t="s">
        <v>1247</v>
      </c>
      <c r="E646" s="605" t="s">
        <v>1783</v>
      </c>
      <c r="F646" s="617">
        <v>3374622.68</v>
      </c>
      <c r="G646" s="617">
        <v>-1344.14</v>
      </c>
      <c r="H646" s="617">
        <v>-2463980.2999999998</v>
      </c>
      <c r="I646" s="617">
        <v>1886464.21</v>
      </c>
      <c r="J646" s="617">
        <v>5241236.08</v>
      </c>
      <c r="K646" s="617">
        <v>7130166.5199999996</v>
      </c>
      <c r="L646" s="617">
        <v>8034036.7699999996</v>
      </c>
      <c r="M646" s="617">
        <v>8135627.71</v>
      </c>
      <c r="N646" s="617">
        <v>8892139.3300000001</v>
      </c>
      <c r="O646" s="617">
        <v>7631615.7800000003</v>
      </c>
      <c r="P646" s="617">
        <v>3903787.65</v>
      </c>
      <c r="Q646" s="617">
        <v>-192516.25</v>
      </c>
      <c r="R646" s="617">
        <v>-2017201.21</v>
      </c>
      <c r="S646" s="498">
        <f t="shared" si="124"/>
        <v>4072995.3412500001</v>
      </c>
      <c r="T646" s="620"/>
      <c r="U646" s="657"/>
      <c r="V646" s="690"/>
      <c r="W646" s="690">
        <f t="shared" si="166"/>
        <v>4072995.3412500001</v>
      </c>
      <c r="X646" s="713"/>
      <c r="Y646" s="690"/>
      <c r="Z646" s="690"/>
      <c r="AA646" s="657"/>
      <c r="AB646" s="690"/>
      <c r="AC646" s="659">
        <f t="shared" si="167"/>
        <v>4072995.3412500001</v>
      </c>
      <c r="AD646" s="658"/>
      <c r="AE646" s="658"/>
      <c r="AF646" s="688">
        <f t="shared" si="158"/>
        <v>0</v>
      </c>
    </row>
    <row r="647" spans="1:32">
      <c r="A647" s="620">
        <v>637</v>
      </c>
      <c r="B647" s="326" t="s">
        <v>980</v>
      </c>
      <c r="C647" s="326" t="s">
        <v>643</v>
      </c>
      <c r="D647" s="326" t="s">
        <v>1251</v>
      </c>
      <c r="E647" s="605" t="s">
        <v>1784</v>
      </c>
      <c r="F647" s="617">
        <v>2090238.1</v>
      </c>
      <c r="G647" s="617">
        <v>16964.689999999999</v>
      </c>
      <c r="H647" s="617">
        <v>-1611473.73</v>
      </c>
      <c r="I647" s="617">
        <v>1033586.64</v>
      </c>
      <c r="J647" s="617">
        <v>3241911.49</v>
      </c>
      <c r="K647" s="617">
        <v>4721962.2</v>
      </c>
      <c r="L647" s="617">
        <v>5158958.49</v>
      </c>
      <c r="M647" s="617">
        <v>5096312.51</v>
      </c>
      <c r="N647" s="617">
        <v>5782423.8700000001</v>
      </c>
      <c r="O647" s="617">
        <v>4516556.3499999996</v>
      </c>
      <c r="P647" s="617">
        <v>1282667.2</v>
      </c>
      <c r="Q647" s="617">
        <v>-2415264.3199999998</v>
      </c>
      <c r="R647" s="617">
        <v>-3501522.79</v>
      </c>
      <c r="S647" s="498">
        <f t="shared" si="124"/>
        <v>2176580.2537499997</v>
      </c>
      <c r="T647" s="620"/>
      <c r="U647" s="657"/>
      <c r="V647" s="690"/>
      <c r="W647" s="690">
        <f t="shared" si="166"/>
        <v>2176580.2537499997</v>
      </c>
      <c r="X647" s="713"/>
      <c r="Y647" s="690"/>
      <c r="Z647" s="690"/>
      <c r="AA647" s="657"/>
      <c r="AB647" s="690"/>
      <c r="AC647" s="659">
        <f t="shared" si="167"/>
        <v>2176580.2537499997</v>
      </c>
      <c r="AD647" s="658"/>
      <c r="AE647" s="658"/>
      <c r="AF647" s="688">
        <f t="shared" si="158"/>
        <v>0</v>
      </c>
    </row>
    <row r="648" spans="1:32">
      <c r="A648" s="620">
        <v>638</v>
      </c>
      <c r="B648" s="326" t="s">
        <v>980</v>
      </c>
      <c r="C648" s="326" t="s">
        <v>643</v>
      </c>
      <c r="D648" s="326" t="s">
        <v>1256</v>
      </c>
      <c r="E648" s="605" t="s">
        <v>1808</v>
      </c>
      <c r="F648" s="617">
        <v>237.33</v>
      </c>
      <c r="G648" s="617">
        <v>45.73</v>
      </c>
      <c r="H648" s="617">
        <v>50.18</v>
      </c>
      <c r="I648" s="617">
        <v>50.18</v>
      </c>
      <c r="J648" s="617">
        <v>-40.89</v>
      </c>
      <c r="K648" s="617">
        <v>-57.24</v>
      </c>
      <c r="L648" s="617">
        <v>50.18</v>
      </c>
      <c r="M648" s="617">
        <v>-65.78</v>
      </c>
      <c r="N648" s="617">
        <v>50.18</v>
      </c>
      <c r="O648" s="617">
        <v>-242.21</v>
      </c>
      <c r="P648" s="617">
        <v>-175.34</v>
      </c>
      <c r="Q648" s="617">
        <v>-322.68</v>
      </c>
      <c r="R648" s="617">
        <v>-148.01</v>
      </c>
      <c r="S648" s="498">
        <f t="shared" si="124"/>
        <v>-51.085833333333341</v>
      </c>
      <c r="T648" s="620"/>
      <c r="U648" s="657"/>
      <c r="V648" s="690"/>
      <c r="W648" s="690">
        <f t="shared" si="166"/>
        <v>-51.085833333333341</v>
      </c>
      <c r="X648" s="713"/>
      <c r="Y648" s="690"/>
      <c r="Z648" s="690"/>
      <c r="AA648" s="657"/>
      <c r="AB648" s="690"/>
      <c r="AC648" s="659">
        <f t="shared" si="167"/>
        <v>-51.085833333333341</v>
      </c>
      <c r="AD648" s="658"/>
      <c r="AE648" s="658"/>
      <c r="AF648" s="688">
        <f t="shared" si="158"/>
        <v>0</v>
      </c>
    </row>
    <row r="649" spans="1:32">
      <c r="A649" s="620">
        <v>639</v>
      </c>
      <c r="B649" s="326" t="s">
        <v>980</v>
      </c>
      <c r="C649" s="326" t="s">
        <v>643</v>
      </c>
      <c r="D649" s="326" t="s">
        <v>1254</v>
      </c>
      <c r="E649" s="605" t="s">
        <v>1785</v>
      </c>
      <c r="F649" s="617">
        <v>13073.21</v>
      </c>
      <c r="G649" s="617">
        <v>810.06</v>
      </c>
      <c r="H649" s="617">
        <v>-4698.57</v>
      </c>
      <c r="I649" s="617">
        <v>6377.51</v>
      </c>
      <c r="J649" s="617">
        <v>19799.46</v>
      </c>
      <c r="K649" s="617">
        <v>47956.29</v>
      </c>
      <c r="L649" s="617">
        <v>65917.63</v>
      </c>
      <c r="M649" s="617">
        <v>59345.55</v>
      </c>
      <c r="N649" s="617">
        <v>75562.240000000005</v>
      </c>
      <c r="O649" s="617">
        <v>65454.82</v>
      </c>
      <c r="P649" s="617">
        <v>-5508.2399999999898</v>
      </c>
      <c r="Q649" s="617">
        <v>-18245.77</v>
      </c>
      <c r="R649" s="617">
        <v>-33675.279999999999</v>
      </c>
      <c r="S649" s="498">
        <f t="shared" si="124"/>
        <v>25205.828750000001</v>
      </c>
      <c r="T649" s="620"/>
      <c r="U649" s="657"/>
      <c r="V649" s="690"/>
      <c r="W649" s="690">
        <f t="shared" si="166"/>
        <v>25205.828750000001</v>
      </c>
      <c r="X649" s="713"/>
      <c r="Y649" s="690"/>
      <c r="Z649" s="690"/>
      <c r="AA649" s="657"/>
      <c r="AB649" s="690"/>
      <c r="AC649" s="659">
        <f t="shared" si="167"/>
        <v>25205.828750000001</v>
      </c>
      <c r="AD649" s="658"/>
      <c r="AE649" s="658"/>
      <c r="AF649" s="688">
        <f t="shared" si="158"/>
        <v>0</v>
      </c>
    </row>
    <row r="650" spans="1:32">
      <c r="A650" s="620">
        <v>640</v>
      </c>
      <c r="B650" s="326" t="s">
        <v>980</v>
      </c>
      <c r="C650" s="326" t="s">
        <v>643</v>
      </c>
      <c r="D650" s="326" t="s">
        <v>1441</v>
      </c>
      <c r="E650" s="605" t="s">
        <v>1956</v>
      </c>
      <c r="F650" s="617">
        <v>0</v>
      </c>
      <c r="G650" s="617">
        <v>0</v>
      </c>
      <c r="H650" s="617">
        <v>-90871.42</v>
      </c>
      <c r="I650" s="617">
        <v>69660.240000000005</v>
      </c>
      <c r="J650" s="617">
        <v>209531.44</v>
      </c>
      <c r="K650" s="617">
        <v>272514.12</v>
      </c>
      <c r="L650" s="617">
        <v>302651.90000000002</v>
      </c>
      <c r="M650" s="617">
        <v>306039.25</v>
      </c>
      <c r="N650" s="617">
        <v>331263.64</v>
      </c>
      <c r="O650" s="617">
        <v>289233.96000000002</v>
      </c>
      <c r="P650" s="617">
        <v>164936.84</v>
      </c>
      <c r="Q650" s="617">
        <v>66133.98</v>
      </c>
      <c r="R650" s="617">
        <v>12218.77</v>
      </c>
      <c r="S650" s="498">
        <f t="shared" si="124"/>
        <v>160600.27791666667</v>
      </c>
      <c r="T650" s="620"/>
      <c r="U650" s="657"/>
      <c r="V650" s="690"/>
      <c r="W650" s="690">
        <f t="shared" si="166"/>
        <v>160600.27791666667</v>
      </c>
      <c r="X650" s="713"/>
      <c r="Y650" s="690"/>
      <c r="Z650" s="690"/>
      <c r="AA650" s="657"/>
      <c r="AB650" s="690"/>
      <c r="AC650" s="659">
        <f t="shared" si="167"/>
        <v>160600.27791666667</v>
      </c>
      <c r="AD650" s="658"/>
      <c r="AE650" s="658"/>
      <c r="AF650" s="688"/>
    </row>
    <row r="651" spans="1:32">
      <c r="A651" s="620">
        <v>641</v>
      </c>
      <c r="B651" s="326" t="s">
        <v>980</v>
      </c>
      <c r="C651" s="326" t="s">
        <v>643</v>
      </c>
      <c r="D651" s="326" t="s">
        <v>1443</v>
      </c>
      <c r="E651" s="605" t="s">
        <v>1957</v>
      </c>
      <c r="F651" s="617">
        <v>0</v>
      </c>
      <c r="G651" s="617">
        <v>1085.6300000000001</v>
      </c>
      <c r="H651" s="617">
        <v>-64218.29</v>
      </c>
      <c r="I651" s="617">
        <v>42371.89</v>
      </c>
      <c r="J651" s="617">
        <v>145269.76000000001</v>
      </c>
      <c r="K651" s="617">
        <v>198404.65</v>
      </c>
      <c r="L651" s="617">
        <v>214108.72</v>
      </c>
      <c r="M651" s="617">
        <v>211886.52</v>
      </c>
      <c r="N651" s="617">
        <v>236651.49</v>
      </c>
      <c r="O651" s="617">
        <v>190966.21</v>
      </c>
      <c r="P651" s="617">
        <v>100995.93</v>
      </c>
      <c r="Q651" s="617">
        <v>9639.0699999999597</v>
      </c>
      <c r="R651" s="617">
        <v>-20097.54</v>
      </c>
      <c r="S651" s="498">
        <f t="shared" si="124"/>
        <v>106426.0675</v>
      </c>
      <c r="T651" s="620"/>
      <c r="U651" s="657"/>
      <c r="V651" s="690"/>
      <c r="W651" s="690">
        <f t="shared" si="166"/>
        <v>106426.0675</v>
      </c>
      <c r="X651" s="713"/>
      <c r="Y651" s="690"/>
      <c r="Z651" s="690"/>
      <c r="AA651" s="657"/>
      <c r="AB651" s="690"/>
      <c r="AC651" s="659">
        <f t="shared" si="167"/>
        <v>106426.0675</v>
      </c>
      <c r="AD651" s="658"/>
      <c r="AE651" s="658"/>
      <c r="AF651" s="688"/>
    </row>
    <row r="652" spans="1:32">
      <c r="A652" s="620">
        <v>642</v>
      </c>
      <c r="B652" s="326" t="s">
        <v>1005</v>
      </c>
      <c r="C652" s="326" t="s">
        <v>644</v>
      </c>
      <c r="D652" s="326" t="s">
        <v>1260</v>
      </c>
      <c r="E652" s="605" t="s">
        <v>1786</v>
      </c>
      <c r="F652" s="617">
        <v>-140982.17000000001</v>
      </c>
      <c r="G652" s="617">
        <v>-12256.15</v>
      </c>
      <c r="H652" s="617">
        <v>-26549.47</v>
      </c>
      <c r="I652" s="617">
        <v>-44603.13</v>
      </c>
      <c r="J652" s="617">
        <v>-66606.009999999995</v>
      </c>
      <c r="K652" s="617">
        <v>-86272.63</v>
      </c>
      <c r="L652" s="617">
        <v>-100734.47</v>
      </c>
      <c r="M652" s="617">
        <v>-110497.17</v>
      </c>
      <c r="N652" s="617">
        <v>-119149.39</v>
      </c>
      <c r="O652" s="617">
        <v>-127065.43</v>
      </c>
      <c r="P652" s="617">
        <v>-137027.87</v>
      </c>
      <c r="Q652" s="617">
        <v>-145581.19</v>
      </c>
      <c r="R652" s="617">
        <v>-159699.38</v>
      </c>
      <c r="S652" s="498">
        <f t="shared" si="124"/>
        <v>-93890.307083333333</v>
      </c>
      <c r="T652" s="620"/>
      <c r="U652" s="657"/>
      <c r="V652" s="690"/>
      <c r="W652" s="690">
        <f t="shared" si="166"/>
        <v>-93890.307083333333</v>
      </c>
      <c r="X652" s="713"/>
      <c r="Y652" s="690"/>
      <c r="Z652" s="690"/>
      <c r="AA652" s="657"/>
      <c r="AB652" s="690"/>
      <c r="AC652" s="659">
        <f t="shared" si="167"/>
        <v>-93890.307083333333</v>
      </c>
      <c r="AD652" s="658"/>
      <c r="AE652" s="658"/>
      <c r="AF652" s="688">
        <f t="shared" si="158"/>
        <v>0</v>
      </c>
    </row>
    <row r="653" spans="1:32">
      <c r="A653" s="620">
        <v>643</v>
      </c>
      <c r="B653" s="620" t="s">
        <v>1005</v>
      </c>
      <c r="C653" s="326" t="s">
        <v>644</v>
      </c>
      <c r="D653" s="326" t="s">
        <v>1261</v>
      </c>
      <c r="E653" s="605" t="s">
        <v>1787</v>
      </c>
      <c r="F653" s="617">
        <v>-5487.69</v>
      </c>
      <c r="G653" s="617">
        <v>0</v>
      </c>
      <c r="H653" s="617">
        <v>0</v>
      </c>
      <c r="I653" s="617">
        <v>0</v>
      </c>
      <c r="J653" s="617">
        <v>0</v>
      </c>
      <c r="K653" s="617">
        <v>0</v>
      </c>
      <c r="L653" s="617">
        <v>3080</v>
      </c>
      <c r="M653" s="617">
        <v>2286.1</v>
      </c>
      <c r="N653" s="617">
        <v>-456.34</v>
      </c>
      <c r="O653" s="617">
        <v>-3649.39</v>
      </c>
      <c r="P653" s="617">
        <v>-3649.39</v>
      </c>
      <c r="Q653" s="617">
        <v>-4734.2</v>
      </c>
      <c r="R653" s="617">
        <v>-10284.31</v>
      </c>
      <c r="S653" s="498">
        <f t="shared" si="124"/>
        <v>-1250.7683333333332</v>
      </c>
      <c r="T653" s="620"/>
      <c r="U653" s="657"/>
      <c r="V653" s="690"/>
      <c r="W653" s="690">
        <f t="shared" si="166"/>
        <v>-1250.7683333333332</v>
      </c>
      <c r="X653" s="713"/>
      <c r="Y653" s="690"/>
      <c r="Z653" s="690"/>
      <c r="AA653" s="657"/>
      <c r="AB653" s="690"/>
      <c r="AC653" s="659">
        <f t="shared" si="167"/>
        <v>-1250.7683333333332</v>
      </c>
      <c r="AD653" s="658"/>
      <c r="AE653" s="658"/>
      <c r="AF653" s="688">
        <f t="shared" si="158"/>
        <v>0</v>
      </c>
    </row>
    <row r="654" spans="1:32">
      <c r="A654" s="620">
        <v>644</v>
      </c>
      <c r="B654" s="620" t="s">
        <v>980</v>
      </c>
      <c r="C654" s="326" t="s">
        <v>644</v>
      </c>
      <c r="D654" s="326" t="s">
        <v>1266</v>
      </c>
      <c r="E654" s="605" t="s">
        <v>1809</v>
      </c>
      <c r="F654" s="617">
        <v>-11067.2</v>
      </c>
      <c r="G654" s="617">
        <v>0</v>
      </c>
      <c r="H654" s="617">
        <v>2041.34</v>
      </c>
      <c r="I654" s="617">
        <v>2041.34</v>
      </c>
      <c r="J654" s="617">
        <v>2041.34</v>
      </c>
      <c r="K654" s="617">
        <v>2041.34</v>
      </c>
      <c r="L654" s="617">
        <v>2041.34</v>
      </c>
      <c r="M654" s="617">
        <v>1388.54</v>
      </c>
      <c r="N654" s="617">
        <v>-1338.06</v>
      </c>
      <c r="O654" s="617">
        <v>-1338.06</v>
      </c>
      <c r="P654" s="617">
        <v>-5098.68</v>
      </c>
      <c r="Q654" s="617">
        <v>-5098.68</v>
      </c>
      <c r="R654" s="617">
        <v>-6738.68</v>
      </c>
      <c r="S654" s="498">
        <f t="shared" si="124"/>
        <v>-848.43166666666684</v>
      </c>
      <c r="T654" s="620"/>
      <c r="U654" s="657"/>
      <c r="V654" s="690"/>
      <c r="W654" s="690">
        <f t="shared" si="166"/>
        <v>-848.43166666666684</v>
      </c>
      <c r="X654" s="713"/>
      <c r="Y654" s="690"/>
      <c r="Z654" s="690"/>
      <c r="AA654" s="657"/>
      <c r="AB654" s="690"/>
      <c r="AC654" s="659">
        <f t="shared" si="167"/>
        <v>-848.43166666666684</v>
      </c>
      <c r="AD654" s="658"/>
      <c r="AE654" s="658"/>
      <c r="AF654" s="688">
        <f t="shared" si="158"/>
        <v>0</v>
      </c>
    </row>
    <row r="655" spans="1:32">
      <c r="A655" s="620">
        <v>645</v>
      </c>
      <c r="B655" s="326" t="s">
        <v>980</v>
      </c>
      <c r="C655" s="326" t="s">
        <v>644</v>
      </c>
      <c r="D655" s="326" t="s">
        <v>1262</v>
      </c>
      <c r="E655" s="605" t="s">
        <v>1810</v>
      </c>
      <c r="F655" s="617">
        <v>-658.89</v>
      </c>
      <c r="G655" s="617">
        <v>0</v>
      </c>
      <c r="H655" s="617">
        <v>0</v>
      </c>
      <c r="I655" s="617">
        <v>0</v>
      </c>
      <c r="J655" s="617">
        <v>0</v>
      </c>
      <c r="K655" s="617">
        <v>0</v>
      </c>
      <c r="L655" s="617">
        <v>0</v>
      </c>
      <c r="M655" s="617">
        <v>0</v>
      </c>
      <c r="N655" s="617">
        <v>0</v>
      </c>
      <c r="O655" s="617">
        <v>0</v>
      </c>
      <c r="P655" s="617">
        <v>0</v>
      </c>
      <c r="Q655" s="617">
        <v>0</v>
      </c>
      <c r="R655" s="617">
        <v>0</v>
      </c>
      <c r="S655" s="498">
        <f t="shared" si="124"/>
        <v>-27.453749999999999</v>
      </c>
      <c r="T655" s="620"/>
      <c r="U655" s="657"/>
      <c r="V655" s="690"/>
      <c r="W655" s="690">
        <f t="shared" si="166"/>
        <v>-27.453749999999999</v>
      </c>
      <c r="X655" s="713"/>
      <c r="Y655" s="690"/>
      <c r="Z655" s="690"/>
      <c r="AA655" s="657"/>
      <c r="AB655" s="690"/>
      <c r="AC655" s="659">
        <f t="shared" si="167"/>
        <v>-27.453749999999999</v>
      </c>
      <c r="AD655" s="658"/>
      <c r="AE655" s="658"/>
      <c r="AF655" s="688">
        <f t="shared" si="158"/>
        <v>0</v>
      </c>
    </row>
    <row r="656" spans="1:32">
      <c r="A656" s="620">
        <v>646</v>
      </c>
      <c r="B656" s="326" t="s">
        <v>980</v>
      </c>
      <c r="C656" s="326" t="s">
        <v>644</v>
      </c>
      <c r="D656" s="326" t="s">
        <v>1260</v>
      </c>
      <c r="E656" s="605" t="s">
        <v>1786</v>
      </c>
      <c r="F656" s="617">
        <v>-686266.72</v>
      </c>
      <c r="G656" s="617">
        <v>-66421.89</v>
      </c>
      <c r="H656" s="617">
        <v>-129116</v>
      </c>
      <c r="I656" s="617">
        <v>-199295.82</v>
      </c>
      <c r="J656" s="617">
        <v>-259174.85</v>
      </c>
      <c r="K656" s="617">
        <v>-305446.2</v>
      </c>
      <c r="L656" s="617">
        <v>-343104.03</v>
      </c>
      <c r="M656" s="617">
        <v>-371966.42</v>
      </c>
      <c r="N656" s="617">
        <v>-398405.15</v>
      </c>
      <c r="O656" s="617">
        <v>-421188.39</v>
      </c>
      <c r="P656" s="617">
        <v>-453639.51</v>
      </c>
      <c r="Q656" s="617">
        <v>-482862.39</v>
      </c>
      <c r="R656" s="617">
        <v>-521426.68</v>
      </c>
      <c r="S656" s="498">
        <f t="shared" si="124"/>
        <v>-336205.61249999999</v>
      </c>
      <c r="T656" s="620"/>
      <c r="U656" s="657"/>
      <c r="V656" s="690"/>
      <c r="W656" s="690">
        <f t="shared" si="166"/>
        <v>-336205.61249999999</v>
      </c>
      <c r="X656" s="713"/>
      <c r="Y656" s="690"/>
      <c r="Z656" s="690"/>
      <c r="AA656" s="657"/>
      <c r="AB656" s="690"/>
      <c r="AC656" s="659">
        <f t="shared" si="167"/>
        <v>-336205.61249999999</v>
      </c>
      <c r="AD656" s="658"/>
      <c r="AE656" s="658"/>
      <c r="AF656" s="688">
        <f t="shared" si="158"/>
        <v>0</v>
      </c>
    </row>
    <row r="657" spans="1:32">
      <c r="A657" s="620">
        <v>647</v>
      </c>
      <c r="B657" s="326" t="s">
        <v>980</v>
      </c>
      <c r="C657" s="326" t="s">
        <v>644</v>
      </c>
      <c r="D657" s="326" t="s">
        <v>1261</v>
      </c>
      <c r="E657" s="605" t="s">
        <v>1811</v>
      </c>
      <c r="F657" s="617">
        <v>-80723.89</v>
      </c>
      <c r="G657" s="617">
        <v>0</v>
      </c>
      <c r="H657" s="617">
        <v>46008.06</v>
      </c>
      <c r="I657" s="617">
        <v>46228.06</v>
      </c>
      <c r="J657" s="617">
        <v>37914.300000000003</v>
      </c>
      <c r="K657" s="617">
        <v>37914.300000000003</v>
      </c>
      <c r="L657" s="617">
        <v>35449.1</v>
      </c>
      <c r="M657" s="617">
        <v>31109.47</v>
      </c>
      <c r="N657" s="617">
        <v>26315.14</v>
      </c>
      <c r="O657" s="617">
        <v>19593.03</v>
      </c>
      <c r="P657" s="617">
        <v>18050.29</v>
      </c>
      <c r="Q657" s="617">
        <v>5211.08</v>
      </c>
      <c r="R657" s="617">
        <v>495.599999999999</v>
      </c>
      <c r="S657" s="498">
        <f t="shared" si="124"/>
        <v>21973.223749999994</v>
      </c>
      <c r="T657" s="620"/>
      <c r="U657" s="657"/>
      <c r="V657" s="690"/>
      <c r="W657" s="690">
        <f t="shared" si="166"/>
        <v>21973.223749999994</v>
      </c>
      <c r="X657" s="713"/>
      <c r="Y657" s="690"/>
      <c r="Z657" s="690"/>
      <c r="AA657" s="657"/>
      <c r="AB657" s="690"/>
      <c r="AC657" s="659">
        <f t="shared" si="167"/>
        <v>21973.223749999994</v>
      </c>
      <c r="AD657" s="658"/>
      <c r="AE657" s="658"/>
      <c r="AF657" s="688">
        <f t="shared" ref="AF657:AF697" si="168">+U657+V657-AD657</f>
        <v>0</v>
      </c>
    </row>
    <row r="658" spans="1:32">
      <c r="A658" s="620">
        <v>648</v>
      </c>
      <c r="B658" s="620" t="s">
        <v>1005</v>
      </c>
      <c r="C658" s="326" t="s">
        <v>134</v>
      </c>
      <c r="D658" s="326" t="s">
        <v>1263</v>
      </c>
      <c r="E658" s="605" t="s">
        <v>1788</v>
      </c>
      <c r="F658" s="617">
        <v>-2711571.86</v>
      </c>
      <c r="G658" s="617">
        <v>-215774.49</v>
      </c>
      <c r="H658" s="617">
        <v>-452141.57</v>
      </c>
      <c r="I658" s="617">
        <v>-671307.46</v>
      </c>
      <c r="J658" s="617">
        <v>-910733.06</v>
      </c>
      <c r="K658" s="617">
        <v>-1144418.47</v>
      </c>
      <c r="L658" s="617">
        <v>-1403989.25</v>
      </c>
      <c r="M658" s="617">
        <v>-1659926.97</v>
      </c>
      <c r="N658" s="617">
        <v>-1907514.43</v>
      </c>
      <c r="O658" s="617">
        <v>-2158251.5699999998</v>
      </c>
      <c r="P658" s="617">
        <v>-2420963.89</v>
      </c>
      <c r="Q658" s="617">
        <v>-2698038.52</v>
      </c>
      <c r="R658" s="617">
        <v>-2947273.72</v>
      </c>
      <c r="S658" s="498">
        <f t="shared" si="124"/>
        <v>-1539373.5391666666</v>
      </c>
      <c r="T658" s="620"/>
      <c r="U658" s="657"/>
      <c r="V658" s="690"/>
      <c r="W658" s="690">
        <f t="shared" si="166"/>
        <v>-1539373.5391666666</v>
      </c>
      <c r="X658" s="713"/>
      <c r="Y658" s="690"/>
      <c r="Z658" s="690"/>
      <c r="AA658" s="657"/>
      <c r="AB658" s="690"/>
      <c r="AC658" s="659">
        <f t="shared" si="167"/>
        <v>-1539373.5391666666</v>
      </c>
      <c r="AD658" s="658"/>
      <c r="AE658" s="658"/>
      <c r="AF658" s="688">
        <f t="shared" si="168"/>
        <v>0</v>
      </c>
    </row>
    <row r="659" spans="1:32">
      <c r="A659" s="620">
        <v>649</v>
      </c>
      <c r="B659" s="326" t="s">
        <v>1005</v>
      </c>
      <c r="C659" s="326" t="s">
        <v>134</v>
      </c>
      <c r="D659" s="326" t="s">
        <v>1264</v>
      </c>
      <c r="E659" s="605" t="s">
        <v>1789</v>
      </c>
      <c r="F659" s="617">
        <v>-1423332.79</v>
      </c>
      <c r="G659" s="617">
        <v>-131375.94</v>
      </c>
      <c r="H659" s="617">
        <v>-253228.69</v>
      </c>
      <c r="I659" s="617">
        <v>-380246.18</v>
      </c>
      <c r="J659" s="617">
        <v>-499898.83</v>
      </c>
      <c r="K659" s="617">
        <v>-605392.73</v>
      </c>
      <c r="L659" s="617">
        <v>-706020.67</v>
      </c>
      <c r="M659" s="617">
        <v>-815772.71</v>
      </c>
      <c r="N659" s="617">
        <v>-943469.65</v>
      </c>
      <c r="O659" s="617">
        <v>-1071780.99</v>
      </c>
      <c r="P659" s="617">
        <v>-1197426.67</v>
      </c>
      <c r="Q659" s="617">
        <v>-1326083.8</v>
      </c>
      <c r="R659" s="617">
        <v>-1453712.59</v>
      </c>
      <c r="S659" s="498">
        <f t="shared" si="124"/>
        <v>-780768.2958333334</v>
      </c>
      <c r="T659" s="620"/>
      <c r="U659" s="657"/>
      <c r="V659" s="690"/>
      <c r="W659" s="690">
        <f t="shared" si="166"/>
        <v>-780768.2958333334</v>
      </c>
      <c r="X659" s="713"/>
      <c r="Y659" s="690"/>
      <c r="Z659" s="690"/>
      <c r="AA659" s="657"/>
      <c r="AB659" s="690"/>
      <c r="AC659" s="659">
        <f t="shared" si="167"/>
        <v>-780768.2958333334</v>
      </c>
      <c r="AD659" s="658"/>
      <c r="AE659" s="658"/>
      <c r="AF659" s="688">
        <f t="shared" si="168"/>
        <v>0</v>
      </c>
    </row>
    <row r="660" spans="1:32">
      <c r="A660" s="620">
        <v>650</v>
      </c>
      <c r="B660" s="326" t="s">
        <v>980</v>
      </c>
      <c r="C660" s="326" t="s">
        <v>134</v>
      </c>
      <c r="D660" s="326" t="s">
        <v>1263</v>
      </c>
      <c r="E660" s="605" t="s">
        <v>1788</v>
      </c>
      <c r="F660" s="617">
        <v>-15401260.67</v>
      </c>
      <c r="G660" s="617">
        <v>-1278826.8999999999</v>
      </c>
      <c r="H660" s="617">
        <v>-2638578.7200000002</v>
      </c>
      <c r="I660" s="617">
        <v>-3976110.09</v>
      </c>
      <c r="J660" s="617">
        <v>-5294653.7300000004</v>
      </c>
      <c r="K660" s="617">
        <v>-6560503.7400000002</v>
      </c>
      <c r="L660" s="617">
        <v>-7808074.6100000003</v>
      </c>
      <c r="M660" s="617">
        <v>-9039951.9299999997</v>
      </c>
      <c r="N660" s="617">
        <v>-10249959.119999999</v>
      </c>
      <c r="O660" s="617">
        <v>-11486160.49</v>
      </c>
      <c r="P660" s="617">
        <v>-12814088.75</v>
      </c>
      <c r="Q660" s="617">
        <v>-14180347.17</v>
      </c>
      <c r="R660" s="617">
        <v>-15481019.82</v>
      </c>
      <c r="S660" s="498">
        <f t="shared" si="124"/>
        <v>-8397366.2912499998</v>
      </c>
      <c r="T660" s="620"/>
      <c r="U660" s="657"/>
      <c r="V660" s="690"/>
      <c r="W660" s="690">
        <f t="shared" si="166"/>
        <v>-8397366.2912499998</v>
      </c>
      <c r="X660" s="713"/>
      <c r="Y660" s="690"/>
      <c r="Z660" s="690"/>
      <c r="AA660" s="657"/>
      <c r="AB660" s="690"/>
      <c r="AC660" s="659">
        <f t="shared" si="167"/>
        <v>-8397366.2912499998</v>
      </c>
      <c r="AD660" s="658"/>
      <c r="AE660" s="658"/>
      <c r="AF660" s="688">
        <f t="shared" si="168"/>
        <v>0</v>
      </c>
    </row>
    <row r="661" spans="1:32">
      <c r="A661" s="620">
        <v>651</v>
      </c>
      <c r="B661" s="620" t="s">
        <v>980</v>
      </c>
      <c r="C661" s="326" t="s">
        <v>134</v>
      </c>
      <c r="D661" s="326" t="s">
        <v>1264</v>
      </c>
      <c r="E661" s="605" t="s">
        <v>1789</v>
      </c>
      <c r="F661" s="617">
        <v>-7759181.6299999999</v>
      </c>
      <c r="G661" s="617">
        <v>-673031.52</v>
      </c>
      <c r="H661" s="617">
        <v>-1339174.8500000001</v>
      </c>
      <c r="I661" s="617">
        <v>-2009186.07</v>
      </c>
      <c r="J661" s="617">
        <v>-2666870.58</v>
      </c>
      <c r="K661" s="617">
        <v>-3285795.58</v>
      </c>
      <c r="L661" s="617">
        <v>-3836276.72</v>
      </c>
      <c r="M661" s="617">
        <v>-4442681.8899999997</v>
      </c>
      <c r="N661" s="617">
        <v>-5299607.18</v>
      </c>
      <c r="O661" s="617">
        <v>-6212927.3399999999</v>
      </c>
      <c r="P661" s="617">
        <v>-7050671.2999999998</v>
      </c>
      <c r="Q661" s="617">
        <v>-7703424.7199999997</v>
      </c>
      <c r="R661" s="617">
        <v>-8374092.2400000002</v>
      </c>
      <c r="S661" s="498">
        <f t="shared" si="124"/>
        <v>-4382190.3904166669</v>
      </c>
      <c r="T661" s="620"/>
      <c r="U661" s="657"/>
      <c r="V661" s="690"/>
      <c r="W661" s="690">
        <f t="shared" si="166"/>
        <v>-4382190.3904166669</v>
      </c>
      <c r="X661" s="713"/>
      <c r="Y661" s="690"/>
      <c r="Z661" s="690"/>
      <c r="AA661" s="657"/>
      <c r="AB661" s="690"/>
      <c r="AC661" s="659">
        <f t="shared" si="167"/>
        <v>-4382190.3904166669</v>
      </c>
      <c r="AD661" s="658"/>
      <c r="AE661" s="658"/>
      <c r="AF661" s="688">
        <f t="shared" si="168"/>
        <v>0</v>
      </c>
    </row>
    <row r="662" spans="1:32">
      <c r="A662" s="620">
        <v>652</v>
      </c>
      <c r="B662" s="620" t="s">
        <v>980</v>
      </c>
      <c r="C662" s="326" t="s">
        <v>645</v>
      </c>
      <c r="D662" s="326" t="s">
        <v>1263</v>
      </c>
      <c r="E662" s="605" t="s">
        <v>1790</v>
      </c>
      <c r="F662" s="617">
        <v>110797.96</v>
      </c>
      <c r="G662" s="617">
        <v>-80907.600000000006</v>
      </c>
      <c r="H662" s="617">
        <v>-56293.74</v>
      </c>
      <c r="I662" s="617">
        <v>-40593.620000000003</v>
      </c>
      <c r="J662" s="617">
        <v>12962.06</v>
      </c>
      <c r="K662" s="617">
        <v>32621.7</v>
      </c>
      <c r="L662" s="617">
        <v>46926.77</v>
      </c>
      <c r="M662" s="617">
        <v>72798.12</v>
      </c>
      <c r="N662" s="617">
        <v>46553.53</v>
      </c>
      <c r="O662" s="617">
        <v>6715.47</v>
      </c>
      <c r="P662" s="617">
        <v>-87381.58</v>
      </c>
      <c r="Q662" s="617">
        <v>-19460.04</v>
      </c>
      <c r="R662" s="617">
        <v>-61336.62</v>
      </c>
      <c r="S662" s="498">
        <f t="shared" si="124"/>
        <v>-3444.0216666666661</v>
      </c>
      <c r="T662" s="620"/>
      <c r="U662" s="657"/>
      <c r="V662" s="690"/>
      <c r="W662" s="690">
        <f t="shared" si="166"/>
        <v>-3444.0216666666661</v>
      </c>
      <c r="X662" s="713"/>
      <c r="Y662" s="690"/>
      <c r="Z662" s="690"/>
      <c r="AA662" s="657"/>
      <c r="AB662" s="690"/>
      <c r="AC662" s="659">
        <f t="shared" si="167"/>
        <v>-3444.0216666666661</v>
      </c>
      <c r="AD662" s="658"/>
      <c r="AE662" s="658"/>
      <c r="AF662" s="688"/>
    </row>
    <row r="663" spans="1:32">
      <c r="A663" s="620">
        <v>653</v>
      </c>
      <c r="B663" s="620" t="s">
        <v>980</v>
      </c>
      <c r="C663" s="326" t="s">
        <v>645</v>
      </c>
      <c r="D663" s="326" t="s">
        <v>1264</v>
      </c>
      <c r="E663" s="605" t="s">
        <v>1791</v>
      </c>
      <c r="F663" s="617">
        <v>43315.199999999997</v>
      </c>
      <c r="G663" s="617">
        <v>6890.68</v>
      </c>
      <c r="H663" s="617">
        <v>2966.25</v>
      </c>
      <c r="I663" s="617">
        <v>15287.16</v>
      </c>
      <c r="J663" s="617">
        <v>54019.31</v>
      </c>
      <c r="K663" s="617">
        <v>122421.04</v>
      </c>
      <c r="L663" s="617">
        <v>66594.59</v>
      </c>
      <c r="M663" s="617">
        <v>-183745.92000000001</v>
      </c>
      <c r="N663" s="617">
        <v>-240064.83</v>
      </c>
      <c r="O663" s="617">
        <v>-164574.29999999999</v>
      </c>
      <c r="P663" s="617">
        <v>20215.52</v>
      </c>
      <c r="Q663" s="617">
        <v>2363.7599999999902</v>
      </c>
      <c r="R663" s="617">
        <v>-178179.26</v>
      </c>
      <c r="S663" s="498">
        <f t="shared" si="124"/>
        <v>-30421.56416666666</v>
      </c>
      <c r="T663" s="620"/>
      <c r="U663" s="657"/>
      <c r="V663" s="690"/>
      <c r="W663" s="690">
        <f t="shared" si="166"/>
        <v>-30421.56416666666</v>
      </c>
      <c r="X663" s="713"/>
      <c r="Y663" s="690"/>
      <c r="Z663" s="690"/>
      <c r="AA663" s="657"/>
      <c r="AB663" s="690"/>
      <c r="AC663" s="659">
        <f t="shared" si="167"/>
        <v>-30421.56416666666</v>
      </c>
      <c r="AD663" s="658"/>
      <c r="AE663" s="658"/>
      <c r="AF663" s="688"/>
    </row>
    <row r="664" spans="1:32">
      <c r="A664" s="620">
        <v>654</v>
      </c>
      <c r="B664" s="326" t="s">
        <v>1005</v>
      </c>
      <c r="C664" s="326" t="s">
        <v>645</v>
      </c>
      <c r="D664" s="620" t="s">
        <v>1263</v>
      </c>
      <c r="E664" s="605" t="s">
        <v>1790</v>
      </c>
      <c r="F664" s="617">
        <v>14614.39</v>
      </c>
      <c r="G664" s="617">
        <v>-20425.59</v>
      </c>
      <c r="H664" s="617">
        <v>-3444.68</v>
      </c>
      <c r="I664" s="617">
        <v>-22974.99</v>
      </c>
      <c r="J664" s="617">
        <v>-17437.82</v>
      </c>
      <c r="K664" s="617">
        <v>-43341.43</v>
      </c>
      <c r="L664" s="617">
        <v>-39704.26</v>
      </c>
      <c r="M664" s="617">
        <v>-31335.63</v>
      </c>
      <c r="N664" s="617">
        <v>-34483.31</v>
      </c>
      <c r="O664" s="617">
        <v>-46595.040000000001</v>
      </c>
      <c r="P664" s="617">
        <v>-63727.839999999997</v>
      </c>
      <c r="Q664" s="617">
        <v>-35938.35</v>
      </c>
      <c r="R664" s="617">
        <v>-31143.1</v>
      </c>
      <c r="S664" s="498">
        <f t="shared" si="124"/>
        <v>-30639.44125</v>
      </c>
      <c r="T664" s="620"/>
      <c r="U664" s="657"/>
      <c r="V664" s="690"/>
      <c r="W664" s="690">
        <f t="shared" si="166"/>
        <v>-30639.44125</v>
      </c>
      <c r="X664" s="713"/>
      <c r="Y664" s="690"/>
      <c r="Z664" s="690"/>
      <c r="AA664" s="657"/>
      <c r="AB664" s="690"/>
      <c r="AC664" s="659">
        <f t="shared" si="167"/>
        <v>-30639.44125</v>
      </c>
      <c r="AD664" s="658"/>
      <c r="AE664" s="658"/>
      <c r="AF664" s="688">
        <f t="shared" si="168"/>
        <v>0</v>
      </c>
    </row>
    <row r="665" spans="1:32">
      <c r="A665" s="620">
        <v>655</v>
      </c>
      <c r="B665" s="536" t="s">
        <v>1005</v>
      </c>
      <c r="C665" s="326" t="s">
        <v>645</v>
      </c>
      <c r="D665" s="620" t="s">
        <v>1264</v>
      </c>
      <c r="E665" s="611" t="s">
        <v>1791</v>
      </c>
      <c r="F665" s="617">
        <v>-5388.73</v>
      </c>
      <c r="G665" s="617">
        <v>9523.19</v>
      </c>
      <c r="H665" s="617">
        <v>4358.45</v>
      </c>
      <c r="I665" s="617">
        <v>11723.29</v>
      </c>
      <c r="J665" s="617">
        <v>25882.04</v>
      </c>
      <c r="K665" s="617">
        <v>30748</v>
      </c>
      <c r="L665" s="617">
        <v>21623.9</v>
      </c>
      <c r="M665" s="617">
        <v>3679</v>
      </c>
      <c r="N665" s="617">
        <v>3064.6</v>
      </c>
      <c r="O665" s="617">
        <v>5730.26</v>
      </c>
      <c r="P665" s="617">
        <v>2718.81</v>
      </c>
      <c r="Q665" s="617">
        <v>3747.15</v>
      </c>
      <c r="R665" s="617">
        <v>-146.91999999999999</v>
      </c>
      <c r="S665" s="498">
        <f t="shared" si="124"/>
        <v>10002.572083333333</v>
      </c>
      <c r="T665" s="620"/>
      <c r="U665" s="657"/>
      <c r="V665" s="690"/>
      <c r="W665" s="690">
        <f t="shared" si="166"/>
        <v>10002.572083333333</v>
      </c>
      <c r="X665" s="713"/>
      <c r="Y665" s="690"/>
      <c r="Z665" s="690"/>
      <c r="AA665" s="657"/>
      <c r="AB665" s="690"/>
      <c r="AC665" s="659">
        <f t="shared" si="167"/>
        <v>10002.572083333333</v>
      </c>
      <c r="AD665" s="658"/>
      <c r="AE665" s="658"/>
      <c r="AF665" s="688">
        <f t="shared" si="168"/>
        <v>0</v>
      </c>
    </row>
    <row r="666" spans="1:32">
      <c r="A666" s="620">
        <v>656</v>
      </c>
      <c r="B666" s="536" t="s">
        <v>1005</v>
      </c>
      <c r="C666" s="326" t="s">
        <v>136</v>
      </c>
      <c r="D666" s="620"/>
      <c r="E666" s="611" t="s">
        <v>646</v>
      </c>
      <c r="F666" s="617">
        <v>-11000</v>
      </c>
      <c r="G666" s="617">
        <v>-1000</v>
      </c>
      <c r="H666" s="617">
        <v>-2000</v>
      </c>
      <c r="I666" s="617">
        <v>-4000</v>
      </c>
      <c r="J666" s="617">
        <v>-5000</v>
      </c>
      <c r="K666" s="617">
        <v>-6000</v>
      </c>
      <c r="L666" s="617">
        <v>-7000</v>
      </c>
      <c r="M666" s="617">
        <v>-7000</v>
      </c>
      <c r="N666" s="617">
        <v>-8000</v>
      </c>
      <c r="O666" s="617">
        <v>-9000</v>
      </c>
      <c r="P666" s="617">
        <v>-11000</v>
      </c>
      <c r="Q666" s="617">
        <v>-11000</v>
      </c>
      <c r="R666" s="617">
        <v>-12000</v>
      </c>
      <c r="S666" s="498">
        <f t="shared" si="124"/>
        <v>-6875</v>
      </c>
      <c r="T666" s="620"/>
      <c r="U666" s="657"/>
      <c r="V666" s="690"/>
      <c r="W666" s="690">
        <f t="shared" si="166"/>
        <v>-6875</v>
      </c>
      <c r="X666" s="713"/>
      <c r="Y666" s="690"/>
      <c r="Z666" s="690"/>
      <c r="AA666" s="657"/>
      <c r="AB666" s="690"/>
      <c r="AC666" s="659">
        <f t="shared" si="167"/>
        <v>-6875</v>
      </c>
      <c r="AD666" s="658"/>
      <c r="AE666" s="658"/>
      <c r="AF666" s="688">
        <f t="shared" si="168"/>
        <v>0</v>
      </c>
    </row>
    <row r="667" spans="1:32">
      <c r="A667" s="620">
        <v>657</v>
      </c>
      <c r="B667" s="536" t="s">
        <v>980</v>
      </c>
      <c r="C667" s="326" t="s">
        <v>136</v>
      </c>
      <c r="D667" s="620"/>
      <c r="E667" s="611" t="s">
        <v>646</v>
      </c>
      <c r="F667" s="617">
        <v>-100</v>
      </c>
      <c r="G667" s="617">
        <v>0</v>
      </c>
      <c r="H667" s="617">
        <v>0</v>
      </c>
      <c r="I667" s="617">
        <v>0</v>
      </c>
      <c r="J667" s="617">
        <v>0</v>
      </c>
      <c r="K667" s="617">
        <v>0</v>
      </c>
      <c r="L667" s="617">
        <v>0</v>
      </c>
      <c r="M667" s="617">
        <v>0</v>
      </c>
      <c r="N667" s="617">
        <v>0</v>
      </c>
      <c r="O667" s="617">
        <v>0</v>
      </c>
      <c r="P667" s="617">
        <v>0</v>
      </c>
      <c r="Q667" s="617">
        <v>0</v>
      </c>
      <c r="R667" s="617">
        <v>0</v>
      </c>
      <c r="S667" s="498">
        <f t="shared" si="124"/>
        <v>-4.166666666666667</v>
      </c>
      <c r="T667" s="620"/>
      <c r="U667" s="657"/>
      <c r="V667" s="690"/>
      <c r="W667" s="690">
        <f t="shared" si="166"/>
        <v>-4.166666666666667</v>
      </c>
      <c r="X667" s="713"/>
      <c r="Y667" s="690"/>
      <c r="Z667" s="690"/>
      <c r="AA667" s="657"/>
      <c r="AB667" s="690"/>
      <c r="AC667" s="659">
        <f t="shared" si="167"/>
        <v>-4.166666666666667</v>
      </c>
      <c r="AD667" s="658"/>
      <c r="AE667" s="658"/>
      <c r="AF667" s="688">
        <f t="shared" si="168"/>
        <v>0</v>
      </c>
    </row>
    <row r="668" spans="1:32">
      <c r="A668" s="620">
        <v>658</v>
      </c>
      <c r="B668" s="536" t="s">
        <v>977</v>
      </c>
      <c r="C668" s="326" t="s">
        <v>138</v>
      </c>
      <c r="D668" s="620"/>
      <c r="E668" s="611" t="s">
        <v>139</v>
      </c>
      <c r="F668" s="617">
        <v>-114312</v>
      </c>
      <c r="G668" s="617">
        <v>-14184</v>
      </c>
      <c r="H668" s="617">
        <v>-28368</v>
      </c>
      <c r="I668" s="617">
        <v>-42552</v>
      </c>
      <c r="J668" s="617">
        <v>-56736</v>
      </c>
      <c r="K668" s="617">
        <v>0</v>
      </c>
      <c r="L668" s="617">
        <v>0</v>
      </c>
      <c r="M668" s="617">
        <v>0</v>
      </c>
      <c r="N668" s="617">
        <v>0</v>
      </c>
      <c r="O668" s="617">
        <v>0</v>
      </c>
      <c r="P668" s="617">
        <v>0</v>
      </c>
      <c r="Q668" s="617">
        <v>0</v>
      </c>
      <c r="R668" s="617">
        <v>0</v>
      </c>
      <c r="S668" s="498">
        <f t="shared" si="124"/>
        <v>-16583</v>
      </c>
      <c r="T668" s="620"/>
      <c r="U668" s="657"/>
      <c r="V668" s="690"/>
      <c r="W668" s="690">
        <f t="shared" si="166"/>
        <v>-16583</v>
      </c>
      <c r="X668" s="713"/>
      <c r="Y668" s="690"/>
      <c r="Z668" s="690"/>
      <c r="AA668" s="657"/>
      <c r="AB668" s="690"/>
      <c r="AC668" s="659">
        <f t="shared" si="167"/>
        <v>-16583</v>
      </c>
      <c r="AD668" s="658"/>
      <c r="AE668" s="658"/>
      <c r="AF668" s="688">
        <f t="shared" si="168"/>
        <v>0</v>
      </c>
    </row>
    <row r="669" spans="1:32">
      <c r="A669" s="620">
        <v>659</v>
      </c>
      <c r="B669" s="536" t="s">
        <v>977</v>
      </c>
      <c r="C669" s="326" t="s">
        <v>138</v>
      </c>
      <c r="D669" s="620" t="s">
        <v>1952</v>
      </c>
      <c r="E669" s="611" t="s">
        <v>1953</v>
      </c>
      <c r="F669" s="617">
        <v>0</v>
      </c>
      <c r="G669" s="617">
        <v>0</v>
      </c>
      <c r="H669" s="617">
        <v>0</v>
      </c>
      <c r="I669" s="617">
        <v>0</v>
      </c>
      <c r="J669" s="617">
        <v>0</v>
      </c>
      <c r="K669" s="617">
        <v>-34175</v>
      </c>
      <c r="L669" s="617">
        <v>-41010</v>
      </c>
      <c r="M669" s="617">
        <v>-47845</v>
      </c>
      <c r="N669" s="617">
        <v>-54680</v>
      </c>
      <c r="O669" s="617">
        <v>-61515</v>
      </c>
      <c r="P669" s="617">
        <v>-68350</v>
      </c>
      <c r="Q669" s="617">
        <v>-75185</v>
      </c>
      <c r="R669" s="617">
        <v>-82020</v>
      </c>
      <c r="S669" s="498">
        <f t="shared" si="124"/>
        <v>-35314.166666666664</v>
      </c>
      <c r="T669" s="620"/>
      <c r="U669" s="657"/>
      <c r="V669" s="690"/>
      <c r="W669" s="690">
        <f t="shared" si="166"/>
        <v>-35314.166666666664</v>
      </c>
      <c r="X669" s="713"/>
      <c r="Y669" s="690"/>
      <c r="Z669" s="690"/>
      <c r="AA669" s="657"/>
      <c r="AB669" s="690"/>
      <c r="AC669" s="659">
        <f t="shared" si="167"/>
        <v>-35314.166666666664</v>
      </c>
      <c r="AD669" s="658"/>
      <c r="AE669" s="658"/>
      <c r="AF669" s="688"/>
    </row>
    <row r="670" spans="1:32">
      <c r="A670" s="620">
        <v>660</v>
      </c>
      <c r="B670" s="536" t="s">
        <v>977</v>
      </c>
      <c r="C670" s="326" t="s">
        <v>138</v>
      </c>
      <c r="D670" s="620" t="s">
        <v>1954</v>
      </c>
      <c r="E670" s="611" t="s">
        <v>1955</v>
      </c>
      <c r="F670" s="617">
        <v>0</v>
      </c>
      <c r="G670" s="617">
        <v>0</v>
      </c>
      <c r="H670" s="617">
        <v>0</v>
      </c>
      <c r="I670" s="617">
        <v>0</v>
      </c>
      <c r="J670" s="617">
        <v>0</v>
      </c>
      <c r="K670" s="617">
        <v>-36745</v>
      </c>
      <c r="L670" s="617">
        <v>-44094</v>
      </c>
      <c r="M670" s="617">
        <v>-51443</v>
      </c>
      <c r="N670" s="617">
        <v>-58792</v>
      </c>
      <c r="O670" s="617">
        <v>-66141</v>
      </c>
      <c r="P670" s="617">
        <v>-73490</v>
      </c>
      <c r="Q670" s="617">
        <v>-80839</v>
      </c>
      <c r="R670" s="617">
        <v>-88188</v>
      </c>
      <c r="S670" s="498">
        <f t="shared" si="124"/>
        <v>-37969.833333333336</v>
      </c>
      <c r="T670" s="620"/>
      <c r="U670" s="657"/>
      <c r="V670" s="690"/>
      <c r="W670" s="690">
        <f t="shared" si="166"/>
        <v>-37969.833333333336</v>
      </c>
      <c r="X670" s="713"/>
      <c r="Y670" s="690"/>
      <c r="Z670" s="690"/>
      <c r="AA670" s="657"/>
      <c r="AB670" s="690"/>
      <c r="AC670" s="659">
        <f t="shared" si="167"/>
        <v>-37969.833333333336</v>
      </c>
      <c r="AD670" s="658"/>
      <c r="AE670" s="658"/>
      <c r="AF670" s="688"/>
    </row>
    <row r="671" spans="1:32">
      <c r="A671" s="620">
        <v>661</v>
      </c>
      <c r="B671" s="326" t="s">
        <v>977</v>
      </c>
      <c r="C671" s="326" t="s">
        <v>140</v>
      </c>
      <c r="D671" s="326" t="s">
        <v>1265</v>
      </c>
      <c r="E671" s="605" t="s">
        <v>1774</v>
      </c>
      <c r="F671" s="617">
        <v>-56362.15</v>
      </c>
      <c r="G671" s="617">
        <v>-224.3</v>
      </c>
      <c r="H671" s="617">
        <v>-224.3</v>
      </c>
      <c r="I671" s="617">
        <v>-224.3</v>
      </c>
      <c r="J671" s="617">
        <v>-224.3</v>
      </c>
      <c r="K671" s="617">
        <v>-224.3</v>
      </c>
      <c r="L671" s="617">
        <v>-224.3</v>
      </c>
      <c r="M671" s="617">
        <v>-224.3</v>
      </c>
      <c r="N671" s="617">
        <v>-224.3</v>
      </c>
      <c r="O671" s="617">
        <v>-224.3</v>
      </c>
      <c r="P671" s="617">
        <v>-224.3</v>
      </c>
      <c r="Q671" s="617">
        <v>-224.3</v>
      </c>
      <c r="R671" s="617">
        <v>-224.3</v>
      </c>
      <c r="S671" s="498">
        <f t="shared" si="124"/>
        <v>-2563.3770833333333</v>
      </c>
      <c r="T671" s="620"/>
      <c r="U671" s="657"/>
      <c r="V671" s="690"/>
      <c r="W671" s="690">
        <f t="shared" si="166"/>
        <v>-2563.3770833333333</v>
      </c>
      <c r="X671" s="713"/>
      <c r="Y671" s="690"/>
      <c r="Z671" s="690"/>
      <c r="AA671" s="657"/>
      <c r="AB671" s="690"/>
      <c r="AC671" s="659">
        <f t="shared" si="167"/>
        <v>-2563.3770833333333</v>
      </c>
      <c r="AD671" s="658"/>
      <c r="AE671" s="658"/>
      <c r="AF671" s="688">
        <f t="shared" si="168"/>
        <v>0</v>
      </c>
    </row>
    <row r="672" spans="1:32">
      <c r="A672" s="620">
        <v>662</v>
      </c>
      <c r="B672" s="620" t="s">
        <v>1005</v>
      </c>
      <c r="C672" s="326" t="s">
        <v>140</v>
      </c>
      <c r="D672" s="326" t="s">
        <v>1266</v>
      </c>
      <c r="E672" s="605" t="s">
        <v>1792</v>
      </c>
      <c r="F672" s="617">
        <v>0</v>
      </c>
      <c r="G672" s="617">
        <v>0</v>
      </c>
      <c r="H672" s="617">
        <v>0</v>
      </c>
      <c r="I672" s="617">
        <v>0</v>
      </c>
      <c r="J672" s="617">
        <v>0</v>
      </c>
      <c r="K672" s="617">
        <v>0</v>
      </c>
      <c r="L672" s="617">
        <v>0</v>
      </c>
      <c r="M672" s="617">
        <v>0</v>
      </c>
      <c r="N672" s="617">
        <v>0</v>
      </c>
      <c r="O672" s="617">
        <v>0</v>
      </c>
      <c r="P672" s="617">
        <v>0</v>
      </c>
      <c r="Q672" s="617">
        <v>0</v>
      </c>
      <c r="R672" s="617">
        <v>0</v>
      </c>
      <c r="S672" s="498">
        <f t="shared" si="124"/>
        <v>0</v>
      </c>
      <c r="T672" s="620"/>
      <c r="U672" s="657"/>
      <c r="V672" s="690"/>
      <c r="W672" s="690">
        <f t="shared" si="166"/>
        <v>0</v>
      </c>
      <c r="X672" s="713"/>
      <c r="Y672" s="690"/>
      <c r="Z672" s="690"/>
      <c r="AA672" s="657"/>
      <c r="AB672" s="690"/>
      <c r="AC672" s="659">
        <f t="shared" si="167"/>
        <v>0</v>
      </c>
      <c r="AD672" s="658"/>
      <c r="AE672" s="658"/>
      <c r="AF672" s="688">
        <f t="shared" si="168"/>
        <v>0</v>
      </c>
    </row>
    <row r="673" spans="1:32">
      <c r="A673" s="620">
        <v>663</v>
      </c>
      <c r="B673" s="620" t="s">
        <v>1005</v>
      </c>
      <c r="C673" s="326" t="s">
        <v>140</v>
      </c>
      <c r="D673" s="326" t="s">
        <v>1265</v>
      </c>
      <c r="E673" s="605" t="s">
        <v>1774</v>
      </c>
      <c r="F673" s="617">
        <v>-973</v>
      </c>
      <c r="G673" s="617">
        <v>-76</v>
      </c>
      <c r="H673" s="617">
        <v>-76</v>
      </c>
      <c r="I673" s="617">
        <v>-76</v>
      </c>
      <c r="J673" s="617">
        <v>-615</v>
      </c>
      <c r="K673" s="617">
        <v>-615</v>
      </c>
      <c r="L673" s="617">
        <v>-615</v>
      </c>
      <c r="M673" s="617">
        <v>-615</v>
      </c>
      <c r="N673" s="617">
        <v>-615</v>
      </c>
      <c r="O673" s="617">
        <v>-615</v>
      </c>
      <c r="P673" s="617">
        <v>-615</v>
      </c>
      <c r="Q673" s="617">
        <v>-615</v>
      </c>
      <c r="R673" s="617">
        <v>-615</v>
      </c>
      <c r="S673" s="498">
        <f t="shared" si="124"/>
        <v>-495.16666666666669</v>
      </c>
      <c r="T673" s="620"/>
      <c r="U673" s="657"/>
      <c r="V673" s="690"/>
      <c r="W673" s="690">
        <f t="shared" si="166"/>
        <v>-495.16666666666669</v>
      </c>
      <c r="X673" s="713"/>
      <c r="Y673" s="690"/>
      <c r="Z673" s="690"/>
      <c r="AA673" s="657"/>
      <c r="AB673" s="690"/>
      <c r="AC673" s="659">
        <f t="shared" si="167"/>
        <v>-495.16666666666669</v>
      </c>
      <c r="AD673" s="658"/>
      <c r="AE673" s="658"/>
      <c r="AF673" s="688">
        <f t="shared" si="168"/>
        <v>0</v>
      </c>
    </row>
    <row r="674" spans="1:32">
      <c r="A674" s="620">
        <v>664</v>
      </c>
      <c r="B674" s="620" t="s">
        <v>1005</v>
      </c>
      <c r="C674" s="326" t="s">
        <v>140</v>
      </c>
      <c r="D674" s="326" t="s">
        <v>1262</v>
      </c>
      <c r="E674" s="605" t="s">
        <v>1793</v>
      </c>
      <c r="F674" s="617">
        <v>-715.4</v>
      </c>
      <c r="G674" s="617">
        <v>0</v>
      </c>
      <c r="H674" s="617">
        <v>-27.02</v>
      </c>
      <c r="I674" s="617">
        <v>-27.02</v>
      </c>
      <c r="J674" s="617">
        <v>-250.22</v>
      </c>
      <c r="K674" s="617">
        <v>-250.22</v>
      </c>
      <c r="L674" s="617">
        <v>-250.22</v>
      </c>
      <c r="M674" s="617">
        <v>-371.32</v>
      </c>
      <c r="N674" s="617">
        <v>-459.07</v>
      </c>
      <c r="O674" s="617">
        <v>-459.07</v>
      </c>
      <c r="P674" s="617">
        <v>-459.07</v>
      </c>
      <c r="Q674" s="617">
        <v>-459.07</v>
      </c>
      <c r="R674" s="617">
        <v>-459.07</v>
      </c>
      <c r="S674" s="498">
        <f t="shared" si="124"/>
        <v>-299.96125000000001</v>
      </c>
      <c r="T674" s="620"/>
      <c r="U674" s="657"/>
      <c r="V674" s="690"/>
      <c r="W674" s="690">
        <f t="shared" si="166"/>
        <v>-299.96125000000001</v>
      </c>
      <c r="X674" s="713"/>
      <c r="Y674" s="690"/>
      <c r="Z674" s="690"/>
      <c r="AA674" s="657"/>
      <c r="AB674" s="690"/>
      <c r="AC674" s="659">
        <f t="shared" si="167"/>
        <v>-299.96125000000001</v>
      </c>
      <c r="AD674" s="658"/>
      <c r="AE674" s="658"/>
      <c r="AF674" s="688">
        <f t="shared" si="168"/>
        <v>0</v>
      </c>
    </row>
    <row r="675" spans="1:32">
      <c r="A675" s="620">
        <v>665</v>
      </c>
      <c r="B675" s="620" t="s">
        <v>1005</v>
      </c>
      <c r="C675" s="326" t="s">
        <v>140</v>
      </c>
      <c r="D675" s="326" t="s">
        <v>1261</v>
      </c>
      <c r="E675" s="605" t="s">
        <v>1794</v>
      </c>
      <c r="F675" s="617">
        <v>-35828.370000000003</v>
      </c>
      <c r="G675" s="617">
        <v>0</v>
      </c>
      <c r="H675" s="617">
        <v>-5142.38</v>
      </c>
      <c r="I675" s="617">
        <v>-3526.64</v>
      </c>
      <c r="J675" s="617">
        <v>-4666.45</v>
      </c>
      <c r="K675" s="617">
        <v>-4666.45</v>
      </c>
      <c r="L675" s="617">
        <v>-11442.12</v>
      </c>
      <c r="M675" s="617">
        <v>-12362.01</v>
      </c>
      <c r="N675" s="617">
        <v>-12362.01</v>
      </c>
      <c r="O675" s="617">
        <v>-12362.01</v>
      </c>
      <c r="P675" s="617">
        <v>-12362.01</v>
      </c>
      <c r="Q675" s="617">
        <v>-12362.01</v>
      </c>
      <c r="R675" s="617">
        <v>-12362.01</v>
      </c>
      <c r="S675" s="498">
        <f t="shared" si="124"/>
        <v>-9612.44</v>
      </c>
      <c r="T675" s="620"/>
      <c r="U675" s="657"/>
      <c r="V675" s="690"/>
      <c r="W675" s="690">
        <f t="shared" si="166"/>
        <v>-9612.44</v>
      </c>
      <c r="X675" s="713"/>
      <c r="Y675" s="690"/>
      <c r="Z675" s="690"/>
      <c r="AA675" s="657"/>
      <c r="AB675" s="690"/>
      <c r="AC675" s="659">
        <f t="shared" si="167"/>
        <v>-9612.44</v>
      </c>
      <c r="AD675" s="658"/>
      <c r="AE675" s="658"/>
      <c r="AF675" s="688">
        <f t="shared" si="168"/>
        <v>0</v>
      </c>
    </row>
    <row r="676" spans="1:32">
      <c r="A676" s="620">
        <v>666</v>
      </c>
      <c r="B676" s="620" t="s">
        <v>980</v>
      </c>
      <c r="C676" s="326" t="s">
        <v>140</v>
      </c>
      <c r="D676" s="326" t="s">
        <v>1266</v>
      </c>
      <c r="E676" s="605" t="s">
        <v>1792</v>
      </c>
      <c r="F676" s="617">
        <v>-4831.1899999999996</v>
      </c>
      <c r="G676" s="617">
        <v>0</v>
      </c>
      <c r="H676" s="617">
        <v>2249.67</v>
      </c>
      <c r="I676" s="617">
        <v>2249.67</v>
      </c>
      <c r="J676" s="617">
        <v>2249.67</v>
      </c>
      <c r="K676" s="617">
        <v>-328.31</v>
      </c>
      <c r="L676" s="617">
        <v>-2548.41</v>
      </c>
      <c r="M676" s="617">
        <v>-7661.83</v>
      </c>
      <c r="N676" s="617">
        <v>-15556.23</v>
      </c>
      <c r="O676" s="617">
        <v>-15556.23</v>
      </c>
      <c r="P676" s="617">
        <v>-15556.23</v>
      </c>
      <c r="Q676" s="617">
        <v>-42033.75</v>
      </c>
      <c r="R676" s="617">
        <v>-44223.51</v>
      </c>
      <c r="S676" s="498">
        <f t="shared" si="124"/>
        <v>-9751.6108333333341</v>
      </c>
      <c r="T676" s="620"/>
      <c r="U676" s="657"/>
      <c r="V676" s="690"/>
      <c r="W676" s="690">
        <f t="shared" si="166"/>
        <v>-9751.6108333333341</v>
      </c>
      <c r="X676" s="713"/>
      <c r="Y676" s="690"/>
      <c r="Z676" s="690"/>
      <c r="AA676" s="657"/>
      <c r="AB676" s="690"/>
      <c r="AC676" s="659">
        <f t="shared" si="167"/>
        <v>-9751.6108333333341</v>
      </c>
      <c r="AD676" s="658"/>
      <c r="AE676" s="658"/>
      <c r="AF676" s="688">
        <f t="shared" si="168"/>
        <v>0</v>
      </c>
    </row>
    <row r="677" spans="1:32">
      <c r="A677" s="620">
        <v>667</v>
      </c>
      <c r="B677" s="620" t="s">
        <v>980</v>
      </c>
      <c r="C677" s="326" t="s">
        <v>140</v>
      </c>
      <c r="D677" s="326" t="s">
        <v>1265</v>
      </c>
      <c r="E677" s="605" t="s">
        <v>1774</v>
      </c>
      <c r="F677" s="617">
        <v>-4853.8900000000003</v>
      </c>
      <c r="G677" s="617">
        <v>-590</v>
      </c>
      <c r="H677" s="617">
        <v>-1180</v>
      </c>
      <c r="I677" s="617">
        <v>-1770</v>
      </c>
      <c r="J677" s="617">
        <v>-3683.08</v>
      </c>
      <c r="K677" s="617">
        <v>-10038.27</v>
      </c>
      <c r="L677" s="617">
        <v>-10678.27</v>
      </c>
      <c r="M677" s="617">
        <v>-11318.27</v>
      </c>
      <c r="N677" s="617">
        <v>-12463.11</v>
      </c>
      <c r="O677" s="617">
        <v>-14116.62</v>
      </c>
      <c r="P677" s="617">
        <v>-14756.62</v>
      </c>
      <c r="Q677" s="617">
        <v>-15396.62</v>
      </c>
      <c r="R677" s="617">
        <v>-15446.62</v>
      </c>
      <c r="S677" s="498">
        <f t="shared" si="124"/>
        <v>-8845.0929166666665</v>
      </c>
      <c r="T677" s="620"/>
      <c r="U677" s="657"/>
      <c r="V677" s="690"/>
      <c r="W677" s="690">
        <f t="shared" si="166"/>
        <v>-8845.0929166666665</v>
      </c>
      <c r="X677" s="713"/>
      <c r="Y677" s="690"/>
      <c r="Z677" s="690"/>
      <c r="AA677" s="657"/>
      <c r="AB677" s="690"/>
      <c r="AC677" s="659">
        <f t="shared" si="167"/>
        <v>-8845.0929166666665</v>
      </c>
      <c r="AD677" s="658"/>
      <c r="AE677" s="658"/>
      <c r="AF677" s="688">
        <f t="shared" si="168"/>
        <v>0</v>
      </c>
    </row>
    <row r="678" spans="1:32">
      <c r="A678" s="620">
        <v>668</v>
      </c>
      <c r="B678" s="620" t="s">
        <v>980</v>
      </c>
      <c r="C678" s="326" t="s">
        <v>140</v>
      </c>
      <c r="D678" s="326" t="s">
        <v>1262</v>
      </c>
      <c r="E678" s="605" t="s">
        <v>1793</v>
      </c>
      <c r="F678" s="617">
        <v>-2511.16</v>
      </c>
      <c r="G678" s="617">
        <v>0</v>
      </c>
      <c r="H678" s="617">
        <v>-245.39</v>
      </c>
      <c r="I678" s="617">
        <v>-245.39</v>
      </c>
      <c r="J678" s="617">
        <v>-245.39</v>
      </c>
      <c r="K678" s="617">
        <v>-1093.49</v>
      </c>
      <c r="L678" s="617">
        <v>-1737.34</v>
      </c>
      <c r="M678" s="617">
        <v>-1957.19</v>
      </c>
      <c r="N678" s="617">
        <v>-2489.61</v>
      </c>
      <c r="O678" s="617">
        <v>-2490.52</v>
      </c>
      <c r="P678" s="617">
        <v>-2626.9</v>
      </c>
      <c r="Q678" s="617">
        <v>-2626.9</v>
      </c>
      <c r="R678" s="617">
        <v>-2784.79</v>
      </c>
      <c r="S678" s="498">
        <f t="shared" si="124"/>
        <v>-1533.8412500000002</v>
      </c>
      <c r="T678" s="620"/>
      <c r="U678" s="657"/>
      <c r="V678" s="690"/>
      <c r="W678" s="690">
        <f t="shared" si="166"/>
        <v>-1533.8412500000002</v>
      </c>
      <c r="X678" s="713"/>
      <c r="Y678" s="690"/>
      <c r="Z678" s="690"/>
      <c r="AA678" s="657"/>
      <c r="AB678" s="690"/>
      <c r="AC678" s="659">
        <f t="shared" si="167"/>
        <v>-1533.8412500000002</v>
      </c>
      <c r="AD678" s="658"/>
      <c r="AE678" s="658"/>
      <c r="AF678" s="688">
        <f t="shared" si="168"/>
        <v>0</v>
      </c>
    </row>
    <row r="679" spans="1:32">
      <c r="A679" s="620">
        <v>669</v>
      </c>
      <c r="B679" s="620" t="s">
        <v>980</v>
      </c>
      <c r="C679" s="326" t="s">
        <v>140</v>
      </c>
      <c r="D679" s="326" t="s">
        <v>1261</v>
      </c>
      <c r="E679" s="605" t="s">
        <v>1794</v>
      </c>
      <c r="F679" s="617">
        <v>-18478</v>
      </c>
      <c r="G679" s="617">
        <v>0</v>
      </c>
      <c r="H679" s="617">
        <v>0</v>
      </c>
      <c r="I679" s="617">
        <v>0</v>
      </c>
      <c r="J679" s="617">
        <v>-1980.35</v>
      </c>
      <c r="K679" s="617">
        <v>-2110.35</v>
      </c>
      <c r="L679" s="617">
        <v>-7357.95</v>
      </c>
      <c r="M679" s="617">
        <v>-7940.26</v>
      </c>
      <c r="N679" s="617">
        <v>-9463.67</v>
      </c>
      <c r="O679" s="617">
        <v>-9463.67</v>
      </c>
      <c r="P679" s="617">
        <v>-12512.1</v>
      </c>
      <c r="Q679" s="617">
        <v>-16089.16</v>
      </c>
      <c r="R679" s="617">
        <v>-28833.91</v>
      </c>
      <c r="S679" s="498">
        <f t="shared" si="124"/>
        <v>-7547.7887499999997</v>
      </c>
      <c r="T679" s="620"/>
      <c r="U679" s="657"/>
      <c r="V679" s="690"/>
      <c r="W679" s="690">
        <f t="shared" si="166"/>
        <v>-7547.7887499999997</v>
      </c>
      <c r="X679" s="713"/>
      <c r="Y679" s="690"/>
      <c r="Z679" s="690"/>
      <c r="AA679" s="657"/>
      <c r="AB679" s="690"/>
      <c r="AC679" s="659">
        <f t="shared" si="167"/>
        <v>-7547.7887499999997</v>
      </c>
      <c r="AD679" s="658"/>
      <c r="AE679" s="658"/>
      <c r="AF679" s="688">
        <f t="shared" si="168"/>
        <v>0</v>
      </c>
    </row>
    <row r="680" spans="1:32">
      <c r="A680" s="620">
        <v>670</v>
      </c>
      <c r="B680" s="620" t="s">
        <v>980</v>
      </c>
      <c r="C680" s="326">
        <v>4962</v>
      </c>
      <c r="D680" s="326"/>
      <c r="E680" s="605" t="s">
        <v>1795</v>
      </c>
      <c r="F680" s="617">
        <v>2764815.37</v>
      </c>
      <c r="G680" s="617">
        <v>-280982.87</v>
      </c>
      <c r="H680" s="617">
        <v>-665675.09</v>
      </c>
      <c r="I680" s="617">
        <v>-921322.2</v>
      </c>
      <c r="J680" s="617">
        <v>-924164.05</v>
      </c>
      <c r="K680" s="617">
        <v>-846390.45</v>
      </c>
      <c r="L680" s="617">
        <v>-714598.13</v>
      </c>
      <c r="M680" s="617">
        <v>-582529.80000000005</v>
      </c>
      <c r="N680" s="617">
        <v>-419848.05</v>
      </c>
      <c r="O680" s="617">
        <v>-418430.1</v>
      </c>
      <c r="P680" s="617">
        <v>-472174.9</v>
      </c>
      <c r="Q680" s="617">
        <v>-533440.56000000006</v>
      </c>
      <c r="R680" s="617">
        <v>-171784.99</v>
      </c>
      <c r="S680" s="498">
        <f t="shared" si="124"/>
        <v>-456920.08416666667</v>
      </c>
      <c r="T680" s="620"/>
      <c r="U680" s="657"/>
      <c r="V680" s="690"/>
      <c r="W680" s="690">
        <f t="shared" si="166"/>
        <v>-456920.08416666667</v>
      </c>
      <c r="X680" s="713"/>
      <c r="Y680" s="690"/>
      <c r="Z680" s="690"/>
      <c r="AA680" s="657"/>
      <c r="AB680" s="690"/>
      <c r="AC680" s="659">
        <f t="shared" si="167"/>
        <v>-456920.08416666667</v>
      </c>
      <c r="AD680" s="658"/>
      <c r="AE680" s="658"/>
      <c r="AF680" s="688">
        <f t="shared" si="168"/>
        <v>0</v>
      </c>
    </row>
    <row r="681" spans="1:32">
      <c r="A681" s="620">
        <v>671</v>
      </c>
      <c r="B681" s="620" t="s">
        <v>980</v>
      </c>
      <c r="C681" s="326">
        <v>4962</v>
      </c>
      <c r="D681" s="326">
        <v>1</v>
      </c>
      <c r="E681" s="605" t="s">
        <v>1812</v>
      </c>
      <c r="F681" s="617">
        <v>-340090.29</v>
      </c>
      <c r="G681" s="617">
        <v>-73314.78</v>
      </c>
      <c r="H681" s="617">
        <v>-137130.63</v>
      </c>
      <c r="I681" s="617">
        <v>-198957.22</v>
      </c>
      <c r="J681" s="617">
        <v>-254405.82</v>
      </c>
      <c r="K681" s="617">
        <v>-306680.53000000003</v>
      </c>
      <c r="L681" s="617">
        <v>-369131.22</v>
      </c>
      <c r="M681" s="617">
        <v>-456366</v>
      </c>
      <c r="N681" s="617">
        <v>-557780.61</v>
      </c>
      <c r="O681" s="617">
        <v>-654771.38</v>
      </c>
      <c r="P681" s="617">
        <v>-723450.44</v>
      </c>
      <c r="Q681" s="617">
        <v>-770696.42</v>
      </c>
      <c r="R681" s="617">
        <v>-829904.01</v>
      </c>
      <c r="S681" s="498">
        <f t="shared" si="124"/>
        <v>-423973.51666666666</v>
      </c>
      <c r="T681" s="620"/>
      <c r="U681" s="657"/>
      <c r="V681" s="690"/>
      <c r="W681" s="690">
        <f t="shared" si="166"/>
        <v>-423973.51666666666</v>
      </c>
      <c r="X681" s="713"/>
      <c r="Y681" s="690"/>
      <c r="Z681" s="690"/>
      <c r="AA681" s="657"/>
      <c r="AB681" s="690"/>
      <c r="AC681" s="659">
        <f t="shared" si="167"/>
        <v>-423973.51666666666</v>
      </c>
      <c r="AD681" s="658"/>
      <c r="AE681" s="658"/>
      <c r="AF681" s="688">
        <f t="shared" si="168"/>
        <v>0</v>
      </c>
    </row>
    <row r="682" spans="1:32">
      <c r="A682" s="620">
        <v>672</v>
      </c>
      <c r="B682" s="620" t="s">
        <v>1005</v>
      </c>
      <c r="C682" s="326" t="s">
        <v>1958</v>
      </c>
      <c r="D682" s="620"/>
      <c r="E682" s="605" t="s">
        <v>1795</v>
      </c>
      <c r="F682" s="617">
        <v>1558019.97</v>
      </c>
      <c r="G682" s="617">
        <v>249016.3</v>
      </c>
      <c r="H682" s="617">
        <v>450949.83</v>
      </c>
      <c r="I682" s="617">
        <v>621635.15</v>
      </c>
      <c r="J682" s="617">
        <v>489060.61</v>
      </c>
      <c r="K682" s="617">
        <v>569478.41</v>
      </c>
      <c r="L682" s="617">
        <v>607869.43000000005</v>
      </c>
      <c r="M682" s="617">
        <v>647160.75</v>
      </c>
      <c r="N682" s="617">
        <v>687361.43</v>
      </c>
      <c r="O682" s="617">
        <v>698023.77</v>
      </c>
      <c r="P682" s="617">
        <v>698636.72</v>
      </c>
      <c r="Q682" s="617">
        <v>522111.3</v>
      </c>
      <c r="R682" s="617">
        <v>299675.57</v>
      </c>
      <c r="S682" s="498">
        <f>((F682+R682)+((G682+H682+I682+J682+K682+L682+M682+N682+O682+P682+Q682)*2))/24</f>
        <v>597512.62249999994</v>
      </c>
      <c r="T682" s="620"/>
      <c r="U682" s="657"/>
      <c r="V682" s="690"/>
      <c r="W682" s="690">
        <f t="shared" si="166"/>
        <v>597512.62249999994</v>
      </c>
      <c r="X682" s="713"/>
      <c r="Y682" s="690"/>
      <c r="Z682" s="690"/>
      <c r="AA682" s="657"/>
      <c r="AB682" s="690"/>
      <c r="AC682" s="659">
        <f t="shared" si="167"/>
        <v>597512.62249999994</v>
      </c>
      <c r="AD682" s="658"/>
      <c r="AE682" s="658"/>
      <c r="AF682" s="688">
        <f t="shared" si="168"/>
        <v>0</v>
      </c>
    </row>
    <row r="683" spans="1:32">
      <c r="A683" s="620">
        <v>673</v>
      </c>
      <c r="B683" s="620" t="s">
        <v>1005</v>
      </c>
      <c r="C683" s="326" t="s">
        <v>1958</v>
      </c>
      <c r="D683" s="620" t="s">
        <v>526</v>
      </c>
      <c r="E683" s="605" t="s">
        <v>1812</v>
      </c>
      <c r="F683" s="617">
        <v>0</v>
      </c>
      <c r="G683" s="617">
        <v>0</v>
      </c>
      <c r="H683" s="617">
        <v>0</v>
      </c>
      <c r="I683" s="617">
        <v>0</v>
      </c>
      <c r="J683" s="617">
        <v>-550.71</v>
      </c>
      <c r="K683" s="617">
        <v>-1222.68</v>
      </c>
      <c r="L683" s="617">
        <v>-1905.55</v>
      </c>
      <c r="M683" s="617">
        <v>-2585.9699999999998</v>
      </c>
      <c r="N683" s="617">
        <v>-3255.41</v>
      </c>
      <c r="O683" s="617">
        <v>-3923.66</v>
      </c>
      <c r="P683" s="617">
        <v>-7672.7</v>
      </c>
      <c r="Q683" s="617">
        <v>-19523.88</v>
      </c>
      <c r="R683" s="617">
        <v>-31522.11</v>
      </c>
      <c r="S683" s="498">
        <f>((F683+R683)+((G683+H683+I683+J683+K683+L683+M683+N683+O683+P683+Q683)*2))/24</f>
        <v>-4700.1345833333335</v>
      </c>
      <c r="T683" s="620"/>
      <c r="U683" s="657"/>
      <c r="V683" s="690"/>
      <c r="W683" s="690">
        <f t="shared" si="166"/>
        <v>-4700.1345833333335</v>
      </c>
      <c r="X683" s="713"/>
      <c r="Y683" s="690"/>
      <c r="Z683" s="690"/>
      <c r="AA683" s="657"/>
      <c r="AB683" s="690"/>
      <c r="AC683" s="659">
        <f t="shared" si="167"/>
        <v>-4700.1345833333335</v>
      </c>
      <c r="AD683" s="658"/>
      <c r="AE683" s="658"/>
      <c r="AF683" s="688"/>
    </row>
    <row r="684" spans="1:32">
      <c r="A684" s="620">
        <v>674</v>
      </c>
      <c r="B684" s="620" t="s">
        <v>380</v>
      </c>
      <c r="C684" s="326" t="s">
        <v>647</v>
      </c>
      <c r="D684" s="620" t="s">
        <v>380</v>
      </c>
      <c r="E684" s="605" t="s">
        <v>648</v>
      </c>
      <c r="F684" s="313">
        <v>0</v>
      </c>
      <c r="G684" s="313">
        <v>0</v>
      </c>
      <c r="H684" s="313">
        <v>0</v>
      </c>
      <c r="I684" s="313">
        <v>0</v>
      </c>
      <c r="J684" s="313">
        <v>0</v>
      </c>
      <c r="K684" s="313">
        <v>0</v>
      </c>
      <c r="L684" s="313">
        <v>0</v>
      </c>
      <c r="M684" s="313">
        <v>0</v>
      </c>
      <c r="N684" s="313">
        <v>0</v>
      </c>
      <c r="O684" s="313">
        <v>0</v>
      </c>
      <c r="P684" s="313">
        <v>0</v>
      </c>
      <c r="Q684" s="313">
        <v>0</v>
      </c>
      <c r="R684" s="313">
        <v>0</v>
      </c>
      <c r="S684" s="498">
        <f t="shared" si="124"/>
        <v>0</v>
      </c>
      <c r="T684" s="620"/>
      <c r="U684" s="657"/>
      <c r="V684" s="690"/>
      <c r="W684" s="690">
        <f t="shared" si="166"/>
        <v>0</v>
      </c>
      <c r="X684" s="713"/>
      <c r="Y684" s="690"/>
      <c r="Z684" s="690"/>
      <c r="AA684" s="657"/>
      <c r="AB684" s="690"/>
      <c r="AC684" s="659">
        <f t="shared" ref="AC684" si="169">+S684</f>
        <v>0</v>
      </c>
      <c r="AD684" s="658"/>
      <c r="AE684" s="658"/>
      <c r="AF684" s="688">
        <f t="shared" si="168"/>
        <v>0</v>
      </c>
    </row>
    <row r="685" spans="1:32">
      <c r="A685" s="620">
        <v>675</v>
      </c>
      <c r="B685" s="620"/>
      <c r="C685" s="620"/>
      <c r="D685" s="620"/>
      <c r="E685" s="605" t="s">
        <v>649</v>
      </c>
      <c r="F685" s="305">
        <f>SUM(F617:F684)</f>
        <v>-286825672.86999995</v>
      </c>
      <c r="G685" s="305">
        <f t="shared" ref="G685:R685" si="170">SUM(G617:G684)</f>
        <v>-40243392.660000004</v>
      </c>
      <c r="H685" s="305">
        <f t="shared" si="170"/>
        <v>-81998266.249999955</v>
      </c>
      <c r="I685" s="305">
        <f t="shared" si="170"/>
        <v>-115278818.35999994</v>
      </c>
      <c r="J685" s="305">
        <f t="shared" si="170"/>
        <v>-137104015.16</v>
      </c>
      <c r="K685" s="305">
        <f t="shared" si="170"/>
        <v>-151942097.19000003</v>
      </c>
      <c r="L685" s="305">
        <f t="shared" si="170"/>
        <v>-163827574.58999997</v>
      </c>
      <c r="M685" s="305">
        <f t="shared" si="170"/>
        <v>-175584823.07999995</v>
      </c>
      <c r="N685" s="305">
        <f t="shared" si="170"/>
        <v>-185596413.00999999</v>
      </c>
      <c r="O685" s="305">
        <f t="shared" si="170"/>
        <v>-199825338.64000005</v>
      </c>
      <c r="P685" s="305">
        <f t="shared" si="170"/>
        <v>-226710493.77999997</v>
      </c>
      <c r="Q685" s="305">
        <f t="shared" si="170"/>
        <v>-266190130.81999996</v>
      </c>
      <c r="R685" s="305">
        <f t="shared" si="170"/>
        <v>-314395576.48000008</v>
      </c>
      <c r="S685" s="500">
        <f>SUM(S617:S684)</f>
        <v>-170409332.35125008</v>
      </c>
      <c r="T685" s="620"/>
      <c r="U685" s="657"/>
      <c r="V685" s="690"/>
      <c r="W685" s="690"/>
      <c r="X685" s="713"/>
      <c r="Y685" s="690"/>
      <c r="Z685" s="690"/>
      <c r="AA685" s="657"/>
      <c r="AB685" s="690"/>
      <c r="AC685" s="658"/>
      <c r="AD685" s="658"/>
      <c r="AE685" s="658"/>
      <c r="AF685" s="688">
        <f t="shared" si="168"/>
        <v>0</v>
      </c>
    </row>
    <row r="686" spans="1:32">
      <c r="A686" s="620">
        <v>676</v>
      </c>
      <c r="B686" s="620"/>
      <c r="C686" s="620"/>
      <c r="D686" s="620"/>
      <c r="E686" s="605"/>
      <c r="F686" s="619"/>
      <c r="G686" s="324"/>
      <c r="H686" s="315"/>
      <c r="I686" s="315"/>
      <c r="J686" s="316"/>
      <c r="K686" s="317"/>
      <c r="L686" s="318"/>
      <c r="M686" s="319"/>
      <c r="N686" s="320"/>
      <c r="O686" s="606"/>
      <c r="P686" s="321"/>
      <c r="Q686" s="325"/>
      <c r="R686" s="619"/>
      <c r="S686" s="304"/>
      <c r="T686" s="620"/>
      <c r="U686" s="657"/>
      <c r="V686" s="690"/>
      <c r="W686" s="690"/>
      <c r="X686" s="713"/>
      <c r="Y686" s="690"/>
      <c r="Z686" s="690"/>
      <c r="AA686" s="657"/>
      <c r="AB686" s="690"/>
      <c r="AC686" s="658"/>
      <c r="AD686" s="658"/>
      <c r="AE686" s="658"/>
      <c r="AF686" s="688">
        <f t="shared" si="168"/>
        <v>0</v>
      </c>
    </row>
    <row r="687" spans="1:32">
      <c r="A687" s="620">
        <v>677</v>
      </c>
      <c r="B687" s="620" t="s">
        <v>977</v>
      </c>
      <c r="C687" s="620" t="s">
        <v>654</v>
      </c>
      <c r="D687" s="620"/>
      <c r="E687" s="605" t="s">
        <v>655</v>
      </c>
      <c r="F687" s="619">
        <v>-8686.9500000000007</v>
      </c>
      <c r="G687" s="324">
        <v>-1902.08</v>
      </c>
      <c r="H687" s="315">
        <v>-2909.11</v>
      </c>
      <c r="I687" s="315">
        <v>-3701.7</v>
      </c>
      <c r="J687" s="316">
        <v>-5088.7700000000004</v>
      </c>
      <c r="K687" s="317">
        <v>-5413.93</v>
      </c>
      <c r="L687" s="318">
        <v>-5821.58</v>
      </c>
      <c r="M687" s="319">
        <v>-6604.72</v>
      </c>
      <c r="N687" s="320">
        <v>-6604.72</v>
      </c>
      <c r="O687" s="606">
        <v>-6604.72</v>
      </c>
      <c r="P687" s="321">
        <v>-6937.53</v>
      </c>
      <c r="Q687" s="325">
        <v>-7240.98</v>
      </c>
      <c r="R687" s="619">
        <v>-8173.8</v>
      </c>
      <c r="S687" s="498">
        <f t="shared" ref="S687:S697" si="171">((F687+R687)+((G687+H687+I687+J687+K687+L687+M687+N687+O687+P687+Q687)*2))/24</f>
        <v>-5605.0179166666667</v>
      </c>
      <c r="T687" s="620"/>
      <c r="U687" s="657"/>
      <c r="V687" s="690"/>
      <c r="W687" s="690">
        <f>+S687</f>
        <v>-5605.0179166666667</v>
      </c>
      <c r="X687" s="713"/>
      <c r="Y687" s="690"/>
      <c r="Z687" s="690"/>
      <c r="AA687" s="657"/>
      <c r="AB687" s="690"/>
      <c r="AC687" s="659">
        <f>+S687</f>
        <v>-5605.0179166666667</v>
      </c>
      <c r="AD687" s="658"/>
      <c r="AE687" s="658"/>
      <c r="AF687" s="688"/>
    </row>
    <row r="688" spans="1:32">
      <c r="A688" s="620">
        <v>678</v>
      </c>
      <c r="B688" s="326" t="s">
        <v>977</v>
      </c>
      <c r="C688" s="326" t="s">
        <v>650</v>
      </c>
      <c r="D688" s="326" t="s">
        <v>1267</v>
      </c>
      <c r="E688" s="611" t="s">
        <v>336</v>
      </c>
      <c r="F688" s="617">
        <v>-3011.09</v>
      </c>
      <c r="G688" s="617">
        <v>-2.21</v>
      </c>
      <c r="H688" s="617">
        <v>-5.3</v>
      </c>
      <c r="I688" s="617">
        <v>-7.29</v>
      </c>
      <c r="J688" s="617">
        <v>-10.130000000000001</v>
      </c>
      <c r="K688" s="617">
        <v>-12.8</v>
      </c>
      <c r="L688" s="617">
        <v>-15.56</v>
      </c>
      <c r="M688" s="617">
        <v>-31.15</v>
      </c>
      <c r="N688" s="617">
        <v>-33.909999999999997</v>
      </c>
      <c r="O688" s="617">
        <v>-36.67</v>
      </c>
      <c r="P688" s="617">
        <v>-39.340000000000003</v>
      </c>
      <c r="Q688" s="617">
        <v>-44.08</v>
      </c>
      <c r="R688" s="617">
        <v>-45.93</v>
      </c>
      <c r="S688" s="498">
        <f t="shared" si="171"/>
        <v>-147.24583333333334</v>
      </c>
      <c r="T688" s="620"/>
      <c r="U688" s="657"/>
      <c r="V688" s="690"/>
      <c r="W688" s="690">
        <f>+S688</f>
        <v>-147.24583333333334</v>
      </c>
      <c r="X688" s="713"/>
      <c r="Y688" s="690"/>
      <c r="Z688" s="690"/>
      <c r="AA688" s="657"/>
      <c r="AB688" s="690"/>
      <c r="AC688" s="659">
        <f>+S688</f>
        <v>-147.24583333333334</v>
      </c>
      <c r="AD688" s="658"/>
      <c r="AE688" s="658"/>
      <c r="AF688" s="688">
        <f t="shared" si="168"/>
        <v>0</v>
      </c>
    </row>
    <row r="689" spans="1:32">
      <c r="A689" s="620">
        <v>679</v>
      </c>
      <c r="B689" s="326" t="s">
        <v>977</v>
      </c>
      <c r="C689" s="326" t="s">
        <v>650</v>
      </c>
      <c r="D689" s="326" t="s">
        <v>287</v>
      </c>
      <c r="E689" s="611" t="s">
        <v>1813</v>
      </c>
      <c r="F689" s="617">
        <v>-859.68</v>
      </c>
      <c r="G689" s="617">
        <v>-3040.72</v>
      </c>
      <c r="H689" s="617">
        <v>-3568.82</v>
      </c>
      <c r="I689" s="617">
        <v>-8187.51</v>
      </c>
      <c r="J689" s="617">
        <v>-8889.35</v>
      </c>
      <c r="K689" s="617">
        <v>-17552.66</v>
      </c>
      <c r="L689" s="617">
        <v>-27829.040000000001</v>
      </c>
      <c r="M689" s="617">
        <v>-28285.03</v>
      </c>
      <c r="N689" s="617">
        <v>-36630.01</v>
      </c>
      <c r="O689" s="617">
        <v>-39414.699999999997</v>
      </c>
      <c r="P689" s="617">
        <v>-45606.73</v>
      </c>
      <c r="Q689" s="617">
        <v>-48047.77</v>
      </c>
      <c r="R689" s="617">
        <v>-50576.59</v>
      </c>
      <c r="S689" s="498">
        <f t="shared" si="171"/>
        <v>-24397.539583333335</v>
      </c>
      <c r="T689" s="620"/>
      <c r="U689" s="657"/>
      <c r="V689" s="690"/>
      <c r="W689" s="690">
        <f>+S689</f>
        <v>-24397.539583333335</v>
      </c>
      <c r="X689" s="713"/>
      <c r="Y689" s="690"/>
      <c r="Z689" s="690"/>
      <c r="AA689" s="657"/>
      <c r="AB689" s="690"/>
      <c r="AC689" s="659">
        <f t="shared" ref="AC689:AC697" si="172">+S689</f>
        <v>-24397.539583333335</v>
      </c>
      <c r="AD689" s="658"/>
      <c r="AE689" s="658"/>
      <c r="AF689" s="688">
        <f t="shared" si="168"/>
        <v>0</v>
      </c>
    </row>
    <row r="690" spans="1:32">
      <c r="A690" s="620">
        <v>680</v>
      </c>
      <c r="B690" s="326" t="s">
        <v>1005</v>
      </c>
      <c r="C690" s="326" t="s">
        <v>650</v>
      </c>
      <c r="D690" s="326" t="s">
        <v>1137</v>
      </c>
      <c r="E690" s="611" t="s">
        <v>1816</v>
      </c>
      <c r="F690" s="617">
        <v>-36347.879999999997</v>
      </c>
      <c r="G690" s="617">
        <v>-455.26</v>
      </c>
      <c r="H690" s="617">
        <v>-842.9</v>
      </c>
      <c r="I690" s="617">
        <v>-24246.53</v>
      </c>
      <c r="J690" s="617">
        <v>-33614.74</v>
      </c>
      <c r="K690" s="617">
        <v>-34273.769999999997</v>
      </c>
      <c r="L690" s="617">
        <v>-40796.589999999997</v>
      </c>
      <c r="M690" s="617">
        <v>-42080.53</v>
      </c>
      <c r="N690" s="617">
        <v>-45378.37</v>
      </c>
      <c r="O690" s="617">
        <v>-48246.91</v>
      </c>
      <c r="P690" s="617">
        <v>-52939.5</v>
      </c>
      <c r="Q690" s="617">
        <v>-55862.38</v>
      </c>
      <c r="R690" s="617">
        <v>-57922.16</v>
      </c>
      <c r="S690" s="498">
        <f t="shared" si="171"/>
        <v>-35489.375</v>
      </c>
      <c r="T690" s="620"/>
      <c r="U690" s="657"/>
      <c r="V690" s="690"/>
      <c r="W690" s="690">
        <f t="shared" ref="W690:W697" si="173">+S690</f>
        <v>-35489.375</v>
      </c>
      <c r="X690" s="713"/>
      <c r="Y690" s="690"/>
      <c r="Z690" s="690"/>
      <c r="AA690" s="657"/>
      <c r="AB690" s="690"/>
      <c r="AC690" s="659">
        <f t="shared" si="172"/>
        <v>-35489.375</v>
      </c>
      <c r="AD690" s="658"/>
      <c r="AE690" s="658"/>
      <c r="AF690" s="688">
        <f t="shared" si="168"/>
        <v>0</v>
      </c>
    </row>
    <row r="691" spans="1:32">
      <c r="A691" s="620">
        <v>681</v>
      </c>
      <c r="B691" s="326" t="s">
        <v>1005</v>
      </c>
      <c r="C691" s="326" t="s">
        <v>650</v>
      </c>
      <c r="D691" s="326" t="s">
        <v>1268</v>
      </c>
      <c r="E691" s="611" t="s">
        <v>1817</v>
      </c>
      <c r="F691" s="617">
        <v>-48958.11</v>
      </c>
      <c r="G691" s="617">
        <v>-15345.72</v>
      </c>
      <c r="H691" s="617">
        <v>-24031.27</v>
      </c>
      <c r="I691" s="617">
        <v>-41781.269999999997</v>
      </c>
      <c r="J691" s="617">
        <v>-63424.37</v>
      </c>
      <c r="K691" s="617">
        <v>-89261.28</v>
      </c>
      <c r="L691" s="617">
        <v>-116170.82</v>
      </c>
      <c r="M691" s="617">
        <v>-145760.34</v>
      </c>
      <c r="N691" s="617">
        <v>-177943.42</v>
      </c>
      <c r="O691" s="617">
        <v>-214903.77</v>
      </c>
      <c r="P691" s="617">
        <v>-243170.11</v>
      </c>
      <c r="Q691" s="617">
        <v>-257003.67</v>
      </c>
      <c r="R691" s="617">
        <v>-272944.33</v>
      </c>
      <c r="S691" s="498">
        <f t="shared" si="171"/>
        <v>-129145.605</v>
      </c>
      <c r="T691" s="620"/>
      <c r="U691" s="657"/>
      <c r="V691" s="690"/>
      <c r="W691" s="690">
        <f t="shared" si="173"/>
        <v>-129145.605</v>
      </c>
      <c r="X691" s="713"/>
      <c r="Y691" s="690"/>
      <c r="Z691" s="690"/>
      <c r="AA691" s="657"/>
      <c r="AB691" s="690"/>
      <c r="AC691" s="659">
        <f t="shared" si="172"/>
        <v>-129145.605</v>
      </c>
      <c r="AD691" s="658"/>
      <c r="AE691" s="658"/>
      <c r="AF691" s="688">
        <f t="shared" si="168"/>
        <v>0</v>
      </c>
    </row>
    <row r="692" spans="1:32">
      <c r="A692" s="620">
        <v>682</v>
      </c>
      <c r="B692" s="326" t="s">
        <v>980</v>
      </c>
      <c r="C692" s="326" t="s">
        <v>650</v>
      </c>
      <c r="D692" s="326" t="s">
        <v>1137</v>
      </c>
      <c r="E692" s="611" t="s">
        <v>1816</v>
      </c>
      <c r="F692" s="617">
        <v>-91231.87</v>
      </c>
      <c r="G692" s="617">
        <v>-280.89999999999998</v>
      </c>
      <c r="H692" s="617">
        <v>-2902.45</v>
      </c>
      <c r="I692" s="617">
        <v>-24331.4</v>
      </c>
      <c r="J692" s="617">
        <v>-27446.55</v>
      </c>
      <c r="K692" s="617">
        <v>-32005.73</v>
      </c>
      <c r="L692" s="617">
        <v>-32880.769999999997</v>
      </c>
      <c r="M692" s="617">
        <v>-39606.519999999997</v>
      </c>
      <c r="N692" s="617">
        <v>-75710.539999999994</v>
      </c>
      <c r="O692" s="617">
        <v>-99548.37</v>
      </c>
      <c r="P692" s="617">
        <v>-101812.08</v>
      </c>
      <c r="Q692" s="617">
        <v>-117810.33</v>
      </c>
      <c r="R692" s="617">
        <v>-127456.02</v>
      </c>
      <c r="S692" s="498">
        <f t="shared" si="171"/>
        <v>-55306.63208333333</v>
      </c>
      <c r="T692" s="620"/>
      <c r="U692" s="657"/>
      <c r="V692" s="690"/>
      <c r="W692" s="690">
        <f t="shared" si="173"/>
        <v>-55306.63208333333</v>
      </c>
      <c r="X692" s="713"/>
      <c r="Y692" s="690"/>
      <c r="Z692" s="690"/>
      <c r="AA692" s="657"/>
      <c r="AB692" s="690"/>
      <c r="AC692" s="659">
        <f t="shared" si="172"/>
        <v>-55306.63208333333</v>
      </c>
      <c r="AD692" s="658"/>
      <c r="AE692" s="658"/>
      <c r="AF692" s="688">
        <f t="shared" si="168"/>
        <v>0</v>
      </c>
    </row>
    <row r="693" spans="1:32">
      <c r="A693" s="620">
        <v>683</v>
      </c>
      <c r="B693" s="326" t="s">
        <v>980</v>
      </c>
      <c r="C693" s="326" t="s">
        <v>650</v>
      </c>
      <c r="D693" s="326" t="s">
        <v>1268</v>
      </c>
      <c r="E693" s="611" t="s">
        <v>1817</v>
      </c>
      <c r="F693" s="617">
        <v>-333259.12</v>
      </c>
      <c r="G693" s="617">
        <v>-193561.47</v>
      </c>
      <c r="H693" s="617">
        <v>-401513.57</v>
      </c>
      <c r="I693" s="617">
        <v>-702540.04</v>
      </c>
      <c r="J693" s="617">
        <v>-1025192.68</v>
      </c>
      <c r="K693" s="617">
        <v>-1512761.49</v>
      </c>
      <c r="L693" s="617">
        <v>-1918089.91</v>
      </c>
      <c r="M693" s="617">
        <v>-2352378.36</v>
      </c>
      <c r="N693" s="617">
        <v>-2797749.95</v>
      </c>
      <c r="O693" s="617">
        <v>-3244603.12</v>
      </c>
      <c r="P693" s="617">
        <v>-3673229.92</v>
      </c>
      <c r="Q693" s="617">
        <v>-4086669.6</v>
      </c>
      <c r="R693" s="617">
        <v>-4504936.62</v>
      </c>
      <c r="S693" s="498">
        <f t="shared" si="171"/>
        <v>-2027282.3316666668</v>
      </c>
      <c r="T693" s="620"/>
      <c r="U693" s="657"/>
      <c r="V693" s="690"/>
      <c r="W693" s="690">
        <f t="shared" si="173"/>
        <v>-2027282.3316666668</v>
      </c>
      <c r="X693" s="713"/>
      <c r="Y693" s="690"/>
      <c r="Z693" s="690"/>
      <c r="AA693" s="657"/>
      <c r="AB693" s="690"/>
      <c r="AC693" s="659">
        <f t="shared" si="172"/>
        <v>-2027282.3316666668</v>
      </c>
      <c r="AD693" s="658"/>
      <c r="AE693" s="658"/>
      <c r="AF693" s="688">
        <f t="shared" si="168"/>
        <v>0</v>
      </c>
    </row>
    <row r="694" spans="1:32">
      <c r="A694" s="620">
        <v>684</v>
      </c>
      <c r="B694" s="326" t="s">
        <v>977</v>
      </c>
      <c r="C694" s="326" t="s">
        <v>651</v>
      </c>
      <c r="D694" s="620"/>
      <c r="E694" s="605" t="s">
        <v>652</v>
      </c>
      <c r="F694" s="617">
        <v>-555.79999999999995</v>
      </c>
      <c r="G694" s="617">
        <v>-418.9</v>
      </c>
      <c r="H694" s="617">
        <v>-458.49</v>
      </c>
      <c r="I694" s="617">
        <v>-579.49</v>
      </c>
      <c r="J694" s="617">
        <v>-900.44</v>
      </c>
      <c r="K694" s="617">
        <v>-900.44</v>
      </c>
      <c r="L694" s="617">
        <v>-900.44</v>
      </c>
      <c r="M694" s="617">
        <v>-1206.08</v>
      </c>
      <c r="N694" s="617">
        <v>-1206.08</v>
      </c>
      <c r="O694" s="617">
        <v>-1206.21</v>
      </c>
      <c r="P694" s="617">
        <v>-1511.72</v>
      </c>
      <c r="Q694" s="617">
        <v>-1511.72</v>
      </c>
      <c r="R694" s="617">
        <v>-1511.72</v>
      </c>
      <c r="S694" s="498">
        <f t="shared" si="171"/>
        <v>-986.14750000000004</v>
      </c>
      <c r="T694" s="620"/>
      <c r="U694" s="657"/>
      <c r="V694" s="690"/>
      <c r="W694" s="690">
        <f t="shared" si="173"/>
        <v>-986.14750000000004</v>
      </c>
      <c r="X694" s="713"/>
      <c r="Y694" s="690"/>
      <c r="Z694" s="690"/>
      <c r="AA694" s="657"/>
      <c r="AB694" s="690"/>
      <c r="AC694" s="659">
        <f t="shared" si="172"/>
        <v>-986.14750000000004</v>
      </c>
      <c r="AD694" s="658"/>
      <c r="AE694" s="658"/>
      <c r="AF694" s="688">
        <f t="shared" si="168"/>
        <v>0</v>
      </c>
    </row>
    <row r="695" spans="1:32">
      <c r="A695" s="620">
        <v>685</v>
      </c>
      <c r="B695" s="326" t="s">
        <v>977</v>
      </c>
      <c r="C695" s="326" t="s">
        <v>651</v>
      </c>
      <c r="D695" s="326" t="s">
        <v>1269</v>
      </c>
      <c r="E695" s="605" t="s">
        <v>1815</v>
      </c>
      <c r="F695" s="617">
        <v>-25320.63</v>
      </c>
      <c r="G695" s="617">
        <v>-8.3000000000000007</v>
      </c>
      <c r="H695" s="617">
        <v>-515.21</v>
      </c>
      <c r="I695" s="617">
        <v>-524.01</v>
      </c>
      <c r="J695" s="617">
        <v>-1324.65</v>
      </c>
      <c r="K695" s="617">
        <v>-1351.29</v>
      </c>
      <c r="L695" s="617">
        <v>-1862.76</v>
      </c>
      <c r="M695" s="617">
        <v>-2073.5500000000002</v>
      </c>
      <c r="N695" s="617">
        <v>-2277.0100000000002</v>
      </c>
      <c r="O695" s="617">
        <v>-2611.1</v>
      </c>
      <c r="P695" s="617">
        <v>-3018.85</v>
      </c>
      <c r="Q695" s="617">
        <v>-3038.46</v>
      </c>
      <c r="R695" s="617">
        <v>-3222.37</v>
      </c>
      <c r="S695" s="498">
        <f t="shared" si="171"/>
        <v>-2739.7241666666669</v>
      </c>
      <c r="T695" s="620"/>
      <c r="U695" s="657"/>
      <c r="V695" s="690"/>
      <c r="W695" s="690">
        <f t="shared" si="173"/>
        <v>-2739.7241666666669</v>
      </c>
      <c r="X695" s="713"/>
      <c r="Y695" s="690"/>
      <c r="Z695" s="690"/>
      <c r="AA695" s="657"/>
      <c r="AB695" s="690"/>
      <c r="AC695" s="659">
        <f t="shared" si="172"/>
        <v>-2739.7241666666669</v>
      </c>
      <c r="AD695" s="658"/>
      <c r="AE695" s="658"/>
      <c r="AF695" s="688">
        <f t="shared" si="168"/>
        <v>0</v>
      </c>
    </row>
    <row r="696" spans="1:32">
      <c r="A696" s="620">
        <v>686</v>
      </c>
      <c r="B696" s="326" t="s">
        <v>977</v>
      </c>
      <c r="C696" s="326" t="s">
        <v>653</v>
      </c>
      <c r="D696" s="620"/>
      <c r="E696" s="605" t="s">
        <v>1814</v>
      </c>
      <c r="F696" s="617">
        <v>-291152.65999999997</v>
      </c>
      <c r="G696" s="617">
        <v>-49036.05</v>
      </c>
      <c r="H696" s="617">
        <v>-93798.09</v>
      </c>
      <c r="I696" s="617">
        <v>-140846.35</v>
      </c>
      <c r="J696" s="617">
        <v>-181318.27</v>
      </c>
      <c r="K696" s="617">
        <v>-208200.92</v>
      </c>
      <c r="L696" s="617">
        <v>-247435.96</v>
      </c>
      <c r="M696" s="617">
        <v>-287914.62</v>
      </c>
      <c r="N696" s="617">
        <v>-346399.22</v>
      </c>
      <c r="O696" s="617">
        <v>-410815.07</v>
      </c>
      <c r="P696" s="617">
        <v>-486926.18</v>
      </c>
      <c r="Q696" s="617">
        <v>-563043.57999999996</v>
      </c>
      <c r="R696" s="617">
        <v>-649294.52</v>
      </c>
      <c r="S696" s="498">
        <f t="shared" si="171"/>
        <v>-290496.49166666664</v>
      </c>
      <c r="T696" s="620"/>
      <c r="U696" s="657"/>
      <c r="V696" s="690"/>
      <c r="W696" s="690">
        <f t="shared" si="173"/>
        <v>-290496.49166666664</v>
      </c>
      <c r="X696" s="713"/>
      <c r="Y696" s="690"/>
      <c r="Z696" s="690"/>
      <c r="AA696" s="657"/>
      <c r="AB696" s="690"/>
      <c r="AC696" s="659">
        <f t="shared" si="172"/>
        <v>-290496.49166666664</v>
      </c>
      <c r="AD696" s="658"/>
      <c r="AE696" s="658"/>
      <c r="AF696" s="688">
        <f t="shared" si="168"/>
        <v>0</v>
      </c>
    </row>
    <row r="697" spans="1:32">
      <c r="A697" s="620">
        <v>687</v>
      </c>
      <c r="B697" s="326" t="s">
        <v>977</v>
      </c>
      <c r="C697" s="326" t="s">
        <v>653</v>
      </c>
      <c r="D697" s="620"/>
      <c r="E697" s="605" t="s">
        <v>1814</v>
      </c>
      <c r="F697" s="617">
        <v>-47519.35</v>
      </c>
      <c r="G697" s="617">
        <v>0</v>
      </c>
      <c r="H697" s="617">
        <v>0</v>
      </c>
      <c r="I697" s="617">
        <v>0</v>
      </c>
      <c r="J697" s="617">
        <v>0</v>
      </c>
      <c r="K697" s="617">
        <v>0</v>
      </c>
      <c r="L697" s="617">
        <v>0</v>
      </c>
      <c r="M697" s="617">
        <v>16.91</v>
      </c>
      <c r="N697" s="617">
        <v>16.91</v>
      </c>
      <c r="O697" s="617">
        <v>16.91</v>
      </c>
      <c r="P697" s="617">
        <v>16.91</v>
      </c>
      <c r="Q697" s="617">
        <v>104.97</v>
      </c>
      <c r="R697" s="617">
        <v>104.97</v>
      </c>
      <c r="S697" s="498">
        <f t="shared" si="171"/>
        <v>-1961.2149999999999</v>
      </c>
      <c r="T697" s="620"/>
      <c r="U697" s="657"/>
      <c r="V697" s="690"/>
      <c r="W697" s="690">
        <f t="shared" si="173"/>
        <v>-1961.2149999999999</v>
      </c>
      <c r="X697" s="713"/>
      <c r="Y697" s="690"/>
      <c r="Z697" s="690"/>
      <c r="AA697" s="657"/>
      <c r="AB697" s="690"/>
      <c r="AC697" s="659">
        <f t="shared" si="172"/>
        <v>-1961.2149999999999</v>
      </c>
      <c r="AD697" s="658"/>
      <c r="AE697" s="658"/>
      <c r="AF697" s="688">
        <f t="shared" si="168"/>
        <v>0</v>
      </c>
    </row>
    <row r="698" spans="1:32">
      <c r="A698" s="620">
        <v>689</v>
      </c>
      <c r="B698" s="620"/>
      <c r="C698" s="620"/>
      <c r="D698" s="620"/>
      <c r="E698" s="605" t="s">
        <v>656</v>
      </c>
      <c r="F698" s="500">
        <f t="shared" ref="F698" si="174">SUM(F687:F697)</f>
        <v>-886903.13999999978</v>
      </c>
      <c r="G698" s="500">
        <f t="shared" ref="G698" si="175">SUM(G687:G697)</f>
        <v>-264051.61</v>
      </c>
      <c r="H698" s="500">
        <f t="shared" ref="H698" si="176">SUM(H687:H697)</f>
        <v>-530545.21</v>
      </c>
      <c r="I698" s="500">
        <f t="shared" ref="I698" si="177">SUM(I687:I697)</f>
        <v>-946745.59</v>
      </c>
      <c r="J698" s="500">
        <f t="shared" ref="J698" si="178">SUM(J687:J697)</f>
        <v>-1347209.95</v>
      </c>
      <c r="K698" s="500">
        <f t="shared" ref="K698" si="179">SUM(K687:K697)</f>
        <v>-1901734.3099999998</v>
      </c>
      <c r="L698" s="500">
        <f t="shared" ref="L698" si="180">SUM(L687:L697)</f>
        <v>-2391803.4299999997</v>
      </c>
      <c r="M698" s="500">
        <f t="shared" ref="M698" si="181">SUM(M687:M697)</f>
        <v>-2905923.9899999998</v>
      </c>
      <c r="N698" s="500">
        <f t="shared" ref="N698" si="182">SUM(N687:N697)</f>
        <v>-3489916.3200000003</v>
      </c>
      <c r="O698" s="500">
        <f t="shared" ref="O698" si="183">SUM(O687:O697)</f>
        <v>-4067973.73</v>
      </c>
      <c r="P698" s="500">
        <f t="shared" ref="P698" si="184">SUM(P687:P697)</f>
        <v>-4615175.05</v>
      </c>
      <c r="Q698" s="500">
        <f t="shared" ref="Q698" si="185">SUM(Q687:Q697)</f>
        <v>-5140167.6000000006</v>
      </c>
      <c r="R698" s="500">
        <f t="shared" ref="R698" si="186">SUM(R687:R697)</f>
        <v>-5675979.0900000008</v>
      </c>
      <c r="S698" s="500">
        <f>SUM(S687:S697)</f>
        <v>-2573557.3254166665</v>
      </c>
      <c r="T698" s="620"/>
      <c r="U698" s="657"/>
      <c r="V698" s="690"/>
      <c r="W698" s="690"/>
      <c r="X698" s="713"/>
      <c r="Y698" s="690"/>
      <c r="Z698" s="690"/>
      <c r="AA698" s="657"/>
      <c r="AB698" s="690"/>
      <c r="AC698" s="658"/>
      <c r="AD698" s="658"/>
      <c r="AE698" s="658"/>
    </row>
    <row r="699" spans="1:32">
      <c r="A699" s="620">
        <v>690</v>
      </c>
      <c r="B699" s="620"/>
      <c r="C699" s="620"/>
      <c r="D699" s="620"/>
      <c r="E699" s="605"/>
      <c r="F699" s="619"/>
      <c r="G699" s="324"/>
      <c r="H699" s="315"/>
      <c r="I699" s="315"/>
      <c r="J699" s="316"/>
      <c r="K699" s="317"/>
      <c r="L699" s="318"/>
      <c r="M699" s="319"/>
      <c r="N699" s="320"/>
      <c r="O699" s="606"/>
      <c r="P699" s="321"/>
      <c r="Q699" s="325"/>
      <c r="R699" s="619"/>
      <c r="S699" s="304"/>
      <c r="T699" s="620"/>
      <c r="U699" s="657"/>
      <c r="V699" s="690"/>
      <c r="W699" s="690"/>
      <c r="X699" s="713"/>
      <c r="Y699" s="690"/>
      <c r="Z699" s="690"/>
      <c r="AA699" s="657"/>
      <c r="AB699" s="690"/>
      <c r="AC699" s="658"/>
      <c r="AD699" s="658"/>
      <c r="AE699" s="658"/>
    </row>
    <row r="700" spans="1:32" ht="15.75" thickBot="1">
      <c r="A700" s="620">
        <v>691</v>
      </c>
      <c r="B700" s="541"/>
      <c r="C700" s="541"/>
      <c r="D700" s="541"/>
      <c r="E700" s="612" t="s">
        <v>657</v>
      </c>
      <c r="F700" s="332">
        <f t="shared" ref="F700:S700" si="187">+F698+F685+F615+F588+F546+F459+F419+F399</f>
        <v>-1117173255.4099998</v>
      </c>
      <c r="G700" s="332">
        <f t="shared" si="187"/>
        <v>-874125722.08000004</v>
      </c>
      <c r="H700" s="332">
        <f t="shared" si="187"/>
        <v>-939569369.36000013</v>
      </c>
      <c r="I700" s="332">
        <f t="shared" si="187"/>
        <v>-996037968.96000004</v>
      </c>
      <c r="J700" s="332">
        <f t="shared" si="187"/>
        <v>-998465333.85000002</v>
      </c>
      <c r="K700" s="332">
        <f t="shared" si="187"/>
        <v>-1006979612.15</v>
      </c>
      <c r="L700" s="332">
        <f t="shared" si="187"/>
        <v>-1026172554.4399999</v>
      </c>
      <c r="M700" s="332">
        <f t="shared" si="187"/>
        <v>-1052630814.3600001</v>
      </c>
      <c r="N700" s="332">
        <f t="shared" si="187"/>
        <v>-1077947351.52</v>
      </c>
      <c r="O700" s="332">
        <f t="shared" si="187"/>
        <v>-1095026663.54</v>
      </c>
      <c r="P700" s="332">
        <f t="shared" si="187"/>
        <v>-1143148336.5699997</v>
      </c>
      <c r="Q700" s="332">
        <f t="shared" si="187"/>
        <v>-1193037825.9899998</v>
      </c>
      <c r="R700" s="332">
        <f t="shared" si="187"/>
        <v>-1262198971.3000002</v>
      </c>
      <c r="S700" s="332">
        <f t="shared" si="187"/>
        <v>-1049402305.5145833</v>
      </c>
      <c r="T700" s="541"/>
      <c r="U700" s="662"/>
      <c r="V700" s="691"/>
      <c r="W700" s="691"/>
      <c r="X700" s="716"/>
      <c r="Y700" s="691"/>
      <c r="Z700" s="691"/>
      <c r="AA700" s="662"/>
      <c r="AB700" s="691"/>
      <c r="AC700" s="663"/>
      <c r="AD700" s="663"/>
      <c r="AE700" s="663"/>
    </row>
    <row r="701" spans="1:32" ht="15.75" thickTop="1">
      <c r="A701" s="620">
        <v>692</v>
      </c>
      <c r="B701" s="620"/>
      <c r="C701" s="620"/>
      <c r="D701" s="620"/>
      <c r="E701" s="620"/>
      <c r="F701" s="620"/>
      <c r="G701" s="620"/>
      <c r="H701" s="620"/>
      <c r="I701" s="620"/>
      <c r="J701" s="620"/>
      <c r="K701" s="620"/>
      <c r="L701" s="620"/>
      <c r="M701" s="620"/>
      <c r="N701" s="620"/>
      <c r="O701" s="620"/>
      <c r="P701" s="620"/>
      <c r="Q701" s="620"/>
      <c r="R701" s="620"/>
      <c r="S701" s="327"/>
      <c r="T701" s="620"/>
      <c r="U701" s="719"/>
      <c r="V701" s="720"/>
      <c r="W701" s="720"/>
      <c r="X701" s="720"/>
      <c r="Y701" s="720"/>
      <c r="Z701" s="720"/>
      <c r="AA701" s="719"/>
      <c r="AB701" s="720"/>
      <c r="AC701" s="721"/>
      <c r="AD701" s="721"/>
      <c r="AE701" s="721"/>
    </row>
    <row r="702" spans="1:32">
      <c r="A702" s="620">
        <v>693</v>
      </c>
      <c r="B702" s="620"/>
      <c r="C702" s="620"/>
      <c r="D702" s="620"/>
      <c r="E702" s="620"/>
      <c r="F702" s="620"/>
      <c r="G702" s="620"/>
      <c r="H702" s="620"/>
      <c r="I702" s="620"/>
      <c r="J702" s="620"/>
      <c r="K702" s="620"/>
      <c r="L702" s="620"/>
      <c r="M702" s="620"/>
      <c r="N702" s="620"/>
      <c r="O702" s="620"/>
      <c r="P702" s="620"/>
      <c r="Q702" s="620"/>
      <c r="R702" s="620"/>
      <c r="S702" s="327"/>
      <c r="T702" s="620"/>
      <c r="U702" s="327"/>
      <c r="V702" s="705"/>
      <c r="W702" s="705"/>
      <c r="X702" s="705"/>
      <c r="Y702" s="705"/>
      <c r="Z702" s="705"/>
      <c r="AA702" s="327"/>
      <c r="AB702" s="705"/>
      <c r="AC702" s="620"/>
      <c r="AD702" s="620"/>
      <c r="AE702" s="620"/>
    </row>
    <row r="703" spans="1:32">
      <c r="A703" s="620">
        <v>694</v>
      </c>
      <c r="B703" s="620"/>
      <c r="C703" s="620"/>
      <c r="D703" s="620"/>
      <c r="E703" s="541" t="s">
        <v>1270</v>
      </c>
      <c r="F703" s="620"/>
      <c r="G703" s="620"/>
      <c r="H703" s="620"/>
      <c r="I703" s="620"/>
      <c r="J703" s="620"/>
      <c r="K703" s="620"/>
      <c r="L703" s="620"/>
      <c r="M703" s="620"/>
      <c r="N703" s="620"/>
      <c r="O703" s="620"/>
      <c r="P703" s="620"/>
      <c r="Q703" s="620"/>
      <c r="R703" s="620"/>
      <c r="S703" s="327"/>
      <c r="T703" s="620"/>
      <c r="U703" s="344">
        <f t="shared" ref="U703:AD703" si="188">SUM(U15:U698)</f>
        <v>226453054.14000002</v>
      </c>
      <c r="V703" s="692">
        <f t="shared" si="188"/>
        <v>-213982709.2083334</v>
      </c>
      <c r="W703" s="692">
        <f t="shared" si="188"/>
        <v>-608665589.31624961</v>
      </c>
      <c r="X703" s="692">
        <f t="shared" si="188"/>
        <v>596195244.38458323</v>
      </c>
      <c r="Y703" s="692">
        <f t="shared" si="188"/>
        <v>361675908.75521296</v>
      </c>
      <c r="Z703" s="692">
        <f t="shared" si="188"/>
        <v>116788178.80603699</v>
      </c>
      <c r="AA703" s="344">
        <f t="shared" si="188"/>
        <v>0</v>
      </c>
      <c r="AB703" s="692">
        <f t="shared" si="188"/>
        <v>117731156.8233334</v>
      </c>
      <c r="AC703" s="722">
        <f t="shared" si="188"/>
        <v>-608665589.31624961</v>
      </c>
      <c r="AD703" s="722">
        <f t="shared" si="188"/>
        <v>12470344.931666918</v>
      </c>
      <c r="AE703" s="328">
        <f>+AB703+Z703+Y703</f>
        <v>596195244.38458335</v>
      </c>
    </row>
    <row r="704" spans="1:32">
      <c r="A704" s="620">
        <v>695</v>
      </c>
      <c r="B704" s="620"/>
      <c r="C704" s="620"/>
      <c r="D704" s="620"/>
      <c r="E704" s="620" t="s">
        <v>1271</v>
      </c>
      <c r="F704" s="620"/>
      <c r="G704" s="620"/>
      <c r="H704" s="620"/>
      <c r="I704" s="620"/>
      <c r="J704" s="620"/>
      <c r="K704" s="620"/>
      <c r="L704" s="620"/>
      <c r="M704" s="620"/>
      <c r="N704" s="620"/>
      <c r="O704" s="620"/>
      <c r="P704" s="620"/>
      <c r="Q704" s="620"/>
      <c r="R704" s="620"/>
      <c r="S704" s="327"/>
      <c r="T704" s="620"/>
      <c r="U704" s="709" t="s">
        <v>1272</v>
      </c>
      <c r="V704" s="692">
        <f>+U703+V703</f>
        <v>12470344.931666613</v>
      </c>
      <c r="W704" s="710" t="s">
        <v>1273</v>
      </c>
      <c r="X704" s="705">
        <f>-W703-X703</f>
        <v>12470344.931666374</v>
      </c>
      <c r="Y704" s="705"/>
      <c r="Z704" s="705"/>
      <c r="AA704" s="327"/>
      <c r="AB704" s="705"/>
      <c r="AC704" s="328">
        <f>+AB703+Z703+Y703</f>
        <v>596195244.38458335</v>
      </c>
      <c r="AD704" s="620"/>
      <c r="AE704" s="328">
        <f>+AE703-X703</f>
        <v>0</v>
      </c>
    </row>
    <row r="705" spans="1:31">
      <c r="A705" s="620">
        <v>696</v>
      </c>
      <c r="B705" s="620"/>
      <c r="C705" s="620"/>
      <c r="D705" s="620"/>
      <c r="E705" s="620"/>
      <c r="F705" s="620"/>
      <c r="G705" s="620"/>
      <c r="H705" s="620"/>
      <c r="I705" s="620"/>
      <c r="J705" s="620"/>
      <c r="K705" s="620"/>
      <c r="L705" s="620"/>
      <c r="M705" s="620"/>
      <c r="N705" s="620"/>
      <c r="O705" s="620"/>
      <c r="P705" s="620"/>
      <c r="Q705" s="620"/>
      <c r="R705" s="620"/>
      <c r="S705" s="327"/>
      <c r="T705" s="620"/>
      <c r="U705" s="327"/>
      <c r="V705" s="705"/>
      <c r="W705" s="705"/>
      <c r="X705" s="692">
        <f>+X704-V704</f>
        <v>-2.384185791015625E-7</v>
      </c>
      <c r="Y705" s="705"/>
      <c r="Z705" s="705"/>
      <c r="AA705" s="327">
        <f>+Y703+Z703+AB703-X703</f>
        <v>0</v>
      </c>
      <c r="AB705" s="705"/>
      <c r="AC705" s="620"/>
      <c r="AD705" s="328"/>
      <c r="AE705" s="620"/>
    </row>
    <row r="706" spans="1:31">
      <c r="A706" s="620">
        <v>697</v>
      </c>
      <c r="B706" s="620"/>
      <c r="C706" s="620"/>
      <c r="D706" s="620"/>
      <c r="E706" s="620" t="s">
        <v>1274</v>
      </c>
      <c r="F706" s="620"/>
      <c r="G706" s="620"/>
      <c r="H706" s="620"/>
      <c r="I706" s="620"/>
      <c r="J706" s="620"/>
      <c r="K706" s="620"/>
      <c r="L706" s="620"/>
      <c r="M706" s="620"/>
      <c r="N706" s="620"/>
      <c r="O706" s="620"/>
      <c r="P706" s="620"/>
      <c r="Q706" s="620"/>
      <c r="R706" s="620"/>
      <c r="S706" s="327"/>
      <c r="T706" s="620"/>
      <c r="U706" s="327"/>
      <c r="V706" s="705"/>
      <c r="W706" s="705"/>
      <c r="X706" s="705">
        <f>+X703-Y703-Z703-AB703</f>
        <v>-1.1920928955078125E-7</v>
      </c>
      <c r="Y706" s="656">
        <f>+Y703/AC704</f>
        <v>0.60664004310961817</v>
      </c>
      <c r="Z706" s="656">
        <f>+Z703/AC704</f>
        <v>0.19588914857345169</v>
      </c>
      <c r="AA706" s="656"/>
      <c r="AB706" s="656">
        <f>+AB703/AC704</f>
        <v>0.19747080831693017</v>
      </c>
      <c r="AC706" s="620"/>
      <c r="AD706" s="620"/>
      <c r="AE706" s="620"/>
    </row>
    <row r="707" spans="1:31">
      <c r="A707" s="620">
        <v>698</v>
      </c>
      <c r="B707" s="620"/>
      <c r="C707" s="620"/>
      <c r="D707" s="620"/>
      <c r="E707" s="620"/>
      <c r="F707" s="620"/>
      <c r="G707" s="620"/>
      <c r="H707" s="620"/>
      <c r="I707" s="620"/>
      <c r="J707" s="620"/>
      <c r="K707" s="620"/>
      <c r="L707" s="620"/>
      <c r="M707" s="620"/>
      <c r="N707" s="620"/>
      <c r="O707" s="620"/>
      <c r="P707" s="620"/>
      <c r="Q707" s="620"/>
      <c r="R707" s="620"/>
      <c r="S707" s="327"/>
      <c r="T707" s="620"/>
      <c r="U707" s="327"/>
      <c r="V707" s="705"/>
      <c r="W707" s="705"/>
      <c r="X707" s="705"/>
      <c r="Y707" s="705"/>
      <c r="Z707" s="705"/>
      <c r="AA707" s="327"/>
      <c r="AB707" s="705"/>
      <c r="AC707" s="620"/>
      <c r="AD707" s="620"/>
      <c r="AE707" s="620"/>
    </row>
    <row r="708" spans="1:31">
      <c r="A708" s="620">
        <v>699</v>
      </c>
      <c r="B708" s="620"/>
      <c r="C708" s="620"/>
      <c r="D708" s="620"/>
      <c r="E708" s="620" t="s">
        <v>1275</v>
      </c>
      <c r="F708" s="620"/>
      <c r="G708" s="620"/>
      <c r="H708" s="620"/>
      <c r="I708" s="620"/>
      <c r="J708" s="620"/>
      <c r="K708" s="620"/>
      <c r="L708" s="620"/>
      <c r="M708" s="620"/>
      <c r="N708" s="620"/>
      <c r="O708" s="620"/>
      <c r="P708" s="620"/>
      <c r="Q708" s="620"/>
      <c r="R708" s="620"/>
      <c r="S708" s="327"/>
      <c r="T708" s="620"/>
      <c r="U708" s="327"/>
      <c r="V708" s="705"/>
      <c r="W708" s="705"/>
      <c r="X708" s="705"/>
      <c r="Y708" s="723">
        <f>+X704*Y706</f>
        <v>7565010.5869378978</v>
      </c>
      <c r="Z708" s="705">
        <f>+X704*Z706</f>
        <v>2442805.2510813847</v>
      </c>
      <c r="AA708" s="327"/>
      <c r="AB708" s="705">
        <f>+X704*AB706</f>
        <v>2462529.0936470921</v>
      </c>
      <c r="AC708" s="620"/>
      <c r="AD708" s="620"/>
      <c r="AE708" s="620"/>
    </row>
    <row r="709" spans="1:31">
      <c r="A709" s="620"/>
      <c r="B709" s="620"/>
      <c r="C709" s="620"/>
      <c r="D709" s="620"/>
      <c r="E709" s="620"/>
      <c r="F709" s="620"/>
      <c r="G709" s="620"/>
      <c r="H709" s="620"/>
      <c r="I709" s="620"/>
      <c r="J709" s="620"/>
      <c r="K709" s="620"/>
      <c r="L709" s="620"/>
      <c r="M709" s="620"/>
      <c r="N709" s="620"/>
      <c r="O709" s="620"/>
      <c r="P709" s="620"/>
      <c r="Q709" s="620"/>
      <c r="R709" s="620"/>
      <c r="S709" s="327"/>
      <c r="T709" s="620"/>
      <c r="U709" s="327"/>
      <c r="V709" s="705"/>
      <c r="W709" s="705"/>
      <c r="X709" s="705"/>
      <c r="Y709" s="705"/>
      <c r="Z709" s="705"/>
      <c r="AA709" s="327"/>
      <c r="AB709" s="705"/>
      <c r="AC709" s="620"/>
      <c r="AD709" s="620"/>
      <c r="AE709" s="620"/>
    </row>
    <row r="710" spans="1:31">
      <c r="A710" s="620"/>
      <c r="B710" s="620"/>
      <c r="C710" s="620"/>
      <c r="D710" s="620"/>
      <c r="E710" s="620"/>
      <c r="F710" s="620"/>
      <c r="G710" s="620"/>
      <c r="H710" s="620"/>
      <c r="I710" s="620"/>
      <c r="J710" s="620"/>
      <c r="K710" s="620"/>
      <c r="L710" s="620"/>
      <c r="M710" s="620"/>
      <c r="N710" s="620"/>
      <c r="O710" s="620"/>
      <c r="P710" s="620"/>
      <c r="Q710" s="620"/>
      <c r="R710" s="620"/>
      <c r="S710" s="327"/>
      <c r="T710" s="620"/>
      <c r="U710" s="327"/>
      <c r="V710" s="705"/>
      <c r="W710" s="705"/>
      <c r="X710" s="705"/>
      <c r="Y710" s="705"/>
      <c r="Z710" s="705"/>
      <c r="AA710" s="327"/>
      <c r="AB710" s="705"/>
      <c r="AC710" s="620"/>
      <c r="AD710" s="620"/>
      <c r="AE710" s="620"/>
    </row>
    <row r="711" spans="1:31">
      <c r="A711" s="620"/>
      <c r="B711" s="620"/>
      <c r="C711" s="620"/>
      <c r="D711" s="620"/>
      <c r="E711" s="620"/>
      <c r="F711" s="620"/>
      <c r="G711" s="620"/>
      <c r="H711" s="620"/>
      <c r="I711" s="620"/>
      <c r="J711" s="620"/>
      <c r="K711" s="620"/>
      <c r="L711" s="620"/>
      <c r="M711" s="620"/>
      <c r="N711" s="620"/>
      <c r="O711" s="620"/>
      <c r="P711" s="620"/>
      <c r="Q711" s="620"/>
      <c r="R711" s="620"/>
      <c r="S711" s="327"/>
      <c r="T711" s="620"/>
      <c r="U711" s="327"/>
      <c r="V711" s="705"/>
      <c r="W711" s="705"/>
      <c r="X711" s="705"/>
      <c r="Y711" s="705"/>
      <c r="Z711" s="705"/>
      <c r="AA711" s="327"/>
      <c r="AB711" s="705"/>
      <c r="AC711" s="620"/>
      <c r="AD711" s="620"/>
      <c r="AE711" s="620"/>
    </row>
    <row r="712" spans="1:31">
      <c r="A712" s="620"/>
      <c r="B712" s="620"/>
      <c r="C712" s="620"/>
      <c r="D712" s="620"/>
      <c r="E712" s="620"/>
      <c r="F712" s="620"/>
      <c r="G712" s="620"/>
      <c r="H712" s="620"/>
      <c r="I712" s="620"/>
      <c r="J712" s="620"/>
      <c r="K712" s="620"/>
      <c r="L712" s="620"/>
      <c r="M712" s="620"/>
      <c r="N712" s="620"/>
      <c r="O712" s="620"/>
      <c r="P712" s="620"/>
      <c r="Q712" s="620"/>
      <c r="R712" s="620"/>
      <c r="S712" s="327"/>
      <c r="T712" s="620"/>
      <c r="U712" s="327"/>
      <c r="V712" s="705"/>
      <c r="W712" s="705"/>
      <c r="X712" s="705"/>
      <c r="Y712" s="705"/>
      <c r="Z712" s="705"/>
      <c r="AA712" s="327"/>
      <c r="AB712" s="705"/>
      <c r="AC712" s="620"/>
      <c r="AD712" s="620"/>
      <c r="AE712" s="620"/>
    </row>
    <row r="713" spans="1:31">
      <c r="A713" s="620"/>
      <c r="B713" s="620"/>
      <c r="C713" s="620"/>
      <c r="D713" s="620"/>
      <c r="E713" s="620"/>
      <c r="F713" s="620"/>
      <c r="G713" s="620"/>
      <c r="H713" s="620"/>
      <c r="I713" s="620"/>
      <c r="J713" s="620"/>
      <c r="K713" s="620"/>
      <c r="L713" s="620"/>
      <c r="M713" s="620"/>
      <c r="N713" s="620"/>
      <c r="O713" s="620"/>
      <c r="P713" s="620"/>
      <c r="Q713" s="620"/>
      <c r="R713" s="620"/>
      <c r="S713" s="327"/>
      <c r="T713" s="620"/>
      <c r="U713" s="327"/>
      <c r="V713" s="705"/>
      <c r="W713" s="705"/>
      <c r="X713" s="705"/>
      <c r="Y713" s="705"/>
      <c r="Z713" s="705"/>
      <c r="AA713" s="327"/>
      <c r="AB713" s="705"/>
      <c r="AC713" s="620"/>
      <c r="AD713" s="620"/>
      <c r="AE713" s="620"/>
    </row>
    <row r="714" spans="1:31">
      <c r="A714" s="620"/>
      <c r="B714" s="620"/>
      <c r="C714" s="620"/>
      <c r="D714" s="620"/>
      <c r="E714" s="620"/>
      <c r="F714" s="620"/>
      <c r="G714" s="620"/>
      <c r="H714" s="620"/>
      <c r="I714" s="620"/>
      <c r="J714" s="620"/>
      <c r="K714" s="620"/>
      <c r="L714" s="620"/>
      <c r="M714" s="620"/>
      <c r="N714" s="620"/>
      <c r="O714" s="620"/>
      <c r="P714" s="620"/>
      <c r="Q714" s="620"/>
      <c r="R714" s="620"/>
      <c r="S714" s="327"/>
      <c r="T714" s="620"/>
      <c r="U714" s="327"/>
      <c r="V714" s="705"/>
      <c r="W714" s="705"/>
      <c r="X714" s="705"/>
      <c r="Y714" s="705"/>
      <c r="Z714" s="705"/>
      <c r="AA714" s="327"/>
      <c r="AB714" s="705"/>
      <c r="AC714" s="620"/>
      <c r="AD714" s="620"/>
      <c r="AE714" s="620"/>
    </row>
    <row r="715" spans="1:31">
      <c r="A715" s="620"/>
      <c r="B715" s="620"/>
      <c r="C715" s="620"/>
      <c r="D715" s="620"/>
      <c r="E715" s="620"/>
      <c r="F715" s="620"/>
      <c r="G715" s="620"/>
      <c r="H715" s="620"/>
      <c r="I715" s="620"/>
      <c r="J715" s="620"/>
      <c r="K715" s="620"/>
      <c r="L715" s="620"/>
      <c r="M715" s="620"/>
      <c r="N715" s="620"/>
      <c r="O715" s="620"/>
      <c r="P715" s="620"/>
      <c r="Q715" s="620"/>
      <c r="R715" s="620"/>
      <c r="S715" s="327"/>
      <c r="T715" s="620"/>
      <c r="U715" s="327"/>
      <c r="V715" s="705"/>
      <c r="W715" s="705"/>
      <c r="X715" s="705"/>
      <c r="Y715" s="705"/>
      <c r="Z715" s="705"/>
      <c r="AA715" s="327"/>
      <c r="AB715" s="705"/>
      <c r="AC715" s="620"/>
      <c r="AD715" s="620"/>
      <c r="AE715" s="620"/>
    </row>
    <row r="716" spans="1:31">
      <c r="A716" s="620"/>
      <c r="B716" s="620"/>
      <c r="C716" s="620"/>
      <c r="D716" s="620"/>
      <c r="E716" s="620"/>
      <c r="F716" s="620"/>
      <c r="G716" s="620"/>
      <c r="H716" s="620"/>
      <c r="I716" s="620"/>
      <c r="J716" s="620"/>
      <c r="K716" s="620"/>
      <c r="L716" s="620"/>
      <c r="M716" s="620"/>
      <c r="N716" s="620"/>
      <c r="O716" s="620"/>
      <c r="P716" s="620"/>
      <c r="Q716" s="620"/>
      <c r="R716" s="620"/>
      <c r="S716" s="327"/>
      <c r="T716" s="620"/>
      <c r="U716" s="327"/>
      <c r="V716" s="705"/>
      <c r="W716" s="705"/>
      <c r="X716" s="705"/>
      <c r="Y716" s="705"/>
      <c r="Z716" s="705"/>
      <c r="AA716" s="327"/>
      <c r="AB716" s="705"/>
      <c r="AC716" s="620"/>
      <c r="AD716" s="620"/>
      <c r="AE716" s="620"/>
    </row>
    <row r="717" spans="1:31">
      <c r="A717" s="620"/>
      <c r="B717" s="620"/>
      <c r="C717" s="620"/>
      <c r="D717" s="620"/>
      <c r="E717" s="620"/>
      <c r="F717" s="620"/>
      <c r="G717" s="620"/>
      <c r="H717" s="620"/>
      <c r="I717" s="620"/>
      <c r="J717" s="620"/>
      <c r="K717" s="620"/>
      <c r="L717" s="620"/>
      <c r="M717" s="620"/>
      <c r="N717" s="620"/>
      <c r="O717" s="620"/>
      <c r="P717" s="620"/>
      <c r="Q717" s="620"/>
      <c r="R717" s="620"/>
      <c r="S717" s="327"/>
      <c r="T717" s="620"/>
      <c r="U717" s="327"/>
      <c r="V717" s="705"/>
      <c r="W717" s="705"/>
      <c r="X717" s="705"/>
      <c r="Y717" s="705"/>
      <c r="Z717" s="705"/>
      <c r="AA717" s="327"/>
      <c r="AB717" s="705"/>
      <c r="AC717" s="620"/>
      <c r="AD717" s="620"/>
      <c r="AE717" s="620"/>
    </row>
    <row r="718" spans="1:31">
      <c r="A718" s="620"/>
      <c r="B718" s="620"/>
      <c r="C718" s="620"/>
      <c r="D718" s="620"/>
      <c r="E718" s="620"/>
      <c r="F718" s="620"/>
      <c r="G718" s="620"/>
      <c r="H718" s="620"/>
      <c r="I718" s="620"/>
      <c r="J718" s="620"/>
      <c r="K718" s="620"/>
      <c r="L718" s="620"/>
      <c r="M718" s="620"/>
      <c r="N718" s="620"/>
      <c r="O718" s="620"/>
      <c r="P718" s="620"/>
      <c r="Q718" s="620"/>
      <c r="R718" s="620"/>
      <c r="S718" s="327"/>
      <c r="T718" s="620"/>
      <c r="U718" s="327"/>
      <c r="V718" s="705"/>
      <c r="W718" s="705"/>
      <c r="X718" s="705"/>
      <c r="Y718" s="705"/>
      <c r="Z718" s="705"/>
      <c r="AA718" s="327"/>
      <c r="AB718" s="705"/>
      <c r="AC718" s="620"/>
      <c r="AD718" s="620"/>
      <c r="AE718" s="620"/>
    </row>
    <row r="719" spans="1:31">
      <c r="A719" s="620"/>
      <c r="B719" s="620"/>
      <c r="C719" s="620"/>
      <c r="D719" s="620"/>
      <c r="E719" s="620"/>
      <c r="F719" s="620"/>
      <c r="G719" s="620"/>
      <c r="H719" s="620"/>
      <c r="I719" s="620"/>
      <c r="J719" s="620"/>
      <c r="K719" s="620"/>
      <c r="L719" s="620"/>
      <c r="M719" s="620"/>
      <c r="N719" s="620"/>
      <c r="O719" s="620"/>
      <c r="P719" s="620"/>
      <c r="Q719" s="620"/>
      <c r="R719" s="620"/>
      <c r="S719" s="327"/>
      <c r="T719" s="620"/>
      <c r="U719" s="327"/>
      <c r="V719" s="705"/>
      <c r="W719" s="705"/>
      <c r="X719" s="705"/>
      <c r="Y719" s="705"/>
      <c r="Z719" s="705"/>
      <c r="AA719" s="327"/>
      <c r="AB719" s="705"/>
      <c r="AC719" s="620"/>
      <c r="AD719" s="620"/>
      <c r="AE719" s="620"/>
    </row>
    <row r="720" spans="1:31">
      <c r="A720" s="620"/>
      <c r="B720" s="620"/>
      <c r="C720" s="620"/>
      <c r="D720" s="620"/>
      <c r="E720" s="620"/>
      <c r="F720" s="620"/>
      <c r="G720" s="620"/>
      <c r="H720" s="620"/>
      <c r="I720" s="620"/>
      <c r="J720" s="620"/>
      <c r="K720" s="620"/>
      <c r="L720" s="620"/>
      <c r="M720" s="620"/>
      <c r="N720" s="620"/>
      <c r="O720" s="620"/>
      <c r="P720" s="620"/>
      <c r="Q720" s="620"/>
      <c r="R720" s="620"/>
      <c r="S720" s="327"/>
      <c r="T720" s="620"/>
      <c r="U720" s="327"/>
      <c r="V720" s="705"/>
      <c r="W720" s="705"/>
      <c r="X720" s="705"/>
      <c r="Y720" s="705"/>
      <c r="Z720" s="705"/>
      <c r="AA720" s="327"/>
      <c r="AB720" s="705"/>
      <c r="AC720" s="620"/>
      <c r="AD720" s="620"/>
      <c r="AE720" s="620"/>
    </row>
    <row r="721" spans="1:31">
      <c r="A721" s="620"/>
      <c r="B721" s="620"/>
      <c r="C721" s="620"/>
      <c r="D721" s="620"/>
      <c r="E721" s="620"/>
      <c r="F721" s="620"/>
      <c r="G721" s="620"/>
      <c r="H721" s="620"/>
      <c r="I721" s="620"/>
      <c r="J721" s="620"/>
      <c r="K721" s="620"/>
      <c r="L721" s="620"/>
      <c r="M721" s="620"/>
      <c r="N721" s="620"/>
      <c r="O721" s="620"/>
      <c r="P721" s="620"/>
      <c r="Q721" s="620"/>
      <c r="R721" s="620"/>
      <c r="S721" s="327"/>
      <c r="T721" s="620"/>
      <c r="U721" s="327"/>
      <c r="V721" s="705"/>
      <c r="W721" s="705"/>
      <c r="X721" s="705"/>
      <c r="Y721" s="705"/>
      <c r="Z721" s="705"/>
      <c r="AA721" s="327"/>
      <c r="AB721" s="705"/>
      <c r="AC721" s="620"/>
      <c r="AD721" s="620"/>
      <c r="AE721" s="620"/>
    </row>
    <row r="722" spans="1:31">
      <c r="A722" s="620"/>
      <c r="B722" s="620"/>
      <c r="C722" s="620"/>
      <c r="D722" s="620"/>
      <c r="E722" s="620"/>
      <c r="F722" s="620"/>
      <c r="G722" s="620"/>
      <c r="H722" s="620"/>
      <c r="I722" s="620"/>
      <c r="J722" s="620"/>
      <c r="K722" s="620"/>
      <c r="L722" s="620"/>
      <c r="M722" s="620"/>
      <c r="N722" s="620"/>
      <c r="O722" s="620"/>
      <c r="P722" s="620"/>
      <c r="Q722" s="620"/>
      <c r="R722" s="620"/>
      <c r="S722" s="327"/>
      <c r="T722" s="620"/>
      <c r="U722" s="327"/>
      <c r="V722" s="705"/>
      <c r="W722" s="705"/>
      <c r="X722" s="705"/>
      <c r="Y722" s="705"/>
      <c r="Z722" s="705"/>
      <c r="AA722" s="327"/>
      <c r="AB722" s="705"/>
      <c r="AC722" s="620"/>
      <c r="AD722" s="620"/>
      <c r="AE722" s="620"/>
    </row>
    <row r="723" spans="1:31">
      <c r="A723" s="620"/>
      <c r="B723" s="620"/>
      <c r="C723" s="620"/>
      <c r="D723" s="620"/>
      <c r="E723" s="620"/>
      <c r="F723" s="620"/>
      <c r="G723" s="620"/>
      <c r="H723" s="620"/>
      <c r="I723" s="620"/>
      <c r="J723" s="620"/>
      <c r="K723" s="620"/>
      <c r="L723" s="620"/>
      <c r="M723" s="620"/>
      <c r="N723" s="620"/>
      <c r="O723" s="620"/>
      <c r="P723" s="620"/>
      <c r="Q723" s="620"/>
      <c r="R723" s="620"/>
      <c r="S723" s="327"/>
      <c r="T723" s="620"/>
      <c r="U723" s="327"/>
      <c r="V723" s="705"/>
      <c r="W723" s="705"/>
      <c r="X723" s="705"/>
      <c r="Y723" s="705"/>
      <c r="Z723" s="705"/>
      <c r="AA723" s="327"/>
      <c r="AB723" s="705"/>
      <c r="AC723" s="620"/>
      <c r="AD723" s="620"/>
      <c r="AE723" s="620"/>
    </row>
    <row r="724" spans="1:31">
      <c r="A724" s="620"/>
      <c r="B724" s="620"/>
      <c r="C724" s="620"/>
      <c r="D724" s="620"/>
      <c r="E724" s="620"/>
      <c r="F724" s="620"/>
      <c r="G724" s="620"/>
      <c r="H724" s="620"/>
      <c r="I724" s="620"/>
      <c r="J724" s="620"/>
      <c r="K724" s="620"/>
      <c r="L724" s="620"/>
      <c r="M724" s="620"/>
      <c r="N724" s="620"/>
      <c r="O724" s="620"/>
      <c r="P724" s="620"/>
      <c r="Q724" s="620"/>
      <c r="R724" s="620"/>
      <c r="S724" s="327"/>
      <c r="T724" s="620"/>
      <c r="U724" s="327"/>
      <c r="V724" s="705"/>
      <c r="W724" s="705"/>
      <c r="X724" s="705"/>
      <c r="Y724" s="705"/>
      <c r="Z724" s="705"/>
      <c r="AA724" s="327"/>
      <c r="AB724" s="705"/>
      <c r="AC724" s="620"/>
      <c r="AD724" s="620"/>
      <c r="AE724" s="620"/>
    </row>
    <row r="725" spans="1:31">
      <c r="A725" s="620"/>
      <c r="B725" s="620"/>
      <c r="C725" s="620"/>
      <c r="D725" s="620"/>
      <c r="E725" s="620"/>
      <c r="F725" s="620"/>
      <c r="G725" s="620"/>
      <c r="H725" s="620"/>
      <c r="I725" s="620"/>
      <c r="J725" s="620"/>
      <c r="K725" s="620"/>
      <c r="L725" s="620"/>
      <c r="M725" s="620"/>
      <c r="N725" s="620"/>
      <c r="O725" s="620"/>
      <c r="P725" s="620"/>
      <c r="Q725" s="620"/>
      <c r="R725" s="620"/>
      <c r="S725" s="327"/>
      <c r="T725" s="620"/>
      <c r="U725" s="327"/>
      <c r="V725" s="705"/>
      <c r="W725" s="705"/>
      <c r="X725" s="705"/>
      <c r="Y725" s="705"/>
      <c r="Z725" s="705"/>
      <c r="AA725" s="327"/>
      <c r="AB725" s="705"/>
      <c r="AC725" s="620"/>
      <c r="AD725" s="620"/>
      <c r="AE725" s="620"/>
    </row>
    <row r="726" spans="1:31">
      <c r="A726" s="620"/>
      <c r="B726" s="620"/>
      <c r="C726" s="620"/>
      <c r="D726" s="620"/>
      <c r="E726" s="620"/>
      <c r="F726" s="620"/>
      <c r="G726" s="620"/>
      <c r="H726" s="620"/>
      <c r="I726" s="620"/>
      <c r="J726" s="620"/>
      <c r="K726" s="620"/>
      <c r="L726" s="620"/>
      <c r="M726" s="620"/>
      <c r="N726" s="620"/>
      <c r="O726" s="620"/>
      <c r="P726" s="620"/>
      <c r="Q726" s="620"/>
      <c r="R726" s="620"/>
      <c r="S726" s="327"/>
      <c r="T726" s="620"/>
      <c r="U726" s="327"/>
      <c r="V726" s="705"/>
      <c r="W726" s="705"/>
      <c r="X726" s="705"/>
      <c r="Y726" s="705"/>
      <c r="Z726" s="705"/>
      <c r="AA726" s="327"/>
      <c r="AB726" s="705"/>
      <c r="AC726" s="620"/>
      <c r="AD726" s="620"/>
      <c r="AE726" s="620"/>
    </row>
    <row r="727" spans="1:31">
      <c r="A727" s="620"/>
      <c r="B727" s="620"/>
      <c r="C727" s="620"/>
      <c r="D727" s="620"/>
      <c r="E727" s="620"/>
      <c r="F727" s="620"/>
      <c r="G727" s="620"/>
      <c r="H727" s="620"/>
      <c r="I727" s="620"/>
      <c r="J727" s="620"/>
      <c r="K727" s="620"/>
      <c r="L727" s="620"/>
      <c r="M727" s="620"/>
      <c r="N727" s="620"/>
      <c r="O727" s="620"/>
      <c r="P727" s="620"/>
      <c r="Q727" s="620"/>
      <c r="R727" s="620"/>
      <c r="S727" s="327"/>
      <c r="T727" s="620"/>
      <c r="U727" s="327"/>
      <c r="V727" s="705"/>
      <c r="W727" s="705"/>
      <c r="X727" s="705"/>
      <c r="Y727" s="705"/>
      <c r="Z727" s="705"/>
      <c r="AA727" s="327"/>
      <c r="AB727" s="705"/>
      <c r="AC727" s="620"/>
      <c r="AD727" s="620"/>
      <c r="AE727" s="620"/>
    </row>
    <row r="728" spans="1:31">
      <c r="A728" s="620"/>
      <c r="B728" s="620"/>
      <c r="C728" s="620"/>
      <c r="D728" s="620"/>
      <c r="E728" s="620"/>
      <c r="F728" s="620"/>
      <c r="G728" s="620"/>
      <c r="H728" s="620"/>
      <c r="I728" s="620"/>
      <c r="J728" s="620"/>
      <c r="K728" s="620"/>
      <c r="L728" s="620"/>
      <c r="M728" s="620"/>
      <c r="N728" s="620"/>
      <c r="O728" s="620"/>
      <c r="P728" s="620"/>
      <c r="Q728" s="620"/>
      <c r="R728" s="620"/>
      <c r="S728" s="327"/>
      <c r="T728" s="620"/>
      <c r="U728" s="327"/>
      <c r="V728" s="705"/>
      <c r="W728" s="705"/>
      <c r="X728" s="705"/>
      <c r="Y728" s="705"/>
      <c r="Z728" s="705"/>
      <c r="AA728" s="327"/>
      <c r="AB728" s="705"/>
      <c r="AC728" s="620"/>
      <c r="AD728" s="620"/>
      <c r="AE728" s="620"/>
    </row>
    <row r="729" spans="1:31">
      <c r="A729" s="620"/>
      <c r="B729" s="620"/>
      <c r="C729" s="620"/>
      <c r="D729" s="620"/>
      <c r="E729" s="620"/>
      <c r="F729" s="620"/>
      <c r="G729" s="620"/>
      <c r="H729" s="620"/>
      <c r="I729" s="620"/>
      <c r="J729" s="620"/>
      <c r="K729" s="620"/>
      <c r="L729" s="620"/>
      <c r="M729" s="620"/>
      <c r="N729" s="620"/>
      <c r="O729" s="620"/>
      <c r="P729" s="620"/>
      <c r="Q729" s="620"/>
      <c r="R729" s="620"/>
      <c r="S729" s="327"/>
      <c r="T729" s="620"/>
      <c r="U729" s="327"/>
      <c r="V729" s="705"/>
      <c r="W729" s="705"/>
      <c r="X729" s="705"/>
      <c r="Y729" s="705"/>
      <c r="Z729" s="705"/>
      <c r="AA729" s="327"/>
      <c r="AB729" s="705"/>
      <c r="AC729" s="620"/>
      <c r="AD729" s="620"/>
      <c r="AE729" s="620"/>
    </row>
    <row r="730" spans="1:31">
      <c r="A730" s="620"/>
      <c r="B730" s="620"/>
      <c r="C730" s="620"/>
      <c r="D730" s="620"/>
      <c r="E730" s="620"/>
      <c r="F730" s="620"/>
      <c r="G730" s="620"/>
      <c r="H730" s="620"/>
      <c r="I730" s="620"/>
      <c r="J730" s="620"/>
      <c r="K730" s="620"/>
      <c r="L730" s="620"/>
      <c r="M730" s="620"/>
      <c r="N730" s="620"/>
      <c r="O730" s="620"/>
      <c r="P730" s="620"/>
      <c r="Q730" s="620"/>
      <c r="R730" s="620"/>
      <c r="S730" s="327"/>
      <c r="T730" s="620"/>
      <c r="U730" s="327"/>
      <c r="V730" s="705"/>
      <c r="W730" s="705"/>
      <c r="X730" s="705"/>
      <c r="Y730" s="705"/>
      <c r="Z730" s="705"/>
      <c r="AA730" s="327"/>
      <c r="AB730" s="705"/>
      <c r="AC730" s="620"/>
      <c r="AD730" s="620"/>
      <c r="AE730" s="620"/>
    </row>
    <row r="731" spans="1:31">
      <c r="A731" s="620"/>
      <c r="B731" s="620"/>
      <c r="C731" s="620"/>
      <c r="D731" s="620"/>
      <c r="E731" s="620"/>
      <c r="F731" s="620"/>
      <c r="G731" s="620"/>
      <c r="H731" s="620"/>
      <c r="I731" s="620"/>
      <c r="J731" s="620"/>
      <c r="K731" s="620"/>
      <c r="L731" s="620"/>
      <c r="M731" s="620"/>
      <c r="N731" s="620"/>
      <c r="O731" s="620"/>
      <c r="P731" s="620"/>
      <c r="Q731" s="620"/>
      <c r="R731" s="620"/>
      <c r="S731" s="327"/>
      <c r="T731" s="620"/>
      <c r="U731" s="327"/>
      <c r="V731" s="705"/>
      <c r="W731" s="705"/>
      <c r="X731" s="705"/>
      <c r="Y731" s="705"/>
      <c r="Z731" s="705"/>
      <c r="AA731" s="327"/>
      <c r="AB731" s="705"/>
      <c r="AC731" s="620"/>
      <c r="AD731" s="620"/>
      <c r="AE731" s="620"/>
    </row>
    <row r="732" spans="1:31">
      <c r="A732" s="620"/>
      <c r="B732" s="620"/>
      <c r="C732" s="620"/>
      <c r="D732" s="620"/>
      <c r="E732" s="620"/>
      <c r="F732" s="620"/>
      <c r="G732" s="620"/>
      <c r="H732" s="620"/>
      <c r="I732" s="620"/>
      <c r="J732" s="620"/>
      <c r="K732" s="620"/>
      <c r="L732" s="620"/>
      <c r="M732" s="620"/>
      <c r="N732" s="620"/>
      <c r="O732" s="620"/>
      <c r="P732" s="620"/>
      <c r="Q732" s="620"/>
      <c r="R732" s="620"/>
      <c r="S732" s="327"/>
      <c r="T732" s="620"/>
      <c r="U732" s="327"/>
      <c r="V732" s="705"/>
      <c r="W732" s="705"/>
      <c r="X732" s="705"/>
      <c r="Y732" s="705"/>
      <c r="Z732" s="705"/>
      <c r="AA732" s="327"/>
      <c r="AB732" s="705"/>
      <c r="AC732" s="620"/>
      <c r="AD732" s="620"/>
      <c r="AE732" s="620"/>
    </row>
    <row r="733" spans="1:31">
      <c r="A733" s="620"/>
      <c r="B733" s="620"/>
      <c r="C733" s="620"/>
      <c r="D733" s="620"/>
      <c r="E733" s="620"/>
      <c r="F733" s="620"/>
      <c r="G733" s="620"/>
      <c r="H733" s="620"/>
      <c r="I733" s="620"/>
      <c r="J733" s="620"/>
      <c r="K733" s="620"/>
      <c r="L733" s="620"/>
      <c r="M733" s="620"/>
      <c r="N733" s="620"/>
      <c r="O733" s="620"/>
      <c r="P733" s="620"/>
      <c r="Q733" s="620"/>
      <c r="R733" s="620"/>
      <c r="S733" s="327"/>
      <c r="T733" s="620"/>
      <c r="U733" s="327"/>
      <c r="V733" s="705"/>
      <c r="W733" s="705"/>
      <c r="X733" s="705"/>
      <c r="Y733" s="705"/>
      <c r="Z733" s="705"/>
      <c r="AA733" s="327"/>
      <c r="AB733" s="705"/>
      <c r="AC733" s="620"/>
      <c r="AD733" s="620"/>
      <c r="AE733" s="620"/>
    </row>
    <row r="734" spans="1:31">
      <c r="A734" s="620"/>
      <c r="B734" s="620"/>
      <c r="C734" s="620"/>
      <c r="D734" s="620"/>
      <c r="E734" s="620"/>
      <c r="F734" s="620"/>
      <c r="G734" s="620"/>
      <c r="H734" s="620"/>
      <c r="I734" s="620"/>
      <c r="J734" s="620"/>
      <c r="K734" s="620"/>
      <c r="L734" s="620"/>
      <c r="M734" s="620"/>
      <c r="N734" s="620"/>
      <c r="O734" s="620"/>
      <c r="P734" s="620"/>
      <c r="Q734" s="620"/>
      <c r="R734" s="620"/>
      <c r="S734" s="327"/>
      <c r="T734" s="620"/>
      <c r="U734" s="327"/>
      <c r="V734" s="705"/>
      <c r="W734" s="705"/>
      <c r="X734" s="705"/>
      <c r="Y734" s="705"/>
      <c r="Z734" s="705"/>
      <c r="AA734" s="327"/>
      <c r="AB734" s="705"/>
      <c r="AC734" s="620"/>
      <c r="AD734" s="620"/>
      <c r="AE734" s="620"/>
    </row>
    <row r="735" spans="1:31">
      <c r="A735" s="620"/>
      <c r="B735" s="620"/>
      <c r="C735" s="620"/>
      <c r="D735" s="620"/>
      <c r="E735" s="620"/>
      <c r="F735" s="620"/>
      <c r="G735" s="620"/>
      <c r="H735" s="620"/>
      <c r="I735" s="620"/>
      <c r="J735" s="620"/>
      <c r="K735" s="620"/>
      <c r="L735" s="620"/>
      <c r="M735" s="620"/>
      <c r="N735" s="620"/>
      <c r="O735" s="620"/>
      <c r="P735" s="620"/>
      <c r="Q735" s="620"/>
      <c r="R735" s="620"/>
      <c r="S735" s="327"/>
      <c r="T735" s="620"/>
      <c r="U735" s="327"/>
      <c r="V735" s="705"/>
      <c r="W735" s="705"/>
      <c r="X735" s="705"/>
      <c r="Y735" s="705"/>
      <c r="Z735" s="705"/>
      <c r="AA735" s="327"/>
      <c r="AB735" s="705"/>
      <c r="AC735" s="620"/>
      <c r="AD735" s="620"/>
      <c r="AE735" s="620"/>
    </row>
    <row r="736" spans="1:31">
      <c r="A736" s="620"/>
      <c r="B736" s="620"/>
      <c r="C736" s="620"/>
      <c r="D736" s="620"/>
      <c r="E736" s="620"/>
      <c r="F736" s="620"/>
      <c r="G736" s="620"/>
      <c r="H736" s="620"/>
      <c r="I736" s="620"/>
      <c r="J736" s="620"/>
      <c r="K736" s="620"/>
      <c r="L736" s="620"/>
      <c r="M736" s="620"/>
      <c r="N736" s="620"/>
      <c r="O736" s="620"/>
      <c r="P736" s="620"/>
      <c r="Q736" s="620"/>
      <c r="R736" s="620"/>
      <c r="S736" s="327"/>
      <c r="T736" s="620"/>
      <c r="U736" s="327"/>
      <c r="V736" s="705"/>
      <c r="W736" s="705"/>
      <c r="X736" s="705"/>
      <c r="Y736" s="705"/>
      <c r="Z736" s="705"/>
      <c r="AA736" s="327"/>
      <c r="AB736" s="705"/>
      <c r="AC736" s="620"/>
      <c r="AD736" s="620"/>
      <c r="AE736" s="620"/>
    </row>
    <row r="737" spans="1:31">
      <c r="A737" s="620"/>
      <c r="B737" s="620"/>
      <c r="C737" s="620"/>
      <c r="D737" s="620"/>
      <c r="E737" s="620"/>
      <c r="F737" s="620"/>
      <c r="G737" s="620"/>
      <c r="H737" s="620"/>
      <c r="I737" s="620"/>
      <c r="J737" s="620"/>
      <c r="K737" s="620"/>
      <c r="L737" s="620"/>
      <c r="M737" s="620"/>
      <c r="N737" s="620"/>
      <c r="O737" s="620"/>
      <c r="P737" s="620"/>
      <c r="Q737" s="620"/>
      <c r="R737" s="620"/>
      <c r="S737" s="327"/>
      <c r="T737" s="620"/>
      <c r="U737" s="327"/>
      <c r="V737" s="705"/>
      <c r="W737" s="705"/>
      <c r="X737" s="705"/>
      <c r="Y737" s="705"/>
      <c r="Z737" s="705"/>
      <c r="AA737" s="327"/>
      <c r="AB737" s="705"/>
      <c r="AC737" s="620"/>
      <c r="AD737" s="620"/>
      <c r="AE737" s="620"/>
    </row>
    <row r="738" spans="1:31">
      <c r="A738" s="620"/>
      <c r="B738" s="620"/>
      <c r="C738" s="620"/>
      <c r="D738" s="620"/>
      <c r="E738" s="620"/>
      <c r="F738" s="620"/>
      <c r="G738" s="620"/>
      <c r="H738" s="620"/>
      <c r="I738" s="620"/>
      <c r="J738" s="620"/>
      <c r="K738" s="620"/>
      <c r="L738" s="620"/>
      <c r="M738" s="620"/>
      <c r="N738" s="620"/>
      <c r="O738" s="620"/>
      <c r="P738" s="620"/>
      <c r="Q738" s="620"/>
      <c r="R738" s="620"/>
      <c r="S738" s="327"/>
      <c r="T738" s="620"/>
      <c r="U738" s="327"/>
      <c r="V738" s="705"/>
      <c r="W738" s="705"/>
      <c r="X738" s="705"/>
      <c r="Y738" s="705"/>
      <c r="Z738" s="705"/>
      <c r="AA738" s="327"/>
      <c r="AB738" s="705"/>
      <c r="AC738" s="620"/>
      <c r="AD738" s="620"/>
      <c r="AE738" s="620"/>
    </row>
    <row r="739" spans="1:31">
      <c r="A739" s="620"/>
      <c r="B739" s="620"/>
      <c r="C739" s="620"/>
      <c r="D739" s="620"/>
      <c r="E739" s="620"/>
      <c r="F739" s="620"/>
      <c r="G739" s="620"/>
      <c r="H739" s="620"/>
      <c r="I739" s="620"/>
      <c r="J739" s="620"/>
      <c r="K739" s="620"/>
      <c r="L739" s="620"/>
      <c r="M739" s="620"/>
      <c r="N739" s="620"/>
      <c r="O739" s="620"/>
      <c r="P739" s="620"/>
      <c r="Q739" s="620"/>
      <c r="R739" s="620"/>
      <c r="S739" s="327"/>
      <c r="T739" s="620"/>
      <c r="U739" s="327"/>
      <c r="V739" s="705"/>
      <c r="W739" s="705"/>
      <c r="X739" s="705"/>
      <c r="Y739" s="705"/>
      <c r="Z739" s="705"/>
      <c r="AA739" s="327"/>
      <c r="AB739" s="705"/>
      <c r="AC739" s="620"/>
      <c r="AD739" s="620"/>
      <c r="AE739" s="620"/>
    </row>
    <row r="740" spans="1:31">
      <c r="A740" s="620"/>
      <c r="B740" s="620"/>
      <c r="C740" s="620"/>
      <c r="D740" s="620"/>
      <c r="E740" s="620"/>
      <c r="F740" s="620"/>
      <c r="G740" s="620"/>
      <c r="H740" s="620"/>
      <c r="I740" s="620"/>
      <c r="J740" s="620"/>
      <c r="K740" s="620"/>
      <c r="L740" s="620"/>
      <c r="M740" s="620"/>
      <c r="N740" s="620"/>
      <c r="O740" s="620"/>
      <c r="P740" s="620"/>
      <c r="Q740" s="620"/>
      <c r="R740" s="620"/>
      <c r="S740" s="327"/>
      <c r="T740" s="620"/>
      <c r="U740" s="327"/>
      <c r="V740" s="705"/>
      <c r="W740" s="705"/>
      <c r="X740" s="705"/>
      <c r="Y740" s="705"/>
      <c r="Z740" s="705"/>
      <c r="AA740" s="327"/>
      <c r="AB740" s="705"/>
      <c r="AC740" s="620"/>
      <c r="AD740" s="620"/>
      <c r="AE740" s="620"/>
    </row>
    <row r="741" spans="1:31">
      <c r="A741" s="620"/>
      <c r="B741" s="620"/>
      <c r="C741" s="620"/>
      <c r="D741" s="620"/>
      <c r="E741" s="620"/>
      <c r="F741" s="620"/>
      <c r="G741" s="620"/>
      <c r="H741" s="620"/>
      <c r="I741" s="620"/>
      <c r="J741" s="620"/>
      <c r="K741" s="620"/>
      <c r="L741" s="620"/>
      <c r="M741" s="620"/>
      <c r="N741" s="620"/>
      <c r="O741" s="620"/>
      <c r="P741" s="620"/>
      <c r="Q741" s="620"/>
      <c r="R741" s="620"/>
      <c r="S741" s="327"/>
      <c r="T741" s="620"/>
      <c r="U741" s="327"/>
      <c r="V741" s="705"/>
      <c r="W741" s="705"/>
      <c r="X741" s="705"/>
      <c r="Y741" s="705"/>
      <c r="Z741" s="705"/>
      <c r="AA741" s="327"/>
      <c r="AB741" s="705"/>
      <c r="AC741" s="620"/>
      <c r="AD741" s="620"/>
      <c r="AE741" s="620"/>
    </row>
    <row r="742" spans="1:31">
      <c r="A742" s="620"/>
      <c r="B742" s="620"/>
      <c r="C742" s="620"/>
      <c r="D742" s="620"/>
      <c r="E742" s="620"/>
      <c r="F742" s="620"/>
      <c r="G742" s="620"/>
      <c r="H742" s="620"/>
      <c r="I742" s="620"/>
      <c r="J742" s="620"/>
      <c r="K742" s="620"/>
      <c r="L742" s="620"/>
      <c r="M742" s="620"/>
      <c r="N742" s="620"/>
      <c r="O742" s="620"/>
      <c r="P742" s="620"/>
      <c r="Q742" s="620"/>
      <c r="R742" s="620"/>
      <c r="S742" s="327"/>
      <c r="T742" s="620"/>
      <c r="U742" s="327"/>
      <c r="V742" s="705"/>
      <c r="W742" s="705"/>
      <c r="X742" s="705"/>
      <c r="Y742" s="705"/>
      <c r="Z742" s="705"/>
      <c r="AA742" s="327"/>
      <c r="AB742" s="705"/>
      <c r="AC742" s="620"/>
      <c r="AD742" s="620"/>
      <c r="AE742" s="620"/>
    </row>
    <row r="743" spans="1:31">
      <c r="A743" s="620"/>
      <c r="B743" s="620"/>
      <c r="C743" s="620"/>
      <c r="D743" s="620"/>
      <c r="E743" s="620"/>
      <c r="F743" s="620"/>
      <c r="G743" s="620"/>
      <c r="H743" s="620"/>
      <c r="I743" s="620"/>
      <c r="J743" s="620"/>
      <c r="K743" s="620"/>
      <c r="L743" s="620"/>
      <c r="M743" s="620"/>
      <c r="N743" s="620"/>
      <c r="O743" s="620"/>
      <c r="P743" s="620"/>
      <c r="Q743" s="620"/>
      <c r="R743" s="620"/>
      <c r="S743" s="327"/>
      <c r="T743" s="620"/>
      <c r="U743" s="327"/>
      <c r="V743" s="705"/>
      <c r="W743" s="705"/>
      <c r="X743" s="705"/>
      <c r="Y743" s="705"/>
      <c r="Z743" s="705"/>
      <c r="AA743" s="327"/>
      <c r="AB743" s="705"/>
      <c r="AC743" s="620"/>
      <c r="AD743" s="620"/>
      <c r="AE743" s="620"/>
    </row>
    <row r="744" spans="1:31">
      <c r="A744" s="620"/>
      <c r="B744" s="620"/>
      <c r="C744" s="620"/>
      <c r="D744" s="620"/>
      <c r="E744" s="620"/>
      <c r="F744" s="620"/>
      <c r="G744" s="620"/>
      <c r="H744" s="620"/>
      <c r="I744" s="620"/>
      <c r="J744" s="620"/>
      <c r="K744" s="620"/>
      <c r="L744" s="620"/>
      <c r="M744" s="620"/>
      <c r="N744" s="620"/>
      <c r="O744" s="620"/>
      <c r="P744" s="620"/>
      <c r="Q744" s="620"/>
      <c r="R744" s="620"/>
      <c r="S744" s="327"/>
      <c r="T744" s="620"/>
      <c r="U744" s="327"/>
      <c r="V744" s="705"/>
      <c r="W744" s="705"/>
      <c r="X744" s="705"/>
      <c r="Y744" s="705"/>
      <c r="Z744" s="705"/>
      <c r="AA744" s="327"/>
      <c r="AB744" s="705"/>
      <c r="AC744" s="620"/>
      <c r="AD744" s="620"/>
      <c r="AE744" s="620"/>
    </row>
    <row r="745" spans="1:31">
      <c r="A745" s="620"/>
      <c r="B745" s="620"/>
      <c r="C745" s="620"/>
      <c r="D745" s="620"/>
      <c r="E745" s="620"/>
      <c r="F745" s="620"/>
      <c r="G745" s="620"/>
      <c r="H745" s="620"/>
      <c r="I745" s="620"/>
      <c r="J745" s="620"/>
      <c r="K745" s="620"/>
      <c r="L745" s="620"/>
      <c r="M745" s="620"/>
      <c r="N745" s="620"/>
      <c r="O745" s="620"/>
      <c r="P745" s="620"/>
      <c r="Q745" s="620"/>
      <c r="R745" s="620"/>
      <c r="S745" s="327"/>
      <c r="T745" s="620"/>
      <c r="U745" s="327"/>
      <c r="V745" s="705"/>
      <c r="W745" s="705"/>
      <c r="X745" s="705"/>
      <c r="Y745" s="705"/>
      <c r="Z745" s="705"/>
      <c r="AA745" s="327"/>
      <c r="AB745" s="705"/>
      <c r="AC745" s="620"/>
      <c r="AD745" s="620"/>
      <c r="AE745" s="620"/>
    </row>
    <row r="746" spans="1:31">
      <c r="A746" s="620"/>
      <c r="B746" s="620"/>
      <c r="C746" s="620"/>
      <c r="D746" s="620"/>
      <c r="E746" s="620"/>
      <c r="F746" s="620"/>
      <c r="G746" s="620"/>
      <c r="H746" s="620"/>
      <c r="I746" s="620"/>
      <c r="J746" s="620"/>
      <c r="K746" s="620"/>
      <c r="L746" s="620"/>
      <c r="M746" s="620"/>
      <c r="N746" s="620"/>
      <c r="O746" s="620"/>
      <c r="P746" s="620"/>
      <c r="Q746" s="620"/>
      <c r="R746" s="620"/>
      <c r="S746" s="327"/>
      <c r="T746" s="620"/>
      <c r="U746" s="327"/>
      <c r="V746" s="705"/>
      <c r="W746" s="705"/>
      <c r="X746" s="705"/>
      <c r="Y746" s="705"/>
      <c r="Z746" s="705"/>
      <c r="AA746" s="327"/>
      <c r="AB746" s="705"/>
      <c r="AC746" s="620"/>
      <c r="AD746" s="620"/>
      <c r="AE746" s="620"/>
    </row>
    <row r="747" spans="1:31">
      <c r="A747" s="620"/>
      <c r="B747" s="620"/>
      <c r="C747" s="620"/>
      <c r="D747" s="620"/>
      <c r="E747" s="620"/>
      <c r="F747" s="620"/>
      <c r="G747" s="620"/>
      <c r="H747" s="620"/>
      <c r="I747" s="620"/>
      <c r="J747" s="620"/>
      <c r="K747" s="620"/>
      <c r="L747" s="620"/>
      <c r="M747" s="620"/>
      <c r="N747" s="620"/>
      <c r="O747" s="620"/>
      <c r="P747" s="620"/>
      <c r="Q747" s="620"/>
      <c r="R747" s="620"/>
      <c r="S747" s="327"/>
      <c r="T747" s="620"/>
      <c r="U747" s="327"/>
      <c r="V747" s="705"/>
      <c r="W747" s="705"/>
      <c r="X747" s="705"/>
      <c r="Y747" s="705"/>
      <c r="Z747" s="705"/>
      <c r="AA747" s="327"/>
      <c r="AB747" s="705"/>
      <c r="AC747" s="620"/>
      <c r="AD747" s="620"/>
      <c r="AE747" s="620"/>
    </row>
    <row r="748" spans="1:31">
      <c r="A748" s="620"/>
      <c r="B748" s="620"/>
      <c r="C748" s="620"/>
      <c r="D748" s="620"/>
      <c r="E748" s="620"/>
      <c r="F748" s="620"/>
      <c r="G748" s="620"/>
      <c r="H748" s="620"/>
      <c r="I748" s="620"/>
      <c r="J748" s="620"/>
      <c r="K748" s="620"/>
      <c r="L748" s="620"/>
      <c r="M748" s="620"/>
      <c r="N748" s="620"/>
      <c r="O748" s="620"/>
      <c r="P748" s="620"/>
      <c r="Q748" s="620"/>
      <c r="R748" s="620"/>
      <c r="S748" s="327"/>
      <c r="T748" s="620"/>
      <c r="U748" s="327"/>
      <c r="V748" s="705"/>
      <c r="W748" s="705"/>
      <c r="X748" s="705"/>
      <c r="Y748" s="705"/>
      <c r="Z748" s="705"/>
      <c r="AA748" s="327"/>
      <c r="AB748" s="705"/>
      <c r="AC748" s="620"/>
      <c r="AD748" s="620"/>
      <c r="AE748" s="620"/>
    </row>
    <row r="749" spans="1:31">
      <c r="A749" s="620"/>
      <c r="B749" s="620"/>
      <c r="C749" s="620"/>
      <c r="D749" s="620"/>
      <c r="E749" s="620"/>
      <c r="F749" s="620"/>
      <c r="G749" s="620"/>
      <c r="H749" s="620"/>
      <c r="I749" s="620"/>
      <c r="J749" s="620"/>
      <c r="K749" s="620"/>
      <c r="L749" s="620"/>
      <c r="M749" s="620"/>
      <c r="N749" s="620"/>
      <c r="O749" s="620"/>
      <c r="P749" s="620"/>
      <c r="Q749" s="620"/>
      <c r="R749" s="620"/>
      <c r="S749" s="327"/>
      <c r="T749" s="620"/>
      <c r="U749" s="327"/>
      <c r="V749" s="705"/>
      <c r="W749" s="705"/>
      <c r="X749" s="705"/>
      <c r="Y749" s="705"/>
      <c r="Z749" s="705"/>
      <c r="AA749" s="327"/>
      <c r="AB749" s="705"/>
      <c r="AC749" s="620"/>
      <c r="AD749" s="620"/>
      <c r="AE749" s="620"/>
    </row>
    <row r="750" spans="1:31">
      <c r="A750" s="620"/>
      <c r="B750" s="620"/>
      <c r="C750" s="620"/>
      <c r="D750" s="620"/>
      <c r="E750" s="620"/>
      <c r="F750" s="620"/>
      <c r="G750" s="620"/>
      <c r="H750" s="620"/>
      <c r="I750" s="620"/>
      <c r="J750" s="620"/>
      <c r="K750" s="620"/>
      <c r="L750" s="620"/>
      <c r="M750" s="620"/>
      <c r="N750" s="620"/>
      <c r="O750" s="620"/>
      <c r="P750" s="620"/>
      <c r="Q750" s="620"/>
      <c r="R750" s="620"/>
      <c r="S750" s="327"/>
      <c r="T750" s="620"/>
      <c r="U750" s="327"/>
      <c r="V750" s="705"/>
      <c r="W750" s="705"/>
      <c r="X750" s="705"/>
      <c r="Y750" s="705"/>
      <c r="Z750" s="705"/>
      <c r="AA750" s="327"/>
      <c r="AB750" s="705"/>
      <c r="AC750" s="620"/>
      <c r="AD750" s="620"/>
      <c r="AE750" s="620"/>
    </row>
    <row r="751" spans="1:31">
      <c r="A751" s="620"/>
      <c r="B751" s="620"/>
      <c r="C751" s="620"/>
      <c r="D751" s="620"/>
      <c r="E751" s="620"/>
      <c r="F751" s="620"/>
      <c r="G751" s="620"/>
      <c r="H751" s="620"/>
      <c r="I751" s="620"/>
      <c r="J751" s="620"/>
      <c r="K751" s="620"/>
      <c r="L751" s="620"/>
      <c r="M751" s="620"/>
      <c r="N751" s="620"/>
      <c r="O751" s="620"/>
      <c r="P751" s="620"/>
      <c r="Q751" s="620"/>
      <c r="R751" s="620"/>
      <c r="S751" s="327"/>
      <c r="T751" s="620"/>
      <c r="U751" s="327"/>
      <c r="V751" s="705"/>
      <c r="W751" s="705"/>
      <c r="X751" s="705"/>
      <c r="Y751" s="705"/>
      <c r="Z751" s="705"/>
      <c r="AA751" s="327"/>
      <c r="AB751" s="705"/>
      <c r="AC751" s="620"/>
      <c r="AD751" s="620"/>
      <c r="AE751" s="620"/>
    </row>
    <row r="752" spans="1:31">
      <c r="A752" s="620"/>
      <c r="B752" s="620"/>
      <c r="C752" s="620"/>
      <c r="D752" s="620"/>
      <c r="E752" s="620"/>
      <c r="F752" s="620"/>
      <c r="G752" s="620"/>
      <c r="H752" s="620"/>
      <c r="I752" s="620"/>
      <c r="J752" s="620"/>
      <c r="K752" s="620"/>
      <c r="L752" s="620"/>
      <c r="M752" s="620"/>
      <c r="N752" s="620"/>
      <c r="O752" s="620"/>
      <c r="P752" s="620"/>
      <c r="Q752" s="620"/>
      <c r="R752" s="620"/>
      <c r="S752" s="327"/>
      <c r="T752" s="620"/>
      <c r="U752" s="327"/>
      <c r="V752" s="705"/>
      <c r="W752" s="705"/>
      <c r="X752" s="705"/>
      <c r="Y752" s="705"/>
      <c r="Z752" s="705"/>
      <c r="AA752" s="327"/>
      <c r="AB752" s="705"/>
      <c r="AC752" s="620"/>
      <c r="AD752" s="620"/>
      <c r="AE752" s="620"/>
    </row>
    <row r="753" spans="1:31">
      <c r="A753" s="620"/>
      <c r="B753" s="620"/>
      <c r="C753" s="620"/>
      <c r="D753" s="620"/>
      <c r="E753" s="620"/>
      <c r="F753" s="620"/>
      <c r="G753" s="620"/>
      <c r="H753" s="620"/>
      <c r="I753" s="620"/>
      <c r="J753" s="620"/>
      <c r="K753" s="620"/>
      <c r="L753" s="620"/>
      <c r="M753" s="620"/>
      <c r="N753" s="620"/>
      <c r="O753" s="620"/>
      <c r="P753" s="620"/>
      <c r="Q753" s="620"/>
      <c r="R753" s="620"/>
      <c r="S753" s="327"/>
      <c r="T753" s="620"/>
      <c r="U753" s="327"/>
      <c r="V753" s="705"/>
      <c r="W753" s="705"/>
      <c r="X753" s="705"/>
      <c r="Y753" s="705"/>
      <c r="Z753" s="705"/>
      <c r="AA753" s="327"/>
      <c r="AB753" s="705"/>
      <c r="AC753" s="620"/>
      <c r="AD753" s="620"/>
      <c r="AE753" s="620"/>
    </row>
    <row r="754" spans="1:31">
      <c r="A754" s="620"/>
      <c r="B754" s="620"/>
      <c r="C754" s="620"/>
      <c r="D754" s="620"/>
      <c r="E754" s="620"/>
      <c r="F754" s="620"/>
      <c r="G754" s="620"/>
      <c r="H754" s="620"/>
      <c r="I754" s="620"/>
      <c r="J754" s="620"/>
      <c r="K754" s="620"/>
      <c r="L754" s="620"/>
      <c r="M754" s="620"/>
      <c r="N754" s="620"/>
      <c r="O754" s="620"/>
      <c r="P754" s="620"/>
      <c r="Q754" s="620"/>
      <c r="R754" s="620"/>
      <c r="S754" s="327"/>
      <c r="T754" s="620"/>
      <c r="U754" s="327"/>
      <c r="V754" s="705"/>
      <c r="W754" s="705"/>
      <c r="X754" s="705"/>
      <c r="Y754" s="705"/>
      <c r="Z754" s="705"/>
      <c r="AA754" s="327"/>
      <c r="AB754" s="705"/>
      <c r="AC754" s="620"/>
      <c r="AD754" s="620"/>
      <c r="AE754" s="620"/>
    </row>
    <row r="755" spans="1:31">
      <c r="A755" s="620"/>
      <c r="B755" s="620"/>
      <c r="C755" s="620"/>
      <c r="D755" s="620"/>
      <c r="E755" s="620"/>
      <c r="F755" s="620"/>
      <c r="G755" s="620"/>
      <c r="H755" s="620"/>
      <c r="I755" s="620"/>
      <c r="J755" s="620"/>
      <c r="K755" s="620"/>
      <c r="L755" s="620"/>
      <c r="M755" s="620"/>
      <c r="N755" s="620"/>
      <c r="O755" s="620"/>
      <c r="P755" s="620"/>
      <c r="Q755" s="620"/>
      <c r="R755" s="620"/>
      <c r="S755" s="327"/>
      <c r="T755" s="620"/>
      <c r="U755" s="327"/>
      <c r="V755" s="705"/>
      <c r="W755" s="705"/>
      <c r="X755" s="705"/>
      <c r="Y755" s="705"/>
      <c r="Z755" s="705"/>
      <c r="AA755" s="327"/>
      <c r="AB755" s="705"/>
      <c r="AC755" s="620"/>
      <c r="AD755" s="620"/>
      <c r="AE755" s="620"/>
    </row>
    <row r="756" spans="1:31">
      <c r="A756" s="620"/>
      <c r="B756" s="620"/>
      <c r="C756" s="620"/>
      <c r="D756" s="620"/>
      <c r="E756" s="620"/>
      <c r="F756" s="620"/>
      <c r="G756" s="620"/>
      <c r="H756" s="620"/>
      <c r="I756" s="620"/>
      <c r="J756" s="620"/>
      <c r="K756" s="620"/>
      <c r="L756" s="620"/>
      <c r="M756" s="620"/>
      <c r="N756" s="620"/>
      <c r="O756" s="620"/>
      <c r="P756" s="620"/>
      <c r="Q756" s="620"/>
      <c r="R756" s="620"/>
      <c r="S756" s="327"/>
      <c r="T756" s="620"/>
      <c r="U756" s="327"/>
      <c r="V756" s="705"/>
      <c r="W756" s="705"/>
      <c r="X756" s="705"/>
      <c r="Y756" s="705"/>
      <c r="Z756" s="705"/>
      <c r="AA756" s="327"/>
      <c r="AB756" s="705"/>
      <c r="AC756" s="620"/>
      <c r="AD756" s="620"/>
      <c r="AE756" s="620"/>
    </row>
    <row r="757" spans="1:31">
      <c r="A757" s="620"/>
      <c r="B757" s="620"/>
      <c r="C757" s="620"/>
      <c r="D757" s="620"/>
      <c r="E757" s="620"/>
      <c r="F757" s="620"/>
      <c r="G757" s="620"/>
      <c r="H757" s="620"/>
      <c r="I757" s="620"/>
      <c r="J757" s="620"/>
      <c r="K757" s="620"/>
      <c r="L757" s="620"/>
      <c r="M757" s="620"/>
      <c r="N757" s="620"/>
      <c r="O757" s="620"/>
      <c r="P757" s="620"/>
      <c r="Q757" s="620"/>
      <c r="R757" s="620"/>
      <c r="S757" s="327"/>
      <c r="T757" s="620"/>
      <c r="U757" s="327"/>
      <c r="V757" s="705"/>
      <c r="W757" s="705"/>
      <c r="X757" s="705"/>
      <c r="Y757" s="705"/>
      <c r="Z757" s="705"/>
      <c r="AA757" s="327"/>
      <c r="AB757" s="705"/>
      <c r="AC757" s="620"/>
      <c r="AD757" s="620"/>
      <c r="AE757" s="620"/>
    </row>
    <row r="758" spans="1:31">
      <c r="A758" s="620"/>
      <c r="B758" s="620"/>
      <c r="C758" s="620"/>
      <c r="D758" s="620"/>
      <c r="E758" s="620"/>
      <c r="F758" s="620"/>
      <c r="G758" s="620"/>
      <c r="H758" s="620"/>
      <c r="I758" s="620"/>
      <c r="J758" s="620"/>
      <c r="K758" s="620"/>
      <c r="L758" s="620"/>
      <c r="M758" s="620"/>
      <c r="N758" s="620"/>
      <c r="O758" s="620"/>
      <c r="P758" s="620"/>
      <c r="Q758" s="620"/>
      <c r="R758" s="620"/>
      <c r="S758" s="327"/>
      <c r="T758" s="620"/>
      <c r="U758" s="327"/>
      <c r="V758" s="705"/>
      <c r="W758" s="705"/>
      <c r="X758" s="705"/>
      <c r="Y758" s="705"/>
      <c r="Z758" s="705"/>
      <c r="AA758" s="327"/>
      <c r="AB758" s="705"/>
      <c r="AC758" s="620"/>
      <c r="AD758" s="620"/>
      <c r="AE758" s="620"/>
    </row>
    <row r="759" spans="1:31">
      <c r="A759" s="620"/>
      <c r="B759" s="620"/>
      <c r="C759" s="620"/>
      <c r="D759" s="620"/>
      <c r="E759" s="620"/>
      <c r="F759" s="620"/>
      <c r="G759" s="620"/>
      <c r="H759" s="620"/>
      <c r="I759" s="620"/>
      <c r="J759" s="620"/>
      <c r="K759" s="620"/>
      <c r="L759" s="620"/>
      <c r="M759" s="620"/>
      <c r="N759" s="620"/>
      <c r="O759" s="620"/>
      <c r="P759" s="620"/>
      <c r="Q759" s="620"/>
      <c r="R759" s="620"/>
      <c r="S759" s="327"/>
      <c r="T759" s="620"/>
      <c r="U759" s="327"/>
      <c r="V759" s="705"/>
      <c r="W759" s="705"/>
      <c r="X759" s="705"/>
      <c r="Y759" s="705"/>
      <c r="Z759" s="705"/>
      <c r="AA759" s="327"/>
      <c r="AB759" s="705"/>
      <c r="AC759" s="620"/>
      <c r="AD759" s="620"/>
      <c r="AE759" s="620"/>
    </row>
    <row r="760" spans="1:31">
      <c r="A760" s="620"/>
      <c r="B760" s="620"/>
      <c r="C760" s="620"/>
      <c r="D760" s="620"/>
      <c r="E760" s="620"/>
      <c r="F760" s="620"/>
      <c r="G760" s="620"/>
      <c r="H760" s="620"/>
      <c r="I760" s="620"/>
      <c r="J760" s="620"/>
      <c r="K760" s="620"/>
      <c r="L760" s="620"/>
      <c r="M760" s="620"/>
      <c r="N760" s="620"/>
      <c r="O760" s="620"/>
      <c r="P760" s="620"/>
      <c r="Q760" s="620"/>
      <c r="R760" s="620"/>
      <c r="S760" s="327"/>
      <c r="T760" s="620"/>
      <c r="U760" s="327"/>
      <c r="V760" s="705"/>
      <c r="W760" s="705"/>
      <c r="X760" s="705"/>
      <c r="Y760" s="705"/>
      <c r="Z760" s="705"/>
      <c r="AA760" s="327"/>
      <c r="AB760" s="705"/>
      <c r="AC760" s="620"/>
      <c r="AD760" s="620"/>
      <c r="AE760" s="620"/>
    </row>
    <row r="761" spans="1:31">
      <c r="A761" s="620"/>
      <c r="B761" s="620"/>
      <c r="C761" s="620"/>
      <c r="D761" s="620"/>
      <c r="E761" s="620"/>
      <c r="F761" s="620"/>
      <c r="G761" s="620"/>
      <c r="H761" s="620"/>
      <c r="I761" s="620"/>
      <c r="J761" s="620"/>
      <c r="K761" s="620"/>
      <c r="L761" s="620"/>
      <c r="M761" s="620"/>
      <c r="N761" s="620"/>
      <c r="O761" s="620"/>
      <c r="P761" s="620"/>
      <c r="Q761" s="620"/>
      <c r="R761" s="620"/>
      <c r="S761" s="327"/>
      <c r="T761" s="620"/>
      <c r="U761" s="327"/>
      <c r="V761" s="705"/>
      <c r="W761" s="705"/>
      <c r="X761" s="705"/>
      <c r="Y761" s="705"/>
      <c r="Z761" s="705"/>
      <c r="AA761" s="327"/>
      <c r="AB761" s="705"/>
      <c r="AC761" s="620"/>
      <c r="AD761" s="620"/>
      <c r="AE761" s="620"/>
    </row>
    <row r="762" spans="1:31">
      <c r="A762" s="620"/>
      <c r="B762" s="620"/>
      <c r="C762" s="620"/>
      <c r="D762" s="620"/>
      <c r="E762" s="620"/>
      <c r="F762" s="620"/>
      <c r="G762" s="620"/>
      <c r="H762" s="620"/>
      <c r="I762" s="620"/>
      <c r="J762" s="620"/>
      <c r="K762" s="620"/>
      <c r="L762" s="620"/>
      <c r="M762" s="620"/>
      <c r="N762" s="620"/>
      <c r="O762" s="620"/>
      <c r="P762" s="620"/>
      <c r="Q762" s="620"/>
      <c r="R762" s="620"/>
      <c r="S762" s="327"/>
      <c r="T762" s="620"/>
      <c r="U762" s="327"/>
      <c r="V762" s="705"/>
      <c r="W762" s="705"/>
      <c r="X762" s="705"/>
      <c r="Y762" s="705"/>
      <c r="Z762" s="705"/>
      <c r="AA762" s="327"/>
      <c r="AB762" s="705"/>
      <c r="AC762" s="620"/>
      <c r="AD762" s="620"/>
      <c r="AE762" s="620"/>
    </row>
    <row r="763" spans="1:31">
      <c r="A763" s="620"/>
      <c r="B763" s="620"/>
      <c r="C763" s="620"/>
      <c r="D763" s="620"/>
      <c r="E763" s="620"/>
      <c r="F763" s="620"/>
      <c r="G763" s="620"/>
      <c r="H763" s="620"/>
      <c r="I763" s="620"/>
      <c r="J763" s="620"/>
      <c r="K763" s="620"/>
      <c r="L763" s="620"/>
      <c r="M763" s="620"/>
      <c r="N763" s="620"/>
      <c r="O763" s="620"/>
      <c r="P763" s="620"/>
      <c r="Q763" s="620"/>
      <c r="R763" s="620"/>
      <c r="S763" s="327"/>
      <c r="T763" s="620"/>
      <c r="U763" s="327"/>
      <c r="V763" s="705"/>
      <c r="W763" s="705"/>
      <c r="X763" s="705"/>
      <c r="Y763" s="705"/>
      <c r="Z763" s="705"/>
      <c r="AA763" s="327"/>
      <c r="AB763" s="705"/>
      <c r="AC763" s="620"/>
      <c r="AD763" s="620"/>
      <c r="AE763" s="620"/>
    </row>
    <row r="764" spans="1:31">
      <c r="A764" s="620"/>
      <c r="B764" s="620"/>
      <c r="C764" s="620"/>
      <c r="D764" s="620"/>
      <c r="E764" s="620"/>
      <c r="F764" s="620"/>
      <c r="G764" s="620"/>
      <c r="H764" s="620"/>
      <c r="I764" s="620"/>
      <c r="J764" s="620"/>
      <c r="K764" s="620"/>
      <c r="L764" s="620"/>
      <c r="M764" s="620"/>
      <c r="N764" s="620"/>
      <c r="O764" s="620"/>
      <c r="P764" s="620"/>
      <c r="Q764" s="620"/>
      <c r="R764" s="620"/>
      <c r="S764" s="327"/>
      <c r="T764" s="620"/>
      <c r="U764" s="327"/>
      <c r="V764" s="705"/>
      <c r="W764" s="705"/>
      <c r="X764" s="705"/>
      <c r="Y764" s="705"/>
      <c r="Z764" s="705"/>
      <c r="AA764" s="327"/>
      <c r="AB764" s="705"/>
      <c r="AC764" s="620"/>
      <c r="AD764" s="620"/>
      <c r="AE764" s="620"/>
    </row>
    <row r="765" spans="1:31">
      <c r="A765" s="620"/>
      <c r="B765" s="620"/>
      <c r="C765" s="620"/>
      <c r="D765" s="620"/>
      <c r="E765" s="620"/>
      <c r="F765" s="620"/>
      <c r="G765" s="620"/>
      <c r="H765" s="620"/>
      <c r="I765" s="620"/>
      <c r="J765" s="620"/>
      <c r="K765" s="620"/>
      <c r="L765" s="620"/>
      <c r="M765" s="620"/>
      <c r="N765" s="620"/>
      <c r="O765" s="620"/>
      <c r="P765" s="620"/>
      <c r="Q765" s="620"/>
      <c r="R765" s="620"/>
      <c r="S765" s="327"/>
      <c r="T765" s="620"/>
      <c r="U765" s="327"/>
      <c r="V765" s="705"/>
      <c r="W765" s="705"/>
      <c r="X765" s="705"/>
      <c r="Y765" s="705"/>
      <c r="Z765" s="705"/>
      <c r="AA765" s="327"/>
      <c r="AB765" s="705"/>
      <c r="AC765" s="620"/>
      <c r="AD765" s="620"/>
      <c r="AE765" s="620"/>
    </row>
    <row r="766" spans="1:31">
      <c r="A766" s="620"/>
      <c r="B766" s="620"/>
      <c r="C766" s="620"/>
      <c r="D766" s="620"/>
      <c r="E766" s="620"/>
      <c r="F766" s="620"/>
      <c r="G766" s="620"/>
      <c r="H766" s="620"/>
      <c r="I766" s="620"/>
      <c r="J766" s="620"/>
      <c r="K766" s="620"/>
      <c r="L766" s="620"/>
      <c r="M766" s="620"/>
      <c r="N766" s="620"/>
      <c r="O766" s="620"/>
      <c r="P766" s="620"/>
      <c r="Q766" s="620"/>
      <c r="R766" s="620"/>
      <c r="S766" s="327"/>
      <c r="T766" s="620"/>
      <c r="U766" s="327"/>
      <c r="V766" s="705"/>
      <c r="W766" s="705"/>
      <c r="X766" s="705"/>
      <c r="Y766" s="705"/>
      <c r="Z766" s="705"/>
      <c r="AA766" s="327"/>
      <c r="AB766" s="705"/>
      <c r="AC766" s="620"/>
      <c r="AD766" s="620"/>
      <c r="AE766" s="620"/>
    </row>
    <row r="767" spans="1:31">
      <c r="A767" s="620"/>
      <c r="B767" s="620"/>
      <c r="C767" s="620"/>
      <c r="D767" s="620"/>
      <c r="E767" s="620"/>
      <c r="F767" s="620"/>
      <c r="G767" s="620"/>
      <c r="H767" s="620"/>
      <c r="I767" s="620"/>
      <c r="J767" s="620"/>
      <c r="K767" s="620"/>
      <c r="L767" s="620"/>
      <c r="M767" s="620"/>
      <c r="N767" s="620"/>
      <c r="O767" s="620"/>
      <c r="P767" s="620"/>
      <c r="Q767" s="620"/>
      <c r="R767" s="620"/>
      <c r="S767" s="327"/>
      <c r="T767" s="620"/>
      <c r="U767" s="327"/>
      <c r="V767" s="705"/>
      <c r="W767" s="705"/>
      <c r="X767" s="705"/>
      <c r="Y767" s="705"/>
      <c r="Z767" s="705"/>
      <c r="AA767" s="327"/>
      <c r="AB767" s="705"/>
      <c r="AC767" s="620"/>
      <c r="AD767" s="620"/>
      <c r="AE767" s="620"/>
    </row>
    <row r="768" spans="1:31">
      <c r="A768" s="620"/>
      <c r="B768" s="620"/>
      <c r="C768" s="620"/>
      <c r="D768" s="620"/>
      <c r="E768" s="620"/>
      <c r="F768" s="620"/>
      <c r="G768" s="620"/>
      <c r="H768" s="620"/>
      <c r="I768" s="620"/>
      <c r="J768" s="620"/>
      <c r="K768" s="620"/>
      <c r="L768" s="620"/>
      <c r="M768" s="620"/>
      <c r="N768" s="620"/>
      <c r="O768" s="620"/>
      <c r="P768" s="620"/>
      <c r="Q768" s="620"/>
      <c r="R768" s="620"/>
      <c r="S768" s="327"/>
      <c r="T768" s="620"/>
      <c r="U768" s="327"/>
      <c r="V768" s="705"/>
      <c r="W768" s="705"/>
      <c r="X768" s="705"/>
      <c r="Y768" s="705"/>
      <c r="Z768" s="705"/>
      <c r="AA768" s="327"/>
      <c r="AB768" s="705"/>
      <c r="AC768" s="620"/>
      <c r="AD768" s="620"/>
      <c r="AE768" s="620"/>
    </row>
    <row r="769" spans="1:31">
      <c r="A769" s="620"/>
      <c r="B769" s="620"/>
      <c r="C769" s="620"/>
      <c r="D769" s="620"/>
      <c r="E769" s="620"/>
      <c r="F769" s="620"/>
      <c r="G769" s="620"/>
      <c r="H769" s="620"/>
      <c r="I769" s="620"/>
      <c r="J769" s="620"/>
      <c r="K769" s="620"/>
      <c r="L769" s="620"/>
      <c r="M769" s="620"/>
      <c r="N769" s="620"/>
      <c r="O769" s="620"/>
      <c r="P769" s="620"/>
      <c r="Q769" s="620"/>
      <c r="R769" s="620"/>
      <c r="S769" s="327"/>
      <c r="T769" s="620"/>
      <c r="U769" s="327"/>
      <c r="V769" s="705"/>
      <c r="W769" s="705"/>
      <c r="X769" s="705"/>
      <c r="Y769" s="705"/>
      <c r="Z769" s="705"/>
      <c r="AA769" s="327"/>
      <c r="AB769" s="705"/>
      <c r="AC769" s="620"/>
      <c r="AD769" s="620"/>
      <c r="AE769" s="620"/>
    </row>
    <row r="770" spans="1:31">
      <c r="A770" s="620"/>
      <c r="B770" s="620"/>
      <c r="C770" s="620"/>
      <c r="D770" s="620"/>
      <c r="E770" s="620"/>
      <c r="F770" s="620"/>
      <c r="G770" s="620"/>
      <c r="H770" s="620"/>
      <c r="I770" s="620"/>
      <c r="J770" s="620"/>
      <c r="K770" s="620"/>
      <c r="L770" s="620"/>
      <c r="M770" s="620"/>
      <c r="N770" s="620"/>
      <c r="O770" s="620"/>
      <c r="P770" s="620"/>
      <c r="Q770" s="620"/>
      <c r="R770" s="620"/>
      <c r="S770" s="327"/>
      <c r="T770" s="620"/>
      <c r="U770" s="327"/>
      <c r="V770" s="705"/>
      <c r="W770" s="705"/>
      <c r="X770" s="705"/>
      <c r="Y770" s="705"/>
      <c r="Z770" s="705"/>
      <c r="AA770" s="327"/>
      <c r="AB770" s="705"/>
      <c r="AC770" s="620"/>
      <c r="AD770" s="620"/>
      <c r="AE770" s="620"/>
    </row>
    <row r="771" spans="1:31">
      <c r="A771" s="620"/>
      <c r="B771" s="620"/>
      <c r="C771" s="620"/>
      <c r="D771" s="620"/>
      <c r="E771" s="620"/>
      <c r="F771" s="620"/>
      <c r="G771" s="620"/>
      <c r="H771" s="620"/>
      <c r="I771" s="620"/>
      <c r="J771" s="620"/>
      <c r="K771" s="620"/>
      <c r="L771" s="620"/>
      <c r="M771" s="620"/>
      <c r="N771" s="620"/>
      <c r="O771" s="620"/>
      <c r="P771" s="620"/>
      <c r="Q771" s="620"/>
      <c r="R771" s="620"/>
      <c r="S771" s="327"/>
      <c r="T771" s="620"/>
      <c r="U771" s="327"/>
      <c r="V771" s="705"/>
      <c r="W771" s="705"/>
      <c r="X771" s="705"/>
      <c r="Y771" s="705"/>
      <c r="Z771" s="705"/>
      <c r="AA771" s="327"/>
      <c r="AB771" s="705"/>
      <c r="AC771" s="620"/>
      <c r="AD771" s="620"/>
      <c r="AE771" s="620"/>
    </row>
    <row r="772" spans="1:31">
      <c r="A772" s="620"/>
      <c r="B772" s="620"/>
      <c r="C772" s="620"/>
      <c r="D772" s="620"/>
      <c r="E772" s="620"/>
      <c r="F772" s="620"/>
      <c r="G772" s="620"/>
      <c r="H772" s="620"/>
      <c r="I772" s="620"/>
      <c r="J772" s="620"/>
      <c r="K772" s="620"/>
      <c r="L772" s="620"/>
      <c r="M772" s="620"/>
      <c r="N772" s="620"/>
      <c r="O772" s="620"/>
      <c r="P772" s="620"/>
      <c r="Q772" s="620"/>
      <c r="R772" s="620"/>
      <c r="S772" s="327"/>
      <c r="T772" s="620"/>
      <c r="U772" s="327"/>
      <c r="V772" s="705"/>
      <c r="W772" s="705"/>
      <c r="X772" s="705"/>
      <c r="Y772" s="705"/>
      <c r="Z772" s="705"/>
      <c r="AA772" s="327"/>
      <c r="AB772" s="705"/>
      <c r="AC772" s="620"/>
      <c r="AD772" s="620"/>
      <c r="AE772" s="620"/>
    </row>
    <row r="773" spans="1:31">
      <c r="A773" s="620"/>
      <c r="B773" s="620"/>
      <c r="C773" s="620"/>
      <c r="D773" s="620"/>
      <c r="E773" s="620"/>
      <c r="F773" s="620"/>
      <c r="G773" s="620"/>
      <c r="H773" s="620"/>
      <c r="I773" s="620"/>
      <c r="J773" s="620"/>
      <c r="K773" s="620"/>
      <c r="L773" s="620"/>
      <c r="M773" s="620"/>
      <c r="N773" s="620"/>
      <c r="O773" s="620"/>
      <c r="P773" s="620"/>
      <c r="Q773" s="620"/>
      <c r="R773" s="620"/>
      <c r="S773" s="327"/>
      <c r="T773" s="620"/>
      <c r="U773" s="327"/>
      <c r="V773" s="705"/>
      <c r="W773" s="705"/>
      <c r="X773" s="705"/>
      <c r="Y773" s="705"/>
      <c r="Z773" s="705"/>
      <c r="AA773" s="327"/>
      <c r="AB773" s="705"/>
      <c r="AC773" s="620"/>
      <c r="AD773" s="620"/>
      <c r="AE773" s="620"/>
    </row>
    <row r="774" spans="1:31">
      <c r="A774" s="620"/>
      <c r="B774" s="620"/>
      <c r="C774" s="620"/>
      <c r="D774" s="620"/>
      <c r="E774" s="620"/>
      <c r="F774" s="620"/>
      <c r="G774" s="620"/>
      <c r="H774" s="620"/>
      <c r="I774" s="620"/>
      <c r="J774" s="620"/>
      <c r="K774" s="620"/>
      <c r="L774" s="620"/>
      <c r="M774" s="620"/>
      <c r="N774" s="620"/>
      <c r="O774" s="620"/>
      <c r="P774" s="620"/>
      <c r="Q774" s="620"/>
      <c r="R774" s="620"/>
      <c r="S774" s="327"/>
      <c r="T774" s="620"/>
      <c r="U774" s="327"/>
      <c r="V774" s="705"/>
      <c r="W774" s="705"/>
      <c r="X774" s="705"/>
      <c r="Y774" s="705"/>
      <c r="Z774" s="705"/>
      <c r="AA774" s="327"/>
      <c r="AB774" s="705"/>
      <c r="AC774" s="620"/>
      <c r="AD774" s="620"/>
      <c r="AE774" s="620"/>
    </row>
    <row r="775" spans="1:31">
      <c r="A775" s="620"/>
      <c r="B775" s="620"/>
      <c r="C775" s="620"/>
      <c r="D775" s="620"/>
      <c r="E775" s="620"/>
      <c r="F775" s="620"/>
      <c r="G775" s="620"/>
      <c r="H775" s="620"/>
      <c r="I775" s="620"/>
      <c r="J775" s="620"/>
      <c r="K775" s="620"/>
      <c r="L775" s="620"/>
      <c r="M775" s="620"/>
      <c r="N775" s="620"/>
      <c r="O775" s="620"/>
      <c r="P775" s="620"/>
      <c r="Q775" s="620"/>
      <c r="R775" s="620"/>
      <c r="S775" s="327"/>
      <c r="T775" s="620"/>
      <c r="U775" s="327"/>
      <c r="V775" s="705"/>
      <c r="W775" s="705"/>
      <c r="X775" s="705"/>
      <c r="Y775" s="705"/>
      <c r="Z775" s="705"/>
      <c r="AA775" s="327"/>
      <c r="AB775" s="705"/>
      <c r="AC775" s="620"/>
      <c r="AD775" s="620"/>
      <c r="AE775" s="620"/>
    </row>
    <row r="776" spans="1:31">
      <c r="A776" s="620"/>
      <c r="B776" s="620"/>
      <c r="C776" s="620"/>
      <c r="D776" s="620"/>
      <c r="E776" s="620"/>
      <c r="F776" s="620"/>
      <c r="G776" s="620"/>
      <c r="H776" s="620"/>
      <c r="I776" s="620"/>
      <c r="J776" s="620"/>
      <c r="K776" s="620"/>
      <c r="L776" s="620"/>
      <c r="M776" s="620"/>
      <c r="N776" s="620"/>
      <c r="O776" s="620"/>
      <c r="P776" s="620"/>
      <c r="Q776" s="620"/>
      <c r="R776" s="620"/>
      <c r="S776" s="327"/>
      <c r="T776" s="620"/>
      <c r="U776" s="327"/>
      <c r="V776" s="705"/>
      <c r="W776" s="705"/>
      <c r="X776" s="705"/>
      <c r="Y776" s="705"/>
      <c r="Z776" s="705"/>
      <c r="AA776" s="327"/>
      <c r="AB776" s="705"/>
      <c r="AC776" s="620"/>
      <c r="AD776" s="620"/>
      <c r="AE776" s="620"/>
    </row>
    <row r="777" spans="1:31">
      <c r="A777" s="620"/>
      <c r="B777" s="620"/>
      <c r="C777" s="620"/>
      <c r="D777" s="620"/>
      <c r="E777" s="620"/>
      <c r="F777" s="620"/>
      <c r="G777" s="620"/>
      <c r="H777" s="620"/>
      <c r="I777" s="620"/>
      <c r="J777" s="620"/>
      <c r="K777" s="620"/>
      <c r="L777" s="620"/>
      <c r="M777" s="620"/>
      <c r="N777" s="620"/>
      <c r="O777" s="620"/>
      <c r="P777" s="620"/>
      <c r="Q777" s="620"/>
      <c r="R777" s="620"/>
      <c r="S777" s="327"/>
      <c r="T777" s="620"/>
      <c r="U777" s="327"/>
      <c r="V777" s="705"/>
      <c r="W777" s="705"/>
      <c r="X777" s="705"/>
      <c r="Y777" s="705"/>
      <c r="Z777" s="705"/>
      <c r="AA777" s="327"/>
      <c r="AB777" s="705"/>
      <c r="AC777" s="620"/>
      <c r="AD777" s="620"/>
      <c r="AE777" s="620"/>
    </row>
    <row r="778" spans="1:31">
      <c r="A778" s="620"/>
      <c r="B778" s="620"/>
      <c r="C778" s="620"/>
      <c r="D778" s="620"/>
      <c r="E778" s="620"/>
      <c r="F778" s="620"/>
      <c r="G778" s="620"/>
      <c r="H778" s="620"/>
      <c r="I778" s="620"/>
      <c r="J778" s="620"/>
      <c r="K778" s="620"/>
      <c r="L778" s="620"/>
      <c r="M778" s="620"/>
      <c r="N778" s="620"/>
      <c r="O778" s="620"/>
      <c r="P778" s="620"/>
      <c r="Q778" s="620"/>
      <c r="R778" s="620"/>
      <c r="S778" s="327"/>
      <c r="T778" s="620"/>
      <c r="U778" s="327"/>
      <c r="V778" s="705"/>
      <c r="W778" s="705"/>
      <c r="X778" s="705"/>
      <c r="Y778" s="705"/>
      <c r="Z778" s="705"/>
      <c r="AA778" s="327"/>
      <c r="AB778" s="705"/>
      <c r="AC778" s="620"/>
      <c r="AD778" s="620"/>
      <c r="AE778" s="620"/>
    </row>
    <row r="779" spans="1:31">
      <c r="A779" s="620"/>
      <c r="B779" s="620"/>
      <c r="C779" s="620"/>
      <c r="D779" s="620"/>
      <c r="E779" s="620"/>
      <c r="F779" s="620"/>
      <c r="G779" s="620"/>
      <c r="H779" s="620"/>
      <c r="I779" s="620"/>
      <c r="J779" s="620"/>
      <c r="K779" s="620"/>
      <c r="L779" s="620"/>
      <c r="M779" s="620"/>
      <c r="N779" s="620"/>
      <c r="O779" s="620"/>
      <c r="P779" s="620"/>
      <c r="Q779" s="620"/>
      <c r="R779" s="620"/>
      <c r="S779" s="327"/>
      <c r="T779" s="620"/>
      <c r="U779" s="327"/>
      <c r="V779" s="705"/>
      <c r="W779" s="705"/>
      <c r="X779" s="705"/>
      <c r="Y779" s="705"/>
      <c r="Z779" s="705"/>
      <c r="AA779" s="327"/>
      <c r="AB779" s="705"/>
      <c r="AC779" s="620"/>
      <c r="AD779" s="620"/>
      <c r="AE779" s="620"/>
    </row>
    <row r="780" spans="1:31">
      <c r="A780" s="620"/>
      <c r="B780" s="620"/>
      <c r="C780" s="620"/>
      <c r="D780" s="620"/>
      <c r="E780" s="620"/>
      <c r="F780" s="620"/>
      <c r="G780" s="620"/>
      <c r="H780" s="620"/>
      <c r="I780" s="620"/>
      <c r="J780" s="620"/>
      <c r="K780" s="620"/>
      <c r="L780" s="620"/>
      <c r="M780" s="620"/>
      <c r="N780" s="620"/>
      <c r="O780" s="620"/>
      <c r="P780" s="620"/>
      <c r="Q780" s="620"/>
      <c r="R780" s="620"/>
      <c r="S780" s="327"/>
      <c r="T780" s="620"/>
      <c r="U780" s="327"/>
      <c r="V780" s="705"/>
      <c r="W780" s="705"/>
      <c r="X780" s="705"/>
      <c r="Y780" s="705"/>
      <c r="Z780" s="705"/>
      <c r="AA780" s="327"/>
      <c r="AB780" s="705"/>
      <c r="AC780" s="620"/>
      <c r="AD780" s="620"/>
      <c r="AE780" s="620"/>
    </row>
    <row r="781" spans="1:31">
      <c r="A781" s="620"/>
      <c r="B781" s="620"/>
      <c r="C781" s="620"/>
      <c r="D781" s="620"/>
      <c r="E781" s="620"/>
      <c r="F781" s="620"/>
      <c r="G781" s="620"/>
      <c r="H781" s="620"/>
      <c r="I781" s="620"/>
      <c r="J781" s="620"/>
      <c r="K781" s="620"/>
      <c r="L781" s="620"/>
      <c r="M781" s="620"/>
      <c r="N781" s="620"/>
      <c r="O781" s="620"/>
      <c r="P781" s="620"/>
      <c r="Q781" s="620"/>
      <c r="R781" s="620"/>
      <c r="S781" s="327"/>
      <c r="T781" s="620"/>
      <c r="U781" s="327"/>
      <c r="V781" s="705"/>
      <c r="W781" s="705"/>
      <c r="X781" s="705"/>
      <c r="Y781" s="705"/>
      <c r="Z781" s="705"/>
      <c r="AA781" s="327"/>
      <c r="AB781" s="705"/>
      <c r="AC781" s="620"/>
      <c r="AD781" s="620"/>
      <c r="AE781" s="620"/>
    </row>
    <row r="782" spans="1:31">
      <c r="A782" s="620"/>
      <c r="B782" s="620"/>
      <c r="C782" s="620"/>
      <c r="D782" s="620"/>
      <c r="E782" s="620"/>
      <c r="F782" s="620"/>
      <c r="G782" s="620"/>
      <c r="H782" s="620"/>
      <c r="I782" s="620"/>
      <c r="J782" s="620"/>
      <c r="K782" s="620"/>
      <c r="L782" s="620"/>
      <c r="M782" s="620"/>
      <c r="N782" s="620"/>
      <c r="O782" s="620"/>
      <c r="P782" s="620"/>
      <c r="Q782" s="620"/>
      <c r="R782" s="620"/>
      <c r="S782" s="327"/>
      <c r="T782" s="620"/>
      <c r="U782" s="327"/>
      <c r="V782" s="705"/>
      <c r="W782" s="705"/>
      <c r="X782" s="705"/>
      <c r="Y782" s="705"/>
      <c r="Z782" s="705"/>
      <c r="AA782" s="327"/>
      <c r="AB782" s="705"/>
      <c r="AC782" s="620"/>
      <c r="AD782" s="620"/>
      <c r="AE782" s="620"/>
    </row>
    <row r="783" spans="1:31">
      <c r="A783" s="620"/>
      <c r="B783" s="620"/>
      <c r="C783" s="620"/>
      <c r="D783" s="620"/>
      <c r="E783" s="620"/>
      <c r="F783" s="620"/>
      <c r="G783" s="620"/>
      <c r="H783" s="620"/>
      <c r="I783" s="620"/>
      <c r="J783" s="620"/>
      <c r="K783" s="620"/>
      <c r="L783" s="620"/>
      <c r="M783" s="620"/>
      <c r="N783" s="620"/>
      <c r="O783" s="620"/>
      <c r="P783" s="620"/>
      <c r="Q783" s="620"/>
      <c r="R783" s="620"/>
      <c r="S783" s="327"/>
      <c r="T783" s="620"/>
      <c r="U783" s="327"/>
      <c r="V783" s="705"/>
      <c r="W783" s="705"/>
      <c r="X783" s="705"/>
      <c r="Y783" s="705"/>
      <c r="Z783" s="705"/>
      <c r="AA783" s="327"/>
      <c r="AB783" s="705"/>
      <c r="AC783" s="620"/>
      <c r="AD783" s="620"/>
      <c r="AE783" s="620"/>
    </row>
    <row r="784" spans="1:31">
      <c r="A784" s="620"/>
      <c r="B784" s="620"/>
      <c r="C784" s="620"/>
      <c r="D784" s="620"/>
      <c r="E784" s="620"/>
      <c r="F784" s="620"/>
      <c r="G784" s="620"/>
      <c r="H784" s="620"/>
      <c r="I784" s="620"/>
      <c r="J784" s="620"/>
      <c r="K784" s="620"/>
      <c r="L784" s="620"/>
      <c r="M784" s="620"/>
      <c r="N784" s="620"/>
      <c r="O784" s="620"/>
      <c r="P784" s="620"/>
      <c r="Q784" s="620"/>
      <c r="R784" s="620"/>
      <c r="S784" s="327"/>
      <c r="T784" s="620"/>
      <c r="U784" s="327"/>
      <c r="V784" s="705"/>
      <c r="W784" s="705"/>
      <c r="X784" s="705"/>
      <c r="Y784" s="705"/>
      <c r="Z784" s="705"/>
      <c r="AA784" s="327"/>
      <c r="AB784" s="705"/>
      <c r="AC784" s="620"/>
      <c r="AD784" s="620"/>
      <c r="AE784" s="620"/>
    </row>
    <row r="785" spans="1:31">
      <c r="A785" s="620"/>
      <c r="B785" s="620"/>
      <c r="C785" s="620"/>
      <c r="D785" s="620"/>
      <c r="E785" s="620"/>
      <c r="F785" s="620"/>
      <c r="G785" s="620"/>
      <c r="H785" s="620"/>
      <c r="I785" s="620"/>
      <c r="J785" s="620"/>
      <c r="K785" s="620"/>
      <c r="L785" s="620"/>
      <c r="M785" s="620"/>
      <c r="N785" s="620"/>
      <c r="O785" s="620"/>
      <c r="P785" s="620"/>
      <c r="Q785" s="620"/>
      <c r="R785" s="620"/>
      <c r="S785" s="327"/>
      <c r="T785" s="620"/>
      <c r="U785" s="327"/>
      <c r="V785" s="705"/>
      <c r="W785" s="705"/>
      <c r="X785" s="705"/>
      <c r="Y785" s="705"/>
      <c r="Z785" s="705"/>
      <c r="AA785" s="327"/>
      <c r="AB785" s="705"/>
      <c r="AC785" s="620"/>
      <c r="AD785" s="620"/>
      <c r="AE785" s="620"/>
    </row>
    <row r="786" spans="1:31">
      <c r="A786" s="620"/>
      <c r="B786" s="620"/>
      <c r="C786" s="620"/>
      <c r="D786" s="620"/>
      <c r="E786" s="620"/>
      <c r="F786" s="620"/>
      <c r="G786" s="620"/>
      <c r="H786" s="620"/>
      <c r="I786" s="620"/>
      <c r="J786" s="620"/>
      <c r="K786" s="620"/>
      <c r="L786" s="620"/>
      <c r="M786" s="620"/>
      <c r="N786" s="620"/>
      <c r="O786" s="620"/>
      <c r="P786" s="620"/>
      <c r="Q786" s="620"/>
      <c r="R786" s="620"/>
      <c r="S786" s="327"/>
      <c r="T786" s="620"/>
      <c r="U786" s="327"/>
      <c r="V786" s="705"/>
      <c r="W786" s="705"/>
      <c r="X786" s="705"/>
      <c r="Y786" s="705"/>
      <c r="Z786" s="705"/>
      <c r="AA786" s="327"/>
      <c r="AB786" s="705"/>
      <c r="AC786" s="620"/>
      <c r="AD786" s="620"/>
      <c r="AE786" s="620"/>
    </row>
    <row r="787" spans="1:31">
      <c r="A787" s="620"/>
      <c r="B787" s="620"/>
      <c r="C787" s="620"/>
      <c r="D787" s="620"/>
      <c r="E787" s="620"/>
      <c r="F787" s="620"/>
      <c r="G787" s="620"/>
      <c r="H787" s="620"/>
      <c r="I787" s="620"/>
      <c r="J787" s="620"/>
      <c r="K787" s="620"/>
      <c r="L787" s="620"/>
      <c r="M787" s="620"/>
      <c r="N787" s="620"/>
      <c r="O787" s="620"/>
      <c r="P787" s="620"/>
      <c r="Q787" s="620"/>
      <c r="R787" s="620"/>
      <c r="S787" s="327"/>
      <c r="T787" s="620"/>
      <c r="U787" s="327"/>
      <c r="V787" s="705"/>
      <c r="W787" s="705"/>
      <c r="X787" s="705"/>
      <c r="Y787" s="705"/>
      <c r="Z787" s="705"/>
      <c r="AA787" s="327"/>
      <c r="AB787" s="705"/>
      <c r="AC787" s="620"/>
      <c r="AD787" s="620"/>
      <c r="AE787" s="620"/>
    </row>
    <row r="788" spans="1:31">
      <c r="A788" s="620"/>
      <c r="B788" s="620"/>
      <c r="C788" s="620"/>
      <c r="D788" s="620"/>
      <c r="E788" s="620"/>
      <c r="F788" s="620"/>
      <c r="G788" s="620"/>
      <c r="H788" s="620"/>
      <c r="I788" s="620"/>
      <c r="J788" s="620"/>
      <c r="K788" s="620"/>
      <c r="L788" s="620"/>
      <c r="M788" s="620"/>
      <c r="N788" s="620"/>
      <c r="O788" s="620"/>
      <c r="P788" s="620"/>
      <c r="Q788" s="620"/>
      <c r="R788" s="620"/>
      <c r="S788" s="327"/>
      <c r="T788" s="620"/>
      <c r="U788" s="327"/>
      <c r="V788" s="705"/>
      <c r="W788" s="705"/>
      <c r="X788" s="705"/>
      <c r="Y788" s="705"/>
      <c r="Z788" s="705"/>
      <c r="AA788" s="327"/>
      <c r="AB788" s="705"/>
      <c r="AC788" s="620"/>
      <c r="AD788" s="620"/>
      <c r="AE788" s="620"/>
    </row>
    <row r="789" spans="1:31">
      <c r="A789" s="620"/>
      <c r="B789" s="620"/>
      <c r="C789" s="620"/>
      <c r="D789" s="620"/>
      <c r="E789" s="620"/>
      <c r="F789" s="620"/>
      <c r="G789" s="620"/>
      <c r="H789" s="620"/>
      <c r="I789" s="620"/>
      <c r="J789" s="620"/>
      <c r="K789" s="620"/>
      <c r="L789" s="620"/>
      <c r="M789" s="620"/>
      <c r="N789" s="620"/>
      <c r="O789" s="620"/>
      <c r="P789" s="620"/>
      <c r="Q789" s="620"/>
      <c r="R789" s="620"/>
      <c r="S789" s="327"/>
      <c r="T789" s="620"/>
      <c r="U789" s="327"/>
      <c r="V789" s="705"/>
      <c r="W789" s="705"/>
      <c r="X789" s="705"/>
      <c r="Y789" s="705"/>
      <c r="Z789" s="705"/>
      <c r="AA789" s="327"/>
      <c r="AB789" s="705"/>
      <c r="AC789" s="620"/>
      <c r="AD789" s="620"/>
      <c r="AE789" s="620"/>
    </row>
    <row r="790" spans="1:31">
      <c r="A790" s="620"/>
      <c r="B790" s="620"/>
      <c r="C790" s="620"/>
      <c r="D790" s="620"/>
      <c r="E790" s="620"/>
      <c r="F790" s="620"/>
      <c r="G790" s="620"/>
      <c r="H790" s="620"/>
      <c r="I790" s="620"/>
      <c r="J790" s="620"/>
      <c r="K790" s="620"/>
      <c r="L790" s="620"/>
      <c r="M790" s="620"/>
      <c r="N790" s="620"/>
      <c r="O790" s="620"/>
      <c r="P790" s="620"/>
      <c r="Q790" s="620"/>
      <c r="R790" s="620"/>
      <c r="S790" s="327"/>
      <c r="T790" s="620"/>
      <c r="U790" s="327"/>
      <c r="V790" s="705"/>
      <c r="W790" s="705"/>
      <c r="X790" s="705"/>
      <c r="Y790" s="705"/>
      <c r="Z790" s="705"/>
      <c r="AA790" s="327"/>
      <c r="AB790" s="705"/>
      <c r="AC790" s="620"/>
      <c r="AD790" s="620"/>
      <c r="AE790" s="620"/>
    </row>
    <row r="791" spans="1:31">
      <c r="A791" s="620"/>
      <c r="B791" s="620"/>
      <c r="C791" s="620"/>
      <c r="D791" s="620"/>
      <c r="E791" s="620"/>
      <c r="F791" s="620"/>
      <c r="G791" s="620"/>
      <c r="H791" s="620"/>
      <c r="I791" s="620"/>
      <c r="J791" s="620"/>
      <c r="K791" s="620"/>
      <c r="L791" s="620"/>
      <c r="M791" s="620"/>
      <c r="N791" s="620"/>
      <c r="O791" s="620"/>
      <c r="P791" s="620"/>
      <c r="Q791" s="620"/>
      <c r="R791" s="620"/>
      <c r="S791" s="327"/>
      <c r="T791" s="620"/>
      <c r="U791" s="327"/>
      <c r="V791" s="705"/>
      <c r="W791" s="705"/>
      <c r="X791" s="705"/>
      <c r="Y791" s="705"/>
      <c r="Z791" s="705"/>
      <c r="AA791" s="327"/>
      <c r="AB791" s="705"/>
      <c r="AC791" s="620"/>
      <c r="AD791" s="620"/>
      <c r="AE791" s="620"/>
    </row>
    <row r="792" spans="1:31">
      <c r="A792" s="620"/>
      <c r="B792" s="620"/>
      <c r="C792" s="620"/>
      <c r="D792" s="620"/>
      <c r="E792" s="620"/>
      <c r="F792" s="620"/>
      <c r="G792" s="620"/>
      <c r="H792" s="620"/>
      <c r="I792" s="620"/>
      <c r="J792" s="620"/>
      <c r="K792" s="620"/>
      <c r="L792" s="620"/>
      <c r="M792" s="620"/>
      <c r="N792" s="620"/>
      <c r="O792" s="620"/>
      <c r="P792" s="620"/>
      <c r="Q792" s="620"/>
      <c r="R792" s="620"/>
      <c r="S792" s="327"/>
      <c r="T792" s="620"/>
      <c r="U792" s="327"/>
      <c r="V792" s="705"/>
      <c r="W792" s="705"/>
      <c r="X792" s="705"/>
      <c r="Y792" s="705"/>
      <c r="Z792" s="705"/>
      <c r="AA792" s="327"/>
      <c r="AB792" s="705"/>
      <c r="AC792" s="620"/>
      <c r="AD792" s="620"/>
      <c r="AE792" s="620"/>
    </row>
    <row r="793" spans="1:31">
      <c r="A793" s="620"/>
      <c r="B793" s="620"/>
      <c r="C793" s="620"/>
      <c r="D793" s="620"/>
      <c r="E793" s="620"/>
      <c r="F793" s="620"/>
      <c r="G793" s="620"/>
      <c r="H793" s="620"/>
      <c r="I793" s="620"/>
      <c r="J793" s="620"/>
      <c r="K793" s="620"/>
      <c r="L793" s="620"/>
      <c r="M793" s="620"/>
      <c r="N793" s="620"/>
      <c r="O793" s="620"/>
      <c r="P793" s="620"/>
      <c r="Q793" s="620"/>
      <c r="R793" s="620"/>
      <c r="S793" s="327"/>
      <c r="T793" s="620"/>
      <c r="U793" s="327"/>
      <c r="V793" s="705"/>
      <c r="W793" s="705"/>
      <c r="X793" s="705"/>
      <c r="Y793" s="705"/>
      <c r="Z793" s="705"/>
      <c r="AA793" s="327"/>
      <c r="AB793" s="705"/>
      <c r="AC793" s="620"/>
      <c r="AD793" s="620"/>
      <c r="AE793" s="620"/>
    </row>
    <row r="794" spans="1:31">
      <c r="A794" s="620"/>
      <c r="B794" s="620"/>
      <c r="C794" s="620"/>
      <c r="D794" s="620"/>
      <c r="E794" s="620"/>
      <c r="F794" s="620"/>
      <c r="G794" s="620"/>
      <c r="H794" s="620"/>
      <c r="I794" s="620"/>
      <c r="J794" s="620"/>
      <c r="K794" s="620"/>
      <c r="L794" s="620"/>
      <c r="M794" s="620"/>
      <c r="N794" s="620"/>
      <c r="O794" s="620"/>
      <c r="P794" s="620"/>
      <c r="Q794" s="620"/>
      <c r="R794" s="620"/>
      <c r="S794" s="327"/>
      <c r="T794" s="620"/>
      <c r="U794" s="327"/>
      <c r="V794" s="705"/>
      <c r="W794" s="705"/>
      <c r="X794" s="705"/>
      <c r="Y794" s="705"/>
      <c r="Z794" s="705"/>
      <c r="AA794" s="327"/>
      <c r="AB794" s="705"/>
      <c r="AC794" s="620"/>
      <c r="AD794" s="620"/>
      <c r="AE794" s="620"/>
    </row>
    <row r="795" spans="1:31">
      <c r="A795" s="620"/>
      <c r="B795" s="620"/>
      <c r="C795" s="620"/>
      <c r="D795" s="620"/>
      <c r="E795" s="620"/>
      <c r="F795" s="620"/>
      <c r="G795" s="620"/>
      <c r="H795" s="620"/>
      <c r="I795" s="620"/>
      <c r="J795" s="620"/>
      <c r="K795" s="620"/>
      <c r="L795" s="620"/>
      <c r="M795" s="620"/>
      <c r="N795" s="620"/>
      <c r="O795" s="620"/>
      <c r="P795" s="620"/>
      <c r="Q795" s="620"/>
      <c r="R795" s="620"/>
      <c r="S795" s="327"/>
      <c r="T795" s="620"/>
      <c r="U795" s="327"/>
      <c r="V795" s="705"/>
      <c r="W795" s="705"/>
      <c r="X795" s="705"/>
      <c r="Y795" s="705"/>
      <c r="Z795" s="705"/>
      <c r="AA795" s="327"/>
      <c r="AB795" s="705"/>
      <c r="AC795" s="620"/>
      <c r="AD795" s="620"/>
      <c r="AE795" s="620"/>
    </row>
    <row r="796" spans="1:31">
      <c r="A796" s="620"/>
      <c r="B796" s="620"/>
      <c r="C796" s="620"/>
      <c r="D796" s="620"/>
      <c r="E796" s="620"/>
      <c r="F796" s="620"/>
      <c r="G796" s="620"/>
      <c r="H796" s="620"/>
      <c r="I796" s="620"/>
      <c r="J796" s="620"/>
      <c r="K796" s="620"/>
      <c r="L796" s="620"/>
      <c r="M796" s="620"/>
      <c r="N796" s="620"/>
      <c r="O796" s="620"/>
      <c r="P796" s="620"/>
      <c r="Q796" s="620"/>
      <c r="R796" s="620"/>
      <c r="S796" s="327"/>
      <c r="T796" s="620"/>
      <c r="U796" s="327"/>
      <c r="V796" s="705"/>
      <c r="W796" s="705"/>
      <c r="X796" s="705"/>
      <c r="Y796" s="705"/>
      <c r="Z796" s="705"/>
      <c r="AA796" s="327"/>
      <c r="AB796" s="705"/>
      <c r="AC796" s="620"/>
      <c r="AD796" s="620"/>
      <c r="AE796" s="620"/>
    </row>
    <row r="797" spans="1:31">
      <c r="A797" s="620"/>
      <c r="B797" s="620"/>
      <c r="C797" s="620"/>
      <c r="D797" s="620"/>
      <c r="E797" s="620"/>
      <c r="F797" s="620"/>
      <c r="G797" s="620"/>
      <c r="H797" s="620"/>
      <c r="I797" s="620"/>
      <c r="J797" s="620"/>
      <c r="K797" s="620"/>
      <c r="L797" s="620"/>
      <c r="M797" s="620"/>
      <c r="N797" s="620"/>
      <c r="O797" s="620"/>
      <c r="P797" s="620"/>
      <c r="Q797" s="620"/>
      <c r="R797" s="620"/>
      <c r="S797" s="327"/>
      <c r="T797" s="620"/>
      <c r="U797" s="327"/>
      <c r="V797" s="705"/>
      <c r="W797" s="705"/>
      <c r="X797" s="705"/>
      <c r="Y797" s="705"/>
      <c r="Z797" s="705"/>
      <c r="AA797" s="327"/>
      <c r="AB797" s="705"/>
      <c r="AC797" s="620"/>
      <c r="AD797" s="620"/>
      <c r="AE797" s="620"/>
    </row>
    <row r="798" spans="1:31">
      <c r="A798" s="620"/>
      <c r="B798" s="620"/>
      <c r="C798" s="620"/>
      <c r="D798" s="620"/>
      <c r="E798" s="620"/>
      <c r="F798" s="620"/>
      <c r="G798" s="620"/>
      <c r="H798" s="620"/>
      <c r="I798" s="620"/>
      <c r="J798" s="620"/>
      <c r="K798" s="620"/>
      <c r="L798" s="620"/>
      <c r="M798" s="620"/>
      <c r="N798" s="620"/>
      <c r="O798" s="620"/>
      <c r="P798" s="620"/>
      <c r="Q798" s="620"/>
      <c r="R798" s="620"/>
      <c r="S798" s="327"/>
      <c r="T798" s="620"/>
      <c r="U798" s="327"/>
      <c r="V798" s="705"/>
      <c r="W798" s="705"/>
      <c r="X798" s="705"/>
      <c r="Y798" s="705"/>
      <c r="Z798" s="705"/>
      <c r="AA798" s="327"/>
      <c r="AB798" s="705"/>
      <c r="AC798" s="620"/>
      <c r="AD798" s="620"/>
      <c r="AE798" s="620"/>
    </row>
    <row r="799" spans="1:31">
      <c r="A799" s="620"/>
      <c r="B799" s="620"/>
      <c r="C799" s="620"/>
      <c r="D799" s="620"/>
      <c r="E799" s="620"/>
      <c r="F799" s="620"/>
      <c r="G799" s="620"/>
      <c r="H799" s="620"/>
      <c r="I799" s="620"/>
      <c r="J799" s="620"/>
      <c r="K799" s="620"/>
      <c r="L799" s="620"/>
      <c r="M799" s="620"/>
      <c r="N799" s="620"/>
      <c r="O799" s="620"/>
      <c r="P799" s="620"/>
      <c r="Q799" s="620"/>
      <c r="R799" s="620"/>
      <c r="S799" s="327"/>
      <c r="T799" s="620"/>
      <c r="U799" s="327"/>
      <c r="V799" s="705"/>
      <c r="W799" s="705"/>
      <c r="X799" s="705"/>
      <c r="Y799" s="705"/>
      <c r="Z799" s="705"/>
      <c r="AA799" s="327"/>
      <c r="AB799" s="705"/>
      <c r="AC799" s="620"/>
      <c r="AD799" s="620"/>
      <c r="AE799" s="620"/>
    </row>
    <row r="800" spans="1:31">
      <c r="A800" s="620"/>
      <c r="B800" s="620"/>
      <c r="C800" s="620"/>
      <c r="D800" s="620"/>
      <c r="E800" s="620"/>
      <c r="F800" s="620"/>
      <c r="G800" s="620"/>
      <c r="H800" s="620"/>
      <c r="I800" s="620"/>
      <c r="J800" s="620"/>
      <c r="K800" s="620"/>
      <c r="L800" s="620"/>
      <c r="M800" s="620"/>
      <c r="N800" s="620"/>
      <c r="O800" s="620"/>
      <c r="P800" s="620"/>
      <c r="Q800" s="620"/>
      <c r="R800" s="620"/>
      <c r="S800" s="327"/>
      <c r="T800" s="620"/>
      <c r="U800" s="327"/>
      <c r="V800" s="705"/>
      <c r="W800" s="705"/>
      <c r="X800" s="705"/>
      <c r="Y800" s="705"/>
      <c r="Z800" s="705"/>
      <c r="AA800" s="327"/>
      <c r="AB800" s="705"/>
      <c r="AC800" s="620"/>
      <c r="AD800" s="620"/>
      <c r="AE800" s="620"/>
    </row>
    <row r="801" spans="1:31">
      <c r="A801" s="620"/>
      <c r="B801" s="620"/>
      <c r="C801" s="620"/>
      <c r="D801" s="620"/>
      <c r="E801" s="620"/>
      <c r="F801" s="620"/>
      <c r="G801" s="620"/>
      <c r="H801" s="620"/>
      <c r="I801" s="620"/>
      <c r="J801" s="620"/>
      <c r="K801" s="620"/>
      <c r="L801" s="620"/>
      <c r="M801" s="620"/>
      <c r="N801" s="620"/>
      <c r="O801" s="620"/>
      <c r="P801" s="620"/>
      <c r="Q801" s="620"/>
      <c r="R801" s="620"/>
      <c r="S801" s="327"/>
      <c r="T801" s="620"/>
      <c r="U801" s="327"/>
      <c r="V801" s="705"/>
      <c r="W801" s="705"/>
      <c r="X801" s="705"/>
      <c r="Y801" s="705"/>
      <c r="Z801" s="705"/>
      <c r="AA801" s="327"/>
      <c r="AB801" s="705"/>
      <c r="AC801" s="620"/>
      <c r="AD801" s="620"/>
      <c r="AE801" s="620"/>
    </row>
    <row r="802" spans="1:31">
      <c r="A802" s="620"/>
      <c r="B802" s="620"/>
      <c r="C802" s="620"/>
      <c r="D802" s="620"/>
      <c r="E802" s="620"/>
      <c r="F802" s="620"/>
      <c r="G802" s="620"/>
      <c r="H802" s="620"/>
      <c r="I802" s="620"/>
      <c r="J802" s="620"/>
      <c r="K802" s="620"/>
      <c r="L802" s="620"/>
      <c r="M802" s="620"/>
      <c r="N802" s="620"/>
      <c r="O802" s="620"/>
      <c r="P802" s="620"/>
      <c r="Q802" s="620"/>
      <c r="R802" s="620"/>
      <c r="S802" s="327"/>
      <c r="T802" s="620"/>
      <c r="U802" s="327"/>
      <c r="V802" s="705"/>
      <c r="W802" s="705"/>
      <c r="X802" s="705"/>
      <c r="Y802" s="705"/>
      <c r="Z802" s="705"/>
      <c r="AA802" s="327"/>
      <c r="AB802" s="705"/>
      <c r="AC802" s="620"/>
      <c r="AD802" s="620"/>
      <c r="AE802" s="620"/>
    </row>
    <row r="803" spans="1:31">
      <c r="A803" s="620"/>
      <c r="B803" s="620"/>
      <c r="C803" s="620"/>
      <c r="D803" s="620"/>
      <c r="E803" s="620"/>
      <c r="F803" s="620"/>
      <c r="G803" s="620"/>
      <c r="H803" s="620"/>
      <c r="I803" s="620"/>
      <c r="J803" s="620"/>
      <c r="K803" s="620"/>
      <c r="L803" s="620"/>
      <c r="M803" s="620"/>
      <c r="N803" s="620"/>
      <c r="O803" s="620"/>
      <c r="P803" s="620"/>
      <c r="Q803" s="620"/>
      <c r="R803" s="620"/>
      <c r="S803" s="327"/>
      <c r="T803" s="620"/>
      <c r="U803" s="327"/>
      <c r="V803" s="705"/>
      <c r="W803" s="705"/>
      <c r="X803" s="705"/>
      <c r="Y803" s="705"/>
      <c r="Z803" s="705"/>
      <c r="AA803" s="327"/>
      <c r="AB803" s="705"/>
      <c r="AC803" s="620"/>
      <c r="AD803" s="620"/>
      <c r="AE803" s="620"/>
    </row>
    <row r="804" spans="1:31">
      <c r="A804" s="620"/>
      <c r="B804" s="620"/>
      <c r="C804" s="620"/>
      <c r="D804" s="620"/>
      <c r="E804" s="620"/>
      <c r="F804" s="620"/>
      <c r="G804" s="620"/>
      <c r="H804" s="620"/>
      <c r="I804" s="620"/>
      <c r="J804" s="620"/>
      <c r="K804" s="620"/>
      <c r="L804" s="620"/>
      <c r="M804" s="620"/>
      <c r="N804" s="620"/>
      <c r="O804" s="620"/>
      <c r="P804" s="620"/>
      <c r="Q804" s="620"/>
      <c r="R804" s="620"/>
      <c r="S804" s="327"/>
      <c r="T804" s="620"/>
      <c r="U804" s="327"/>
      <c r="V804" s="705"/>
      <c r="W804" s="705"/>
      <c r="X804" s="705"/>
      <c r="Y804" s="705"/>
      <c r="Z804" s="705"/>
      <c r="AA804" s="327"/>
      <c r="AB804" s="705"/>
      <c r="AC804" s="620"/>
      <c r="AD804" s="620"/>
      <c r="AE804" s="620"/>
    </row>
    <row r="805" spans="1:31">
      <c r="A805" s="620"/>
      <c r="B805" s="620"/>
      <c r="C805" s="620"/>
      <c r="D805" s="620"/>
      <c r="E805" s="620"/>
      <c r="F805" s="620"/>
      <c r="G805" s="620"/>
      <c r="H805" s="620"/>
      <c r="I805" s="620"/>
      <c r="J805" s="620"/>
      <c r="K805" s="620"/>
      <c r="L805" s="620"/>
      <c r="M805" s="620"/>
      <c r="N805" s="620"/>
      <c r="O805" s="620"/>
      <c r="P805" s="620"/>
      <c r="Q805" s="620"/>
      <c r="R805" s="620"/>
      <c r="S805" s="327"/>
      <c r="T805" s="620"/>
      <c r="U805" s="327"/>
      <c r="V805" s="705"/>
      <c r="W805" s="705"/>
      <c r="X805" s="705"/>
      <c r="Y805" s="705"/>
      <c r="Z805" s="705"/>
      <c r="AA805" s="327"/>
      <c r="AB805" s="705"/>
      <c r="AC805" s="620"/>
      <c r="AD805" s="620"/>
      <c r="AE805" s="620"/>
    </row>
    <row r="806" spans="1:31">
      <c r="A806" s="620"/>
      <c r="B806" s="620"/>
      <c r="C806" s="620"/>
      <c r="D806" s="620"/>
      <c r="E806" s="620"/>
      <c r="F806" s="620"/>
      <c r="G806" s="620"/>
      <c r="H806" s="620"/>
      <c r="I806" s="620"/>
      <c r="J806" s="620"/>
      <c r="K806" s="620"/>
      <c r="L806" s="620"/>
      <c r="M806" s="620"/>
      <c r="N806" s="620"/>
      <c r="O806" s="620"/>
      <c r="P806" s="620"/>
      <c r="Q806" s="620"/>
      <c r="R806" s="620"/>
      <c r="S806" s="327"/>
      <c r="T806" s="620"/>
      <c r="U806" s="327"/>
      <c r="V806" s="705"/>
      <c r="W806" s="705"/>
      <c r="X806" s="705"/>
      <c r="Y806" s="705"/>
      <c r="Z806" s="705"/>
      <c r="AA806" s="327"/>
      <c r="AB806" s="705"/>
      <c r="AC806" s="620"/>
      <c r="AD806" s="620"/>
      <c r="AE806" s="620"/>
    </row>
    <row r="807" spans="1:31">
      <c r="A807" s="620"/>
      <c r="B807" s="620"/>
      <c r="C807" s="620"/>
      <c r="D807" s="620"/>
      <c r="E807" s="620"/>
      <c r="F807" s="620"/>
      <c r="G807" s="620"/>
      <c r="H807" s="620"/>
      <c r="I807" s="620"/>
      <c r="J807" s="620"/>
      <c r="K807" s="620"/>
      <c r="L807" s="620"/>
      <c r="M807" s="620"/>
      <c r="N807" s="620"/>
      <c r="O807" s="620"/>
      <c r="P807" s="620"/>
      <c r="Q807" s="620"/>
      <c r="R807" s="620"/>
      <c r="S807" s="327"/>
      <c r="T807" s="620"/>
      <c r="U807" s="327"/>
      <c r="V807" s="705"/>
      <c r="W807" s="705"/>
      <c r="X807" s="705"/>
      <c r="Y807" s="705"/>
      <c r="Z807" s="705"/>
      <c r="AA807" s="327"/>
      <c r="AB807" s="705"/>
      <c r="AC807" s="620"/>
      <c r="AD807" s="620"/>
      <c r="AE807" s="620"/>
    </row>
    <row r="808" spans="1:31">
      <c r="A808" s="620"/>
      <c r="B808" s="620"/>
      <c r="C808" s="620"/>
      <c r="D808" s="620"/>
      <c r="E808" s="620"/>
      <c r="F808" s="620"/>
      <c r="G808" s="620"/>
      <c r="H808" s="620"/>
      <c r="I808" s="620"/>
      <c r="J808" s="620"/>
      <c r="K808" s="620"/>
      <c r="L808" s="620"/>
      <c r="M808" s="620"/>
      <c r="N808" s="620"/>
      <c r="O808" s="620"/>
      <c r="P808" s="620"/>
      <c r="Q808" s="620"/>
      <c r="R808" s="620"/>
      <c r="S808" s="327"/>
      <c r="T808" s="620"/>
      <c r="U808" s="327"/>
      <c r="V808" s="705"/>
      <c r="W808" s="705"/>
      <c r="X808" s="705"/>
      <c r="Y808" s="705"/>
      <c r="Z808" s="705"/>
      <c r="AA808" s="327"/>
      <c r="AB808" s="705"/>
      <c r="AC808" s="620"/>
      <c r="AD808" s="620"/>
      <c r="AE808" s="620"/>
    </row>
    <row r="809" spans="1:31">
      <c r="A809" s="620"/>
      <c r="B809" s="620"/>
      <c r="C809" s="620"/>
      <c r="D809" s="620"/>
      <c r="E809" s="620"/>
      <c r="F809" s="620"/>
      <c r="G809" s="620"/>
      <c r="H809" s="620"/>
      <c r="I809" s="620"/>
      <c r="J809" s="620"/>
      <c r="K809" s="620"/>
      <c r="L809" s="620"/>
      <c r="M809" s="620"/>
      <c r="N809" s="620"/>
      <c r="O809" s="620"/>
      <c r="P809" s="620"/>
      <c r="Q809" s="620"/>
      <c r="R809" s="620"/>
      <c r="S809" s="327"/>
      <c r="T809" s="620"/>
      <c r="U809" s="327"/>
      <c r="V809" s="705"/>
      <c r="W809" s="705"/>
      <c r="X809" s="705"/>
      <c r="Y809" s="705"/>
      <c r="Z809" s="705"/>
      <c r="AA809" s="327"/>
      <c r="AB809" s="705"/>
      <c r="AC809" s="620"/>
      <c r="AD809" s="620"/>
      <c r="AE809" s="620"/>
    </row>
    <row r="810" spans="1:31">
      <c r="A810" s="620"/>
      <c r="B810" s="620"/>
      <c r="C810" s="620"/>
      <c r="D810" s="620"/>
      <c r="E810" s="620"/>
      <c r="F810" s="620"/>
      <c r="G810" s="620"/>
      <c r="H810" s="620"/>
      <c r="I810" s="620"/>
      <c r="J810" s="620"/>
      <c r="K810" s="620"/>
      <c r="L810" s="620"/>
      <c r="M810" s="620"/>
      <c r="N810" s="620"/>
      <c r="O810" s="620"/>
      <c r="P810" s="620"/>
      <c r="Q810" s="620"/>
      <c r="R810" s="620"/>
      <c r="S810" s="327"/>
      <c r="T810" s="620"/>
      <c r="U810" s="327"/>
      <c r="V810" s="705"/>
      <c r="W810" s="705"/>
      <c r="X810" s="705"/>
      <c r="Y810" s="705"/>
      <c r="Z810" s="705"/>
      <c r="AA810" s="327"/>
      <c r="AB810" s="705"/>
      <c r="AC810" s="620"/>
      <c r="AD810" s="620"/>
      <c r="AE810" s="620"/>
    </row>
    <row r="811" spans="1:31">
      <c r="A811" s="620"/>
      <c r="B811" s="620"/>
      <c r="C811" s="620"/>
      <c r="D811" s="620"/>
      <c r="E811" s="620"/>
      <c r="F811" s="620"/>
      <c r="G811" s="620"/>
      <c r="H811" s="620"/>
      <c r="I811" s="620"/>
      <c r="J811" s="620"/>
      <c r="K811" s="620"/>
      <c r="L811" s="620"/>
      <c r="M811" s="620"/>
      <c r="N811" s="620"/>
      <c r="O811" s="620"/>
      <c r="P811" s="620"/>
      <c r="Q811" s="620"/>
      <c r="R811" s="620"/>
      <c r="S811" s="327"/>
      <c r="T811" s="620"/>
      <c r="U811" s="327"/>
      <c r="V811" s="705"/>
      <c r="W811" s="705"/>
      <c r="X811" s="705"/>
      <c r="Y811" s="705"/>
      <c r="Z811" s="705"/>
      <c r="AA811" s="327"/>
      <c r="AB811" s="705"/>
      <c r="AC811" s="620"/>
      <c r="AD811" s="620"/>
      <c r="AE811" s="620"/>
    </row>
    <row r="812" spans="1:31">
      <c r="A812" s="620"/>
      <c r="B812" s="620"/>
      <c r="C812" s="620"/>
      <c r="D812" s="620"/>
      <c r="E812" s="620"/>
      <c r="F812" s="620"/>
      <c r="G812" s="620"/>
      <c r="H812" s="620"/>
      <c r="I812" s="620"/>
      <c r="J812" s="620"/>
      <c r="K812" s="620"/>
      <c r="L812" s="620"/>
      <c r="M812" s="620"/>
      <c r="N812" s="620"/>
      <c r="O812" s="620"/>
      <c r="P812" s="620"/>
      <c r="Q812" s="620"/>
      <c r="R812" s="620"/>
      <c r="S812" s="327"/>
      <c r="T812" s="620"/>
      <c r="U812" s="327"/>
      <c r="V812" s="705"/>
      <c r="W812" s="705"/>
      <c r="X812" s="705"/>
      <c r="Y812" s="705"/>
      <c r="Z812" s="705"/>
      <c r="AA812" s="327"/>
      <c r="AB812" s="705"/>
      <c r="AC812" s="620"/>
      <c r="AD812" s="620"/>
      <c r="AE812" s="620"/>
    </row>
    <row r="813" spans="1:31">
      <c r="A813" s="620"/>
      <c r="B813" s="620"/>
      <c r="C813" s="620"/>
      <c r="D813" s="620"/>
      <c r="E813" s="620"/>
      <c r="F813" s="620"/>
      <c r="G813" s="620"/>
      <c r="H813" s="620"/>
      <c r="I813" s="620"/>
      <c r="J813" s="620"/>
      <c r="K813" s="620"/>
      <c r="L813" s="620"/>
      <c r="M813" s="620"/>
      <c r="N813" s="620"/>
      <c r="O813" s="620"/>
      <c r="P813" s="620"/>
      <c r="Q813" s="620"/>
      <c r="R813" s="620"/>
      <c r="S813" s="327"/>
      <c r="T813" s="620"/>
      <c r="U813" s="327"/>
      <c r="V813" s="705"/>
      <c r="W813" s="705"/>
      <c r="X813" s="705"/>
      <c r="Y813" s="705"/>
      <c r="Z813" s="705"/>
      <c r="AA813" s="327"/>
      <c r="AB813" s="705"/>
      <c r="AC813" s="620"/>
      <c r="AD813" s="620"/>
      <c r="AE813" s="620"/>
    </row>
    <row r="814" spans="1:31">
      <c r="A814" s="620"/>
      <c r="B814" s="620"/>
      <c r="C814" s="620"/>
      <c r="D814" s="620"/>
      <c r="E814" s="620"/>
      <c r="F814" s="620"/>
      <c r="G814" s="620"/>
      <c r="H814" s="620"/>
      <c r="I814" s="620"/>
      <c r="J814" s="620"/>
      <c r="K814" s="620"/>
      <c r="L814" s="620"/>
      <c r="M814" s="620"/>
      <c r="N814" s="620"/>
      <c r="O814" s="620"/>
      <c r="P814" s="620"/>
      <c r="Q814" s="620"/>
      <c r="R814" s="620"/>
      <c r="S814" s="327"/>
      <c r="T814" s="620"/>
      <c r="U814" s="327"/>
      <c r="V814" s="705"/>
      <c r="W814" s="705"/>
      <c r="X814" s="705"/>
      <c r="Y814" s="705"/>
      <c r="Z814" s="705"/>
      <c r="AA814" s="327"/>
      <c r="AB814" s="705"/>
      <c r="AC814" s="620"/>
      <c r="AD814" s="620"/>
      <c r="AE814" s="620"/>
    </row>
    <row r="815" spans="1:31">
      <c r="A815" s="620"/>
      <c r="B815" s="620"/>
      <c r="C815" s="620"/>
      <c r="D815" s="620"/>
      <c r="E815" s="620"/>
      <c r="F815" s="620"/>
      <c r="G815" s="620"/>
      <c r="H815" s="620"/>
      <c r="I815" s="620"/>
      <c r="J815" s="620"/>
      <c r="K815" s="620"/>
      <c r="L815" s="620"/>
      <c r="M815" s="620"/>
      <c r="N815" s="620"/>
      <c r="O815" s="620"/>
      <c r="P815" s="620"/>
      <c r="Q815" s="620"/>
      <c r="R815" s="620"/>
      <c r="S815" s="327"/>
      <c r="T815" s="620"/>
      <c r="U815" s="327"/>
      <c r="V815" s="705"/>
      <c r="W815" s="705"/>
      <c r="X815" s="705"/>
      <c r="Y815" s="705"/>
      <c r="Z815" s="705"/>
      <c r="AA815" s="327"/>
      <c r="AB815" s="705"/>
      <c r="AC815" s="620"/>
      <c r="AD815" s="620"/>
      <c r="AE815" s="620"/>
    </row>
    <row r="816" spans="1:31">
      <c r="A816" s="620"/>
      <c r="B816" s="620"/>
      <c r="C816" s="620"/>
      <c r="D816" s="620"/>
      <c r="E816" s="620"/>
      <c r="F816" s="620"/>
      <c r="G816" s="620"/>
      <c r="H816" s="620"/>
      <c r="I816" s="620"/>
      <c r="J816" s="620"/>
      <c r="K816" s="620"/>
      <c r="L816" s="620"/>
      <c r="M816" s="620"/>
      <c r="N816" s="620"/>
      <c r="O816" s="620"/>
      <c r="P816" s="620"/>
      <c r="Q816" s="620"/>
      <c r="R816" s="620"/>
      <c r="S816" s="327"/>
      <c r="T816" s="620"/>
      <c r="U816" s="327"/>
      <c r="V816" s="705"/>
      <c r="W816" s="705"/>
      <c r="X816" s="705"/>
      <c r="Y816" s="705"/>
      <c r="Z816" s="705"/>
      <c r="AA816" s="327"/>
      <c r="AB816" s="705"/>
      <c r="AC816" s="620"/>
      <c r="AD816" s="620"/>
      <c r="AE816" s="620"/>
    </row>
    <row r="817" spans="1:31">
      <c r="A817" s="620"/>
      <c r="B817" s="620"/>
      <c r="C817" s="620"/>
      <c r="D817" s="620"/>
      <c r="E817" s="620"/>
      <c r="F817" s="620"/>
      <c r="G817" s="620"/>
      <c r="H817" s="620"/>
      <c r="I817" s="620"/>
      <c r="J817" s="620"/>
      <c r="K817" s="620"/>
      <c r="L817" s="620"/>
      <c r="M817" s="620"/>
      <c r="N817" s="620"/>
      <c r="O817" s="620"/>
      <c r="P817" s="620"/>
      <c r="Q817" s="620"/>
      <c r="R817" s="620"/>
      <c r="S817" s="327"/>
      <c r="T817" s="620"/>
      <c r="U817" s="327"/>
      <c r="V817" s="705"/>
      <c r="W817" s="705"/>
      <c r="X817" s="705"/>
      <c r="Y817" s="705"/>
      <c r="Z817" s="705"/>
      <c r="AA817" s="327"/>
      <c r="AB817" s="705"/>
      <c r="AC817" s="620"/>
      <c r="AD817" s="620"/>
      <c r="AE817" s="620"/>
    </row>
    <row r="818" spans="1:31">
      <c r="A818" s="620"/>
      <c r="B818" s="620"/>
      <c r="C818" s="620"/>
      <c r="D818" s="620"/>
      <c r="E818" s="620"/>
      <c r="F818" s="620"/>
      <c r="G818" s="620"/>
      <c r="H818" s="620"/>
      <c r="I818" s="620"/>
      <c r="J818" s="620"/>
      <c r="K818" s="620"/>
      <c r="L818" s="620"/>
      <c r="M818" s="620"/>
      <c r="N818" s="620"/>
      <c r="O818" s="620"/>
      <c r="P818" s="620"/>
      <c r="Q818" s="620"/>
      <c r="R818" s="620"/>
      <c r="S818" s="327"/>
      <c r="T818" s="620"/>
      <c r="U818" s="327"/>
      <c r="V818" s="705"/>
      <c r="W818" s="705"/>
      <c r="X818" s="705"/>
      <c r="Y818" s="705"/>
      <c r="Z818" s="705"/>
      <c r="AA818" s="327"/>
      <c r="AB818" s="705"/>
      <c r="AC818" s="620"/>
      <c r="AD818" s="620"/>
      <c r="AE818" s="620"/>
    </row>
    <row r="819" spans="1:31">
      <c r="A819" s="620"/>
      <c r="B819" s="620"/>
      <c r="C819" s="620"/>
      <c r="D819" s="620"/>
      <c r="E819" s="620"/>
      <c r="F819" s="620"/>
      <c r="G819" s="620"/>
      <c r="H819" s="620"/>
      <c r="I819" s="620"/>
      <c r="J819" s="620"/>
      <c r="K819" s="620"/>
      <c r="L819" s="620"/>
      <c r="M819" s="620"/>
      <c r="N819" s="620"/>
      <c r="O819" s="620"/>
      <c r="P819" s="620"/>
      <c r="Q819" s="620"/>
      <c r="R819" s="620"/>
      <c r="S819" s="327"/>
      <c r="T819" s="620"/>
      <c r="U819" s="327"/>
      <c r="V819" s="705"/>
      <c r="W819" s="705"/>
      <c r="X819" s="705"/>
      <c r="Y819" s="705"/>
      <c r="Z819" s="705"/>
      <c r="AA819" s="327"/>
      <c r="AB819" s="705"/>
      <c r="AC819" s="620"/>
      <c r="AD819" s="620"/>
      <c r="AE819" s="620"/>
    </row>
    <row r="820" spans="1:31">
      <c r="A820" s="620"/>
      <c r="B820" s="620"/>
      <c r="C820" s="620"/>
      <c r="D820" s="620"/>
      <c r="E820" s="620"/>
      <c r="F820" s="620"/>
      <c r="G820" s="620"/>
      <c r="H820" s="620"/>
      <c r="I820" s="620"/>
      <c r="J820" s="620"/>
      <c r="K820" s="620"/>
      <c r="L820" s="620"/>
      <c r="M820" s="620"/>
      <c r="N820" s="620"/>
      <c r="O820" s="620"/>
      <c r="P820" s="620"/>
      <c r="Q820" s="620"/>
      <c r="R820" s="620"/>
      <c r="S820" s="327"/>
      <c r="T820" s="620"/>
      <c r="U820" s="327"/>
      <c r="V820" s="705"/>
      <c r="W820" s="705"/>
      <c r="X820" s="705"/>
      <c r="Y820" s="705"/>
      <c r="Z820" s="705"/>
      <c r="AA820" s="327"/>
      <c r="AB820" s="705"/>
      <c r="AC820" s="620"/>
      <c r="AD820" s="620"/>
      <c r="AE820" s="620"/>
    </row>
    <row r="821" spans="1:31">
      <c r="A821" s="620"/>
      <c r="B821" s="620"/>
      <c r="C821" s="620"/>
      <c r="D821" s="620"/>
      <c r="E821" s="620"/>
      <c r="F821" s="620"/>
      <c r="G821" s="620"/>
      <c r="H821" s="620"/>
      <c r="I821" s="620"/>
      <c r="J821" s="620"/>
      <c r="K821" s="620"/>
      <c r="L821" s="620"/>
      <c r="M821" s="620"/>
      <c r="N821" s="620"/>
      <c r="O821" s="620"/>
      <c r="P821" s="620"/>
      <c r="Q821" s="620"/>
      <c r="R821" s="620"/>
      <c r="S821" s="327"/>
      <c r="T821" s="620"/>
      <c r="U821" s="327"/>
      <c r="V821" s="705"/>
      <c r="W821" s="705"/>
      <c r="X821" s="705"/>
      <c r="Y821" s="705"/>
      <c r="Z821" s="705"/>
      <c r="AA821" s="327"/>
      <c r="AB821" s="705"/>
      <c r="AC821" s="620"/>
      <c r="AD821" s="620"/>
      <c r="AE821" s="620"/>
    </row>
    <row r="822" spans="1:31">
      <c r="A822" s="620"/>
      <c r="B822" s="620"/>
      <c r="C822" s="620"/>
      <c r="D822" s="620"/>
      <c r="E822" s="620"/>
      <c r="F822" s="620"/>
      <c r="G822" s="620"/>
      <c r="H822" s="620"/>
      <c r="I822" s="620"/>
      <c r="J822" s="620"/>
      <c r="K822" s="620"/>
      <c r="L822" s="620"/>
      <c r="M822" s="620"/>
      <c r="N822" s="620"/>
      <c r="O822" s="620"/>
      <c r="P822" s="620"/>
      <c r="Q822" s="620"/>
      <c r="R822" s="620"/>
      <c r="S822" s="327"/>
      <c r="T822" s="620"/>
      <c r="U822" s="327"/>
      <c r="V822" s="705"/>
      <c r="W822" s="705"/>
      <c r="X822" s="705"/>
      <c r="Y822" s="705"/>
      <c r="Z822" s="705"/>
      <c r="AA822" s="327"/>
      <c r="AB822" s="705"/>
      <c r="AC822" s="620"/>
      <c r="AD822" s="620"/>
      <c r="AE822" s="620"/>
    </row>
    <row r="823" spans="1:31">
      <c r="A823" s="620"/>
      <c r="B823" s="620"/>
      <c r="C823" s="620"/>
      <c r="D823" s="620"/>
      <c r="E823" s="620"/>
      <c r="F823" s="620"/>
      <c r="G823" s="620"/>
      <c r="H823" s="620"/>
      <c r="I823" s="620"/>
      <c r="J823" s="620"/>
      <c r="K823" s="620"/>
      <c r="L823" s="620"/>
      <c r="M823" s="620"/>
      <c r="N823" s="620"/>
      <c r="O823" s="620"/>
      <c r="P823" s="620"/>
      <c r="Q823" s="620"/>
      <c r="R823" s="620"/>
      <c r="S823" s="327"/>
      <c r="T823" s="620"/>
      <c r="U823" s="327"/>
      <c r="V823" s="705"/>
      <c r="W823" s="705"/>
      <c r="X823" s="705"/>
      <c r="Y823" s="705"/>
      <c r="Z823" s="705"/>
      <c r="AA823" s="327"/>
      <c r="AB823" s="705"/>
      <c r="AC823" s="620"/>
      <c r="AD823" s="620"/>
      <c r="AE823" s="620"/>
    </row>
    <row r="824" spans="1:31">
      <c r="A824" s="620"/>
      <c r="B824" s="620"/>
      <c r="C824" s="620"/>
      <c r="D824" s="620"/>
      <c r="E824" s="620"/>
      <c r="F824" s="620"/>
      <c r="G824" s="620"/>
      <c r="H824" s="620"/>
      <c r="I824" s="620"/>
      <c r="J824" s="620"/>
      <c r="K824" s="620"/>
      <c r="L824" s="620"/>
      <c r="M824" s="620"/>
      <c r="N824" s="620"/>
      <c r="O824" s="620"/>
      <c r="P824" s="620"/>
      <c r="Q824" s="620"/>
      <c r="R824" s="620"/>
      <c r="S824" s="327"/>
      <c r="T824" s="620"/>
      <c r="U824" s="327"/>
      <c r="V824" s="705"/>
      <c r="W824" s="705"/>
      <c r="X824" s="705"/>
      <c r="Y824" s="705"/>
      <c r="Z824" s="705"/>
      <c r="AA824" s="327"/>
      <c r="AB824" s="705"/>
      <c r="AC824" s="620"/>
      <c r="AD824" s="620"/>
      <c r="AE824" s="620"/>
    </row>
    <row r="825" spans="1:31">
      <c r="A825" s="620"/>
      <c r="B825" s="620"/>
      <c r="C825" s="620"/>
      <c r="D825" s="620"/>
      <c r="E825" s="620"/>
      <c r="F825" s="620"/>
      <c r="G825" s="620"/>
      <c r="H825" s="620"/>
      <c r="I825" s="620"/>
      <c r="J825" s="620"/>
      <c r="K825" s="620"/>
      <c r="L825" s="620"/>
      <c r="M825" s="620"/>
      <c r="N825" s="620"/>
      <c r="O825" s="620"/>
      <c r="P825" s="620"/>
      <c r="Q825" s="620"/>
      <c r="R825" s="620"/>
      <c r="S825" s="327"/>
      <c r="T825" s="620"/>
      <c r="U825" s="327"/>
      <c r="V825" s="705"/>
      <c r="W825" s="705"/>
      <c r="X825" s="705"/>
      <c r="Y825" s="705"/>
      <c r="Z825" s="705"/>
      <c r="AA825" s="327"/>
      <c r="AB825" s="705"/>
      <c r="AC825" s="620"/>
      <c r="AD825" s="620"/>
      <c r="AE825" s="620"/>
    </row>
    <row r="826" spans="1:31">
      <c r="A826" s="620"/>
      <c r="B826" s="620"/>
      <c r="C826" s="620"/>
      <c r="D826" s="620"/>
      <c r="E826" s="620"/>
      <c r="F826" s="620"/>
      <c r="G826" s="620"/>
      <c r="H826" s="620"/>
      <c r="I826" s="620"/>
      <c r="J826" s="620"/>
      <c r="K826" s="620"/>
      <c r="L826" s="620"/>
      <c r="M826" s="620"/>
      <c r="N826" s="620"/>
      <c r="O826" s="620"/>
      <c r="P826" s="620"/>
      <c r="Q826" s="620"/>
      <c r="R826" s="620"/>
      <c r="S826" s="327"/>
      <c r="T826" s="620"/>
      <c r="U826" s="327"/>
      <c r="V826" s="705"/>
      <c r="W826" s="705"/>
      <c r="X826" s="705"/>
      <c r="Y826" s="705"/>
      <c r="Z826" s="705"/>
      <c r="AA826" s="327"/>
      <c r="AB826" s="705"/>
      <c r="AC826" s="620"/>
      <c r="AD826" s="620"/>
      <c r="AE826" s="620"/>
    </row>
    <row r="827" spans="1:31">
      <c r="A827" s="620"/>
      <c r="B827" s="620"/>
      <c r="C827" s="620"/>
      <c r="D827" s="620"/>
      <c r="E827" s="620"/>
      <c r="F827" s="620"/>
      <c r="G827" s="620"/>
      <c r="H827" s="620"/>
      <c r="I827" s="620"/>
      <c r="J827" s="620"/>
      <c r="K827" s="620"/>
      <c r="L827" s="620"/>
      <c r="M827" s="620"/>
      <c r="N827" s="620"/>
      <c r="O827" s="620"/>
      <c r="P827" s="620"/>
      <c r="Q827" s="620"/>
      <c r="R827" s="620"/>
      <c r="S827" s="327"/>
      <c r="T827" s="620"/>
      <c r="U827" s="327"/>
      <c r="V827" s="705"/>
      <c r="W827" s="705"/>
      <c r="X827" s="705"/>
      <c r="Y827" s="705"/>
      <c r="Z827" s="705"/>
      <c r="AA827" s="327"/>
      <c r="AB827" s="705"/>
      <c r="AC827" s="620"/>
      <c r="AD827" s="620"/>
      <c r="AE827" s="620"/>
    </row>
    <row r="828" spans="1:31">
      <c r="A828" s="620"/>
      <c r="B828" s="620"/>
      <c r="C828" s="620"/>
      <c r="D828" s="620"/>
      <c r="E828" s="620"/>
      <c r="F828" s="620"/>
      <c r="G828" s="620"/>
      <c r="H828" s="620"/>
      <c r="I828" s="620"/>
      <c r="J828" s="620"/>
      <c r="K828" s="620"/>
      <c r="L828" s="620"/>
      <c r="M828" s="620"/>
      <c r="N828" s="620"/>
      <c r="O828" s="620"/>
      <c r="P828" s="620"/>
      <c r="Q828" s="620"/>
      <c r="R828" s="620"/>
      <c r="S828" s="327"/>
      <c r="T828" s="620"/>
      <c r="U828" s="327"/>
      <c r="V828" s="705"/>
      <c r="W828" s="705"/>
      <c r="X828" s="705"/>
      <c r="Y828" s="705"/>
      <c r="Z828" s="705"/>
      <c r="AA828" s="327"/>
      <c r="AB828" s="705"/>
      <c r="AC828" s="620"/>
      <c r="AD828" s="620"/>
      <c r="AE828" s="620"/>
    </row>
    <row r="829" spans="1:31">
      <c r="A829" s="620"/>
      <c r="B829" s="620"/>
      <c r="C829" s="620"/>
      <c r="D829" s="620"/>
      <c r="E829" s="620"/>
      <c r="F829" s="620"/>
      <c r="G829" s="620"/>
      <c r="H829" s="620"/>
      <c r="I829" s="620"/>
      <c r="J829" s="620"/>
      <c r="K829" s="620"/>
      <c r="L829" s="620"/>
      <c r="M829" s="620"/>
      <c r="N829" s="620"/>
      <c r="O829" s="620"/>
      <c r="P829" s="620"/>
      <c r="Q829" s="620"/>
      <c r="R829" s="620"/>
      <c r="S829" s="327"/>
      <c r="T829" s="620"/>
      <c r="U829" s="327"/>
      <c r="V829" s="705"/>
      <c r="W829" s="705"/>
      <c r="X829" s="705"/>
      <c r="Y829" s="705"/>
      <c r="Z829" s="705"/>
      <c r="AA829" s="327"/>
      <c r="AB829" s="705"/>
      <c r="AC829" s="620"/>
      <c r="AD829" s="620"/>
      <c r="AE829" s="620"/>
    </row>
    <row r="830" spans="1:31">
      <c r="A830" s="620"/>
      <c r="B830" s="620"/>
      <c r="C830" s="620"/>
      <c r="D830" s="620"/>
      <c r="E830" s="620"/>
      <c r="F830" s="620"/>
      <c r="G830" s="620"/>
      <c r="H830" s="620"/>
      <c r="I830" s="620"/>
      <c r="J830" s="620"/>
      <c r="K830" s="620"/>
      <c r="L830" s="620"/>
      <c r="M830" s="620"/>
      <c r="N830" s="620"/>
      <c r="O830" s="620"/>
      <c r="P830" s="620"/>
      <c r="Q830" s="620"/>
      <c r="R830" s="620"/>
      <c r="S830" s="327"/>
      <c r="T830" s="620"/>
      <c r="U830" s="327"/>
      <c r="V830" s="705"/>
      <c r="W830" s="705"/>
      <c r="X830" s="705"/>
      <c r="Y830" s="705"/>
      <c r="Z830" s="705"/>
      <c r="AA830" s="327"/>
      <c r="AB830" s="705"/>
      <c r="AC830" s="620"/>
      <c r="AD830" s="620"/>
      <c r="AE830" s="620"/>
    </row>
    <row r="831" spans="1:31">
      <c r="A831" s="620"/>
      <c r="B831" s="620"/>
      <c r="C831" s="620"/>
      <c r="D831" s="620"/>
      <c r="E831" s="620"/>
      <c r="F831" s="620"/>
      <c r="G831" s="620"/>
      <c r="H831" s="620"/>
      <c r="I831" s="620"/>
      <c r="J831" s="620"/>
      <c r="K831" s="620"/>
      <c r="L831" s="620"/>
      <c r="M831" s="620"/>
      <c r="N831" s="620"/>
      <c r="O831" s="620"/>
      <c r="P831" s="620"/>
      <c r="Q831" s="620"/>
      <c r="R831" s="620"/>
      <c r="S831" s="327"/>
      <c r="T831" s="620"/>
      <c r="U831" s="327"/>
      <c r="V831" s="705"/>
      <c r="W831" s="705"/>
      <c r="X831" s="705"/>
      <c r="Y831" s="705"/>
      <c r="Z831" s="705"/>
      <c r="AA831" s="327"/>
      <c r="AB831" s="705"/>
      <c r="AC831" s="620"/>
      <c r="AD831" s="620"/>
      <c r="AE831" s="620"/>
    </row>
    <row r="832" spans="1:31">
      <c r="A832" s="620"/>
      <c r="B832" s="620"/>
      <c r="C832" s="620"/>
      <c r="D832" s="620"/>
      <c r="E832" s="620"/>
      <c r="F832" s="620"/>
      <c r="G832" s="620"/>
      <c r="H832" s="620"/>
      <c r="I832" s="620"/>
      <c r="J832" s="620"/>
      <c r="K832" s="620"/>
      <c r="L832" s="620"/>
      <c r="M832" s="620"/>
      <c r="N832" s="620"/>
      <c r="O832" s="620"/>
      <c r="P832" s="620"/>
      <c r="Q832" s="620"/>
      <c r="R832" s="620"/>
      <c r="S832" s="327"/>
      <c r="T832" s="620"/>
      <c r="U832" s="327"/>
      <c r="V832" s="705"/>
      <c r="W832" s="705"/>
      <c r="X832" s="705"/>
      <c r="Y832" s="705"/>
      <c r="Z832" s="705"/>
      <c r="AA832" s="327"/>
      <c r="AB832" s="705"/>
      <c r="AC832" s="620"/>
      <c r="AD832" s="620"/>
      <c r="AE832" s="620"/>
    </row>
    <row r="833" spans="1:31">
      <c r="A833" s="620"/>
      <c r="B833" s="620"/>
      <c r="C833" s="620"/>
      <c r="D833" s="620"/>
      <c r="E833" s="620"/>
      <c r="F833" s="620"/>
      <c r="G833" s="620"/>
      <c r="H833" s="620"/>
      <c r="I833" s="620"/>
      <c r="J833" s="620"/>
      <c r="K833" s="620"/>
      <c r="L833" s="620"/>
      <c r="M833" s="620"/>
      <c r="N833" s="620"/>
      <c r="O833" s="620"/>
      <c r="P833" s="620"/>
      <c r="Q833" s="620"/>
      <c r="R833" s="620"/>
      <c r="S833" s="327"/>
      <c r="T833" s="620"/>
      <c r="U833" s="327"/>
      <c r="V833" s="705"/>
      <c r="W833" s="705"/>
      <c r="X833" s="705"/>
      <c r="Y833" s="705"/>
      <c r="Z833" s="705"/>
      <c r="AA833" s="327"/>
      <c r="AB833" s="705"/>
      <c r="AC833" s="620"/>
      <c r="AD833" s="620"/>
      <c r="AE833" s="620"/>
    </row>
    <row r="834" spans="1:31">
      <c r="A834" s="620"/>
      <c r="B834" s="620"/>
      <c r="C834" s="620"/>
      <c r="D834" s="620"/>
      <c r="E834" s="620"/>
      <c r="F834" s="620"/>
      <c r="G834" s="620"/>
      <c r="H834" s="620"/>
      <c r="I834" s="620"/>
      <c r="J834" s="620"/>
      <c r="K834" s="620"/>
      <c r="L834" s="620"/>
      <c r="M834" s="620"/>
      <c r="N834" s="620"/>
      <c r="O834" s="620"/>
      <c r="P834" s="620"/>
      <c r="Q834" s="620"/>
      <c r="R834" s="620"/>
      <c r="S834" s="327"/>
      <c r="T834" s="620"/>
      <c r="U834" s="327"/>
      <c r="V834" s="705"/>
      <c r="W834" s="705"/>
      <c r="X834" s="705"/>
      <c r="Y834" s="705"/>
      <c r="Z834" s="705"/>
      <c r="AA834" s="327"/>
      <c r="AB834" s="705"/>
      <c r="AC834" s="620"/>
      <c r="AD834" s="620"/>
      <c r="AE834" s="620"/>
    </row>
    <row r="835" spans="1:31">
      <c r="A835" s="620"/>
      <c r="B835" s="620"/>
      <c r="C835" s="620"/>
      <c r="D835" s="620"/>
      <c r="E835" s="620"/>
      <c r="F835" s="620"/>
      <c r="G835" s="620"/>
      <c r="H835" s="620"/>
      <c r="I835" s="620"/>
      <c r="J835" s="620"/>
      <c r="K835" s="620"/>
      <c r="L835" s="620"/>
      <c r="M835" s="620"/>
      <c r="N835" s="620"/>
      <c r="O835" s="620"/>
      <c r="P835" s="620"/>
      <c r="Q835" s="620"/>
      <c r="R835" s="620"/>
      <c r="S835" s="327"/>
      <c r="T835" s="620"/>
      <c r="U835" s="327"/>
      <c r="V835" s="705"/>
      <c r="W835" s="705"/>
      <c r="X835" s="705"/>
      <c r="Y835" s="705"/>
      <c r="Z835" s="705"/>
      <c r="AA835" s="327"/>
      <c r="AB835" s="705"/>
      <c r="AC835" s="620"/>
      <c r="AD835" s="620"/>
      <c r="AE835" s="620"/>
    </row>
    <row r="836" spans="1:31">
      <c r="A836" s="620"/>
      <c r="B836" s="620"/>
      <c r="C836" s="620"/>
      <c r="D836" s="620"/>
      <c r="E836" s="620"/>
      <c r="F836" s="620"/>
      <c r="G836" s="620"/>
      <c r="H836" s="620"/>
      <c r="I836" s="620"/>
      <c r="J836" s="620"/>
      <c r="K836" s="620"/>
      <c r="L836" s="620"/>
      <c r="M836" s="620"/>
      <c r="N836" s="620"/>
      <c r="O836" s="620"/>
      <c r="P836" s="620"/>
      <c r="Q836" s="620"/>
      <c r="R836" s="620"/>
      <c r="S836" s="327"/>
      <c r="T836" s="620"/>
      <c r="U836" s="327"/>
      <c r="V836" s="705"/>
      <c r="W836" s="705"/>
      <c r="X836" s="705"/>
      <c r="Y836" s="705"/>
      <c r="Z836" s="705"/>
      <c r="AA836" s="327"/>
      <c r="AB836" s="705"/>
      <c r="AC836" s="620"/>
      <c r="AD836" s="620"/>
      <c r="AE836" s="620"/>
    </row>
    <row r="837" spans="1:31">
      <c r="A837" s="620"/>
      <c r="B837" s="620"/>
      <c r="C837" s="620"/>
      <c r="D837" s="620"/>
      <c r="E837" s="620"/>
      <c r="F837" s="620"/>
      <c r="G837" s="620"/>
      <c r="H837" s="620"/>
      <c r="I837" s="620"/>
      <c r="J837" s="620"/>
      <c r="K837" s="620"/>
      <c r="L837" s="620"/>
      <c r="M837" s="620"/>
      <c r="N837" s="620"/>
      <c r="O837" s="620"/>
      <c r="P837" s="620"/>
      <c r="Q837" s="620"/>
      <c r="R837" s="620"/>
      <c r="S837" s="327"/>
      <c r="T837" s="620"/>
      <c r="U837" s="327"/>
      <c r="V837" s="705"/>
      <c r="W837" s="705"/>
      <c r="X837" s="705"/>
      <c r="Y837" s="705"/>
      <c r="Z837" s="705"/>
      <c r="AA837" s="327"/>
      <c r="AB837" s="705"/>
      <c r="AC837" s="620"/>
      <c r="AD837" s="620"/>
      <c r="AE837" s="620"/>
    </row>
    <row r="838" spans="1:31">
      <c r="A838" s="620"/>
      <c r="B838" s="620"/>
      <c r="C838" s="620"/>
      <c r="D838" s="620"/>
      <c r="E838" s="620"/>
      <c r="F838" s="620"/>
      <c r="G838" s="620"/>
      <c r="H838" s="620"/>
      <c r="I838" s="620"/>
      <c r="J838" s="620"/>
      <c r="K838" s="620"/>
      <c r="L838" s="620"/>
      <c r="M838" s="620"/>
      <c r="N838" s="620"/>
      <c r="O838" s="620"/>
      <c r="P838" s="620"/>
      <c r="Q838" s="620"/>
      <c r="R838" s="620"/>
      <c r="S838" s="327"/>
      <c r="T838" s="620"/>
      <c r="U838" s="327"/>
      <c r="V838" s="705"/>
      <c r="W838" s="705"/>
      <c r="X838" s="705"/>
      <c r="Y838" s="705"/>
      <c r="Z838" s="705"/>
      <c r="AA838" s="327"/>
      <c r="AB838" s="705"/>
      <c r="AC838" s="620"/>
      <c r="AD838" s="620"/>
      <c r="AE838" s="620"/>
    </row>
    <row r="839" spans="1:31">
      <c r="A839" s="620"/>
      <c r="B839" s="620"/>
      <c r="C839" s="620"/>
      <c r="D839" s="620"/>
      <c r="E839" s="620"/>
      <c r="F839" s="620"/>
      <c r="G839" s="620"/>
      <c r="H839" s="620"/>
      <c r="I839" s="620"/>
      <c r="J839" s="620"/>
      <c r="K839" s="620"/>
      <c r="L839" s="620"/>
      <c r="M839" s="620"/>
      <c r="N839" s="620"/>
      <c r="O839" s="620"/>
      <c r="P839" s="620"/>
      <c r="Q839" s="620"/>
      <c r="R839" s="620"/>
      <c r="S839" s="327"/>
      <c r="T839" s="620"/>
      <c r="U839" s="327"/>
      <c r="V839" s="705"/>
      <c r="W839" s="705"/>
      <c r="X839" s="705"/>
      <c r="Y839" s="705"/>
      <c r="Z839" s="705"/>
      <c r="AA839" s="327"/>
      <c r="AB839" s="705"/>
      <c r="AC839" s="620"/>
      <c r="AD839" s="620"/>
      <c r="AE839" s="620"/>
    </row>
    <row r="840" spans="1:31">
      <c r="A840" s="620"/>
      <c r="B840" s="620"/>
      <c r="C840" s="620"/>
      <c r="D840" s="620"/>
      <c r="E840" s="620"/>
      <c r="F840" s="620"/>
      <c r="G840" s="620"/>
      <c r="H840" s="620"/>
      <c r="I840" s="620"/>
      <c r="J840" s="620"/>
      <c r="K840" s="620"/>
      <c r="L840" s="620"/>
      <c r="M840" s="620"/>
      <c r="N840" s="620"/>
      <c r="O840" s="620"/>
      <c r="P840" s="620"/>
      <c r="Q840" s="620"/>
      <c r="R840" s="620"/>
      <c r="S840" s="327"/>
      <c r="T840" s="620"/>
      <c r="U840" s="327"/>
      <c r="V840" s="705"/>
      <c r="W840" s="705"/>
      <c r="X840" s="705"/>
      <c r="Y840" s="705"/>
      <c r="Z840" s="705"/>
      <c r="AA840" s="327"/>
      <c r="AB840" s="705"/>
      <c r="AC840" s="620"/>
      <c r="AD840" s="620"/>
      <c r="AE840" s="620"/>
    </row>
    <row r="841" spans="1:31">
      <c r="A841" s="620"/>
      <c r="B841" s="620"/>
      <c r="C841" s="620"/>
      <c r="D841" s="620"/>
      <c r="E841" s="620"/>
      <c r="F841" s="620"/>
      <c r="G841" s="620"/>
      <c r="H841" s="620"/>
      <c r="I841" s="620"/>
      <c r="J841" s="620"/>
      <c r="K841" s="620"/>
      <c r="L841" s="620"/>
      <c r="M841" s="620"/>
      <c r="N841" s="620"/>
      <c r="O841" s="620"/>
      <c r="P841" s="620"/>
      <c r="Q841" s="620"/>
      <c r="R841" s="620"/>
      <c r="S841" s="327"/>
      <c r="T841" s="620"/>
      <c r="U841" s="327"/>
      <c r="V841" s="705"/>
      <c r="W841" s="705"/>
      <c r="X841" s="705"/>
      <c r="Y841" s="705"/>
      <c r="Z841" s="705"/>
      <c r="AA841" s="327"/>
      <c r="AB841" s="705"/>
      <c r="AC841" s="620"/>
      <c r="AD841" s="620"/>
      <c r="AE841" s="620"/>
    </row>
    <row r="842" spans="1:31">
      <c r="A842" s="620"/>
      <c r="B842" s="620"/>
      <c r="C842" s="620"/>
      <c r="D842" s="620"/>
      <c r="E842" s="620"/>
      <c r="F842" s="620"/>
      <c r="G842" s="620"/>
      <c r="H842" s="620"/>
      <c r="I842" s="620"/>
      <c r="J842" s="620"/>
      <c r="K842" s="620"/>
      <c r="L842" s="620"/>
      <c r="M842" s="620"/>
      <c r="N842" s="620"/>
      <c r="O842" s="620"/>
      <c r="P842" s="620"/>
      <c r="Q842" s="620"/>
      <c r="R842" s="620"/>
      <c r="S842" s="327"/>
      <c r="T842" s="620"/>
      <c r="U842" s="327"/>
      <c r="V842" s="705"/>
      <c r="W842" s="705"/>
      <c r="X842" s="705"/>
      <c r="Y842" s="705"/>
      <c r="Z842" s="705"/>
      <c r="AA842" s="327"/>
      <c r="AB842" s="705"/>
      <c r="AC842" s="620"/>
      <c r="AD842" s="620"/>
      <c r="AE842" s="620"/>
    </row>
    <row r="843" spans="1:31">
      <c r="A843" s="620"/>
      <c r="B843" s="620"/>
      <c r="C843" s="620"/>
      <c r="D843" s="620"/>
      <c r="E843" s="620"/>
      <c r="F843" s="620"/>
      <c r="G843" s="620"/>
      <c r="H843" s="620"/>
      <c r="I843" s="620"/>
      <c r="J843" s="620"/>
      <c r="K843" s="620"/>
      <c r="L843" s="620"/>
      <c r="M843" s="620"/>
      <c r="N843" s="620"/>
      <c r="O843" s="620"/>
      <c r="P843" s="620"/>
      <c r="Q843" s="620"/>
      <c r="R843" s="620"/>
      <c r="S843" s="327"/>
      <c r="T843" s="620"/>
      <c r="U843" s="327"/>
      <c r="V843" s="705"/>
      <c r="W843" s="705"/>
      <c r="X843" s="705"/>
      <c r="Y843" s="705"/>
      <c r="Z843" s="705"/>
      <c r="AA843" s="327"/>
      <c r="AB843" s="705"/>
      <c r="AC843" s="620"/>
      <c r="AD843" s="620"/>
      <c r="AE843" s="620"/>
    </row>
    <row r="844" spans="1:31">
      <c r="A844" s="620"/>
      <c r="B844" s="620"/>
      <c r="C844" s="620"/>
      <c r="D844" s="620"/>
      <c r="E844" s="620"/>
      <c r="F844" s="620"/>
      <c r="G844" s="620"/>
      <c r="H844" s="620"/>
      <c r="I844" s="620"/>
      <c r="J844" s="620"/>
      <c r="K844" s="620"/>
      <c r="L844" s="620"/>
      <c r="M844" s="620"/>
      <c r="N844" s="620"/>
      <c r="O844" s="620"/>
      <c r="P844" s="620"/>
      <c r="Q844" s="620"/>
      <c r="R844" s="620"/>
      <c r="S844" s="327"/>
      <c r="T844" s="620"/>
      <c r="U844" s="327"/>
      <c r="V844" s="705"/>
      <c r="W844" s="705"/>
      <c r="X844" s="705"/>
      <c r="Y844" s="705"/>
      <c r="Z844" s="705"/>
      <c r="AA844" s="327"/>
      <c r="AB844" s="705"/>
      <c r="AC844" s="620"/>
      <c r="AD844" s="620"/>
      <c r="AE844" s="620"/>
    </row>
    <row r="845" spans="1:31">
      <c r="A845" s="620"/>
      <c r="B845" s="620"/>
      <c r="C845" s="620"/>
      <c r="D845" s="620"/>
      <c r="E845" s="620"/>
      <c r="F845" s="620"/>
      <c r="G845" s="620"/>
      <c r="H845" s="620"/>
      <c r="I845" s="620"/>
      <c r="J845" s="620"/>
      <c r="K845" s="620"/>
      <c r="L845" s="620"/>
      <c r="M845" s="620"/>
      <c r="N845" s="620"/>
      <c r="O845" s="620"/>
      <c r="P845" s="620"/>
      <c r="Q845" s="620"/>
      <c r="R845" s="620"/>
      <c r="S845" s="327"/>
      <c r="T845" s="620"/>
      <c r="U845" s="327"/>
      <c r="V845" s="705"/>
      <c r="W845" s="705"/>
      <c r="X845" s="705"/>
      <c r="Y845" s="705"/>
      <c r="Z845" s="705"/>
      <c r="AA845" s="327"/>
      <c r="AB845" s="705"/>
      <c r="AC845" s="620"/>
      <c r="AD845" s="620"/>
      <c r="AE845" s="620"/>
    </row>
    <row r="846" spans="1:31">
      <c r="A846" s="620"/>
      <c r="B846" s="620"/>
      <c r="C846" s="620"/>
      <c r="D846" s="620"/>
      <c r="E846" s="620"/>
      <c r="F846" s="620"/>
      <c r="G846" s="620"/>
      <c r="H846" s="620"/>
      <c r="I846" s="620"/>
      <c r="J846" s="620"/>
      <c r="K846" s="620"/>
      <c r="L846" s="620"/>
      <c r="M846" s="620"/>
      <c r="N846" s="620"/>
      <c r="O846" s="620"/>
      <c r="P846" s="620"/>
      <c r="Q846" s="620"/>
      <c r="R846" s="620"/>
      <c r="S846" s="327"/>
      <c r="T846" s="620"/>
      <c r="U846" s="327"/>
      <c r="V846" s="705"/>
      <c r="W846" s="705"/>
      <c r="X846" s="705"/>
      <c r="Y846" s="705"/>
      <c r="Z846" s="705"/>
      <c r="AA846" s="327"/>
      <c r="AB846" s="705"/>
      <c r="AC846" s="620"/>
      <c r="AD846" s="620"/>
      <c r="AE846" s="620"/>
    </row>
    <row r="847" spans="1:31">
      <c r="A847" s="620"/>
      <c r="B847" s="620"/>
      <c r="C847" s="620"/>
      <c r="D847" s="620"/>
      <c r="E847" s="620"/>
      <c r="F847" s="620"/>
      <c r="G847" s="620"/>
      <c r="H847" s="620"/>
      <c r="I847" s="620"/>
      <c r="J847" s="620"/>
      <c r="K847" s="620"/>
      <c r="L847" s="620"/>
      <c r="M847" s="620"/>
      <c r="N847" s="620"/>
      <c r="O847" s="620"/>
      <c r="P847" s="620"/>
      <c r="Q847" s="620"/>
      <c r="R847" s="620"/>
      <c r="S847" s="327"/>
      <c r="T847" s="620"/>
      <c r="U847" s="327"/>
      <c r="V847" s="705"/>
      <c r="W847" s="705"/>
      <c r="X847" s="705"/>
      <c r="Y847" s="705"/>
      <c r="Z847" s="705"/>
      <c r="AA847" s="327"/>
      <c r="AB847" s="705"/>
      <c r="AC847" s="620"/>
      <c r="AD847" s="620"/>
      <c r="AE847" s="620"/>
    </row>
    <row r="848" spans="1:31">
      <c r="A848" s="620"/>
      <c r="B848" s="620"/>
      <c r="C848" s="620"/>
      <c r="D848" s="620"/>
      <c r="E848" s="620"/>
      <c r="F848" s="620"/>
      <c r="G848" s="620"/>
      <c r="H848" s="620"/>
      <c r="I848" s="620"/>
      <c r="J848" s="620"/>
      <c r="K848" s="620"/>
      <c r="L848" s="620"/>
      <c r="M848" s="620"/>
      <c r="N848" s="620"/>
      <c r="O848" s="620"/>
      <c r="P848" s="620"/>
      <c r="Q848" s="620"/>
      <c r="R848" s="620"/>
      <c r="S848" s="327"/>
      <c r="T848" s="620"/>
      <c r="U848" s="327"/>
      <c r="V848" s="705"/>
      <c r="W848" s="705"/>
      <c r="X848" s="705"/>
      <c r="Y848" s="705"/>
      <c r="Z848" s="705"/>
      <c r="AA848" s="327"/>
      <c r="AB848" s="705"/>
      <c r="AC848" s="620"/>
      <c r="AD848" s="620"/>
      <c r="AE848" s="620"/>
    </row>
    <row r="849" spans="1:31">
      <c r="A849" s="620"/>
      <c r="B849" s="620"/>
      <c r="C849" s="620"/>
      <c r="D849" s="620"/>
      <c r="E849" s="620"/>
      <c r="F849" s="620"/>
      <c r="G849" s="620"/>
      <c r="H849" s="620"/>
      <c r="I849" s="620"/>
      <c r="J849" s="620"/>
      <c r="K849" s="620"/>
      <c r="L849" s="620"/>
      <c r="M849" s="620"/>
      <c r="N849" s="620"/>
      <c r="O849" s="620"/>
      <c r="P849" s="620"/>
      <c r="Q849" s="620"/>
      <c r="R849" s="620"/>
      <c r="S849" s="327"/>
      <c r="T849" s="620"/>
      <c r="U849" s="327"/>
      <c r="V849" s="705"/>
      <c r="W849" s="705"/>
      <c r="X849" s="705"/>
      <c r="Y849" s="705"/>
      <c r="Z849" s="705"/>
      <c r="AA849" s="327"/>
      <c r="AB849" s="705"/>
      <c r="AC849" s="620"/>
      <c r="AD849" s="620"/>
      <c r="AE849" s="620"/>
    </row>
    <row r="850" spans="1:31">
      <c r="A850" s="620"/>
      <c r="B850" s="620"/>
      <c r="C850" s="620"/>
      <c r="D850" s="620"/>
      <c r="E850" s="620"/>
      <c r="F850" s="620"/>
      <c r="G850" s="620"/>
      <c r="H850" s="620"/>
      <c r="I850" s="620"/>
      <c r="J850" s="620"/>
      <c r="K850" s="620"/>
      <c r="L850" s="620"/>
      <c r="M850" s="620"/>
      <c r="N850" s="620"/>
      <c r="O850" s="620"/>
      <c r="P850" s="620"/>
      <c r="Q850" s="620"/>
      <c r="R850" s="620"/>
      <c r="S850" s="327"/>
      <c r="T850" s="620"/>
      <c r="U850" s="327"/>
      <c r="V850" s="705"/>
      <c r="W850" s="705"/>
      <c r="X850" s="705"/>
      <c r="Y850" s="705"/>
      <c r="Z850" s="705"/>
      <c r="AA850" s="327"/>
      <c r="AB850" s="705"/>
      <c r="AC850" s="620"/>
      <c r="AD850" s="620"/>
      <c r="AE850" s="620"/>
    </row>
    <row r="851" spans="1:31">
      <c r="A851" s="620"/>
      <c r="B851" s="620"/>
      <c r="C851" s="620"/>
      <c r="D851" s="620"/>
      <c r="E851" s="620"/>
      <c r="F851" s="620"/>
      <c r="G851" s="620"/>
      <c r="H851" s="620"/>
      <c r="I851" s="620"/>
      <c r="J851" s="620"/>
      <c r="K851" s="620"/>
      <c r="L851" s="620"/>
      <c r="M851" s="620"/>
      <c r="N851" s="620"/>
      <c r="O851" s="620"/>
      <c r="P851" s="620"/>
      <c r="Q851" s="620"/>
      <c r="R851" s="620"/>
      <c r="S851" s="327"/>
      <c r="T851" s="620"/>
      <c r="U851" s="327"/>
      <c r="V851" s="705"/>
      <c r="W851" s="705"/>
      <c r="X851" s="705"/>
      <c r="Y851" s="705"/>
      <c r="Z851" s="705"/>
      <c r="AA851" s="327"/>
      <c r="AB851" s="705"/>
      <c r="AC851" s="620"/>
      <c r="AD851" s="620"/>
      <c r="AE851" s="620"/>
    </row>
    <row r="852" spans="1:31">
      <c r="A852" s="620"/>
      <c r="B852" s="620"/>
      <c r="C852" s="620"/>
      <c r="D852" s="620"/>
      <c r="E852" s="620"/>
      <c r="F852" s="620"/>
      <c r="G852" s="620"/>
      <c r="H852" s="620"/>
      <c r="I852" s="620"/>
      <c r="J852" s="620"/>
      <c r="K852" s="620"/>
      <c r="L852" s="620"/>
      <c r="M852" s="620"/>
      <c r="N852" s="620"/>
      <c r="O852" s="620"/>
      <c r="P852" s="620"/>
      <c r="Q852" s="620"/>
      <c r="R852" s="620"/>
      <c r="S852" s="327"/>
      <c r="T852" s="620"/>
      <c r="U852" s="327"/>
      <c r="V852" s="705"/>
      <c r="W852" s="705"/>
      <c r="X852" s="705"/>
      <c r="Y852" s="705"/>
      <c r="Z852" s="705"/>
      <c r="AA852" s="327"/>
      <c r="AB852" s="705"/>
      <c r="AC852" s="620"/>
      <c r="AD852" s="620"/>
      <c r="AE852" s="620"/>
    </row>
    <row r="853" spans="1:31">
      <c r="A853" s="620"/>
      <c r="B853" s="620"/>
      <c r="C853" s="620"/>
      <c r="D853" s="620"/>
      <c r="E853" s="620"/>
      <c r="F853" s="620"/>
      <c r="G853" s="620"/>
      <c r="H853" s="620"/>
      <c r="I853" s="620"/>
      <c r="J853" s="620"/>
      <c r="K853" s="620"/>
      <c r="L853" s="620"/>
      <c r="M853" s="620"/>
      <c r="N853" s="620"/>
      <c r="O853" s="620"/>
      <c r="P853" s="620"/>
      <c r="Q853" s="620"/>
      <c r="R853" s="620"/>
      <c r="S853" s="327"/>
      <c r="T853" s="620"/>
      <c r="U853" s="327"/>
      <c r="V853" s="705"/>
      <c r="W853" s="705"/>
      <c r="X853" s="705"/>
      <c r="Y853" s="705"/>
      <c r="Z853" s="705"/>
      <c r="AA853" s="327"/>
      <c r="AB853" s="705"/>
      <c r="AC853" s="620"/>
      <c r="AD853" s="620"/>
      <c r="AE853" s="620"/>
    </row>
    <row r="854" spans="1:31">
      <c r="A854" s="620"/>
      <c r="B854" s="620"/>
      <c r="C854" s="620"/>
      <c r="D854" s="620"/>
      <c r="E854" s="620"/>
      <c r="F854" s="620"/>
      <c r="G854" s="620"/>
      <c r="H854" s="620"/>
      <c r="I854" s="620"/>
      <c r="J854" s="620"/>
      <c r="K854" s="620"/>
      <c r="L854" s="620"/>
      <c r="M854" s="620"/>
      <c r="N854" s="620"/>
      <c r="O854" s="620"/>
      <c r="P854" s="620"/>
      <c r="Q854" s="620"/>
      <c r="R854" s="620"/>
      <c r="S854" s="327"/>
      <c r="T854" s="620"/>
      <c r="U854" s="327"/>
      <c r="V854" s="705"/>
      <c r="W854" s="705"/>
      <c r="X854" s="705"/>
      <c r="Y854" s="705"/>
      <c r="Z854" s="705"/>
      <c r="AA854" s="327"/>
      <c r="AB854" s="705"/>
      <c r="AC854" s="620"/>
      <c r="AD854" s="620"/>
      <c r="AE854" s="620"/>
    </row>
    <row r="855" spans="1:31">
      <c r="A855" s="620"/>
      <c r="B855" s="620"/>
      <c r="C855" s="620"/>
      <c r="D855" s="620"/>
      <c r="E855" s="620"/>
      <c r="F855" s="620"/>
      <c r="G855" s="620"/>
      <c r="H855" s="620"/>
      <c r="I855" s="620"/>
      <c r="J855" s="620"/>
      <c r="K855" s="620"/>
      <c r="L855" s="620"/>
      <c r="M855" s="620"/>
      <c r="N855" s="620"/>
      <c r="O855" s="620"/>
      <c r="P855" s="620"/>
      <c r="Q855" s="620"/>
      <c r="R855" s="620"/>
      <c r="S855" s="327"/>
      <c r="T855" s="620"/>
      <c r="U855" s="327"/>
      <c r="V855" s="705"/>
      <c r="W855" s="705"/>
      <c r="X855" s="705"/>
      <c r="Y855" s="705"/>
      <c r="Z855" s="705"/>
      <c r="AA855" s="327"/>
      <c r="AB855" s="705"/>
      <c r="AC855" s="620"/>
      <c r="AD855" s="620"/>
      <c r="AE855" s="620"/>
    </row>
    <row r="856" spans="1:31">
      <c r="A856" s="620"/>
      <c r="B856" s="620"/>
      <c r="C856" s="620"/>
      <c r="D856" s="620"/>
      <c r="E856" s="620"/>
      <c r="F856" s="620"/>
      <c r="G856" s="620"/>
      <c r="H856" s="620"/>
      <c r="I856" s="620"/>
      <c r="J856" s="620"/>
      <c r="K856" s="620"/>
      <c r="L856" s="620"/>
      <c r="M856" s="620"/>
      <c r="N856" s="620"/>
      <c r="O856" s="620"/>
      <c r="P856" s="620"/>
      <c r="Q856" s="620"/>
      <c r="R856" s="620"/>
      <c r="S856" s="327"/>
      <c r="T856" s="620"/>
      <c r="U856" s="327"/>
      <c r="V856" s="705"/>
      <c r="W856" s="705"/>
      <c r="X856" s="705"/>
      <c r="Y856" s="705"/>
      <c r="Z856" s="705"/>
      <c r="AA856" s="327"/>
      <c r="AB856" s="705"/>
      <c r="AC856" s="620"/>
      <c r="AD856" s="620"/>
      <c r="AE856" s="620"/>
    </row>
    <row r="857" spans="1:31">
      <c r="A857" s="620"/>
      <c r="B857" s="620"/>
      <c r="C857" s="620"/>
      <c r="D857" s="620"/>
      <c r="E857" s="620"/>
      <c r="F857" s="620"/>
      <c r="G857" s="620"/>
      <c r="H857" s="620"/>
      <c r="I857" s="620"/>
      <c r="J857" s="620"/>
      <c r="K857" s="620"/>
      <c r="L857" s="620"/>
      <c r="M857" s="620"/>
      <c r="N857" s="620"/>
      <c r="O857" s="620"/>
      <c r="P857" s="620"/>
      <c r="Q857" s="620"/>
      <c r="R857" s="620"/>
      <c r="S857" s="327"/>
      <c r="T857" s="620"/>
      <c r="U857" s="327"/>
      <c r="V857" s="705"/>
      <c r="W857" s="705"/>
      <c r="X857" s="705"/>
      <c r="Y857" s="705"/>
      <c r="Z857" s="705"/>
      <c r="AA857" s="327"/>
      <c r="AB857" s="705"/>
      <c r="AC857" s="620"/>
      <c r="AD857" s="620"/>
      <c r="AE857" s="620"/>
    </row>
    <row r="858" spans="1:31">
      <c r="A858" s="620"/>
      <c r="B858" s="620"/>
      <c r="C858" s="620"/>
      <c r="D858" s="620"/>
      <c r="E858" s="620"/>
      <c r="F858" s="620"/>
      <c r="G858" s="620"/>
      <c r="H858" s="620"/>
      <c r="I858" s="620"/>
      <c r="J858" s="620"/>
      <c r="K858" s="620"/>
      <c r="L858" s="620"/>
      <c r="M858" s="620"/>
      <c r="N858" s="620"/>
      <c r="O858" s="620"/>
      <c r="P858" s="620"/>
      <c r="Q858" s="620"/>
      <c r="R858" s="620"/>
      <c r="S858" s="327"/>
      <c r="T858" s="620"/>
      <c r="U858" s="327"/>
      <c r="V858" s="705"/>
      <c r="W858" s="705"/>
      <c r="X858" s="705"/>
      <c r="Y858" s="705"/>
      <c r="Z858" s="705"/>
      <c r="AA858" s="327"/>
      <c r="AB858" s="705"/>
      <c r="AC858" s="620"/>
      <c r="AD858" s="620"/>
      <c r="AE858" s="620"/>
    </row>
    <row r="859" spans="1:31">
      <c r="A859" s="620"/>
      <c r="B859" s="620"/>
      <c r="C859" s="620"/>
      <c r="D859" s="620"/>
      <c r="E859" s="620"/>
      <c r="F859" s="620"/>
      <c r="G859" s="620"/>
      <c r="H859" s="620"/>
      <c r="I859" s="620"/>
      <c r="J859" s="620"/>
      <c r="K859" s="620"/>
      <c r="L859" s="620"/>
      <c r="M859" s="620"/>
      <c r="N859" s="620"/>
      <c r="O859" s="620"/>
      <c r="P859" s="620"/>
      <c r="Q859" s="620"/>
      <c r="R859" s="620"/>
      <c r="S859" s="327"/>
      <c r="T859" s="620"/>
      <c r="U859" s="327"/>
      <c r="V859" s="705"/>
      <c r="W859" s="705"/>
      <c r="X859" s="705"/>
      <c r="Y859" s="705"/>
      <c r="Z859" s="705"/>
      <c r="AA859" s="327"/>
      <c r="AB859" s="705"/>
      <c r="AC859" s="620"/>
      <c r="AD859" s="620"/>
      <c r="AE859" s="620"/>
    </row>
    <row r="860" spans="1:31">
      <c r="A860" s="620"/>
      <c r="B860" s="620"/>
      <c r="C860" s="620"/>
      <c r="D860" s="620"/>
      <c r="E860" s="620"/>
      <c r="F860" s="620"/>
      <c r="G860" s="620"/>
      <c r="H860" s="620"/>
      <c r="I860" s="620"/>
      <c r="J860" s="620"/>
      <c r="K860" s="620"/>
      <c r="L860" s="620"/>
      <c r="M860" s="620"/>
      <c r="N860" s="620"/>
      <c r="O860" s="620"/>
      <c r="P860" s="620"/>
      <c r="Q860" s="620"/>
      <c r="R860" s="620"/>
      <c r="S860" s="327"/>
      <c r="T860" s="620"/>
      <c r="U860" s="327"/>
      <c r="V860" s="705"/>
      <c r="W860" s="705"/>
      <c r="X860" s="705"/>
      <c r="Y860" s="705"/>
      <c r="Z860" s="705"/>
      <c r="AA860" s="327"/>
      <c r="AB860" s="705"/>
      <c r="AC860" s="620"/>
      <c r="AD860" s="620"/>
      <c r="AE860" s="620"/>
    </row>
    <row r="861" spans="1:31">
      <c r="A861" s="620"/>
      <c r="B861" s="620"/>
      <c r="C861" s="620"/>
      <c r="D861" s="620"/>
      <c r="E861" s="620"/>
      <c r="F861" s="620"/>
      <c r="G861" s="620"/>
      <c r="H861" s="620"/>
      <c r="I861" s="620"/>
      <c r="J861" s="620"/>
      <c r="K861" s="620"/>
      <c r="L861" s="620"/>
      <c r="M861" s="620"/>
      <c r="N861" s="620"/>
      <c r="O861" s="620"/>
      <c r="P861" s="620"/>
      <c r="Q861" s="620"/>
      <c r="R861" s="620"/>
      <c r="S861" s="327"/>
      <c r="T861" s="620"/>
      <c r="U861" s="327"/>
      <c r="V861" s="705"/>
      <c r="W861" s="705"/>
      <c r="X861" s="705"/>
      <c r="Y861" s="705"/>
      <c r="Z861" s="705"/>
      <c r="AA861" s="327"/>
      <c r="AB861" s="705"/>
      <c r="AC861" s="620"/>
      <c r="AD861" s="620"/>
      <c r="AE861" s="620"/>
    </row>
    <row r="862" spans="1:31">
      <c r="A862" s="620"/>
      <c r="B862" s="620"/>
      <c r="C862" s="620"/>
      <c r="D862" s="620"/>
      <c r="E862" s="620"/>
      <c r="F862" s="620"/>
      <c r="G862" s="620"/>
      <c r="H862" s="620"/>
      <c r="I862" s="620"/>
      <c r="J862" s="620"/>
      <c r="K862" s="620"/>
      <c r="L862" s="620"/>
      <c r="M862" s="620"/>
      <c r="N862" s="620"/>
      <c r="O862" s="620"/>
      <c r="P862" s="620"/>
      <c r="Q862" s="620"/>
      <c r="R862" s="620"/>
      <c r="S862" s="327"/>
      <c r="T862" s="620"/>
      <c r="U862" s="327"/>
      <c r="V862" s="705"/>
      <c r="W862" s="705"/>
      <c r="X862" s="705"/>
      <c r="Y862" s="705"/>
      <c r="Z862" s="705"/>
      <c r="AA862" s="327"/>
      <c r="AB862" s="705"/>
      <c r="AC862" s="620"/>
      <c r="AD862" s="620"/>
      <c r="AE862" s="620"/>
    </row>
    <row r="863" spans="1:31">
      <c r="A863" s="620"/>
      <c r="B863" s="620"/>
      <c r="C863" s="620"/>
      <c r="D863" s="620"/>
      <c r="E863" s="620"/>
      <c r="F863" s="620"/>
      <c r="G863" s="620"/>
      <c r="H863" s="620"/>
      <c r="I863" s="620"/>
      <c r="J863" s="620"/>
      <c r="K863" s="620"/>
      <c r="L863" s="620"/>
      <c r="M863" s="620"/>
      <c r="N863" s="620"/>
      <c r="O863" s="620"/>
      <c r="P863" s="620"/>
      <c r="Q863" s="620"/>
      <c r="R863" s="620"/>
      <c r="S863" s="327"/>
      <c r="T863" s="620"/>
      <c r="U863" s="327"/>
      <c r="V863" s="705"/>
      <c r="W863" s="705"/>
      <c r="X863" s="705"/>
      <c r="Y863" s="705"/>
      <c r="Z863" s="705"/>
      <c r="AA863" s="327"/>
      <c r="AB863" s="705"/>
      <c r="AC863" s="620"/>
      <c r="AD863" s="620"/>
      <c r="AE863" s="620"/>
    </row>
    <row r="864" spans="1:31">
      <c r="A864" s="620"/>
      <c r="B864" s="620"/>
      <c r="C864" s="620"/>
      <c r="D864" s="620"/>
      <c r="E864" s="620"/>
      <c r="F864" s="620"/>
      <c r="G864" s="620"/>
      <c r="H864" s="620"/>
      <c r="I864" s="620"/>
      <c r="J864" s="620"/>
      <c r="K864" s="620"/>
      <c r="L864" s="620"/>
      <c r="M864" s="620"/>
      <c r="N864" s="620"/>
      <c r="O864" s="620"/>
      <c r="P864" s="620"/>
      <c r="Q864" s="620"/>
      <c r="R864" s="620"/>
      <c r="S864" s="327"/>
      <c r="T864" s="620"/>
      <c r="U864" s="327"/>
      <c r="V864" s="705"/>
      <c r="W864" s="705"/>
      <c r="X864" s="705"/>
      <c r="Y864" s="705"/>
      <c r="Z864" s="705"/>
      <c r="AA864" s="327"/>
      <c r="AB864" s="705"/>
      <c r="AC864" s="620"/>
      <c r="AD864" s="620"/>
      <c r="AE864" s="620"/>
    </row>
    <row r="865" spans="1:31">
      <c r="A865" s="620"/>
      <c r="B865" s="620"/>
      <c r="C865" s="620"/>
      <c r="D865" s="620"/>
      <c r="E865" s="620"/>
      <c r="F865" s="620"/>
      <c r="G865" s="620"/>
      <c r="H865" s="620"/>
      <c r="I865" s="620"/>
      <c r="J865" s="620"/>
      <c r="K865" s="620"/>
      <c r="L865" s="620"/>
      <c r="M865" s="620"/>
      <c r="N865" s="620"/>
      <c r="O865" s="620"/>
      <c r="P865" s="620"/>
      <c r="Q865" s="620"/>
      <c r="R865" s="620"/>
      <c r="S865" s="327"/>
      <c r="T865" s="620"/>
      <c r="U865" s="327"/>
      <c r="V865" s="705"/>
      <c r="W865" s="705"/>
      <c r="X865" s="705"/>
      <c r="Y865" s="705"/>
      <c r="Z865" s="705"/>
      <c r="AA865" s="327"/>
      <c r="AB865" s="705"/>
      <c r="AC865" s="620"/>
      <c r="AD865" s="620"/>
      <c r="AE865" s="620"/>
    </row>
    <row r="866" spans="1:31">
      <c r="A866" s="620"/>
      <c r="B866" s="620"/>
      <c r="C866" s="620"/>
      <c r="D866" s="620"/>
      <c r="E866" s="620"/>
      <c r="F866" s="620"/>
      <c r="G866" s="620"/>
      <c r="H866" s="620"/>
      <c r="I866" s="620"/>
      <c r="J866" s="620"/>
      <c r="K866" s="620"/>
      <c r="L866" s="620"/>
      <c r="M866" s="620"/>
      <c r="N866" s="620"/>
      <c r="O866" s="620"/>
      <c r="P866" s="620"/>
      <c r="Q866" s="620"/>
      <c r="R866" s="620"/>
      <c r="S866" s="327"/>
      <c r="T866" s="620"/>
      <c r="U866" s="327"/>
      <c r="V866" s="705"/>
      <c r="W866" s="705"/>
      <c r="X866" s="705"/>
      <c r="Y866" s="705"/>
      <c r="Z866" s="705"/>
      <c r="AA866" s="327"/>
      <c r="AB866" s="705"/>
      <c r="AC866" s="620"/>
      <c r="AD866" s="620"/>
      <c r="AE866" s="620"/>
    </row>
    <row r="867" spans="1:31">
      <c r="A867" s="620"/>
      <c r="B867" s="620"/>
      <c r="C867" s="620"/>
      <c r="D867" s="620"/>
      <c r="E867" s="620"/>
      <c r="F867" s="620"/>
      <c r="G867" s="620"/>
      <c r="H867" s="620"/>
      <c r="I867" s="620"/>
      <c r="J867" s="620"/>
      <c r="K867" s="620"/>
      <c r="L867" s="620"/>
      <c r="M867" s="620"/>
      <c r="N867" s="620"/>
      <c r="O867" s="620"/>
      <c r="P867" s="620"/>
      <c r="Q867" s="620"/>
      <c r="R867" s="620"/>
      <c r="S867" s="327"/>
      <c r="T867" s="620"/>
      <c r="U867" s="327"/>
      <c r="V867" s="705"/>
      <c r="W867" s="705"/>
      <c r="X867" s="705"/>
      <c r="Y867" s="705"/>
      <c r="Z867" s="705"/>
      <c r="AA867" s="327"/>
      <c r="AB867" s="705"/>
      <c r="AC867" s="620"/>
      <c r="AD867" s="620"/>
      <c r="AE867" s="620"/>
    </row>
    <row r="868" spans="1:31">
      <c r="A868" s="620"/>
      <c r="B868" s="620"/>
      <c r="C868" s="620"/>
      <c r="D868" s="620"/>
      <c r="E868" s="620"/>
      <c r="F868" s="620"/>
      <c r="G868" s="620"/>
      <c r="H868" s="620"/>
      <c r="I868" s="620"/>
      <c r="J868" s="620"/>
      <c r="K868" s="620"/>
      <c r="L868" s="620"/>
      <c r="M868" s="620"/>
      <c r="N868" s="620"/>
      <c r="O868" s="620"/>
      <c r="P868" s="620"/>
      <c r="Q868" s="620"/>
      <c r="R868" s="620"/>
      <c r="S868" s="327"/>
      <c r="T868" s="620"/>
      <c r="U868" s="327"/>
      <c r="V868" s="705"/>
      <c r="W868" s="705"/>
      <c r="X868" s="705"/>
      <c r="Y868" s="705"/>
      <c r="Z868" s="705"/>
      <c r="AA868" s="327"/>
      <c r="AB868" s="705"/>
      <c r="AC868" s="620"/>
      <c r="AD868" s="620"/>
      <c r="AE868" s="620"/>
    </row>
    <row r="869" spans="1:31">
      <c r="A869" s="620"/>
      <c r="B869" s="620"/>
      <c r="C869" s="620"/>
      <c r="D869" s="620"/>
      <c r="E869" s="620"/>
      <c r="F869" s="620"/>
      <c r="G869" s="620"/>
      <c r="H869" s="620"/>
      <c r="I869" s="620"/>
      <c r="J869" s="620"/>
      <c r="K869" s="620"/>
      <c r="L869" s="620"/>
      <c r="M869" s="620"/>
      <c r="N869" s="620"/>
      <c r="O869" s="620"/>
      <c r="P869" s="620"/>
      <c r="Q869" s="620"/>
      <c r="R869" s="620"/>
      <c r="S869" s="327"/>
      <c r="T869" s="620"/>
      <c r="U869" s="327"/>
      <c r="V869" s="705"/>
      <c r="W869" s="705"/>
      <c r="X869" s="705"/>
      <c r="Y869" s="705"/>
      <c r="Z869" s="705"/>
      <c r="AA869" s="327"/>
      <c r="AB869" s="705"/>
      <c r="AC869" s="620"/>
      <c r="AD869" s="620"/>
      <c r="AE869" s="620"/>
    </row>
    <row r="870" spans="1:31">
      <c r="A870" s="620"/>
      <c r="B870" s="620"/>
      <c r="C870" s="620"/>
      <c r="D870" s="620"/>
      <c r="E870" s="620"/>
      <c r="F870" s="620"/>
      <c r="G870" s="620"/>
      <c r="H870" s="620"/>
      <c r="I870" s="620"/>
      <c r="J870" s="620"/>
      <c r="K870" s="620"/>
      <c r="L870" s="620"/>
      <c r="M870" s="620"/>
      <c r="N870" s="620"/>
      <c r="O870" s="620"/>
      <c r="P870" s="620"/>
      <c r="Q870" s="620"/>
      <c r="R870" s="620"/>
      <c r="S870" s="327"/>
      <c r="T870" s="620"/>
      <c r="U870" s="327"/>
      <c r="V870" s="705"/>
      <c r="W870" s="705"/>
      <c r="X870" s="705"/>
      <c r="Y870" s="705"/>
      <c r="Z870" s="705"/>
      <c r="AA870" s="327"/>
      <c r="AB870" s="705"/>
      <c r="AC870" s="620"/>
      <c r="AD870" s="620"/>
      <c r="AE870" s="620"/>
    </row>
    <row r="871" spans="1:31">
      <c r="A871" s="620"/>
      <c r="B871" s="620"/>
      <c r="C871" s="620"/>
      <c r="D871" s="620"/>
      <c r="E871" s="620"/>
      <c r="F871" s="620"/>
      <c r="G871" s="620"/>
      <c r="H871" s="620"/>
      <c r="I871" s="620"/>
      <c r="J871" s="620"/>
      <c r="K871" s="620"/>
      <c r="L871" s="620"/>
      <c r="M871" s="620"/>
      <c r="N871" s="620"/>
      <c r="O871" s="620"/>
      <c r="P871" s="620"/>
      <c r="Q871" s="620"/>
      <c r="R871" s="620"/>
      <c r="S871" s="327"/>
      <c r="T871" s="620"/>
      <c r="U871" s="327"/>
      <c r="V871" s="705"/>
      <c r="W871" s="705"/>
      <c r="X871" s="705"/>
      <c r="Y871" s="705"/>
      <c r="Z871" s="705"/>
      <c r="AA871" s="327"/>
      <c r="AB871" s="705"/>
      <c r="AC871" s="620"/>
      <c r="AD871" s="620"/>
      <c r="AE871" s="620"/>
    </row>
    <row r="872" spans="1:31">
      <c r="A872" s="620"/>
      <c r="B872" s="620"/>
      <c r="C872" s="620"/>
      <c r="D872" s="620"/>
      <c r="E872" s="620"/>
      <c r="F872" s="620"/>
      <c r="G872" s="620"/>
      <c r="H872" s="620"/>
      <c r="I872" s="620"/>
      <c r="J872" s="620"/>
      <c r="K872" s="620"/>
      <c r="L872" s="620"/>
      <c r="M872" s="620"/>
      <c r="N872" s="620"/>
      <c r="O872" s="620"/>
      <c r="P872" s="620"/>
      <c r="Q872" s="620"/>
      <c r="R872" s="620"/>
      <c r="S872" s="327"/>
      <c r="T872" s="620"/>
      <c r="U872" s="327"/>
      <c r="V872" s="705"/>
      <c r="W872" s="705"/>
      <c r="X872" s="705"/>
      <c r="Y872" s="705"/>
      <c r="Z872" s="705"/>
      <c r="AA872" s="327"/>
      <c r="AB872" s="705"/>
      <c r="AC872" s="620"/>
      <c r="AD872" s="620"/>
      <c r="AE872" s="620"/>
    </row>
    <row r="873" spans="1:31">
      <c r="A873" s="620"/>
      <c r="B873" s="620"/>
      <c r="C873" s="620"/>
      <c r="D873" s="620"/>
      <c r="E873" s="620"/>
      <c r="F873" s="620"/>
      <c r="G873" s="620"/>
      <c r="H873" s="620"/>
      <c r="I873" s="620"/>
      <c r="J873" s="620"/>
      <c r="K873" s="620"/>
      <c r="L873" s="620"/>
      <c r="M873" s="620"/>
      <c r="N873" s="620"/>
      <c r="O873" s="620"/>
      <c r="P873" s="620"/>
      <c r="Q873" s="620"/>
      <c r="R873" s="620"/>
      <c r="S873" s="327"/>
      <c r="T873" s="620"/>
      <c r="U873" s="327"/>
      <c r="V873" s="705"/>
      <c r="W873" s="705"/>
      <c r="X873" s="705"/>
      <c r="Y873" s="705"/>
      <c r="Z873" s="705"/>
      <c r="AA873" s="327"/>
      <c r="AB873" s="705"/>
      <c r="AC873" s="620"/>
      <c r="AD873" s="620"/>
      <c r="AE873" s="620"/>
    </row>
    <row r="874" spans="1:31">
      <c r="A874" s="620"/>
      <c r="B874" s="620"/>
      <c r="C874" s="620"/>
      <c r="D874" s="620"/>
      <c r="E874" s="620"/>
      <c r="F874" s="620"/>
      <c r="G874" s="620"/>
      <c r="H874" s="620"/>
      <c r="I874" s="620"/>
      <c r="J874" s="620"/>
      <c r="K874" s="620"/>
      <c r="L874" s="620"/>
      <c r="M874" s="620"/>
      <c r="N874" s="620"/>
      <c r="O874" s="620"/>
      <c r="P874" s="620"/>
      <c r="Q874" s="620"/>
      <c r="R874" s="620"/>
      <c r="S874" s="327"/>
      <c r="T874" s="620"/>
      <c r="U874" s="327"/>
      <c r="V874" s="705"/>
      <c r="W874" s="705"/>
      <c r="X874" s="705"/>
      <c r="Y874" s="705"/>
      <c r="Z874" s="705"/>
      <c r="AA874" s="327"/>
      <c r="AB874" s="705"/>
      <c r="AC874" s="620"/>
      <c r="AD874" s="620"/>
      <c r="AE874" s="620"/>
    </row>
    <row r="875" spans="1:31">
      <c r="A875" s="620"/>
      <c r="B875" s="620"/>
      <c r="C875" s="620"/>
      <c r="D875" s="620"/>
      <c r="E875" s="620"/>
      <c r="F875" s="620"/>
      <c r="G875" s="620"/>
      <c r="H875" s="620"/>
      <c r="I875" s="620"/>
      <c r="J875" s="620"/>
      <c r="K875" s="620"/>
      <c r="L875" s="620"/>
      <c r="M875" s="620"/>
      <c r="N875" s="620"/>
      <c r="O875" s="620"/>
      <c r="P875" s="620"/>
      <c r="Q875" s="620"/>
      <c r="R875" s="620"/>
      <c r="S875" s="327"/>
      <c r="T875" s="620"/>
      <c r="U875" s="327"/>
      <c r="V875" s="705"/>
      <c r="W875" s="705"/>
      <c r="X875" s="705"/>
      <c r="Y875" s="705"/>
      <c r="Z875" s="705"/>
      <c r="AA875" s="327"/>
      <c r="AB875" s="705"/>
      <c r="AC875" s="620"/>
      <c r="AD875" s="620"/>
      <c r="AE875" s="620"/>
    </row>
    <row r="876" spans="1:31">
      <c r="A876" s="620"/>
      <c r="B876" s="620"/>
      <c r="C876" s="620"/>
      <c r="D876" s="620"/>
      <c r="E876" s="620"/>
      <c r="F876" s="620"/>
      <c r="G876" s="620"/>
      <c r="H876" s="620"/>
      <c r="I876" s="620"/>
      <c r="J876" s="620"/>
      <c r="K876" s="620"/>
      <c r="L876" s="620"/>
      <c r="M876" s="620"/>
      <c r="N876" s="620"/>
      <c r="O876" s="620"/>
      <c r="P876" s="620"/>
      <c r="Q876" s="620"/>
      <c r="R876" s="620"/>
      <c r="S876" s="327"/>
      <c r="T876" s="620"/>
      <c r="U876" s="327"/>
      <c r="V876" s="705"/>
      <c r="W876" s="705"/>
      <c r="X876" s="705"/>
      <c r="Y876" s="705"/>
      <c r="Z876" s="705"/>
      <c r="AA876" s="327"/>
      <c r="AB876" s="705"/>
      <c r="AC876" s="620"/>
      <c r="AD876" s="620"/>
      <c r="AE876" s="620"/>
    </row>
    <row r="877" spans="1:31">
      <c r="A877" s="620"/>
      <c r="B877" s="620"/>
      <c r="C877" s="620"/>
      <c r="D877" s="620"/>
      <c r="E877" s="620"/>
      <c r="F877" s="620"/>
      <c r="G877" s="620"/>
      <c r="H877" s="620"/>
      <c r="I877" s="620"/>
      <c r="J877" s="620"/>
      <c r="K877" s="620"/>
      <c r="L877" s="620"/>
      <c r="M877" s="620"/>
      <c r="N877" s="620"/>
      <c r="O877" s="620"/>
      <c r="P877" s="620"/>
      <c r="Q877" s="620"/>
      <c r="R877" s="620"/>
      <c r="S877" s="327"/>
      <c r="T877" s="620"/>
      <c r="U877" s="327"/>
      <c r="V877" s="705"/>
      <c r="W877" s="705"/>
      <c r="X877" s="705"/>
      <c r="Y877" s="705"/>
      <c r="Z877" s="705"/>
      <c r="AA877" s="327"/>
      <c r="AB877" s="705"/>
      <c r="AC877" s="620"/>
      <c r="AD877" s="620"/>
      <c r="AE877" s="620"/>
    </row>
    <row r="878" spans="1:31">
      <c r="A878" s="620"/>
      <c r="B878" s="620"/>
      <c r="C878" s="620"/>
      <c r="D878" s="620"/>
      <c r="E878" s="620"/>
      <c r="F878" s="620"/>
      <c r="G878" s="620"/>
      <c r="H878" s="620"/>
      <c r="I878" s="620"/>
      <c r="J878" s="620"/>
      <c r="K878" s="620"/>
      <c r="L878" s="620"/>
      <c r="M878" s="620"/>
      <c r="N878" s="620"/>
      <c r="O878" s="620"/>
      <c r="P878" s="620"/>
      <c r="Q878" s="620"/>
      <c r="R878" s="620"/>
      <c r="S878" s="327"/>
      <c r="T878" s="620"/>
      <c r="U878" s="327"/>
      <c r="V878" s="705"/>
      <c r="W878" s="705"/>
      <c r="X878" s="705"/>
      <c r="Y878" s="705"/>
      <c r="Z878" s="705"/>
      <c r="AA878" s="327"/>
      <c r="AB878" s="705"/>
      <c r="AC878" s="620"/>
      <c r="AD878" s="620"/>
      <c r="AE878" s="620"/>
    </row>
    <row r="879" spans="1:31">
      <c r="A879" s="620"/>
      <c r="B879" s="620"/>
      <c r="C879" s="620"/>
      <c r="D879" s="620"/>
      <c r="E879" s="620"/>
      <c r="F879" s="620"/>
      <c r="G879" s="620"/>
      <c r="H879" s="620"/>
      <c r="I879" s="620"/>
      <c r="J879" s="620"/>
      <c r="K879" s="620"/>
      <c r="L879" s="620"/>
      <c r="M879" s="620"/>
      <c r="N879" s="620"/>
      <c r="O879" s="620"/>
      <c r="P879" s="620"/>
      <c r="Q879" s="620"/>
      <c r="R879" s="620"/>
      <c r="S879" s="327"/>
      <c r="T879" s="620"/>
      <c r="U879" s="327"/>
      <c r="V879" s="705"/>
      <c r="W879" s="705"/>
      <c r="X879" s="705"/>
      <c r="Y879" s="705"/>
      <c r="Z879" s="705"/>
      <c r="AA879" s="327"/>
      <c r="AB879" s="705"/>
      <c r="AC879" s="620"/>
      <c r="AD879" s="620"/>
      <c r="AE879" s="620"/>
    </row>
    <row r="880" spans="1:31">
      <c r="A880" s="620"/>
      <c r="B880" s="620"/>
      <c r="C880" s="620"/>
      <c r="D880" s="620"/>
      <c r="E880" s="620"/>
      <c r="F880" s="620"/>
      <c r="G880" s="620"/>
      <c r="H880" s="620"/>
      <c r="I880" s="620"/>
      <c r="J880" s="620"/>
      <c r="K880" s="620"/>
      <c r="L880" s="620"/>
      <c r="M880" s="620"/>
      <c r="N880" s="620"/>
      <c r="O880" s="620"/>
      <c r="P880" s="620"/>
      <c r="Q880" s="620"/>
      <c r="R880" s="620"/>
      <c r="S880" s="327"/>
      <c r="T880" s="620"/>
      <c r="U880" s="327"/>
      <c r="V880" s="705"/>
      <c r="W880" s="705"/>
      <c r="X880" s="705"/>
      <c r="Y880" s="705"/>
      <c r="Z880" s="705"/>
      <c r="AA880" s="327"/>
      <c r="AB880" s="705"/>
      <c r="AC880" s="620"/>
      <c r="AD880" s="620"/>
      <c r="AE880" s="620"/>
    </row>
    <row r="881" spans="1:31">
      <c r="A881" s="620"/>
      <c r="B881" s="620"/>
      <c r="C881" s="620"/>
      <c r="D881" s="620"/>
      <c r="E881" s="620"/>
      <c r="F881" s="620"/>
      <c r="G881" s="620"/>
      <c r="H881" s="620"/>
      <c r="I881" s="620"/>
      <c r="J881" s="620"/>
      <c r="K881" s="620"/>
      <c r="L881" s="620"/>
      <c r="M881" s="620"/>
      <c r="N881" s="620"/>
      <c r="O881" s="620"/>
      <c r="P881" s="620"/>
      <c r="Q881" s="620"/>
      <c r="R881" s="620"/>
      <c r="S881" s="327"/>
      <c r="T881" s="620"/>
      <c r="U881" s="327"/>
      <c r="V881" s="705"/>
      <c r="W881" s="705"/>
      <c r="X881" s="705"/>
      <c r="Y881" s="705"/>
      <c r="Z881" s="705"/>
      <c r="AA881" s="327"/>
      <c r="AB881" s="705"/>
      <c r="AC881" s="620"/>
      <c r="AD881" s="620"/>
      <c r="AE881" s="620"/>
    </row>
    <row r="882" spans="1:31">
      <c r="A882" s="620"/>
      <c r="B882" s="620"/>
      <c r="C882" s="620"/>
      <c r="D882" s="620"/>
      <c r="E882" s="620"/>
      <c r="F882" s="620"/>
      <c r="G882" s="620"/>
      <c r="H882" s="620"/>
      <c r="I882" s="620"/>
      <c r="J882" s="620"/>
      <c r="K882" s="620"/>
      <c r="L882" s="620"/>
      <c r="M882" s="620"/>
      <c r="N882" s="620"/>
      <c r="O882" s="620"/>
      <c r="P882" s="620"/>
      <c r="Q882" s="620"/>
      <c r="R882" s="620"/>
      <c r="S882" s="327"/>
      <c r="T882" s="620"/>
      <c r="U882" s="327"/>
      <c r="V882" s="705"/>
      <c r="W882" s="705"/>
      <c r="X882" s="705"/>
      <c r="Y882" s="705"/>
      <c r="Z882" s="705"/>
      <c r="AA882" s="327"/>
      <c r="AB882" s="705"/>
      <c r="AC882" s="620"/>
      <c r="AD882" s="620"/>
      <c r="AE882" s="620"/>
    </row>
    <row r="883" spans="1:31">
      <c r="A883" s="620"/>
      <c r="B883" s="620"/>
      <c r="C883" s="620"/>
      <c r="D883" s="620"/>
      <c r="E883" s="620"/>
      <c r="F883" s="620"/>
      <c r="G883" s="620"/>
      <c r="H883" s="620"/>
      <c r="I883" s="620"/>
      <c r="J883" s="620"/>
      <c r="K883" s="620"/>
      <c r="L883" s="620"/>
      <c r="M883" s="620"/>
      <c r="N883" s="620"/>
      <c r="O883" s="620"/>
      <c r="P883" s="620"/>
      <c r="Q883" s="620"/>
      <c r="R883" s="620"/>
      <c r="S883" s="327"/>
      <c r="T883" s="620"/>
      <c r="U883" s="327"/>
      <c r="V883" s="705"/>
      <c r="W883" s="705"/>
      <c r="X883" s="705"/>
      <c r="Y883" s="705"/>
      <c r="Z883" s="705"/>
      <c r="AA883" s="327"/>
      <c r="AB883" s="705"/>
      <c r="AC883" s="620"/>
      <c r="AD883" s="620"/>
      <c r="AE883" s="620"/>
    </row>
    <row r="884" spans="1:31">
      <c r="A884" s="620"/>
      <c r="B884" s="620"/>
      <c r="C884" s="620"/>
      <c r="D884" s="620"/>
      <c r="E884" s="620"/>
      <c r="F884" s="620"/>
      <c r="G884" s="620"/>
      <c r="H884" s="620"/>
      <c r="I884" s="620"/>
      <c r="J884" s="620"/>
      <c r="K884" s="620"/>
      <c r="L884" s="620"/>
      <c r="M884" s="620"/>
      <c r="N884" s="620"/>
      <c r="O884" s="620"/>
      <c r="P884" s="620"/>
      <c r="Q884" s="620"/>
      <c r="R884" s="620"/>
      <c r="S884" s="327"/>
      <c r="T884" s="620"/>
      <c r="U884" s="327"/>
      <c r="V884" s="705"/>
      <c r="W884" s="705"/>
      <c r="X884" s="705"/>
      <c r="Y884" s="705"/>
      <c r="Z884" s="705"/>
      <c r="AA884" s="327"/>
      <c r="AB884" s="705"/>
      <c r="AC884" s="620"/>
      <c r="AD884" s="620"/>
      <c r="AE884" s="620"/>
    </row>
    <row r="885" spans="1:31">
      <c r="A885" s="620"/>
      <c r="B885" s="620"/>
      <c r="C885" s="620"/>
      <c r="D885" s="620"/>
      <c r="E885" s="620"/>
      <c r="F885" s="620"/>
      <c r="G885" s="620"/>
      <c r="H885" s="620"/>
      <c r="I885" s="620"/>
      <c r="J885" s="620"/>
      <c r="K885" s="620"/>
      <c r="L885" s="620"/>
      <c r="M885" s="620"/>
      <c r="N885" s="620"/>
      <c r="O885" s="620"/>
      <c r="P885" s="620"/>
      <c r="Q885" s="620"/>
      <c r="R885" s="620"/>
      <c r="S885" s="327"/>
      <c r="T885" s="620"/>
      <c r="U885" s="327"/>
      <c r="V885" s="705"/>
      <c r="W885" s="705"/>
      <c r="X885" s="705"/>
      <c r="Y885" s="705"/>
      <c r="Z885" s="705"/>
      <c r="AA885" s="327"/>
      <c r="AB885" s="705"/>
      <c r="AC885" s="620"/>
      <c r="AD885" s="620"/>
      <c r="AE885" s="620"/>
    </row>
    <row r="886" spans="1:31">
      <c r="A886" s="620"/>
      <c r="B886" s="620"/>
      <c r="C886" s="620"/>
      <c r="D886" s="620"/>
      <c r="E886" s="620"/>
      <c r="F886" s="620"/>
      <c r="G886" s="620"/>
      <c r="H886" s="620"/>
      <c r="I886" s="620"/>
      <c r="J886" s="620"/>
      <c r="K886" s="620"/>
      <c r="L886" s="620"/>
      <c r="M886" s="620"/>
      <c r="N886" s="620"/>
      <c r="O886" s="620"/>
      <c r="P886" s="620"/>
      <c r="Q886" s="620"/>
      <c r="R886" s="620"/>
      <c r="S886" s="327"/>
      <c r="T886" s="620"/>
      <c r="U886" s="327"/>
      <c r="V886" s="705"/>
      <c r="W886" s="705"/>
      <c r="X886" s="705"/>
      <c r="Y886" s="705"/>
      <c r="Z886" s="705"/>
      <c r="AA886" s="327"/>
      <c r="AB886" s="705"/>
      <c r="AC886" s="620"/>
      <c r="AD886" s="620"/>
      <c r="AE886" s="620"/>
    </row>
    <row r="887" spans="1:31">
      <c r="A887" s="620"/>
      <c r="B887" s="620"/>
      <c r="C887" s="620"/>
      <c r="D887" s="620"/>
      <c r="E887" s="620"/>
      <c r="F887" s="620"/>
      <c r="G887" s="620"/>
      <c r="H887" s="620"/>
      <c r="I887" s="620"/>
      <c r="J887" s="620"/>
      <c r="K887" s="620"/>
      <c r="L887" s="620"/>
      <c r="M887" s="620"/>
      <c r="N887" s="620"/>
      <c r="O887" s="620"/>
      <c r="P887" s="620"/>
      <c r="Q887" s="620"/>
      <c r="R887" s="620"/>
      <c r="S887" s="327"/>
      <c r="T887" s="620"/>
      <c r="U887" s="327"/>
      <c r="V887" s="705"/>
      <c r="W887" s="705"/>
      <c r="X887" s="705"/>
      <c r="Y887" s="705"/>
      <c r="Z887" s="705"/>
      <c r="AA887" s="327"/>
      <c r="AB887" s="705"/>
      <c r="AC887" s="620"/>
      <c r="AD887" s="620"/>
      <c r="AE887" s="620"/>
    </row>
    <row r="888" spans="1:31">
      <c r="A888" s="620"/>
      <c r="B888" s="620"/>
      <c r="C888" s="620"/>
      <c r="D888" s="620"/>
      <c r="E888" s="620"/>
      <c r="F888" s="620"/>
      <c r="G888" s="620"/>
      <c r="H888" s="620"/>
      <c r="I888" s="620"/>
      <c r="J888" s="620"/>
      <c r="K888" s="620"/>
      <c r="L888" s="620"/>
      <c r="M888" s="620"/>
      <c r="N888" s="620"/>
      <c r="O888" s="620"/>
      <c r="P888" s="620"/>
      <c r="Q888" s="620"/>
      <c r="R888" s="620"/>
      <c r="S888" s="327"/>
      <c r="T888" s="620"/>
      <c r="U888" s="327"/>
      <c r="V888" s="705"/>
      <c r="W888" s="705"/>
      <c r="X888" s="705"/>
      <c r="Y888" s="705"/>
      <c r="Z888" s="705"/>
      <c r="AA888" s="327"/>
      <c r="AB888" s="705"/>
      <c r="AC888" s="620"/>
      <c r="AD888" s="620"/>
      <c r="AE888" s="620"/>
    </row>
    <row r="889" spans="1:31">
      <c r="A889" s="620"/>
      <c r="B889" s="620"/>
      <c r="C889" s="620"/>
      <c r="D889" s="620"/>
      <c r="E889" s="620"/>
      <c r="F889" s="620"/>
      <c r="G889" s="620"/>
      <c r="H889" s="620"/>
      <c r="I889" s="620"/>
      <c r="J889" s="620"/>
      <c r="K889" s="620"/>
      <c r="L889" s="620"/>
      <c r="M889" s="620"/>
      <c r="N889" s="620"/>
      <c r="O889" s="620"/>
      <c r="P889" s="620"/>
      <c r="Q889" s="620"/>
      <c r="R889" s="620"/>
      <c r="S889" s="327"/>
      <c r="T889" s="620"/>
      <c r="U889" s="327"/>
      <c r="V889" s="705"/>
      <c r="W889" s="705"/>
      <c r="X889" s="705"/>
      <c r="Y889" s="705"/>
      <c r="Z889" s="705"/>
      <c r="AA889" s="327"/>
      <c r="AB889" s="705"/>
      <c r="AC889" s="620"/>
      <c r="AD889" s="620"/>
      <c r="AE889" s="620"/>
    </row>
    <row r="890" spans="1:31">
      <c r="A890" s="620"/>
      <c r="B890" s="620"/>
      <c r="C890" s="620"/>
      <c r="D890" s="620"/>
      <c r="E890" s="620"/>
      <c r="F890" s="620"/>
      <c r="G890" s="620"/>
      <c r="H890" s="620"/>
      <c r="I890" s="620"/>
      <c r="J890" s="620"/>
      <c r="K890" s="620"/>
      <c r="L890" s="620"/>
      <c r="M890" s="620"/>
      <c r="N890" s="620"/>
      <c r="O890" s="620"/>
      <c r="P890" s="620"/>
      <c r="Q890" s="620"/>
      <c r="R890" s="620"/>
      <c r="S890" s="327"/>
      <c r="T890" s="620"/>
      <c r="U890" s="327"/>
      <c r="V890" s="705"/>
      <c r="W890" s="705"/>
      <c r="X890" s="705"/>
      <c r="Y890" s="705"/>
      <c r="Z890" s="705"/>
      <c r="AA890" s="327"/>
      <c r="AB890" s="705"/>
      <c r="AC890" s="620"/>
      <c r="AD890" s="620"/>
      <c r="AE890" s="620"/>
    </row>
    <row r="891" spans="1:31">
      <c r="A891" s="620"/>
      <c r="B891" s="620"/>
      <c r="C891" s="620"/>
      <c r="D891" s="620"/>
      <c r="E891" s="620"/>
      <c r="F891" s="620"/>
      <c r="G891" s="620"/>
      <c r="H891" s="620"/>
      <c r="I891" s="620"/>
      <c r="J891" s="620"/>
      <c r="K891" s="620"/>
      <c r="L891" s="620"/>
      <c r="M891" s="620"/>
      <c r="N891" s="620"/>
      <c r="O891" s="620"/>
      <c r="P891" s="620"/>
      <c r="Q891" s="620"/>
      <c r="R891" s="620"/>
      <c r="S891" s="327"/>
      <c r="T891" s="620"/>
      <c r="U891" s="327"/>
      <c r="V891" s="705"/>
      <c r="W891" s="705"/>
      <c r="X891" s="705"/>
      <c r="Y891" s="705"/>
      <c r="Z891" s="705"/>
      <c r="AA891" s="327"/>
      <c r="AB891" s="705"/>
      <c r="AC891" s="620"/>
      <c r="AD891" s="620"/>
      <c r="AE891" s="620"/>
    </row>
    <row r="892" spans="1:31">
      <c r="A892" s="620"/>
      <c r="B892" s="620"/>
      <c r="C892" s="620"/>
      <c r="D892" s="620"/>
      <c r="E892" s="620"/>
      <c r="F892" s="620"/>
      <c r="G892" s="620"/>
      <c r="H892" s="620"/>
      <c r="I892" s="620"/>
      <c r="J892" s="620"/>
      <c r="K892" s="620"/>
      <c r="L892" s="620"/>
      <c r="M892" s="620"/>
      <c r="N892" s="620"/>
      <c r="O892" s="620"/>
      <c r="P892" s="620"/>
      <c r="Q892" s="620"/>
      <c r="R892" s="620"/>
      <c r="S892" s="327"/>
      <c r="T892" s="620"/>
      <c r="U892" s="327"/>
      <c r="V892" s="705"/>
      <c r="W892" s="705"/>
      <c r="X892" s="705"/>
      <c r="Y892" s="705"/>
      <c r="Z892" s="705"/>
      <c r="AA892" s="327"/>
      <c r="AB892" s="705"/>
      <c r="AC892" s="620"/>
      <c r="AD892" s="620"/>
      <c r="AE892" s="620"/>
    </row>
    <row r="893" spans="1:31">
      <c r="A893" s="620"/>
      <c r="B893" s="620"/>
      <c r="C893" s="620"/>
      <c r="D893" s="620"/>
      <c r="E893" s="620"/>
      <c r="F893" s="620"/>
      <c r="G893" s="620"/>
      <c r="H893" s="620"/>
      <c r="I893" s="620"/>
      <c r="J893" s="620"/>
      <c r="K893" s="620"/>
      <c r="L893" s="620"/>
      <c r="M893" s="620"/>
      <c r="N893" s="620"/>
      <c r="O893" s="620"/>
      <c r="P893" s="620"/>
      <c r="Q893" s="620"/>
      <c r="R893" s="620"/>
      <c r="S893" s="327"/>
      <c r="T893" s="620"/>
      <c r="U893" s="327"/>
      <c r="V893" s="705"/>
      <c r="W893" s="705"/>
      <c r="X893" s="705"/>
      <c r="Y893" s="705"/>
      <c r="Z893" s="705"/>
      <c r="AA893" s="327"/>
      <c r="AB893" s="705"/>
      <c r="AC893" s="620"/>
      <c r="AD893" s="620"/>
      <c r="AE893" s="620"/>
    </row>
    <row r="894" spans="1:31">
      <c r="A894" s="620"/>
      <c r="B894" s="620"/>
      <c r="C894" s="620"/>
      <c r="D894" s="620"/>
      <c r="E894" s="620"/>
      <c r="F894" s="620"/>
      <c r="G894" s="620"/>
      <c r="H894" s="620"/>
      <c r="I894" s="620"/>
      <c r="J894" s="620"/>
      <c r="K894" s="620"/>
      <c r="L894" s="620"/>
      <c r="M894" s="620"/>
      <c r="N894" s="620"/>
      <c r="O894" s="620"/>
      <c r="P894" s="620"/>
      <c r="Q894" s="620"/>
      <c r="R894" s="620"/>
      <c r="S894" s="327"/>
      <c r="T894" s="620"/>
      <c r="U894" s="327"/>
      <c r="V894" s="705"/>
      <c r="W894" s="705"/>
      <c r="X894" s="705"/>
      <c r="Y894" s="705"/>
      <c r="Z894" s="705"/>
      <c r="AA894" s="327"/>
      <c r="AB894" s="705"/>
      <c r="AC894" s="620"/>
      <c r="AD894" s="620"/>
      <c r="AE894" s="620"/>
    </row>
    <row r="895" spans="1:31">
      <c r="A895" s="620"/>
      <c r="B895" s="620"/>
      <c r="C895" s="620"/>
      <c r="D895" s="620"/>
      <c r="E895" s="620"/>
      <c r="F895" s="620"/>
      <c r="G895" s="620"/>
      <c r="H895" s="620"/>
      <c r="I895" s="620"/>
      <c r="J895" s="620"/>
      <c r="K895" s="620"/>
      <c r="L895" s="620"/>
      <c r="M895" s="620"/>
      <c r="N895" s="620"/>
      <c r="O895" s="620"/>
      <c r="P895" s="620"/>
      <c r="Q895" s="620"/>
      <c r="R895" s="620"/>
      <c r="S895" s="327"/>
      <c r="T895" s="620"/>
      <c r="U895" s="327"/>
      <c r="V895" s="705"/>
      <c r="W895" s="705"/>
      <c r="X895" s="705"/>
      <c r="Y895" s="705"/>
      <c r="Z895" s="705"/>
      <c r="AA895" s="327"/>
      <c r="AB895" s="705"/>
      <c r="AC895" s="620"/>
      <c r="AD895" s="620"/>
      <c r="AE895" s="620"/>
    </row>
    <row r="896" spans="1:31">
      <c r="A896" s="620"/>
      <c r="B896" s="620"/>
      <c r="C896" s="620"/>
      <c r="D896" s="620"/>
      <c r="E896" s="620"/>
      <c r="F896" s="620"/>
      <c r="G896" s="620"/>
      <c r="H896" s="620"/>
      <c r="I896" s="620"/>
      <c r="J896" s="620"/>
      <c r="K896" s="620"/>
      <c r="L896" s="620"/>
      <c r="M896" s="620"/>
      <c r="N896" s="620"/>
      <c r="O896" s="620"/>
      <c r="P896" s="620"/>
      <c r="Q896" s="620"/>
      <c r="R896" s="620"/>
      <c r="S896" s="327"/>
      <c r="T896" s="620"/>
      <c r="U896" s="327"/>
      <c r="V896" s="705"/>
      <c r="W896" s="705"/>
      <c r="X896" s="705"/>
      <c r="Y896" s="705"/>
      <c r="Z896" s="705"/>
      <c r="AA896" s="327"/>
      <c r="AB896" s="705"/>
      <c r="AC896" s="620"/>
      <c r="AD896" s="620"/>
      <c r="AE896" s="620"/>
    </row>
    <row r="897" spans="1:31">
      <c r="A897" s="620"/>
      <c r="B897" s="620"/>
      <c r="C897" s="620"/>
      <c r="D897" s="620"/>
      <c r="E897" s="620"/>
      <c r="F897" s="620"/>
      <c r="G897" s="620"/>
      <c r="H897" s="620"/>
      <c r="I897" s="620"/>
      <c r="J897" s="620"/>
      <c r="K897" s="620"/>
      <c r="L897" s="620"/>
      <c r="M897" s="620"/>
      <c r="N897" s="620"/>
      <c r="O897" s="620"/>
      <c r="P897" s="620"/>
      <c r="Q897" s="620"/>
      <c r="R897" s="620"/>
      <c r="S897" s="327"/>
      <c r="T897" s="620"/>
      <c r="U897" s="327"/>
      <c r="V897" s="705"/>
      <c r="W897" s="705"/>
      <c r="X897" s="705"/>
      <c r="Y897" s="705"/>
      <c r="Z897" s="705"/>
      <c r="AA897" s="327"/>
      <c r="AB897" s="705"/>
      <c r="AC897" s="620"/>
      <c r="AD897" s="620"/>
      <c r="AE897" s="620"/>
    </row>
    <row r="898" spans="1:31">
      <c r="A898" s="620"/>
      <c r="B898" s="620"/>
      <c r="C898" s="620"/>
      <c r="D898" s="620"/>
      <c r="E898" s="620"/>
      <c r="F898" s="620"/>
      <c r="G898" s="620"/>
      <c r="H898" s="620"/>
      <c r="I898" s="620"/>
      <c r="J898" s="620"/>
      <c r="K898" s="620"/>
      <c r="L898" s="620"/>
      <c r="M898" s="620"/>
      <c r="N898" s="620"/>
      <c r="O898" s="620"/>
      <c r="P898" s="620"/>
      <c r="Q898" s="620"/>
      <c r="R898" s="620"/>
      <c r="S898" s="327"/>
      <c r="T898" s="620"/>
      <c r="U898" s="327"/>
      <c r="V898" s="705"/>
      <c r="W898" s="705"/>
      <c r="X898" s="705"/>
      <c r="Y898" s="705"/>
      <c r="Z898" s="705"/>
      <c r="AA898" s="327"/>
      <c r="AB898" s="705"/>
      <c r="AC898" s="620"/>
      <c r="AD898" s="620"/>
      <c r="AE898" s="620"/>
    </row>
    <row r="899" spans="1:31">
      <c r="A899" s="620"/>
      <c r="B899" s="620"/>
      <c r="C899" s="620"/>
      <c r="D899" s="620"/>
      <c r="E899" s="620"/>
      <c r="F899" s="620"/>
      <c r="G899" s="620"/>
      <c r="H899" s="620"/>
      <c r="I899" s="620"/>
      <c r="J899" s="620"/>
      <c r="K899" s="620"/>
      <c r="L899" s="620"/>
      <c r="M899" s="620"/>
      <c r="N899" s="620"/>
      <c r="O899" s="620"/>
      <c r="P899" s="620"/>
      <c r="Q899" s="620"/>
      <c r="R899" s="620"/>
      <c r="S899" s="327"/>
      <c r="T899" s="620"/>
      <c r="U899" s="327"/>
      <c r="V899" s="705"/>
      <c r="W899" s="705"/>
      <c r="X899" s="705"/>
      <c r="Y899" s="705"/>
      <c r="Z899" s="705"/>
      <c r="AA899" s="327"/>
      <c r="AB899" s="705"/>
      <c r="AC899" s="620"/>
      <c r="AD899" s="620"/>
      <c r="AE899" s="620"/>
    </row>
  </sheetData>
  <mergeCells count="2">
    <mergeCell ref="B11:B12"/>
    <mergeCell ref="D11:D12"/>
  </mergeCells>
  <phoneticPr fontId="142"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2BE7-6B55-45C6-9825-CC231E7E2BFB}">
  <dimension ref="B2:K19"/>
  <sheetViews>
    <sheetView workbookViewId="0"/>
  </sheetViews>
  <sheetFormatPr defaultRowHeight="15"/>
  <cols>
    <col min="1" max="1" width="9.140625" style="629"/>
    <col min="2" max="3" width="3.85546875" style="629" customWidth="1"/>
    <col min="4" max="4" width="29.140625" style="629" customWidth="1"/>
    <col min="5" max="5" width="3.85546875" style="629" customWidth="1"/>
    <col min="6" max="6" width="9.140625" style="629"/>
    <col min="7" max="7" width="3.85546875" style="629" customWidth="1"/>
    <col min="8" max="8" width="9.140625" style="629"/>
    <col min="9" max="9" width="3.85546875" style="629" customWidth="1"/>
    <col min="10" max="10" width="9.140625" style="629"/>
    <col min="11" max="11" width="3.85546875" style="629" customWidth="1"/>
    <col min="12" max="16384" width="9.140625" style="629"/>
  </cols>
  <sheetData>
    <row r="2" spans="2:11">
      <c r="B2" s="889"/>
      <c r="C2" s="890"/>
      <c r="D2" s="890"/>
      <c r="E2" s="890"/>
      <c r="F2" s="890"/>
      <c r="G2" s="890"/>
      <c r="H2" s="890"/>
      <c r="I2" s="890"/>
      <c r="J2" s="890"/>
      <c r="K2" s="891"/>
    </row>
    <row r="3" spans="2:11">
      <c r="B3" s="893"/>
      <c r="C3" s="896"/>
      <c r="D3" s="894"/>
      <c r="E3" s="894"/>
      <c r="F3" s="940"/>
      <c r="G3" s="940"/>
      <c r="H3" s="940" t="s">
        <v>2624</v>
      </c>
      <c r="I3" s="940"/>
      <c r="J3" s="940"/>
      <c r="K3" s="895"/>
    </row>
    <row r="4" spans="2:11">
      <c r="B4" s="893"/>
      <c r="C4" s="896"/>
      <c r="D4" s="941" t="s">
        <v>2623</v>
      </c>
      <c r="E4" s="894"/>
      <c r="F4" s="939" t="s">
        <v>2622</v>
      </c>
      <c r="G4" s="940"/>
      <c r="H4" s="939" t="s">
        <v>2348</v>
      </c>
      <c r="I4" s="940"/>
      <c r="J4" s="939" t="s">
        <v>2621</v>
      </c>
      <c r="K4" s="895"/>
    </row>
    <row r="5" spans="2:11">
      <c r="B5" s="893"/>
      <c r="C5" s="894"/>
      <c r="D5" s="896"/>
      <c r="E5" s="896"/>
      <c r="F5" s="896"/>
      <c r="G5" s="896"/>
      <c r="H5" s="896"/>
      <c r="I5" s="896"/>
      <c r="J5" s="896"/>
      <c r="K5" s="895"/>
    </row>
    <row r="6" spans="2:11">
      <c r="B6" s="893"/>
      <c r="C6" s="894" t="s">
        <v>2620</v>
      </c>
      <c r="D6" s="896"/>
      <c r="E6" s="896"/>
      <c r="F6" s="896"/>
      <c r="G6" s="896"/>
      <c r="H6" s="896"/>
      <c r="I6" s="896"/>
      <c r="J6" s="896"/>
      <c r="K6" s="895"/>
    </row>
    <row r="7" spans="2:11">
      <c r="B7" s="893"/>
      <c r="C7" s="896"/>
      <c r="D7" s="896" t="s">
        <v>2619</v>
      </c>
      <c r="E7" s="896"/>
      <c r="F7" s="896">
        <v>375.1</v>
      </c>
      <c r="G7" s="896"/>
      <c r="H7" s="938" t="s">
        <v>2618</v>
      </c>
      <c r="I7" s="938"/>
      <c r="J7" s="938" t="s">
        <v>2617</v>
      </c>
      <c r="K7" s="895"/>
    </row>
    <row r="8" spans="2:11">
      <c r="B8" s="893"/>
      <c r="C8" s="896"/>
      <c r="D8" s="896" t="s">
        <v>2604</v>
      </c>
      <c r="E8" s="896"/>
      <c r="F8" s="896">
        <v>376.2</v>
      </c>
      <c r="G8" s="896"/>
      <c r="H8" s="938" t="s">
        <v>2616</v>
      </c>
      <c r="I8" s="938"/>
      <c r="J8" s="938" t="s">
        <v>2615</v>
      </c>
      <c r="K8" s="895"/>
    </row>
    <row r="9" spans="2:11">
      <c r="B9" s="893"/>
      <c r="C9" s="896"/>
      <c r="D9" s="896" t="s">
        <v>2603</v>
      </c>
      <c r="E9" s="896"/>
      <c r="F9" s="896">
        <v>376.3</v>
      </c>
      <c r="G9" s="896"/>
      <c r="H9" s="938" t="s">
        <v>2614</v>
      </c>
      <c r="I9" s="938"/>
      <c r="J9" s="938" t="s">
        <v>2613</v>
      </c>
      <c r="K9" s="895"/>
    </row>
    <row r="10" spans="2:11">
      <c r="B10" s="893"/>
      <c r="C10" s="896"/>
      <c r="D10" s="896" t="s">
        <v>2612</v>
      </c>
      <c r="E10" s="896"/>
      <c r="F10" s="896">
        <v>380.3</v>
      </c>
      <c r="G10" s="896"/>
      <c r="H10" s="938" t="s">
        <v>2611</v>
      </c>
      <c r="I10" s="938"/>
      <c r="J10" s="938" t="s">
        <v>2610</v>
      </c>
      <c r="K10" s="895"/>
    </row>
    <row r="11" spans="2:11">
      <c r="B11" s="893"/>
      <c r="C11" s="896"/>
      <c r="D11" s="896" t="s">
        <v>2609</v>
      </c>
      <c r="E11" s="896"/>
      <c r="F11" s="937">
        <v>383</v>
      </c>
      <c r="G11" s="937"/>
      <c r="H11" s="938" t="s">
        <v>2608</v>
      </c>
      <c r="I11" s="938"/>
      <c r="J11" s="938" t="s">
        <v>2607</v>
      </c>
      <c r="K11" s="895"/>
    </row>
    <row r="12" spans="2:11">
      <c r="B12" s="893"/>
      <c r="C12" s="896"/>
      <c r="D12" s="896"/>
      <c r="E12" s="896"/>
      <c r="F12" s="896"/>
      <c r="G12" s="896"/>
      <c r="H12" s="896"/>
      <c r="I12" s="896"/>
      <c r="J12" s="896"/>
      <c r="K12" s="895"/>
    </row>
    <row r="13" spans="2:11">
      <c r="B13" s="893"/>
      <c r="C13" s="894" t="s">
        <v>2606</v>
      </c>
      <c r="D13" s="896"/>
      <c r="E13" s="896"/>
      <c r="F13" s="896"/>
      <c r="G13" s="896"/>
      <c r="H13" s="896"/>
      <c r="I13" s="896"/>
      <c r="J13" s="896"/>
      <c r="K13" s="895"/>
    </row>
    <row r="14" spans="2:11">
      <c r="B14" s="893"/>
      <c r="C14" s="896"/>
      <c r="D14" s="896" t="s">
        <v>2605</v>
      </c>
      <c r="E14" s="896"/>
      <c r="F14" s="896">
        <v>376.1</v>
      </c>
      <c r="G14" s="896"/>
      <c r="H14" s="896">
        <v>-110</v>
      </c>
      <c r="I14" s="896"/>
      <c r="J14" s="896">
        <v>-105</v>
      </c>
      <c r="K14" s="895"/>
    </row>
    <row r="15" spans="2:11">
      <c r="B15" s="893"/>
      <c r="C15" s="896"/>
      <c r="D15" s="896" t="s">
        <v>2604</v>
      </c>
      <c r="E15" s="896"/>
      <c r="F15" s="896">
        <v>376.2</v>
      </c>
      <c r="G15" s="896"/>
      <c r="H15" s="896">
        <v>-25</v>
      </c>
      <c r="I15" s="896"/>
      <c r="J15" s="896">
        <v>-23</v>
      </c>
      <c r="K15" s="895"/>
    </row>
    <row r="16" spans="2:11">
      <c r="B16" s="893"/>
      <c r="C16" s="896"/>
      <c r="D16" s="896" t="s">
        <v>2603</v>
      </c>
      <c r="E16" s="896"/>
      <c r="F16" s="896">
        <v>376.3</v>
      </c>
      <c r="G16" s="896"/>
      <c r="H16" s="896">
        <v>-35</v>
      </c>
      <c r="I16" s="896"/>
      <c r="J16" s="896">
        <v>-33</v>
      </c>
      <c r="K16" s="895"/>
    </row>
    <row r="17" spans="2:11">
      <c r="B17" s="893"/>
      <c r="C17" s="896"/>
      <c r="D17" s="896" t="s">
        <v>2602</v>
      </c>
      <c r="E17" s="896"/>
      <c r="F17" s="937">
        <v>381</v>
      </c>
      <c r="G17" s="896"/>
      <c r="H17" s="896">
        <v>-5</v>
      </c>
      <c r="I17" s="896"/>
      <c r="J17" s="896">
        <v>0</v>
      </c>
      <c r="K17" s="895"/>
    </row>
    <row r="18" spans="2:11">
      <c r="B18" s="893"/>
      <c r="C18" s="896"/>
      <c r="D18" s="896" t="s">
        <v>2601</v>
      </c>
      <c r="E18" s="896"/>
      <c r="F18" s="937">
        <v>385</v>
      </c>
      <c r="G18" s="896"/>
      <c r="H18" s="896">
        <v>-5</v>
      </c>
      <c r="I18" s="896"/>
      <c r="J18" s="896">
        <v>0</v>
      </c>
      <c r="K18" s="895"/>
    </row>
    <row r="19" spans="2:11">
      <c r="B19" s="899"/>
      <c r="C19" s="924"/>
      <c r="D19" s="924"/>
      <c r="E19" s="924"/>
      <c r="F19" s="924"/>
      <c r="G19" s="924"/>
      <c r="H19" s="924"/>
      <c r="I19" s="924"/>
      <c r="J19" s="924"/>
      <c r="K19" s="90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CE96F-39EA-463E-8EFD-4C3D95DC4CE6}">
  <dimension ref="B2:G10"/>
  <sheetViews>
    <sheetView workbookViewId="0"/>
  </sheetViews>
  <sheetFormatPr defaultRowHeight="15"/>
  <cols>
    <col min="1" max="1" width="9.140625" style="629"/>
    <col min="2" max="2" width="2.7109375" style="629" customWidth="1"/>
    <col min="3" max="4" width="9.140625" style="629"/>
    <col min="5" max="5" width="37.140625" style="629" customWidth="1"/>
    <col min="6" max="6" width="13.5703125" style="629" customWidth="1"/>
    <col min="7" max="7" width="2.7109375" style="629" customWidth="1"/>
    <col min="8" max="16384" width="9.140625" style="629"/>
  </cols>
  <sheetData>
    <row r="2" spans="2:7">
      <c r="B2" s="954"/>
      <c r="C2" s="953"/>
      <c r="D2" s="953"/>
      <c r="E2" s="953"/>
      <c r="F2" s="953"/>
      <c r="G2" s="952"/>
    </row>
    <row r="3" spans="2:7">
      <c r="B3" s="949"/>
      <c r="C3" s="951" t="s">
        <v>2628</v>
      </c>
      <c r="D3" s="947"/>
      <c r="E3" s="947"/>
      <c r="F3" s="946">
        <v>-1965916.9300000009</v>
      </c>
      <c r="G3" s="945"/>
    </row>
    <row r="4" spans="2:7">
      <c r="B4" s="949"/>
      <c r="C4" s="951" t="s">
        <v>2627</v>
      </c>
      <c r="D4" s="947"/>
      <c r="E4" s="947"/>
      <c r="F4" s="946">
        <v>-883177.4500000003</v>
      </c>
      <c r="G4" s="945"/>
    </row>
    <row r="5" spans="2:7">
      <c r="B5" s="949"/>
      <c r="C5" s="951" t="s">
        <v>2626</v>
      </c>
      <c r="D5" s="947"/>
      <c r="E5" s="947"/>
      <c r="F5" s="950">
        <v>-1407933.55</v>
      </c>
      <c r="G5" s="945"/>
    </row>
    <row r="6" spans="2:7">
      <c r="B6" s="949"/>
      <c r="C6" s="948" t="s">
        <v>2625</v>
      </c>
      <c r="D6" s="947"/>
      <c r="E6" s="947"/>
      <c r="F6" s="946">
        <v>-4257027.9300000016</v>
      </c>
      <c r="G6" s="945"/>
    </row>
    <row r="7" spans="2:7">
      <c r="B7" s="944"/>
      <c r="C7" s="943"/>
      <c r="D7" s="943"/>
      <c r="E7" s="943"/>
      <c r="F7" s="943"/>
      <c r="G7" s="942"/>
    </row>
    <row r="9" spans="2:7">
      <c r="E9" s="629" t="s">
        <v>2631</v>
      </c>
      <c r="F9" s="957">
        <v>657046</v>
      </c>
    </row>
    <row r="10" spans="2:7">
      <c r="E10" s="629" t="s">
        <v>2632</v>
      </c>
      <c r="F10" s="957">
        <f>+F6+F9</f>
        <v>-3599981.9300000016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3C6F-6B99-4148-9FE5-701653E2E178}">
  <sheetPr>
    <tabColor rgb="FF8DC9C9"/>
  </sheetPr>
  <dimension ref="A1:AW54"/>
  <sheetViews>
    <sheetView view="pageBreakPreview" zoomScale="70" zoomScaleNormal="85" zoomScaleSheetLayoutView="70" workbookViewId="0"/>
  </sheetViews>
  <sheetFormatPr defaultRowHeight="12.75"/>
  <cols>
    <col min="1" max="1" width="1.42578125" style="845" customWidth="1"/>
    <col min="2" max="2" width="5.7109375" style="845" customWidth="1"/>
    <col min="3" max="3" width="1.42578125" style="845" customWidth="1"/>
    <col min="4" max="4" width="8" style="845" customWidth="1"/>
    <col min="5" max="5" width="1.42578125" style="845" customWidth="1"/>
    <col min="6" max="6" width="41.42578125" style="845" customWidth="1"/>
    <col min="7" max="8" width="1.42578125" style="846" customWidth="1"/>
    <col min="9" max="9" width="10.42578125" style="845" customWidth="1"/>
    <col min="10" max="10" width="1.42578125" style="845" customWidth="1"/>
    <col min="11" max="11" width="10.42578125" style="845" customWidth="1"/>
    <col min="12" max="12" width="1.42578125" style="845" customWidth="1"/>
    <col min="13" max="13" width="12" style="845" customWidth="1"/>
    <col min="14" max="14" width="1.42578125" style="846" customWidth="1"/>
    <col min="15" max="15" width="1.42578125" style="845" customWidth="1"/>
    <col min="16" max="16" width="10.42578125" style="845" customWidth="1"/>
    <col min="17" max="17" width="1.42578125" style="845" customWidth="1"/>
    <col min="18" max="18" width="10.42578125" style="845" customWidth="1"/>
    <col min="19" max="19" width="1.42578125" style="845" customWidth="1"/>
    <col min="20" max="20" width="10.42578125" style="845" customWidth="1"/>
    <col min="21" max="22" width="1.42578125" style="845" customWidth="1"/>
    <col min="23" max="23" width="10.42578125" style="846" customWidth="1"/>
    <col min="24" max="24" width="1.42578125" style="846" customWidth="1"/>
    <col min="25" max="25" width="10.42578125" style="846" customWidth="1"/>
    <col min="26" max="26" width="1.28515625" style="846" customWidth="1"/>
    <col min="27" max="27" width="10.42578125" style="846" customWidth="1"/>
    <col min="28" max="28" width="1.42578125" style="846" customWidth="1"/>
    <col min="29" max="29" width="10.42578125" style="846" customWidth="1"/>
    <col min="30" max="30" width="1.42578125" style="846" customWidth="1"/>
    <col min="31" max="31" width="15.7109375" style="846" customWidth="1"/>
    <col min="32" max="33" width="2.7109375" style="846" customWidth="1"/>
    <col min="34" max="34" width="21.140625" style="846" customWidth="1"/>
    <col min="35" max="37" width="11.85546875" style="845" customWidth="1"/>
    <col min="38" max="16384" width="9.140625" style="845"/>
  </cols>
  <sheetData>
    <row r="1" spans="1:49">
      <c r="A1" s="844" t="s">
        <v>2571</v>
      </c>
      <c r="B1" s="844"/>
      <c r="C1" s="844"/>
      <c r="E1" s="844"/>
      <c r="F1" s="844"/>
      <c r="I1" s="846"/>
      <c r="J1" s="844"/>
      <c r="K1" s="844"/>
      <c r="L1" s="844"/>
      <c r="M1" s="844"/>
      <c r="O1" s="844"/>
      <c r="P1" s="844"/>
      <c r="Q1" s="844"/>
      <c r="R1" s="844"/>
      <c r="S1" s="844"/>
      <c r="T1" s="844"/>
      <c r="X1" s="847"/>
      <c r="AG1" s="848"/>
      <c r="AI1" s="846"/>
      <c r="AJ1" s="846"/>
      <c r="AK1" s="846"/>
      <c r="AL1" s="846"/>
      <c r="AM1" s="846"/>
    </row>
    <row r="2" spans="1:49">
      <c r="B2" s="844"/>
      <c r="C2" s="844"/>
      <c r="D2" s="844"/>
      <c r="E2" s="844"/>
      <c r="F2" s="844"/>
      <c r="H2" s="849"/>
      <c r="I2" s="850" t="s">
        <v>2567</v>
      </c>
      <c r="J2" s="851"/>
      <c r="K2" s="851"/>
      <c r="L2" s="851"/>
      <c r="M2" s="851"/>
      <c r="O2" s="844"/>
      <c r="P2" s="850" t="s">
        <v>2522</v>
      </c>
      <c r="Q2" s="852"/>
      <c r="R2" s="852"/>
      <c r="S2" s="852"/>
      <c r="T2" s="852"/>
      <c r="W2" s="850" t="s">
        <v>2570</v>
      </c>
      <c r="X2" s="853"/>
      <c r="Y2" s="854"/>
      <c r="Z2" s="854"/>
      <c r="AA2" s="854"/>
      <c r="AB2" s="854"/>
      <c r="AC2" s="854"/>
      <c r="AD2" s="847"/>
      <c r="AE2" s="847"/>
      <c r="AG2" s="848"/>
      <c r="AH2" s="855" t="s">
        <v>2482</v>
      </c>
      <c r="AI2" s="855"/>
      <c r="AJ2" s="855"/>
      <c r="AK2" s="855"/>
      <c r="AL2" s="846"/>
      <c r="AM2" s="846"/>
    </row>
    <row r="3" spans="1:49">
      <c r="B3" s="844"/>
      <c r="C3" s="844"/>
      <c r="D3" s="844"/>
      <c r="E3" s="844"/>
      <c r="F3" s="844"/>
      <c r="I3" s="847"/>
      <c r="J3" s="847"/>
      <c r="K3" s="847"/>
      <c r="L3" s="847"/>
      <c r="M3" s="847" t="s">
        <v>2483</v>
      </c>
      <c r="P3" s="847"/>
      <c r="Q3" s="847"/>
      <c r="R3" s="847"/>
      <c r="S3" s="847"/>
      <c r="T3" s="847" t="s">
        <v>2483</v>
      </c>
      <c r="W3" s="847" t="s">
        <v>2484</v>
      </c>
      <c r="X3" s="847"/>
      <c r="Y3" s="847"/>
      <c r="Z3" s="847"/>
      <c r="AA3" s="847"/>
      <c r="AB3" s="847"/>
      <c r="AC3" s="847" t="s">
        <v>2483</v>
      </c>
      <c r="AD3" s="847"/>
      <c r="AE3" s="847"/>
      <c r="AG3" s="848"/>
      <c r="AH3" s="845"/>
    </row>
    <row r="4" spans="1:49">
      <c r="B4" s="844"/>
      <c r="C4" s="844"/>
      <c r="D4" s="856" t="s">
        <v>2485</v>
      </c>
      <c r="E4" s="844"/>
      <c r="F4" s="844"/>
      <c r="I4" s="847" t="s">
        <v>2486</v>
      </c>
      <c r="J4" s="847"/>
      <c r="K4" s="847"/>
      <c r="L4" s="847"/>
      <c r="M4" s="847" t="s">
        <v>2487</v>
      </c>
      <c r="P4" s="847" t="s">
        <v>2486</v>
      </c>
      <c r="Q4" s="847"/>
      <c r="R4" s="847"/>
      <c r="S4" s="847"/>
      <c r="T4" s="847" t="s">
        <v>2487</v>
      </c>
      <c r="W4" s="847" t="s">
        <v>2486</v>
      </c>
      <c r="X4" s="847"/>
      <c r="Y4" s="847" t="s">
        <v>2486</v>
      </c>
      <c r="Z4" s="847"/>
      <c r="AA4" s="847"/>
      <c r="AB4" s="847"/>
      <c r="AC4" s="847" t="s">
        <v>2487</v>
      </c>
      <c r="AD4" s="847"/>
      <c r="AE4" s="847"/>
      <c r="AG4" s="848"/>
      <c r="AH4" s="845" t="s">
        <v>2488</v>
      </c>
      <c r="AI4" s="857">
        <v>0.75481349214407267</v>
      </c>
    </row>
    <row r="5" spans="1:49">
      <c r="B5" s="852" t="s">
        <v>2489</v>
      </c>
      <c r="C5" s="844"/>
      <c r="D5" s="858" t="s">
        <v>2490</v>
      </c>
      <c r="E5" s="844"/>
      <c r="F5" s="852" t="s">
        <v>2491</v>
      </c>
      <c r="I5" s="859" t="s">
        <v>2492</v>
      </c>
      <c r="J5" s="847"/>
      <c r="K5" s="859" t="s">
        <v>41</v>
      </c>
      <c r="L5" s="847"/>
      <c r="M5" s="859" t="s">
        <v>2493</v>
      </c>
      <c r="P5" s="859" t="s">
        <v>2492</v>
      </c>
      <c r="Q5" s="847"/>
      <c r="R5" s="859" t="s">
        <v>41</v>
      </c>
      <c r="S5" s="847"/>
      <c r="T5" s="859" t="s">
        <v>2493</v>
      </c>
      <c r="W5" s="859" t="s">
        <v>2492</v>
      </c>
      <c r="X5" s="847"/>
      <c r="Y5" s="859" t="s">
        <v>2492</v>
      </c>
      <c r="Z5" s="847"/>
      <c r="AA5" s="859" t="s">
        <v>41</v>
      </c>
      <c r="AB5" s="847"/>
      <c r="AC5" s="859" t="s">
        <v>2493</v>
      </c>
      <c r="AD5" s="847"/>
      <c r="AE5" s="886" t="s">
        <v>2517</v>
      </c>
      <c r="AG5" s="848"/>
      <c r="AH5" s="845" t="s">
        <v>2494</v>
      </c>
      <c r="AI5" s="860">
        <v>0.21</v>
      </c>
    </row>
    <row r="6" spans="1:49">
      <c r="AE6" s="847"/>
      <c r="AG6" s="848"/>
      <c r="AH6" s="845"/>
    </row>
    <row r="7" spans="1:49">
      <c r="B7" s="845">
        <v>1</v>
      </c>
      <c r="D7" s="861"/>
      <c r="E7" s="844"/>
      <c r="F7" s="844" t="s">
        <v>2495</v>
      </c>
      <c r="I7" s="862">
        <v>20804.384869999943</v>
      </c>
      <c r="J7" s="862"/>
      <c r="K7" s="862">
        <v>374226.39166015189</v>
      </c>
      <c r="L7" s="862"/>
      <c r="M7" s="862">
        <f>+($K7*$AK$12-$I7)/$AI$4</f>
        <v>6294.979443166726</v>
      </c>
      <c r="O7" s="844"/>
      <c r="P7" s="863">
        <f>+I7</f>
        <v>20804.384869999943</v>
      </c>
      <c r="Q7" s="862"/>
      <c r="R7" s="862">
        <f>+K7</f>
        <v>374226.39166015189</v>
      </c>
      <c r="S7" s="862"/>
      <c r="T7" s="862">
        <f>+($R7*$AK$12-$P7)/$AI$4</f>
        <v>6294.979443166726</v>
      </c>
      <c r="AE7" s="847"/>
      <c r="AG7" s="848"/>
      <c r="AH7" s="845"/>
      <c r="AT7" s="864"/>
      <c r="AU7" s="865"/>
      <c r="AV7" s="865"/>
      <c r="AW7" s="865"/>
    </row>
    <row r="8" spans="1:49">
      <c r="D8" s="866"/>
      <c r="I8" s="867"/>
      <c r="J8" s="867"/>
      <c r="K8" s="867"/>
      <c r="L8" s="867"/>
      <c r="M8" s="867"/>
      <c r="P8" s="867"/>
      <c r="Q8" s="867"/>
      <c r="R8" s="867"/>
      <c r="S8" s="867"/>
      <c r="T8" s="867"/>
      <c r="AE8" s="847"/>
      <c r="AG8" s="848"/>
      <c r="AH8" s="868" t="s">
        <v>2496</v>
      </c>
      <c r="AI8" s="869" t="s">
        <v>377</v>
      </c>
      <c r="AJ8" s="869"/>
      <c r="AK8" s="870" t="s">
        <v>2497</v>
      </c>
      <c r="AT8" s="864"/>
      <c r="AU8" s="865"/>
      <c r="AV8" s="865"/>
      <c r="AW8" s="865"/>
    </row>
    <row r="9" spans="1:49">
      <c r="B9" s="849" t="s">
        <v>2498</v>
      </c>
      <c r="D9" s="866"/>
      <c r="I9" s="867"/>
      <c r="J9" s="867"/>
      <c r="K9" s="867"/>
      <c r="L9" s="867"/>
      <c r="M9" s="867"/>
      <c r="P9" s="867"/>
      <c r="Q9" s="867"/>
      <c r="R9" s="867"/>
      <c r="S9" s="867"/>
      <c r="T9" s="867"/>
      <c r="AE9" s="847"/>
      <c r="AG9" s="848"/>
      <c r="AH9" s="871" t="s">
        <v>2499</v>
      </c>
      <c r="AI9" s="872" t="s">
        <v>2500</v>
      </c>
      <c r="AJ9" s="872" t="s">
        <v>2501</v>
      </c>
      <c r="AK9" s="873" t="s">
        <v>2501</v>
      </c>
      <c r="AU9" s="865"/>
      <c r="AV9" s="865"/>
    </row>
    <row r="10" spans="1:49">
      <c r="B10" s="845">
        <f t="shared" ref="B10:B35" ca="1" si="0">+MAX(OFFSET($B$7,0,0,ROW($B10)-ROW($B$7),1))+1</f>
        <v>2</v>
      </c>
      <c r="D10" s="866" t="s">
        <v>674</v>
      </c>
      <c r="F10" s="845" t="s">
        <v>1839</v>
      </c>
      <c r="I10" s="867">
        <v>-2192.1174178316401</v>
      </c>
      <c r="J10" s="867"/>
      <c r="K10" s="867">
        <v>0</v>
      </c>
      <c r="L10" s="867"/>
      <c r="M10" s="867">
        <f>+($K10*$AK$12-$I10)/$AI$4</f>
        <v>2904.1842000000001</v>
      </c>
      <c r="P10" s="867">
        <f>+I10+Y10</f>
        <v>-2192.1174178316401</v>
      </c>
      <c r="Q10" s="867"/>
      <c r="R10" s="867">
        <f>+K10+AA10</f>
        <v>0</v>
      </c>
      <c r="S10" s="867"/>
      <c r="T10" s="867">
        <f t="shared" ref="T10:T20" si="1">+($R10*$AK$12-$P10)/$AI$4</f>
        <v>2904.1842000000001</v>
      </c>
      <c r="W10" s="867">
        <v>0</v>
      </c>
      <c r="X10" s="867"/>
      <c r="Y10" s="867">
        <f>+W10*(1+$AI$5)</f>
        <v>0</v>
      </c>
      <c r="Z10" s="867"/>
      <c r="AA10" s="867">
        <v>0</v>
      </c>
      <c r="AB10" s="874"/>
      <c r="AC10" s="867">
        <f t="shared" ref="AC10:AC19" si="2">+T10-M10</f>
        <v>0</v>
      </c>
      <c r="AE10" s="847" t="s">
        <v>2562</v>
      </c>
      <c r="AG10" s="848"/>
      <c r="AH10" s="875" t="s">
        <v>2502</v>
      </c>
      <c r="AI10" s="876">
        <v>0.52900000000000003</v>
      </c>
      <c r="AJ10" s="876">
        <f>+'[9]AWEC-55'!$T$19</f>
        <v>4.5404544820512822E-2</v>
      </c>
      <c r="AK10" s="877">
        <f>ROUND(AI10*AJ10,5)</f>
        <v>2.402E-2</v>
      </c>
    </row>
    <row r="11" spans="1:49">
      <c r="B11" s="845">
        <f t="shared" ca="1" si="0"/>
        <v>3</v>
      </c>
      <c r="D11" s="866" t="s">
        <v>675</v>
      </c>
      <c r="F11" s="845" t="s">
        <v>2503</v>
      </c>
      <c r="I11" s="867">
        <v>21.876437981920006</v>
      </c>
      <c r="J11" s="867"/>
      <c r="K11" s="867">
        <v>0</v>
      </c>
      <c r="L11" s="867"/>
      <c r="M11" s="867">
        <f>+($K11*$AK$12-$I11)/$AI$4</f>
        <v>-28.982574118779013</v>
      </c>
      <c r="P11" s="867">
        <f t="shared" ref="P11:P20" si="3">+I11+Y11</f>
        <v>21.876437981920006</v>
      </c>
      <c r="Q11" s="867"/>
      <c r="R11" s="867">
        <f t="shared" ref="R11:R20" si="4">+K11+AA11</f>
        <v>0</v>
      </c>
      <c r="S11" s="867"/>
      <c r="T11" s="867">
        <f t="shared" si="1"/>
        <v>-28.982574118779013</v>
      </c>
      <c r="W11" s="867">
        <f t="shared" ref="W11:W18" si="5">+Y11/(1-$AI$5)</f>
        <v>0</v>
      </c>
      <c r="X11" s="867"/>
      <c r="Y11" s="867">
        <v>0</v>
      </c>
      <c r="Z11" s="867"/>
      <c r="AA11" s="867">
        <v>0</v>
      </c>
      <c r="AB11" s="874"/>
      <c r="AC11" s="867">
        <f t="shared" si="2"/>
        <v>0</v>
      </c>
      <c r="AE11" s="847" t="s">
        <v>2562</v>
      </c>
      <c r="AG11" s="848"/>
      <c r="AH11" s="875" t="s">
        <v>2504</v>
      </c>
      <c r="AI11" s="878">
        <f>1-AI10</f>
        <v>0.47099999999999997</v>
      </c>
      <c r="AJ11" s="876">
        <v>9.4E-2</v>
      </c>
      <c r="AK11" s="879">
        <f>ROUND(AI11*AJ11,5)</f>
        <v>4.4269999999999997E-2</v>
      </c>
    </row>
    <row r="12" spans="1:49">
      <c r="B12" s="845">
        <f t="shared" ca="1" si="0"/>
        <v>4</v>
      </c>
      <c r="D12" s="866" t="s">
        <v>717</v>
      </c>
      <c r="F12" s="845" t="s">
        <v>2505</v>
      </c>
      <c r="I12" s="867">
        <v>11263.912529177331</v>
      </c>
      <c r="J12" s="867"/>
      <c r="K12" s="867">
        <v>0</v>
      </c>
      <c r="L12" s="867"/>
      <c r="M12" s="867">
        <f>+($K12*$AK$12-$I12)/$AI$4</f>
        <v>-14922.775820000004</v>
      </c>
      <c r="P12" s="867">
        <f t="shared" si="3"/>
        <v>11263.912529177331</v>
      </c>
      <c r="Q12" s="867"/>
      <c r="R12" s="867">
        <f t="shared" si="4"/>
        <v>0</v>
      </c>
      <c r="S12" s="867"/>
      <c r="T12" s="867">
        <f t="shared" si="1"/>
        <v>-14922.775820000004</v>
      </c>
      <c r="W12" s="867">
        <f t="shared" si="5"/>
        <v>0</v>
      </c>
      <c r="X12" s="867"/>
      <c r="Y12" s="867">
        <v>0</v>
      </c>
      <c r="Z12" s="867"/>
      <c r="AA12" s="867">
        <v>0</v>
      </c>
      <c r="AB12" s="874"/>
      <c r="AC12" s="867">
        <f t="shared" si="2"/>
        <v>0</v>
      </c>
      <c r="AE12" s="847" t="s">
        <v>2562</v>
      </c>
      <c r="AG12" s="848"/>
      <c r="AH12" s="871" t="s">
        <v>58</v>
      </c>
      <c r="AI12" s="878">
        <v>1</v>
      </c>
      <c r="AJ12" s="872"/>
      <c r="AK12" s="879">
        <f>+SUM(AK10:AK11)</f>
        <v>6.828999999999999E-2</v>
      </c>
    </row>
    <row r="13" spans="1:49">
      <c r="B13" s="845">
        <f t="shared" ca="1" si="0"/>
        <v>5</v>
      </c>
      <c r="D13" s="866" t="s">
        <v>2566</v>
      </c>
      <c r="F13" s="845" t="s">
        <v>2561</v>
      </c>
      <c r="I13" s="867">
        <v>0</v>
      </c>
      <c r="J13" s="867"/>
      <c r="K13" s="867">
        <v>0</v>
      </c>
      <c r="L13" s="867"/>
      <c r="M13" s="867">
        <f t="shared" ref="M13" si="6">+($K13*$AK$12-$I13)/$AI$4</f>
        <v>0</v>
      </c>
      <c r="P13" s="867">
        <v>0</v>
      </c>
      <c r="Q13" s="867"/>
      <c r="R13" s="867">
        <f t="shared" si="4"/>
        <v>0</v>
      </c>
      <c r="S13" s="867"/>
      <c r="T13" s="867">
        <f t="shared" si="1"/>
        <v>0</v>
      </c>
      <c r="W13" s="867">
        <v>0</v>
      </c>
      <c r="X13" s="867"/>
      <c r="Y13" s="867">
        <f t="shared" ref="Y13" si="7">+W13*(1-$AI$5)</f>
        <v>0</v>
      </c>
      <c r="Z13" s="867"/>
      <c r="AA13" s="867">
        <v>0</v>
      </c>
      <c r="AB13" s="874"/>
      <c r="AC13" s="867">
        <f t="shared" si="2"/>
        <v>0</v>
      </c>
      <c r="AE13" s="847" t="s">
        <v>2562</v>
      </c>
      <c r="AG13" s="848"/>
    </row>
    <row r="14" spans="1:49">
      <c r="B14" s="845">
        <f t="shared" ca="1" si="0"/>
        <v>6</v>
      </c>
      <c r="D14" s="866" t="s">
        <v>743</v>
      </c>
      <c r="F14" s="845" t="s">
        <v>2506</v>
      </c>
      <c r="I14" s="867">
        <v>-812.38921123256011</v>
      </c>
      <c r="J14" s="867"/>
      <c r="K14" s="867">
        <v>21636.113121977934</v>
      </c>
      <c r="L14" s="867"/>
      <c r="M14" s="867">
        <f>+($K14*$AK$12-$I14)/$AI$4</f>
        <v>3033.7552258477008</v>
      </c>
      <c r="P14" s="867">
        <f t="shared" si="3"/>
        <v>-529.58513294283955</v>
      </c>
      <c r="Q14" s="867"/>
      <c r="R14" s="867">
        <f t="shared" si="4"/>
        <v>0</v>
      </c>
      <c r="S14" s="867"/>
      <c r="T14" s="867">
        <f t="shared" si="1"/>
        <v>701.6105812291928</v>
      </c>
      <c r="W14" s="867">
        <f t="shared" si="5"/>
        <v>357.9798459363551</v>
      </c>
      <c r="X14" s="867"/>
      <c r="Y14" s="867">
        <f>-I14-SUM('AWEC-20 DEPR Study'!AH4:AH94)/1000*(1-AI5)</f>
        <v>282.80407828972056</v>
      </c>
      <c r="Z14" s="867"/>
      <c r="AA14" s="867">
        <f>-K14</f>
        <v>-21636.113121977934</v>
      </c>
      <c r="AB14" s="874"/>
      <c r="AC14" s="867">
        <f t="shared" si="2"/>
        <v>-2332.1446446185082</v>
      </c>
      <c r="AE14" s="847" t="s">
        <v>2523</v>
      </c>
      <c r="AG14" s="848"/>
    </row>
    <row r="15" spans="1:49">
      <c r="B15" s="845">
        <f t="shared" ca="1" si="0"/>
        <v>7</v>
      </c>
      <c r="D15" s="866" t="s">
        <v>1387</v>
      </c>
      <c r="F15" s="845" t="s">
        <v>2507</v>
      </c>
      <c r="I15" s="867">
        <v>-68.513887964900988</v>
      </c>
      <c r="J15" s="867"/>
      <c r="K15" s="867">
        <v>0</v>
      </c>
      <c r="L15" s="867"/>
      <c r="M15" s="867">
        <f>+($K15*$AK$12-$I15)/$AI$4</f>
        <v>90.769294240203664</v>
      </c>
      <c r="P15" s="867">
        <f t="shared" si="3"/>
        <v>-68.513887964900988</v>
      </c>
      <c r="Q15" s="867"/>
      <c r="R15" s="867">
        <f t="shared" si="4"/>
        <v>0</v>
      </c>
      <c r="S15" s="867"/>
      <c r="T15" s="867">
        <f t="shared" si="1"/>
        <v>90.769294240203664</v>
      </c>
      <c r="W15" s="867">
        <f t="shared" si="5"/>
        <v>0</v>
      </c>
      <c r="X15" s="867"/>
      <c r="Y15" s="867">
        <v>0</v>
      </c>
      <c r="Z15" s="867"/>
      <c r="AA15" s="867">
        <v>0</v>
      </c>
      <c r="AB15" s="874"/>
      <c r="AC15" s="867">
        <f t="shared" si="2"/>
        <v>0</v>
      </c>
      <c r="AE15" s="847" t="s">
        <v>2523</v>
      </c>
      <c r="AG15" s="848"/>
      <c r="AK15" s="865"/>
    </row>
    <row r="16" spans="1:49">
      <c r="B16" s="845">
        <f t="shared" ca="1" si="0"/>
        <v>8</v>
      </c>
      <c r="D16" s="866" t="s">
        <v>2551</v>
      </c>
      <c r="F16" s="845" t="s">
        <v>2533</v>
      </c>
      <c r="I16" s="867">
        <v>0</v>
      </c>
      <c r="J16" s="867"/>
      <c r="K16" s="867">
        <v>0</v>
      </c>
      <c r="L16" s="867"/>
      <c r="M16" s="867">
        <f t="shared" ref="M16:M20" si="8">+($K16*$AK$12-$I16)/$AI$4</f>
        <v>0</v>
      </c>
      <c r="P16" s="867">
        <f t="shared" ref="P16:P17" si="9">+I16+Y16</f>
        <v>375.96669196896005</v>
      </c>
      <c r="Q16" s="867"/>
      <c r="R16" s="867">
        <f t="shared" ref="R16:R17" si="10">+K16+AA16</f>
        <v>0</v>
      </c>
      <c r="S16" s="867"/>
      <c r="T16" s="867">
        <f t="shared" si="1"/>
        <v>-498.09217228088255</v>
      </c>
      <c r="W16" s="867">
        <v>475.90720502400001</v>
      </c>
      <c r="X16" s="867"/>
      <c r="Y16" s="867">
        <f t="shared" ref="Y16:Y17" si="11">+W16*(1-$AI$5)</f>
        <v>375.96669196896005</v>
      </c>
      <c r="Z16" s="867"/>
      <c r="AA16" s="867">
        <v>0</v>
      </c>
      <c r="AB16" s="874"/>
      <c r="AC16" s="867">
        <f t="shared" ref="AC16:AC17" si="12">+T16-M16</f>
        <v>-498.09217228088255</v>
      </c>
      <c r="AE16" s="847" t="s">
        <v>2348</v>
      </c>
      <c r="AG16" s="848"/>
      <c r="AJ16" s="881"/>
      <c r="AK16" s="865"/>
    </row>
    <row r="17" spans="2:37">
      <c r="B17" s="845">
        <f t="shared" ca="1" si="0"/>
        <v>9</v>
      </c>
      <c r="D17" s="866" t="s">
        <v>2552</v>
      </c>
      <c r="F17" s="845" t="s">
        <v>2534</v>
      </c>
      <c r="I17" s="867">
        <v>0</v>
      </c>
      <c r="J17" s="867"/>
      <c r="K17" s="867">
        <v>0</v>
      </c>
      <c r="L17" s="867"/>
      <c r="M17" s="867">
        <f t="shared" si="8"/>
        <v>0</v>
      </c>
      <c r="P17" s="867">
        <f t="shared" si="9"/>
        <v>790.11026590655285</v>
      </c>
      <c r="Q17" s="867"/>
      <c r="R17" s="867">
        <f t="shared" si="10"/>
        <v>0</v>
      </c>
      <c r="S17" s="867"/>
      <c r="T17" s="867">
        <f t="shared" si="1"/>
        <v>-1046.7622454153786</v>
      </c>
      <c r="W17" s="867">
        <v>1000.1395770969023</v>
      </c>
      <c r="X17" s="867"/>
      <c r="Y17" s="867">
        <f t="shared" si="11"/>
        <v>790.11026590655285</v>
      </c>
      <c r="Z17" s="867"/>
      <c r="AA17" s="867">
        <v>0</v>
      </c>
      <c r="AB17" s="874"/>
      <c r="AC17" s="867">
        <f t="shared" si="12"/>
        <v>-1046.7622454153786</v>
      </c>
      <c r="AE17" s="847" t="s">
        <v>2348</v>
      </c>
      <c r="AG17" s="848"/>
      <c r="AJ17" s="881"/>
      <c r="AK17" s="865"/>
    </row>
    <row r="18" spans="2:37">
      <c r="B18" s="845">
        <f t="shared" ca="1" si="0"/>
        <v>10</v>
      </c>
      <c r="D18" s="866" t="s">
        <v>1388</v>
      </c>
      <c r="F18" s="845" t="s">
        <v>2508</v>
      </c>
      <c r="I18" s="867">
        <v>972.28098180000018</v>
      </c>
      <c r="J18" s="867"/>
      <c r="K18" s="867">
        <v>0</v>
      </c>
      <c r="L18" s="867"/>
      <c r="M18" s="867">
        <f>+($K18*$AK$12-$I18)/$AI$4</f>
        <v>-1288.1075814347248</v>
      </c>
      <c r="P18" s="867">
        <f t="shared" si="3"/>
        <v>972.28098180000018</v>
      </c>
      <c r="Q18" s="867"/>
      <c r="R18" s="867">
        <f t="shared" si="4"/>
        <v>0</v>
      </c>
      <c r="S18" s="867"/>
      <c r="T18" s="867">
        <f t="shared" si="1"/>
        <v>-1288.1075814347248</v>
      </c>
      <c r="W18" s="867">
        <f t="shared" si="5"/>
        <v>0</v>
      </c>
      <c r="X18" s="867"/>
      <c r="Y18" s="867">
        <v>0</v>
      </c>
      <c r="Z18" s="867"/>
      <c r="AA18" s="867">
        <v>0</v>
      </c>
      <c r="AB18" s="874"/>
      <c r="AC18" s="867">
        <f t="shared" si="2"/>
        <v>0</v>
      </c>
      <c r="AE18" s="847" t="s">
        <v>2523</v>
      </c>
      <c r="AG18" s="848"/>
      <c r="AJ18" s="881"/>
      <c r="AK18" s="865"/>
    </row>
    <row r="19" spans="2:37">
      <c r="B19" s="845">
        <f t="shared" ca="1" si="0"/>
        <v>11</v>
      </c>
      <c r="D19" s="866" t="s">
        <v>2555</v>
      </c>
      <c r="F19" s="845" t="s">
        <v>2554</v>
      </c>
      <c r="I19" s="867">
        <v>0</v>
      </c>
      <c r="J19" s="867"/>
      <c r="K19" s="867">
        <v>0</v>
      </c>
      <c r="L19" s="867"/>
      <c r="M19" s="867">
        <f t="shared" si="8"/>
        <v>0</v>
      </c>
      <c r="P19" s="867">
        <f t="shared" si="3"/>
        <v>947.57331310000006</v>
      </c>
      <c r="Q19" s="867"/>
      <c r="R19" s="867">
        <f t="shared" si="4"/>
        <v>0</v>
      </c>
      <c r="S19" s="867"/>
      <c r="T19" s="867">
        <f t="shared" si="1"/>
        <v>-1255.3741062688039</v>
      </c>
      <c r="W19" s="867">
        <f>+SUM('Executive Incentives'!B21+'Executive Incentives'!B19-'Executive Incentives'!F25)/1000</f>
        <v>1199.4598900000001</v>
      </c>
      <c r="X19" s="867"/>
      <c r="Y19" s="867">
        <f t="shared" ref="Y19:Y20" si="13">+W19*(1-$AI$5)</f>
        <v>947.57331310000006</v>
      </c>
      <c r="Z19" s="867"/>
      <c r="AA19" s="867">
        <v>0</v>
      </c>
      <c r="AB19" s="874"/>
      <c r="AC19" s="867">
        <f t="shared" si="2"/>
        <v>-1255.3741062688039</v>
      </c>
      <c r="AE19" s="847" t="s">
        <v>2348</v>
      </c>
      <c r="AG19" s="848"/>
      <c r="AH19" s="867"/>
      <c r="AJ19" s="881"/>
      <c r="AK19" s="867"/>
    </row>
    <row r="20" spans="2:37" ht="13.5">
      <c r="B20" s="845">
        <f t="shared" ca="1" si="0"/>
        <v>12</v>
      </c>
      <c r="D20" s="866" t="s">
        <v>2553</v>
      </c>
      <c r="F20" s="845" t="s">
        <v>2535</v>
      </c>
      <c r="I20" s="867">
        <v>0</v>
      </c>
      <c r="J20" s="867"/>
      <c r="K20" s="867">
        <v>0</v>
      </c>
      <c r="L20" s="867"/>
      <c r="M20" s="867">
        <f t="shared" si="8"/>
        <v>0</v>
      </c>
      <c r="P20" s="867">
        <f t="shared" si="3"/>
        <v>138.39615000000001</v>
      </c>
      <c r="Q20" s="867"/>
      <c r="R20" s="867">
        <f t="shared" si="4"/>
        <v>0</v>
      </c>
      <c r="S20" s="867"/>
      <c r="T20" s="867">
        <f t="shared" si="1"/>
        <v>-183.35145229966832</v>
      </c>
      <c r="W20" s="867">
        <v>175.185</v>
      </c>
      <c r="X20" s="867"/>
      <c r="Y20" s="867">
        <f t="shared" si="13"/>
        <v>138.39615000000001</v>
      </c>
      <c r="Z20" s="867"/>
      <c r="AA20" s="867">
        <v>0</v>
      </c>
      <c r="AB20" s="874"/>
      <c r="AC20" s="867">
        <f t="shared" ref="AC20" si="14">+T20-M20</f>
        <v>-183.35145229966832</v>
      </c>
      <c r="AE20" s="847" t="s">
        <v>2348</v>
      </c>
      <c r="AG20" s="848"/>
      <c r="AH20" s="882"/>
      <c r="AJ20" s="881"/>
      <c r="AK20" s="867"/>
    </row>
    <row r="21" spans="2:37" ht="13.5">
      <c r="D21" s="866"/>
      <c r="I21" s="867"/>
      <c r="J21" s="867"/>
      <c r="K21" s="867"/>
      <c r="L21" s="867"/>
      <c r="M21" s="867"/>
      <c r="P21" s="867"/>
      <c r="Q21" s="867"/>
      <c r="R21" s="867"/>
      <c r="S21" s="867"/>
      <c r="T21" s="867"/>
      <c r="W21" s="867"/>
      <c r="X21" s="867"/>
      <c r="Y21" s="867"/>
      <c r="Z21" s="867"/>
      <c r="AA21" s="867"/>
      <c r="AB21" s="874"/>
      <c r="AC21" s="867"/>
      <c r="AE21" s="847"/>
      <c r="AG21" s="848"/>
      <c r="AH21" s="882"/>
      <c r="AJ21" s="881"/>
      <c r="AK21" s="867"/>
    </row>
    <row r="22" spans="2:37">
      <c r="D22" s="866"/>
      <c r="I22" s="883"/>
      <c r="J22" s="862"/>
      <c r="K22" s="883"/>
      <c r="L22" s="862"/>
      <c r="M22" s="883"/>
      <c r="O22" s="844"/>
      <c r="P22" s="883"/>
      <c r="Q22" s="862"/>
      <c r="R22" s="883"/>
      <c r="S22" s="862"/>
      <c r="T22" s="883"/>
      <c r="W22" s="883"/>
      <c r="X22" s="867"/>
      <c r="Y22" s="883"/>
      <c r="Z22" s="867"/>
      <c r="AA22" s="883"/>
      <c r="AB22" s="874"/>
      <c r="AC22" s="883"/>
      <c r="AE22" s="847"/>
      <c r="AG22" s="848"/>
      <c r="AJ22" s="881"/>
      <c r="AK22" s="865"/>
    </row>
    <row r="23" spans="2:37" ht="13.5">
      <c r="D23" s="866"/>
      <c r="F23" s="844" t="s">
        <v>2509</v>
      </c>
      <c r="I23" s="862">
        <f>+SUM(I$7:I$22)</f>
        <v>29989.43430193009</v>
      </c>
      <c r="J23" s="862"/>
      <c r="K23" s="862">
        <f>+SUM(K$7:K$22)</f>
        <v>395862.50478212984</v>
      </c>
      <c r="L23" s="862"/>
      <c r="M23" s="862">
        <f>+SUM(M$7:M$22)</f>
        <v>-3916.1778122988781</v>
      </c>
      <c r="O23" s="844"/>
      <c r="P23" s="862">
        <f>+SUM(P$7:P$22)</f>
        <v>32524.284801195325</v>
      </c>
      <c r="Q23" s="862"/>
      <c r="R23" s="862">
        <f>+SUM(R$7:R$22)</f>
        <v>374226.39166015189</v>
      </c>
      <c r="S23" s="862"/>
      <c r="T23" s="862">
        <f>+SUM(T$7:T$22)</f>
        <v>-9231.9024331821201</v>
      </c>
      <c r="W23" s="862">
        <f>+SUM(W$7:W$22)</f>
        <v>3208.6715180572573</v>
      </c>
      <c r="X23" s="867"/>
      <c r="Y23" s="862">
        <f>+SUM(Y$7:Y$22)</f>
        <v>2534.8504992652338</v>
      </c>
      <c r="Z23" s="867"/>
      <c r="AA23" s="862">
        <f>+SUM(AA$7:AA$22)</f>
        <v>-21636.113121977934</v>
      </c>
      <c r="AB23" s="874"/>
      <c r="AC23" s="862">
        <f>+SUM(AC$7:AC$22)</f>
        <v>-5315.7246208832421</v>
      </c>
      <c r="AE23" s="847"/>
      <c r="AG23" s="848"/>
      <c r="AH23" s="882"/>
      <c r="AJ23" s="881"/>
      <c r="AK23" s="867"/>
    </row>
    <row r="24" spans="2:37">
      <c r="D24" s="866"/>
      <c r="I24" s="867"/>
      <c r="J24" s="867"/>
      <c r="K24" s="867"/>
      <c r="L24" s="867"/>
      <c r="M24" s="867"/>
      <c r="P24" s="867"/>
      <c r="Q24" s="867"/>
      <c r="R24" s="867"/>
      <c r="S24" s="867"/>
      <c r="T24" s="867"/>
      <c r="W24" s="867"/>
      <c r="X24" s="867"/>
      <c r="Y24" s="867"/>
      <c r="Z24" s="867"/>
      <c r="AA24" s="867"/>
      <c r="AB24" s="874"/>
      <c r="AC24" s="867"/>
      <c r="AE24" s="847"/>
      <c r="AG24" s="848"/>
      <c r="AJ24" s="881"/>
      <c r="AK24" s="865"/>
    </row>
    <row r="25" spans="2:37" ht="13.5">
      <c r="B25" s="849" t="s">
        <v>2510</v>
      </c>
      <c r="D25" s="866"/>
      <c r="I25" s="867"/>
      <c r="J25" s="867"/>
      <c r="K25" s="867"/>
      <c r="L25" s="867"/>
      <c r="M25" s="867"/>
      <c r="P25" s="867"/>
      <c r="Q25" s="867"/>
      <c r="R25" s="867"/>
      <c r="S25" s="867"/>
      <c r="T25" s="867"/>
      <c r="W25" s="867"/>
      <c r="X25" s="867"/>
      <c r="Y25" s="867"/>
      <c r="Z25" s="867"/>
      <c r="AA25" s="867"/>
      <c r="AB25" s="874"/>
      <c r="AC25" s="867"/>
      <c r="AE25" s="847"/>
      <c r="AG25" s="848"/>
      <c r="AH25" s="882"/>
      <c r="AJ25" s="881"/>
      <c r="AK25" s="867"/>
    </row>
    <row r="26" spans="2:37">
      <c r="B26" s="845">
        <f t="shared" ca="1" si="0"/>
        <v>13</v>
      </c>
      <c r="D26" s="866" t="s">
        <v>676</v>
      </c>
      <c r="F26" s="845" t="s">
        <v>2511</v>
      </c>
      <c r="I26" s="867">
        <v>-92.1492746449062</v>
      </c>
      <c r="J26" s="867"/>
      <c r="K26" s="867">
        <v>0</v>
      </c>
      <c r="L26" s="867"/>
      <c r="M26" s="867">
        <f>+($K26*$AK$12-$I26)/$AI$4</f>
        <v>122.0821773908057</v>
      </c>
      <c r="P26" s="867">
        <f t="shared" ref="P26:P35" si="15">+I26+Y26</f>
        <v>-444.44757275021067</v>
      </c>
      <c r="Q26" s="867"/>
      <c r="R26" s="867">
        <f t="shared" ref="R26:R35" si="16">+K26+AA26</f>
        <v>0</v>
      </c>
      <c r="S26" s="867"/>
      <c r="T26" s="867">
        <f t="shared" ref="T26:T35" si="17">+($R26*$AK$12-$P26)/$AI$4</f>
        <v>588.8177375946774</v>
      </c>
      <c r="W26" s="867">
        <f t="shared" ref="W26:W35" si="18">+Y26/(1-$AI$5)</f>
        <v>-445.94721279152463</v>
      </c>
      <c r="X26" s="867"/>
      <c r="Y26" s="867">
        <f>('Summary of Adj'!N36/1000-I26)</f>
        <v>-352.29829810530447</v>
      </c>
      <c r="Z26" s="867"/>
      <c r="AA26" s="867">
        <v>0</v>
      </c>
      <c r="AB26" s="874"/>
      <c r="AC26" s="867">
        <f t="shared" ref="AC26:AC35" si="19">+T26-M26</f>
        <v>466.73556020387173</v>
      </c>
      <c r="AE26" s="847" t="s">
        <v>2562</v>
      </c>
      <c r="AG26" s="848"/>
      <c r="AJ26" s="881"/>
      <c r="AK26" s="865"/>
    </row>
    <row r="27" spans="2:37" ht="13.5">
      <c r="B27" s="845">
        <f t="shared" ca="1" si="0"/>
        <v>14</v>
      </c>
      <c r="D27" s="866" t="s">
        <v>677</v>
      </c>
      <c r="F27" s="845" t="s">
        <v>2512</v>
      </c>
      <c r="I27" s="867">
        <v>-1596.4234686327998</v>
      </c>
      <c r="J27" s="867"/>
      <c r="K27" s="867">
        <v>0</v>
      </c>
      <c r="L27" s="867"/>
      <c r="M27" s="867">
        <f>+($K27*$AK$12-$I27)/$AI$4</f>
        <v>2114.990637088516</v>
      </c>
      <c r="P27" s="867">
        <f t="shared" si="15"/>
        <v>-1596.4234686327998</v>
      </c>
      <c r="Q27" s="867"/>
      <c r="R27" s="867">
        <f t="shared" si="16"/>
        <v>0</v>
      </c>
      <c r="S27" s="867"/>
      <c r="T27" s="867">
        <f t="shared" si="17"/>
        <v>2114.990637088516</v>
      </c>
      <c r="W27" s="867">
        <f t="shared" si="18"/>
        <v>0</v>
      </c>
      <c r="X27" s="867"/>
      <c r="Y27" s="867">
        <v>0</v>
      </c>
      <c r="Z27" s="867"/>
      <c r="AA27" s="867">
        <v>0</v>
      </c>
      <c r="AB27" s="874"/>
      <c r="AC27" s="867">
        <f t="shared" si="19"/>
        <v>0</v>
      </c>
      <c r="AE27" s="847" t="s">
        <v>2562</v>
      </c>
      <c r="AG27" s="848"/>
      <c r="AH27" s="882"/>
      <c r="AJ27" s="881"/>
      <c r="AK27" s="867"/>
    </row>
    <row r="28" spans="2:37">
      <c r="B28" s="845">
        <f t="shared" ca="1" si="0"/>
        <v>15</v>
      </c>
      <c r="D28" s="866" t="s">
        <v>2544</v>
      </c>
      <c r="F28" s="845" t="s">
        <v>721</v>
      </c>
      <c r="I28" s="867">
        <v>-1883.5379832971937</v>
      </c>
      <c r="J28" s="867"/>
      <c r="K28" s="867">
        <v>64722.530928127278</v>
      </c>
      <c r="L28" s="867"/>
      <c r="M28" s="867">
        <f>+($K28*$AK$12-$I28)/$AI$4</f>
        <v>8350.9895967464436</v>
      </c>
      <c r="P28" s="867">
        <f t="shared" si="15"/>
        <v>-1883.5379832971937</v>
      </c>
      <c r="Q28" s="867"/>
      <c r="R28" s="867">
        <f t="shared" si="16"/>
        <v>64722.530928127278</v>
      </c>
      <c r="S28" s="867"/>
      <c r="T28" s="867">
        <f t="shared" si="17"/>
        <v>8350.9895967464436</v>
      </c>
      <c r="W28" s="867">
        <f t="shared" si="18"/>
        <v>0</v>
      </c>
      <c r="X28" s="867"/>
      <c r="Y28" s="867">
        <v>0</v>
      </c>
      <c r="Z28" s="867"/>
      <c r="AA28" s="867">
        <v>0</v>
      </c>
      <c r="AB28" s="874"/>
      <c r="AC28" s="867">
        <f t="shared" si="19"/>
        <v>0</v>
      </c>
      <c r="AE28" s="847" t="s">
        <v>2562</v>
      </c>
      <c r="AG28" s="848"/>
      <c r="AJ28" s="881"/>
      <c r="AK28" s="865"/>
    </row>
    <row r="29" spans="2:37">
      <c r="B29" s="845">
        <f t="shared" ca="1" si="0"/>
        <v>16</v>
      </c>
      <c r="D29" s="866" t="s">
        <v>2539</v>
      </c>
      <c r="F29" s="845" t="s">
        <v>2528</v>
      </c>
      <c r="I29" s="867">
        <v>0</v>
      </c>
      <c r="J29" s="867"/>
      <c r="K29" s="867">
        <v>0</v>
      </c>
      <c r="L29" s="867"/>
      <c r="M29" s="867">
        <f t="shared" ref="M29:M34" si="20">+($K29*$AK$12-$I29)/$AI$4</f>
        <v>0</v>
      </c>
      <c r="P29" s="867">
        <f t="shared" ref="P29:P34" si="21">+I29+Y29</f>
        <v>1169.4482589311078</v>
      </c>
      <c r="Q29" s="867"/>
      <c r="R29" s="867">
        <f t="shared" ref="R29:R32" si="22">+K29+AA29</f>
        <v>-26761.017637089193</v>
      </c>
      <c r="S29" s="867"/>
      <c r="T29" s="867">
        <f t="shared" si="17"/>
        <v>-3970.4618221051796</v>
      </c>
      <c r="W29" s="867">
        <f>-'[10]Pro Forma Plant Additions (A1)'!$J$18/1000</f>
        <v>1480.3142518115289</v>
      </c>
      <c r="X29" s="867"/>
      <c r="Y29" s="867">
        <f>+W29*(1-$AI$5)</f>
        <v>1169.4482589311078</v>
      </c>
      <c r="Z29" s="867"/>
      <c r="AA29" s="867">
        <f>+'[10]Pro Forma Plant Additions (A1)'!$H$25/1000</f>
        <v>-26761.017637089193</v>
      </c>
      <c r="AB29" s="874"/>
      <c r="AC29" s="867">
        <f t="shared" si="19"/>
        <v>-3970.4618221051796</v>
      </c>
      <c r="AE29" s="847" t="s">
        <v>2523</v>
      </c>
      <c r="AG29" s="848"/>
      <c r="AJ29" s="881"/>
      <c r="AK29" s="865"/>
    </row>
    <row r="30" spans="2:37">
      <c r="B30" s="845">
        <f t="shared" ca="1" si="0"/>
        <v>17</v>
      </c>
      <c r="D30" s="866" t="s">
        <v>2540</v>
      </c>
      <c r="F30" s="845" t="s">
        <v>2529</v>
      </c>
      <c r="I30" s="867">
        <v>0</v>
      </c>
      <c r="J30" s="867"/>
      <c r="K30" s="867">
        <v>0</v>
      </c>
      <c r="L30" s="867"/>
      <c r="M30" s="867">
        <f t="shared" si="20"/>
        <v>0</v>
      </c>
      <c r="P30" s="867">
        <f t="shared" si="21"/>
        <v>188.28127519732416</v>
      </c>
      <c r="Q30" s="867"/>
      <c r="R30" s="867">
        <f t="shared" si="22"/>
        <v>-5425.7039612515937</v>
      </c>
      <c r="S30" s="867"/>
      <c r="T30" s="867">
        <f t="shared" si="17"/>
        <v>-740.31877348124522</v>
      </c>
      <c r="W30" s="867">
        <f>-'[10]Pro Forma Plant Additions (A2)'!$J$18/1000</f>
        <v>238.33072809787868</v>
      </c>
      <c r="X30" s="867"/>
      <c r="Y30" s="867">
        <f t="shared" ref="Y30:Y34" si="23">+W30*(1-$AI$5)</f>
        <v>188.28127519732416</v>
      </c>
      <c r="Z30" s="867"/>
      <c r="AA30" s="867">
        <f>+'[10]Pro Forma Plant Additions (A2)'!$H$25/1000</f>
        <v>-5425.7039612515937</v>
      </c>
      <c r="AB30" s="874"/>
      <c r="AC30" s="867">
        <f t="shared" si="19"/>
        <v>-740.31877348124522</v>
      </c>
      <c r="AE30" s="847" t="s">
        <v>2348</v>
      </c>
      <c r="AG30" s="848"/>
      <c r="AJ30" s="881"/>
      <c r="AK30" s="865"/>
    </row>
    <row r="31" spans="2:37">
      <c r="B31" s="845">
        <f t="shared" ca="1" si="0"/>
        <v>18</v>
      </c>
      <c r="D31" s="866" t="s">
        <v>2541</v>
      </c>
      <c r="F31" s="845" t="s">
        <v>2530</v>
      </c>
      <c r="I31" s="867">
        <v>0</v>
      </c>
      <c r="J31" s="867"/>
      <c r="K31" s="867">
        <v>0</v>
      </c>
      <c r="L31" s="867"/>
      <c r="M31" s="867">
        <f t="shared" si="20"/>
        <v>0</v>
      </c>
      <c r="P31" s="867">
        <f t="shared" si="21"/>
        <v>842.62042362181023</v>
      </c>
      <c r="Q31" s="867"/>
      <c r="R31" s="867">
        <f t="shared" si="22"/>
        <v>-25737.795735607044</v>
      </c>
      <c r="S31" s="867"/>
      <c r="T31" s="867">
        <f t="shared" si="17"/>
        <v>-3444.8966817224027</v>
      </c>
      <c r="W31" s="867">
        <f>-'[10]Pro Forma Plant Additions (A3)'!$J$18/1000</f>
        <v>1066.6081311668484</v>
      </c>
      <c r="X31" s="867"/>
      <c r="Y31" s="867">
        <f t="shared" si="23"/>
        <v>842.62042362181023</v>
      </c>
      <c r="Z31" s="867"/>
      <c r="AA31" s="867">
        <f>+'[10]Pro Forma Plant Additions (A3)'!$H$25/1000</f>
        <v>-25737.795735607044</v>
      </c>
      <c r="AB31" s="874"/>
      <c r="AC31" s="867">
        <f t="shared" si="19"/>
        <v>-3444.8966817224027</v>
      </c>
      <c r="AE31" s="847" t="s">
        <v>2348</v>
      </c>
      <c r="AG31" s="848"/>
      <c r="AJ31" s="881"/>
      <c r="AK31" s="865"/>
    </row>
    <row r="32" spans="2:37">
      <c r="B32" s="845">
        <f t="shared" ca="1" si="0"/>
        <v>19</v>
      </c>
      <c r="D32" s="866" t="s">
        <v>2542</v>
      </c>
      <c r="F32" s="845" t="s">
        <v>2543</v>
      </c>
      <c r="I32" s="867">
        <v>0</v>
      </c>
      <c r="J32" s="867"/>
      <c r="K32" s="867">
        <v>0</v>
      </c>
      <c r="L32" s="867"/>
      <c r="M32" s="867">
        <f t="shared" si="20"/>
        <v>0</v>
      </c>
      <c r="P32" s="867">
        <f t="shared" si="21"/>
        <v>-966.93662945981316</v>
      </c>
      <c r="Q32" s="867"/>
      <c r="R32" s="867">
        <f t="shared" si="22"/>
        <v>0</v>
      </c>
      <c r="S32" s="867"/>
      <c r="T32" s="867">
        <f t="shared" si="17"/>
        <v>1281.0272199999999</v>
      </c>
      <c r="W32" s="867">
        <f>-'[10]Pro Forma Plant Additions (A3)'!$E$27/1000*(1-SUM(' Conversion Factor'!C8:C10))</f>
        <v>-1223.9704170377381</v>
      </c>
      <c r="X32" s="867"/>
      <c r="Y32" s="867">
        <f t="shared" si="23"/>
        <v>-966.93662945981316</v>
      </c>
      <c r="Z32" s="867"/>
      <c r="AA32" s="867">
        <v>0</v>
      </c>
      <c r="AB32" s="874"/>
      <c r="AC32" s="867">
        <f t="shared" si="19"/>
        <v>1281.0272199999999</v>
      </c>
      <c r="AE32" s="847" t="s">
        <v>2348</v>
      </c>
      <c r="AG32" s="848"/>
      <c r="AJ32" s="881"/>
      <c r="AK32" s="865"/>
    </row>
    <row r="33" spans="1:49">
      <c r="B33" s="845">
        <f t="shared" ca="1" si="0"/>
        <v>20</v>
      </c>
      <c r="D33" s="866" t="s">
        <v>2541</v>
      </c>
      <c r="F33" s="845" t="s">
        <v>2546</v>
      </c>
      <c r="I33" s="867">
        <v>0</v>
      </c>
      <c r="J33" s="867"/>
      <c r="K33" s="867">
        <v>0</v>
      </c>
      <c r="L33" s="867"/>
      <c r="M33" s="867">
        <f t="shared" si="20"/>
        <v>0</v>
      </c>
      <c r="P33" s="867">
        <f t="shared" si="21"/>
        <v>388.94637047605289</v>
      </c>
      <c r="Q33" s="867"/>
      <c r="R33" s="867">
        <f t="shared" ref="R33:R34" si="24">+K33+AA33</f>
        <v>246.16858890889424</v>
      </c>
      <c r="S33" s="867"/>
      <c r="T33" s="867">
        <f t="shared" si="17"/>
        <v>-493.01651522206004</v>
      </c>
      <c r="W33" s="867">
        <f>+'Pro Forma Plant Additions'!E32/1000</f>
        <v>492.33717781778847</v>
      </c>
      <c r="X33" s="867"/>
      <c r="Y33" s="867">
        <f t="shared" si="23"/>
        <v>388.94637047605289</v>
      </c>
      <c r="Z33" s="867"/>
      <c r="AA33" s="867">
        <f>+W33/2</f>
        <v>246.16858890889424</v>
      </c>
      <c r="AB33" s="874"/>
      <c r="AC33" s="867">
        <f t="shared" si="19"/>
        <v>-493.01651522206004</v>
      </c>
      <c r="AE33" s="847" t="s">
        <v>2348</v>
      </c>
      <c r="AG33" s="848"/>
      <c r="AJ33" s="881"/>
      <c r="AK33" s="865"/>
    </row>
    <row r="34" spans="1:49">
      <c r="B34" s="845">
        <f t="shared" ca="1" si="0"/>
        <v>21</v>
      </c>
      <c r="D34" s="866" t="s">
        <v>2545</v>
      </c>
      <c r="F34" s="845" t="s">
        <v>2547</v>
      </c>
      <c r="I34" s="867">
        <v>0</v>
      </c>
      <c r="J34" s="867"/>
      <c r="K34" s="867">
        <v>0</v>
      </c>
      <c r="L34" s="867"/>
      <c r="M34" s="867">
        <f t="shared" si="20"/>
        <v>0</v>
      </c>
      <c r="P34" s="867">
        <f t="shared" si="21"/>
        <v>120.75378179921645</v>
      </c>
      <c r="Q34" s="867"/>
      <c r="R34" s="867">
        <f t="shared" si="24"/>
        <v>76.426444176719272</v>
      </c>
      <c r="S34" s="867"/>
      <c r="T34" s="867">
        <f t="shared" si="17"/>
        <v>-153.06379804924842</v>
      </c>
      <c r="W34" s="867">
        <f>+'Pro Forma Plant Additions'!E36/1000</f>
        <v>152.85288835343854</v>
      </c>
      <c r="X34" s="867"/>
      <c r="Y34" s="867">
        <f t="shared" si="23"/>
        <v>120.75378179921645</v>
      </c>
      <c r="Z34" s="867"/>
      <c r="AA34" s="867">
        <f>+W34/2</f>
        <v>76.426444176719272</v>
      </c>
      <c r="AB34" s="874"/>
      <c r="AC34" s="867">
        <f t="shared" si="19"/>
        <v>-153.06379804924842</v>
      </c>
      <c r="AE34" s="847" t="s">
        <v>2348</v>
      </c>
      <c r="AG34" s="848"/>
      <c r="AJ34" s="881"/>
      <c r="AK34" s="865"/>
    </row>
    <row r="35" spans="1:49" ht="13.5">
      <c r="B35" s="845">
        <f t="shared" ca="1" si="0"/>
        <v>22</v>
      </c>
      <c r="D35" s="866" t="s">
        <v>678</v>
      </c>
      <c r="F35" s="845" t="s">
        <v>737</v>
      </c>
      <c r="I35" s="867">
        <v>-731.34242977777774</v>
      </c>
      <c r="J35" s="867"/>
      <c r="K35" s="867">
        <v>0</v>
      </c>
      <c r="L35" s="867"/>
      <c r="M35" s="867">
        <f>+($K35*$AK$12-$I35)/$AI$4</f>
        <v>968.90481872598139</v>
      </c>
      <c r="P35" s="867">
        <f t="shared" si="15"/>
        <v>-731.34242977777774</v>
      </c>
      <c r="Q35" s="867"/>
      <c r="R35" s="867">
        <f t="shared" si="16"/>
        <v>0</v>
      </c>
      <c r="S35" s="867"/>
      <c r="T35" s="867">
        <f t="shared" si="17"/>
        <v>968.90481872598139</v>
      </c>
      <c r="W35" s="867">
        <f t="shared" si="18"/>
        <v>0</v>
      </c>
      <c r="X35" s="867"/>
      <c r="Y35" s="867">
        <v>0</v>
      </c>
      <c r="Z35" s="867"/>
      <c r="AA35" s="867">
        <v>0</v>
      </c>
      <c r="AB35" s="874"/>
      <c r="AC35" s="867">
        <f t="shared" si="19"/>
        <v>0</v>
      </c>
      <c r="AE35" s="847" t="s">
        <v>2562</v>
      </c>
      <c r="AG35" s="848"/>
      <c r="AH35" s="882"/>
      <c r="AJ35" s="881"/>
      <c r="AK35" s="867"/>
    </row>
    <row r="36" spans="1:49">
      <c r="C36" s="844"/>
      <c r="D36" s="866"/>
      <c r="E36" s="844"/>
      <c r="I36" s="862"/>
      <c r="J36" s="862"/>
      <c r="K36" s="862"/>
      <c r="L36" s="862"/>
      <c r="M36" s="862"/>
      <c r="O36" s="844"/>
      <c r="P36" s="862"/>
      <c r="Q36" s="862"/>
      <c r="R36" s="862"/>
      <c r="S36" s="862"/>
      <c r="T36" s="862"/>
      <c r="W36" s="862"/>
      <c r="X36" s="845"/>
      <c r="Y36" s="862"/>
      <c r="Z36" s="862"/>
      <c r="AA36" s="862"/>
      <c r="AB36" s="862"/>
      <c r="AC36" s="867"/>
      <c r="AE36" s="847"/>
      <c r="AG36" s="848"/>
      <c r="AJ36" s="881"/>
      <c r="AK36" s="865"/>
    </row>
    <row r="37" spans="1:49" ht="13.5">
      <c r="C37" s="844"/>
      <c r="D37" s="866"/>
      <c r="E37" s="844"/>
      <c r="I37" s="883"/>
      <c r="J37" s="862"/>
      <c r="K37" s="883"/>
      <c r="L37" s="862"/>
      <c r="M37" s="883"/>
      <c r="O37" s="844"/>
      <c r="P37" s="883"/>
      <c r="Q37" s="862"/>
      <c r="R37" s="883"/>
      <c r="S37" s="862"/>
      <c r="T37" s="883"/>
      <c r="W37" s="883"/>
      <c r="X37" s="845"/>
      <c r="Y37" s="883"/>
      <c r="Z37" s="862"/>
      <c r="AA37" s="883"/>
      <c r="AB37" s="862"/>
      <c r="AC37" s="884"/>
      <c r="AE37" s="847"/>
      <c r="AG37" s="848"/>
      <c r="AH37" s="882"/>
      <c r="AJ37" s="881"/>
      <c r="AK37" s="867"/>
    </row>
    <row r="38" spans="1:49" ht="13.5" thickBot="1">
      <c r="B38" s="845">
        <f ca="1">+MAX(OFFSET($B$7,0,0,ROW($B38)-ROW($B$7),1))+1</f>
        <v>23</v>
      </c>
      <c r="D38" s="866"/>
      <c r="F38" s="844" t="s">
        <v>2513</v>
      </c>
      <c r="I38" s="885">
        <f>+SUM(I23:I37)</f>
        <v>25685.981145577414</v>
      </c>
      <c r="J38" s="867"/>
      <c r="K38" s="885">
        <f>+SUM(K23:K37)</f>
        <v>460585.03571025713</v>
      </c>
      <c r="L38" s="867"/>
      <c r="M38" s="885">
        <f>+SUM(M23:M37)</f>
        <v>7640.789417652868</v>
      </c>
      <c r="P38" s="885">
        <f>+SUM(P23:P37)</f>
        <v>29611.646827303044</v>
      </c>
      <c r="Q38" s="867"/>
      <c r="R38" s="885">
        <f>+SUM(R23:R37)</f>
        <v>381347.00028741697</v>
      </c>
      <c r="S38" s="867"/>
      <c r="T38" s="885">
        <f>+SUM(T23:T37)</f>
        <v>-4728.9300136066367</v>
      </c>
      <c r="W38" s="885">
        <f>+SUM(W23:W37)</f>
        <v>4969.1970654754778</v>
      </c>
      <c r="X38" s="874"/>
      <c r="Y38" s="885">
        <f>+SUM(Y23:Y37)</f>
        <v>3925.6656817256276</v>
      </c>
      <c r="Z38" s="867"/>
      <c r="AA38" s="885">
        <f>+SUM(AA23:AA37)</f>
        <v>-79238.035422840156</v>
      </c>
      <c r="AB38" s="867"/>
      <c r="AC38" s="885">
        <f>+SUM(AC23:AC37)</f>
        <v>-12369.719431259506</v>
      </c>
      <c r="AE38" s="847"/>
      <c r="AG38" s="848"/>
    </row>
    <row r="39" spans="1:49" ht="13.5" thickTop="1">
      <c r="D39" s="866"/>
      <c r="AG39" s="848"/>
    </row>
    <row r="40" spans="1:49" ht="13.5" thickBot="1">
      <c r="D40" s="866"/>
      <c r="K40" s="881" t="s">
        <v>2514</v>
      </c>
      <c r="M40" s="885">
        <v>12003.698983529801</v>
      </c>
      <c r="R40" s="881"/>
      <c r="T40" s="885">
        <f>+' ROO Summary Sheet'!N13/1000</f>
        <v>-4728.9300136066386</v>
      </c>
    </row>
    <row r="41" spans="1:49" ht="13.5" thickTop="1">
      <c r="D41" s="866"/>
      <c r="T41" s="867"/>
      <c r="AC41" s="874"/>
    </row>
    <row r="42" spans="1:49" ht="13.5" thickBot="1">
      <c r="D42" s="866"/>
      <c r="K42" s="881" t="s">
        <v>2516</v>
      </c>
      <c r="M42" s="885">
        <f>+ROUND(M38-M40,4)</f>
        <v>-4362.9096</v>
      </c>
      <c r="R42" s="881"/>
      <c r="T42" s="885">
        <f>+T38-T40</f>
        <v>0</v>
      </c>
    </row>
    <row r="43" spans="1:49" ht="13.5" thickTop="1"/>
    <row r="44" spans="1:49" s="846" customFormat="1">
      <c r="A44" s="845"/>
      <c r="B44" s="844"/>
      <c r="C44" s="845"/>
      <c r="D44" s="845"/>
      <c r="E44" s="845"/>
      <c r="F44" s="845"/>
      <c r="I44" s="845"/>
      <c r="J44" s="845"/>
      <c r="K44" s="845"/>
      <c r="L44" s="845"/>
      <c r="M44" s="845"/>
      <c r="O44" s="845"/>
      <c r="P44" s="845"/>
      <c r="Q44" s="845"/>
      <c r="R44" s="845"/>
      <c r="S44" s="845"/>
      <c r="T44" s="867"/>
      <c r="U44" s="845"/>
      <c r="V44" s="845"/>
      <c r="AC44" s="874"/>
      <c r="AI44" s="845"/>
      <c r="AJ44" s="845"/>
      <c r="AK44" s="845"/>
      <c r="AL44" s="845"/>
      <c r="AM44" s="845"/>
      <c r="AN44" s="845"/>
      <c r="AO44" s="845"/>
      <c r="AP44" s="845"/>
      <c r="AQ44" s="845"/>
      <c r="AR44" s="845"/>
      <c r="AS44" s="845"/>
      <c r="AT44" s="845"/>
      <c r="AU44" s="845"/>
      <c r="AV44" s="845"/>
      <c r="AW44" s="845"/>
    </row>
    <row r="45" spans="1:49" s="846" customFormat="1">
      <c r="A45" s="845"/>
      <c r="B45" s="845"/>
      <c r="C45" s="845"/>
      <c r="D45" s="845"/>
      <c r="E45" s="845"/>
      <c r="F45" s="845"/>
      <c r="I45" s="845"/>
      <c r="J45" s="845"/>
      <c r="K45" s="845"/>
      <c r="L45" s="845"/>
      <c r="M45" s="867"/>
      <c r="O45" s="845"/>
      <c r="P45" s="867"/>
      <c r="Q45" s="845"/>
      <c r="R45" s="845"/>
      <c r="S45" s="845"/>
      <c r="T45" s="867"/>
      <c r="U45" s="845"/>
      <c r="V45" s="845"/>
      <c r="AC45" s="874"/>
      <c r="AI45" s="845"/>
      <c r="AJ45" s="845"/>
      <c r="AK45" s="845"/>
      <c r="AL45" s="845"/>
      <c r="AM45" s="845"/>
      <c r="AN45" s="845"/>
      <c r="AO45" s="845"/>
      <c r="AP45" s="845"/>
      <c r="AQ45" s="845"/>
      <c r="AR45" s="845"/>
      <c r="AS45" s="845"/>
      <c r="AT45" s="845"/>
      <c r="AU45" s="845"/>
      <c r="AV45" s="845"/>
      <c r="AW45" s="845"/>
    </row>
    <row r="47" spans="1:49" s="846" customFormat="1">
      <c r="A47" s="845"/>
      <c r="B47" s="845"/>
      <c r="C47" s="845"/>
      <c r="D47" s="845"/>
      <c r="E47" s="845"/>
      <c r="F47" s="845"/>
      <c r="I47" s="845"/>
      <c r="J47" s="845"/>
      <c r="K47" s="845"/>
      <c r="L47" s="845"/>
      <c r="M47" s="867"/>
      <c r="O47" s="845"/>
      <c r="P47" s="845"/>
      <c r="Q47" s="845"/>
      <c r="R47" s="845"/>
      <c r="S47" s="845"/>
      <c r="T47" s="867"/>
      <c r="U47" s="845"/>
      <c r="V47" s="845"/>
      <c r="AI47" s="845"/>
      <c r="AJ47" s="845"/>
      <c r="AK47" s="845"/>
      <c r="AL47" s="845"/>
      <c r="AM47" s="845"/>
      <c r="AN47" s="845"/>
      <c r="AO47" s="845"/>
      <c r="AP47" s="845"/>
      <c r="AQ47" s="845"/>
      <c r="AR47" s="845"/>
      <c r="AS47" s="845"/>
      <c r="AT47" s="845"/>
      <c r="AU47" s="845"/>
      <c r="AV47" s="845"/>
      <c r="AW47" s="845"/>
    </row>
    <row r="48" spans="1:49" s="846" customFormat="1">
      <c r="A48" s="845"/>
      <c r="B48" s="845"/>
      <c r="C48" s="845"/>
      <c r="D48" s="845"/>
      <c r="E48" s="845"/>
      <c r="F48" s="845"/>
      <c r="I48" s="845"/>
      <c r="J48" s="845"/>
      <c r="K48" s="845"/>
      <c r="L48" s="845"/>
      <c r="M48" s="880"/>
      <c r="O48" s="845"/>
      <c r="P48" s="845"/>
      <c r="Q48" s="845"/>
      <c r="R48" s="845"/>
      <c r="S48" s="845"/>
      <c r="T48" s="845"/>
      <c r="U48" s="845"/>
      <c r="V48" s="845"/>
      <c r="AI48" s="845"/>
      <c r="AJ48" s="845"/>
      <c r="AK48" s="845"/>
      <c r="AL48" s="845"/>
      <c r="AM48" s="845"/>
      <c r="AN48" s="845"/>
      <c r="AO48" s="845"/>
      <c r="AP48" s="845"/>
      <c r="AQ48" s="845"/>
      <c r="AR48" s="845"/>
      <c r="AS48" s="845"/>
      <c r="AT48" s="845"/>
      <c r="AU48" s="845"/>
      <c r="AV48" s="845"/>
      <c r="AW48" s="845"/>
    </row>
    <row r="52" spans="1:49" s="846" customFormat="1">
      <c r="A52" s="845"/>
      <c r="B52" s="845"/>
      <c r="C52" s="845"/>
      <c r="D52" s="845"/>
      <c r="E52" s="845"/>
      <c r="F52" s="845"/>
      <c r="I52" s="845"/>
      <c r="J52" s="845"/>
      <c r="K52" s="845"/>
      <c r="L52" s="845"/>
      <c r="M52" s="867"/>
      <c r="O52" s="845"/>
      <c r="P52" s="845"/>
      <c r="Q52" s="845"/>
      <c r="R52" s="845"/>
      <c r="S52" s="845"/>
      <c r="T52" s="845"/>
      <c r="U52" s="845"/>
      <c r="V52" s="845"/>
      <c r="AI52" s="845"/>
      <c r="AJ52" s="845"/>
      <c r="AK52" s="845"/>
      <c r="AL52" s="845"/>
      <c r="AM52" s="845"/>
      <c r="AN52" s="845"/>
      <c r="AO52" s="845"/>
      <c r="AP52" s="845"/>
      <c r="AQ52" s="845"/>
      <c r="AR52" s="845"/>
      <c r="AS52" s="845"/>
      <c r="AT52" s="845"/>
      <c r="AU52" s="845"/>
      <c r="AV52" s="845"/>
      <c r="AW52" s="845"/>
    </row>
    <row r="53" spans="1:49" s="846" customFormat="1">
      <c r="A53" s="845"/>
      <c r="B53" s="845"/>
      <c r="C53" s="845"/>
      <c r="D53" s="845"/>
      <c r="E53" s="845"/>
      <c r="F53" s="845"/>
      <c r="I53" s="845"/>
      <c r="J53" s="845"/>
      <c r="K53" s="845"/>
      <c r="L53" s="845"/>
      <c r="M53" s="867"/>
      <c r="O53" s="845"/>
      <c r="P53" s="845"/>
      <c r="Q53" s="845"/>
      <c r="R53" s="845"/>
      <c r="S53" s="845"/>
      <c r="T53" s="845"/>
      <c r="U53" s="845"/>
      <c r="V53" s="845"/>
      <c r="AI53" s="845"/>
      <c r="AJ53" s="845"/>
      <c r="AK53" s="845"/>
      <c r="AL53" s="845"/>
      <c r="AM53" s="845"/>
      <c r="AN53" s="845"/>
      <c r="AO53" s="845"/>
      <c r="AP53" s="845"/>
      <c r="AQ53" s="845"/>
      <c r="AR53" s="845"/>
      <c r="AS53" s="845"/>
      <c r="AT53" s="845"/>
      <c r="AU53" s="845"/>
      <c r="AV53" s="845"/>
      <c r="AW53" s="845"/>
    </row>
    <row r="54" spans="1:49" s="846" customFormat="1">
      <c r="A54" s="845"/>
      <c r="B54" s="845"/>
      <c r="C54" s="845"/>
      <c r="D54" s="845"/>
      <c r="E54" s="845"/>
      <c r="F54" s="845"/>
      <c r="I54" s="845"/>
      <c r="J54" s="845"/>
      <c r="K54" s="845"/>
      <c r="L54" s="845"/>
      <c r="M54" s="867"/>
      <c r="O54" s="845"/>
      <c r="P54" s="845"/>
      <c r="Q54" s="845"/>
      <c r="R54" s="845"/>
      <c r="S54" s="845"/>
      <c r="T54" s="845"/>
      <c r="U54" s="845"/>
      <c r="V54" s="845"/>
      <c r="AI54" s="845"/>
      <c r="AJ54" s="845"/>
      <c r="AK54" s="845"/>
      <c r="AL54" s="845"/>
      <c r="AM54" s="845"/>
      <c r="AN54" s="845"/>
      <c r="AO54" s="845"/>
      <c r="AP54" s="845"/>
      <c r="AQ54" s="845"/>
      <c r="AR54" s="845"/>
      <c r="AS54" s="845"/>
      <c r="AT54" s="845"/>
      <c r="AU54" s="845"/>
      <c r="AV54" s="845"/>
      <c r="AW54" s="845"/>
    </row>
  </sheetData>
  <pageMargins left="0.25" right="0.25" top="1.5" bottom="0.75" header="0.8" footer="0.3"/>
  <pageSetup scale="75" orientation="portrait" r:id="rId1"/>
  <colBreaks count="1" manualBreakCount="1">
    <brk id="20"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29396-EEF4-49A7-B864-ED9AA815FD2E}">
  <sheetPr>
    <tabColor rgb="FF8DC9C9"/>
  </sheetPr>
  <dimension ref="A1:BA44"/>
  <sheetViews>
    <sheetView view="pageBreakPreview" zoomScale="55" zoomScaleNormal="85" zoomScaleSheetLayoutView="55" workbookViewId="0"/>
  </sheetViews>
  <sheetFormatPr defaultRowHeight="12.75"/>
  <cols>
    <col min="1" max="1" width="1.42578125" style="845" customWidth="1"/>
    <col min="2" max="2" width="5.7109375" style="845" customWidth="1"/>
    <col min="3" max="3" width="1.42578125" style="845" customWidth="1"/>
    <col min="4" max="4" width="8" style="845" customWidth="1"/>
    <col min="5" max="5" width="1.42578125" style="845" customWidth="1"/>
    <col min="6" max="6" width="41.42578125" style="845" customWidth="1"/>
    <col min="7" max="8" width="1.42578125" style="846" customWidth="1"/>
    <col min="9" max="9" width="10.42578125" style="845" customWidth="1"/>
    <col min="10" max="10" width="1.42578125" style="845" customWidth="1"/>
    <col min="11" max="11" width="10.42578125" style="845" customWidth="1"/>
    <col min="12" max="12" width="1.42578125" style="845" customWidth="1"/>
    <col min="13" max="13" width="12" style="845" customWidth="1"/>
    <col min="14" max="14" width="1.42578125" style="846" customWidth="1"/>
    <col min="15" max="15" width="1.42578125" style="845" customWidth="1"/>
    <col min="16" max="16" width="10.42578125" style="845" customWidth="1"/>
    <col min="17" max="17" width="1.42578125" style="845" customWidth="1"/>
    <col min="18" max="18" width="10.42578125" style="845" customWidth="1"/>
    <col min="19" max="19" width="1.42578125" style="845" customWidth="1"/>
    <col min="20" max="20" width="10.42578125" style="845" customWidth="1"/>
    <col min="21" max="22" width="1.42578125" style="845" customWidth="1"/>
    <col min="23" max="23" width="10.42578125" style="846" customWidth="1"/>
    <col min="24" max="24" width="1.42578125" style="846" customWidth="1"/>
    <col min="25" max="25" width="10.42578125" style="846" customWidth="1"/>
    <col min="26" max="26" width="1.28515625" style="846" customWidth="1"/>
    <col min="27" max="27" width="10.42578125" style="846" customWidth="1"/>
    <col min="28" max="28" width="1.42578125" style="846" customWidth="1"/>
    <col min="29" max="29" width="10.42578125" style="846" customWidth="1"/>
    <col min="30" max="30" width="1.42578125" style="846" customWidth="1"/>
    <col min="31" max="31" width="20.85546875" style="846" customWidth="1"/>
    <col min="32" max="33" width="2.7109375" style="846" customWidth="1"/>
    <col min="34" max="34" width="21.140625" style="846" customWidth="1"/>
    <col min="35" max="37" width="11.85546875" style="845" customWidth="1"/>
    <col min="38" max="38" width="9.140625" style="845"/>
    <col min="39" max="39" width="21.140625" style="845" customWidth="1"/>
    <col min="40" max="42" width="11.85546875" style="845" customWidth="1"/>
    <col min="43" max="43" width="9.140625" style="845"/>
    <col min="44" max="44" width="21.140625" style="845" customWidth="1"/>
    <col min="45" max="47" width="11.85546875" style="845" customWidth="1"/>
    <col min="48" max="49" width="9.140625" style="845"/>
    <col min="50" max="50" width="21.140625" style="845" customWidth="1"/>
    <col min="51" max="53" width="11.85546875" style="845" customWidth="1"/>
    <col min="54" max="16384" width="9.140625" style="845"/>
  </cols>
  <sheetData>
    <row r="1" spans="1:53">
      <c r="A1" s="844" t="s">
        <v>2571</v>
      </c>
      <c r="B1" s="844"/>
      <c r="C1" s="844"/>
      <c r="E1" s="844"/>
      <c r="F1" s="844"/>
      <c r="I1" s="846"/>
      <c r="J1" s="844"/>
      <c r="K1" s="844"/>
      <c r="L1" s="844"/>
      <c r="M1" s="844"/>
      <c r="O1" s="844"/>
      <c r="P1" s="844"/>
      <c r="Q1" s="844"/>
      <c r="R1" s="844"/>
      <c r="S1" s="844"/>
      <c r="T1" s="844"/>
      <c r="X1" s="847"/>
      <c r="AG1" s="848"/>
      <c r="AI1" s="846"/>
      <c r="AJ1" s="846"/>
      <c r="AK1" s="846"/>
      <c r="AL1" s="846"/>
      <c r="AM1" s="846"/>
    </row>
    <row r="2" spans="1:53">
      <c r="B2" s="844"/>
      <c r="C2" s="844"/>
      <c r="D2" s="844"/>
      <c r="E2" s="844"/>
      <c r="F2" s="844"/>
      <c r="H2" s="849"/>
      <c r="I2" s="850" t="s">
        <v>2568</v>
      </c>
      <c r="J2" s="851"/>
      <c r="K2" s="851"/>
      <c r="L2" s="851"/>
      <c r="M2" s="851"/>
      <c r="O2" s="844"/>
      <c r="P2" s="850" t="s">
        <v>2569</v>
      </c>
      <c r="Q2" s="852"/>
      <c r="R2" s="852"/>
      <c r="S2" s="852"/>
      <c r="T2" s="852"/>
      <c r="W2" s="850" t="s">
        <v>2481</v>
      </c>
      <c r="X2" s="853"/>
      <c r="Y2" s="854"/>
      <c r="Z2" s="854"/>
      <c r="AA2" s="854"/>
      <c r="AB2" s="854"/>
      <c r="AC2" s="854"/>
      <c r="AD2" s="847"/>
      <c r="AE2" s="847"/>
      <c r="AG2" s="848"/>
      <c r="AH2" s="855" t="s">
        <v>2482</v>
      </c>
      <c r="AI2" s="855"/>
      <c r="AJ2" s="855"/>
      <c r="AK2" s="855"/>
      <c r="AL2" s="846"/>
      <c r="AM2" s="846"/>
    </row>
    <row r="3" spans="1:53">
      <c r="B3" s="844"/>
      <c r="C3" s="844"/>
      <c r="D3" s="844"/>
      <c r="E3" s="844"/>
      <c r="F3" s="844"/>
      <c r="I3" s="847"/>
      <c r="J3" s="847"/>
      <c r="K3" s="847"/>
      <c r="L3" s="847"/>
      <c r="M3" s="847" t="s">
        <v>2483</v>
      </c>
      <c r="P3" s="847"/>
      <c r="Q3" s="847"/>
      <c r="R3" s="847"/>
      <c r="S3" s="847"/>
      <c r="T3" s="847" t="s">
        <v>2483</v>
      </c>
      <c r="W3" s="847" t="s">
        <v>2484</v>
      </c>
      <c r="X3" s="847"/>
      <c r="Y3" s="847"/>
      <c r="Z3" s="847"/>
      <c r="AA3" s="847"/>
      <c r="AB3" s="847"/>
      <c r="AC3" s="847" t="s">
        <v>2483</v>
      </c>
      <c r="AD3" s="847"/>
      <c r="AE3" s="847"/>
      <c r="AG3" s="848"/>
      <c r="AH3" s="845"/>
    </row>
    <row r="4" spans="1:53">
      <c r="B4" s="844"/>
      <c r="C4" s="844"/>
      <c r="D4" s="856" t="s">
        <v>2485</v>
      </c>
      <c r="E4" s="844"/>
      <c r="F4" s="844"/>
      <c r="I4" s="847" t="s">
        <v>2486</v>
      </c>
      <c r="J4" s="847"/>
      <c r="K4" s="847"/>
      <c r="L4" s="847"/>
      <c r="M4" s="847" t="s">
        <v>2487</v>
      </c>
      <c r="P4" s="847" t="s">
        <v>2486</v>
      </c>
      <c r="Q4" s="847"/>
      <c r="R4" s="847"/>
      <c r="S4" s="847"/>
      <c r="T4" s="847" t="s">
        <v>2487</v>
      </c>
      <c r="W4" s="847" t="s">
        <v>2486</v>
      </c>
      <c r="X4" s="847"/>
      <c r="Y4" s="847" t="s">
        <v>2486</v>
      </c>
      <c r="Z4" s="847"/>
      <c r="AA4" s="847"/>
      <c r="AB4" s="847"/>
      <c r="AC4" s="847" t="s">
        <v>2487</v>
      </c>
      <c r="AD4" s="847"/>
      <c r="AE4" s="847"/>
      <c r="AG4" s="848"/>
      <c r="AH4" s="845" t="s">
        <v>2488</v>
      </c>
      <c r="AI4" s="857">
        <v>0.75481349214407267</v>
      </c>
    </row>
    <row r="5" spans="1:53">
      <c r="B5" s="852" t="s">
        <v>2489</v>
      </c>
      <c r="C5" s="844"/>
      <c r="D5" s="858" t="s">
        <v>2490</v>
      </c>
      <c r="E5" s="844"/>
      <c r="F5" s="852" t="s">
        <v>2491</v>
      </c>
      <c r="I5" s="859" t="s">
        <v>2492</v>
      </c>
      <c r="J5" s="847"/>
      <c r="K5" s="859" t="s">
        <v>41</v>
      </c>
      <c r="L5" s="847"/>
      <c r="M5" s="859" t="s">
        <v>2493</v>
      </c>
      <c r="P5" s="859" t="s">
        <v>2492</v>
      </c>
      <c r="Q5" s="847"/>
      <c r="R5" s="859" t="s">
        <v>41</v>
      </c>
      <c r="S5" s="847"/>
      <c r="T5" s="859" t="s">
        <v>2493</v>
      </c>
      <c r="W5" s="859" t="s">
        <v>2492</v>
      </c>
      <c r="X5" s="847"/>
      <c r="Y5" s="859" t="s">
        <v>2492</v>
      </c>
      <c r="Z5" s="847"/>
      <c r="AA5" s="859" t="s">
        <v>41</v>
      </c>
      <c r="AB5" s="847"/>
      <c r="AC5" s="859" t="s">
        <v>2493</v>
      </c>
      <c r="AD5" s="847"/>
      <c r="AE5" s="847"/>
      <c r="AG5" s="848"/>
      <c r="AH5" s="845" t="s">
        <v>2494</v>
      </c>
      <c r="AI5" s="860">
        <v>0.21</v>
      </c>
    </row>
    <row r="6" spans="1:53">
      <c r="AE6" s="847"/>
      <c r="AG6" s="848"/>
      <c r="AH6" s="845"/>
    </row>
    <row r="7" spans="1:53">
      <c r="B7" s="845">
        <v>1</v>
      </c>
      <c r="D7" s="861"/>
      <c r="E7" s="844"/>
      <c r="F7" s="844" t="s">
        <v>2495</v>
      </c>
      <c r="I7" s="862">
        <v>20804.384869999943</v>
      </c>
      <c r="J7" s="862"/>
      <c r="K7" s="862">
        <v>374226.39166015189</v>
      </c>
      <c r="L7" s="862"/>
      <c r="M7" s="862">
        <f>+($K7*$AK$12-$I7)/$AI$4</f>
        <v>6294.979443166726</v>
      </c>
      <c r="O7" s="844"/>
      <c r="P7" s="863">
        <f>+I7</f>
        <v>20804.384869999943</v>
      </c>
      <c r="Q7" s="862"/>
      <c r="R7" s="862">
        <f>+K7</f>
        <v>374226.39166015189</v>
      </c>
      <c r="S7" s="862"/>
      <c r="T7" s="862">
        <f>+($R7*$AK$12-$P7)/$AI$4</f>
        <v>6294.979443166726</v>
      </c>
      <c r="AE7" s="847"/>
      <c r="AG7" s="848"/>
      <c r="AH7" s="845"/>
      <c r="AT7" s="864"/>
      <c r="AU7" s="865"/>
      <c r="AV7" s="865"/>
      <c r="AW7" s="865"/>
    </row>
    <row r="8" spans="1:53">
      <c r="D8" s="866"/>
      <c r="I8" s="867"/>
      <c r="J8" s="867"/>
      <c r="K8" s="867"/>
      <c r="L8" s="867"/>
      <c r="M8" s="867"/>
      <c r="P8" s="867"/>
      <c r="Q8" s="867"/>
      <c r="R8" s="867"/>
      <c r="S8" s="867"/>
      <c r="T8" s="867"/>
      <c r="AE8" s="847"/>
      <c r="AG8" s="848"/>
      <c r="AH8" s="868" t="s">
        <v>2496</v>
      </c>
      <c r="AI8" s="869" t="s">
        <v>377</v>
      </c>
      <c r="AJ8" s="869"/>
      <c r="AK8" s="870" t="s">
        <v>2497</v>
      </c>
      <c r="AM8" s="868" t="s">
        <v>2496</v>
      </c>
      <c r="AN8" s="869" t="s">
        <v>377</v>
      </c>
      <c r="AO8" s="869"/>
      <c r="AP8" s="870" t="s">
        <v>2497</v>
      </c>
      <c r="AR8" s="868" t="s">
        <v>2496</v>
      </c>
      <c r="AS8" s="869" t="s">
        <v>377</v>
      </c>
      <c r="AT8" s="869"/>
      <c r="AU8" s="870" t="s">
        <v>2497</v>
      </c>
      <c r="AV8" s="865"/>
      <c r="AW8" s="865"/>
      <c r="AX8" s="868" t="s">
        <v>2496</v>
      </c>
      <c r="AY8" s="869" t="s">
        <v>377</v>
      </c>
      <c r="AZ8" s="869"/>
      <c r="BA8" s="870" t="s">
        <v>2497</v>
      </c>
    </row>
    <row r="9" spans="1:53">
      <c r="B9" s="849" t="s">
        <v>2498</v>
      </c>
      <c r="D9" s="866"/>
      <c r="I9" s="867"/>
      <c r="J9" s="867"/>
      <c r="K9" s="867"/>
      <c r="L9" s="867"/>
      <c r="M9" s="867"/>
      <c r="P9" s="867"/>
      <c r="Q9" s="867"/>
      <c r="R9" s="867"/>
      <c r="S9" s="867"/>
      <c r="T9" s="867"/>
      <c r="AE9" s="847"/>
      <c r="AG9" s="848"/>
      <c r="AH9" s="871" t="s">
        <v>2499</v>
      </c>
      <c r="AI9" s="872" t="s">
        <v>2500</v>
      </c>
      <c r="AJ9" s="872" t="s">
        <v>2501</v>
      </c>
      <c r="AK9" s="873" t="s">
        <v>2501</v>
      </c>
      <c r="AM9" s="871" t="s">
        <v>2499</v>
      </c>
      <c r="AN9" s="872" t="s">
        <v>2500</v>
      </c>
      <c r="AO9" s="872" t="s">
        <v>2501</v>
      </c>
      <c r="AP9" s="873" t="s">
        <v>2501</v>
      </c>
      <c r="AR9" s="871" t="s">
        <v>2499</v>
      </c>
      <c r="AS9" s="872" t="s">
        <v>2500</v>
      </c>
      <c r="AT9" s="872" t="s">
        <v>2501</v>
      </c>
      <c r="AU9" s="873" t="s">
        <v>2501</v>
      </c>
      <c r="AV9" s="865"/>
      <c r="AX9" s="871" t="s">
        <v>2499</v>
      </c>
      <c r="AY9" s="872" t="s">
        <v>2500</v>
      </c>
      <c r="AZ9" s="872" t="s">
        <v>2501</v>
      </c>
      <c r="BA9" s="873" t="s">
        <v>2501</v>
      </c>
    </row>
    <row r="10" spans="1:53">
      <c r="B10" s="845">
        <f t="shared" ref="B10:B24" ca="1" si="0">+MAX(OFFSET($B$7,0,0,ROW($B10)-ROW($B$7),1))+1</f>
        <v>2</v>
      </c>
      <c r="D10" s="866" t="s">
        <v>674</v>
      </c>
      <c r="F10" s="845" t="s">
        <v>1839</v>
      </c>
      <c r="I10" s="867">
        <v>-2192.1174178316401</v>
      </c>
      <c r="J10" s="867"/>
      <c r="K10" s="867">
        <v>0</v>
      </c>
      <c r="L10" s="867"/>
      <c r="M10" s="867">
        <f t="shared" ref="M10:M15" si="1">+($K10*$AK$12-$I10)/$AI$4</f>
        <v>2904.1842000000001</v>
      </c>
      <c r="P10" s="867">
        <v>-2192.1174178316401</v>
      </c>
      <c r="Q10" s="867"/>
      <c r="R10" s="867">
        <v>0</v>
      </c>
      <c r="S10" s="867"/>
      <c r="T10" s="867">
        <f t="shared" ref="T10:T15" si="2">+($R10*$AK$12-$P10)/$AI$4</f>
        <v>2904.1842000000001</v>
      </c>
      <c r="W10" s="867">
        <v>0</v>
      </c>
      <c r="X10" s="867"/>
      <c r="Y10" s="867">
        <f>+P10-I10</f>
        <v>0</v>
      </c>
      <c r="Z10" s="867"/>
      <c r="AA10" s="867">
        <f>+R10-K10</f>
        <v>0</v>
      </c>
      <c r="AB10" s="874"/>
      <c r="AC10" s="867">
        <f t="shared" ref="AC10:AC15" si="3">+T10-M10</f>
        <v>0</v>
      </c>
      <c r="AE10" s="847"/>
      <c r="AG10" s="848"/>
      <c r="AH10" s="875" t="s">
        <v>2502</v>
      </c>
      <c r="AI10" s="876">
        <v>0.52900000000000003</v>
      </c>
      <c r="AJ10" s="876">
        <f>+'[9]AWEC-55'!$T$19</f>
        <v>4.5404544820512822E-2</v>
      </c>
      <c r="AK10" s="877">
        <f>ROUND(AI10*AJ10,5)</f>
        <v>2.402E-2</v>
      </c>
      <c r="AM10" s="875" t="s">
        <v>2502</v>
      </c>
      <c r="AN10" s="876">
        <v>0.496</v>
      </c>
      <c r="AO10" s="876">
        <f>+'[9]AWEC-55'!$T$19</f>
        <v>4.5404544820512822E-2</v>
      </c>
      <c r="AP10" s="877">
        <f>ROUND(AN10*AO10,5)</f>
        <v>2.2519999999999998E-2</v>
      </c>
      <c r="AR10" s="875" t="s">
        <v>2502</v>
      </c>
      <c r="AS10" s="876">
        <v>0.496</v>
      </c>
      <c r="AT10" s="876">
        <v>4.7446000000000002E-2</v>
      </c>
      <c r="AU10" s="877">
        <f>ROUND(AS10*AT10,5)</f>
        <v>2.3529999999999999E-2</v>
      </c>
      <c r="AX10" s="875" t="s">
        <v>2502</v>
      </c>
      <c r="AY10" s="876">
        <v>0.51500000000000001</v>
      </c>
      <c r="AZ10" s="876">
        <v>4.7446000000000002E-2</v>
      </c>
      <c r="BA10" s="877">
        <f>ROUND(AY10*AZ10,5)</f>
        <v>2.443E-2</v>
      </c>
    </row>
    <row r="11" spans="1:53">
      <c r="B11" s="845">
        <f t="shared" ca="1" si="0"/>
        <v>3</v>
      </c>
      <c r="D11" s="866" t="s">
        <v>675</v>
      </c>
      <c r="F11" s="845" t="s">
        <v>2503</v>
      </c>
      <c r="I11" s="867">
        <v>21.876437981920006</v>
      </c>
      <c r="J11" s="867"/>
      <c r="K11" s="867">
        <v>0</v>
      </c>
      <c r="L11" s="867"/>
      <c r="M11" s="867">
        <f t="shared" si="1"/>
        <v>-28.982574118779013</v>
      </c>
      <c r="P11" s="867">
        <v>21.876437981920006</v>
      </c>
      <c r="Q11" s="867"/>
      <c r="R11" s="867">
        <v>0</v>
      </c>
      <c r="S11" s="867"/>
      <c r="T11" s="867">
        <f t="shared" si="2"/>
        <v>-28.982574118779013</v>
      </c>
      <c r="W11" s="867">
        <f t="shared" ref="W11:W15" si="4">+Y11/(1-$AI$5)</f>
        <v>0</v>
      </c>
      <c r="X11" s="867"/>
      <c r="Y11" s="867">
        <f t="shared" ref="Y11:Y15" si="5">+P11-I11</f>
        <v>0</v>
      </c>
      <c r="Z11" s="867"/>
      <c r="AA11" s="867">
        <f t="shared" ref="AA11:AA15" si="6">+R11-K11</f>
        <v>0</v>
      </c>
      <c r="AB11" s="874"/>
      <c r="AC11" s="867">
        <f t="shared" si="3"/>
        <v>0</v>
      </c>
      <c r="AE11" s="847"/>
      <c r="AG11" s="848"/>
      <c r="AH11" s="875" t="s">
        <v>2504</v>
      </c>
      <c r="AI11" s="878">
        <f>1-AI10</f>
        <v>0.47099999999999997</v>
      </c>
      <c r="AJ11" s="876">
        <v>9.4E-2</v>
      </c>
      <c r="AK11" s="879">
        <f>ROUND(AI11*AJ11,5)</f>
        <v>4.4269999999999997E-2</v>
      </c>
      <c r="AM11" s="875" t="s">
        <v>2504</v>
      </c>
      <c r="AN11" s="878">
        <v>0.504</v>
      </c>
      <c r="AO11" s="876">
        <v>9.4E-2</v>
      </c>
      <c r="AP11" s="879">
        <f>ROUND(AN11*AO11,5)</f>
        <v>4.7379999999999999E-2</v>
      </c>
      <c r="AR11" s="875" t="s">
        <v>2504</v>
      </c>
      <c r="AS11" s="878">
        <v>0.504</v>
      </c>
      <c r="AT11" s="876">
        <v>9.4E-2</v>
      </c>
      <c r="AU11" s="879">
        <f>ROUND(AS11*AT11,5)</f>
        <v>4.7379999999999999E-2</v>
      </c>
      <c r="AX11" s="875" t="s">
        <v>2504</v>
      </c>
      <c r="AY11" s="878">
        <f>1-AY10</f>
        <v>0.48499999999999999</v>
      </c>
      <c r="AZ11" s="876">
        <v>9.2499999999999999E-2</v>
      </c>
      <c r="BA11" s="879">
        <f>ROUND(AY11*AZ11,5)</f>
        <v>4.4859999999999997E-2</v>
      </c>
    </row>
    <row r="12" spans="1:53">
      <c r="B12" s="845">
        <f t="shared" ca="1" si="0"/>
        <v>4</v>
      </c>
      <c r="D12" s="866" t="s">
        <v>717</v>
      </c>
      <c r="F12" s="845" t="s">
        <v>2505</v>
      </c>
      <c r="I12" s="867">
        <v>11263.912529177331</v>
      </c>
      <c r="J12" s="867"/>
      <c r="K12" s="867">
        <v>0</v>
      </c>
      <c r="L12" s="867"/>
      <c r="M12" s="867">
        <f t="shared" si="1"/>
        <v>-14922.775820000004</v>
      </c>
      <c r="P12" s="867">
        <v>11263.912529177331</v>
      </c>
      <c r="Q12" s="867"/>
      <c r="R12" s="867">
        <v>0</v>
      </c>
      <c r="S12" s="867"/>
      <c r="T12" s="867">
        <f t="shared" si="2"/>
        <v>-14922.775820000004</v>
      </c>
      <c r="W12" s="867">
        <f t="shared" si="4"/>
        <v>0</v>
      </c>
      <c r="X12" s="867"/>
      <c r="Y12" s="867">
        <f t="shared" si="5"/>
        <v>0</v>
      </c>
      <c r="Z12" s="867"/>
      <c r="AA12" s="867">
        <f t="shared" si="6"/>
        <v>0</v>
      </c>
      <c r="AB12" s="874"/>
      <c r="AC12" s="867">
        <f t="shared" si="3"/>
        <v>0</v>
      </c>
      <c r="AE12" s="847"/>
      <c r="AG12" s="848"/>
      <c r="AH12" s="871" t="s">
        <v>58</v>
      </c>
      <c r="AI12" s="878">
        <v>1</v>
      </c>
      <c r="AJ12" s="872"/>
      <c r="AK12" s="879">
        <f>+SUM(AK10:AK11)</f>
        <v>6.828999999999999E-2</v>
      </c>
      <c r="AM12" s="871" t="s">
        <v>58</v>
      </c>
      <c r="AN12" s="878">
        <v>1</v>
      </c>
      <c r="AO12" s="872"/>
      <c r="AP12" s="879">
        <f>+SUM(AP10:AP11)</f>
        <v>6.989999999999999E-2</v>
      </c>
      <c r="AR12" s="871" t="s">
        <v>58</v>
      </c>
      <c r="AS12" s="878">
        <v>1</v>
      </c>
      <c r="AT12" s="872"/>
      <c r="AU12" s="879">
        <f>+SUM(AU10:AU11)</f>
        <v>7.0910000000000001E-2</v>
      </c>
      <c r="AX12" s="871" t="s">
        <v>58</v>
      </c>
      <c r="AY12" s="878">
        <v>1</v>
      </c>
      <c r="AZ12" s="872"/>
      <c r="BA12" s="879">
        <f>+SUM(BA10:BA11)</f>
        <v>6.928999999999999E-2</v>
      </c>
    </row>
    <row r="13" spans="1:53">
      <c r="B13" s="845">
        <f t="shared" ca="1" si="0"/>
        <v>5</v>
      </c>
      <c r="D13" s="866" t="s">
        <v>743</v>
      </c>
      <c r="F13" s="845" t="s">
        <v>2506</v>
      </c>
      <c r="I13" s="867">
        <v>-1620.0833580576725</v>
      </c>
      <c r="J13" s="867"/>
      <c r="K13" s="867">
        <v>21636.113121977934</v>
      </c>
      <c r="L13" s="867"/>
      <c r="M13" s="867">
        <f t="shared" si="1"/>
        <v>4103.8131344985259</v>
      </c>
      <c r="P13" s="867">
        <v>-812.38921123256011</v>
      </c>
      <c r="Q13" s="867"/>
      <c r="R13" s="867">
        <v>21636.113121977934</v>
      </c>
      <c r="S13" s="867"/>
      <c r="T13" s="867">
        <f t="shared" si="2"/>
        <v>3033.7552258477008</v>
      </c>
      <c r="W13" s="867">
        <f t="shared" si="4"/>
        <v>1022.397654209003</v>
      </c>
      <c r="X13" s="867"/>
      <c r="Y13" s="867">
        <f t="shared" si="5"/>
        <v>807.6941468251124</v>
      </c>
      <c r="Z13" s="867"/>
      <c r="AA13" s="867">
        <f t="shared" si="6"/>
        <v>0</v>
      </c>
      <c r="AB13" s="874"/>
      <c r="AC13" s="867">
        <f t="shared" si="3"/>
        <v>-1070.0579086508251</v>
      </c>
      <c r="AE13" s="847"/>
      <c r="AG13" s="848"/>
    </row>
    <row r="14" spans="1:53">
      <c r="B14" s="845">
        <f t="shared" ca="1" si="0"/>
        <v>6</v>
      </c>
      <c r="D14" s="866" t="s">
        <v>1387</v>
      </c>
      <c r="F14" s="845" t="s">
        <v>2507</v>
      </c>
      <c r="I14" s="867">
        <v>-68.513887964900988</v>
      </c>
      <c r="J14" s="867"/>
      <c r="K14" s="867">
        <v>0</v>
      </c>
      <c r="L14" s="867"/>
      <c r="M14" s="867">
        <f t="shared" si="1"/>
        <v>90.769294240203664</v>
      </c>
      <c r="P14" s="867">
        <v>-68.513887964900988</v>
      </c>
      <c r="Q14" s="867"/>
      <c r="R14" s="867">
        <v>0</v>
      </c>
      <c r="S14" s="867"/>
      <c r="T14" s="867">
        <f t="shared" si="2"/>
        <v>90.769294240203664</v>
      </c>
      <c r="W14" s="867">
        <f t="shared" si="4"/>
        <v>0</v>
      </c>
      <c r="X14" s="867"/>
      <c r="Y14" s="867">
        <f t="shared" si="5"/>
        <v>0</v>
      </c>
      <c r="Z14" s="867"/>
      <c r="AA14" s="867">
        <f t="shared" si="6"/>
        <v>0</v>
      </c>
      <c r="AB14" s="874"/>
      <c r="AC14" s="867">
        <f t="shared" si="3"/>
        <v>0</v>
      </c>
      <c r="AE14" s="847"/>
      <c r="AG14" s="848"/>
      <c r="AK14" s="865"/>
    </row>
    <row r="15" spans="1:53">
      <c r="B15" s="845">
        <f t="shared" ca="1" si="0"/>
        <v>7</v>
      </c>
      <c r="D15" s="866" t="s">
        <v>1388</v>
      </c>
      <c r="F15" s="845" t="s">
        <v>2508</v>
      </c>
      <c r="I15" s="867">
        <v>972.28098180000018</v>
      </c>
      <c r="J15" s="867"/>
      <c r="K15" s="867">
        <v>0</v>
      </c>
      <c r="L15" s="867"/>
      <c r="M15" s="867">
        <f t="shared" si="1"/>
        <v>-1288.1075814347248</v>
      </c>
      <c r="P15" s="867">
        <v>972.28098180000018</v>
      </c>
      <c r="Q15" s="867"/>
      <c r="R15" s="867">
        <v>0</v>
      </c>
      <c r="S15" s="867"/>
      <c r="T15" s="867">
        <f t="shared" si="2"/>
        <v>-1288.1075814347248</v>
      </c>
      <c r="W15" s="867">
        <f t="shared" si="4"/>
        <v>0</v>
      </c>
      <c r="X15" s="867"/>
      <c r="Y15" s="867">
        <f t="shared" si="5"/>
        <v>0</v>
      </c>
      <c r="Z15" s="867"/>
      <c r="AA15" s="867">
        <f t="shared" si="6"/>
        <v>0</v>
      </c>
      <c r="AB15" s="874"/>
      <c r="AC15" s="867">
        <f t="shared" si="3"/>
        <v>0</v>
      </c>
      <c r="AE15" s="847"/>
      <c r="AG15" s="848"/>
      <c r="AJ15" s="881"/>
      <c r="AK15" s="865"/>
    </row>
    <row r="16" spans="1:53" ht="13.5">
      <c r="D16" s="866"/>
      <c r="I16" s="867"/>
      <c r="J16" s="867"/>
      <c r="K16" s="867"/>
      <c r="L16" s="867"/>
      <c r="M16" s="867"/>
      <c r="P16" s="867"/>
      <c r="Q16" s="867"/>
      <c r="R16" s="867"/>
      <c r="S16" s="867"/>
      <c r="T16" s="867"/>
      <c r="W16" s="867"/>
      <c r="X16" s="867"/>
      <c r="Y16" s="867"/>
      <c r="Z16" s="867"/>
      <c r="AA16" s="867"/>
      <c r="AB16" s="874"/>
      <c r="AC16" s="867"/>
      <c r="AE16" s="847"/>
      <c r="AG16" s="848"/>
      <c r="AH16" s="882"/>
      <c r="AJ16" s="881"/>
      <c r="AK16" s="867"/>
      <c r="AX16" s="868" t="s">
        <v>2496</v>
      </c>
      <c r="AY16" s="869" t="s">
        <v>377</v>
      </c>
      <c r="AZ16" s="869"/>
      <c r="BA16" s="870" t="s">
        <v>2497</v>
      </c>
    </row>
    <row r="17" spans="2:53">
      <c r="D17" s="866"/>
      <c r="I17" s="883"/>
      <c r="J17" s="862"/>
      <c r="K17" s="883"/>
      <c r="L17" s="862"/>
      <c r="M17" s="883"/>
      <c r="O17" s="844"/>
      <c r="P17" s="883"/>
      <c r="Q17" s="862"/>
      <c r="R17" s="883"/>
      <c r="S17" s="862"/>
      <c r="T17" s="883"/>
      <c r="W17" s="883"/>
      <c r="X17" s="867"/>
      <c r="Y17" s="883"/>
      <c r="Z17" s="867"/>
      <c r="AA17" s="883"/>
      <c r="AB17" s="874"/>
      <c r="AC17" s="883"/>
      <c r="AE17" s="847"/>
      <c r="AG17" s="848"/>
      <c r="AH17" s="868" t="s">
        <v>2496</v>
      </c>
      <c r="AI17" s="869" t="s">
        <v>377</v>
      </c>
      <c r="AJ17" s="869"/>
      <c r="AK17" s="870" t="s">
        <v>2497</v>
      </c>
      <c r="AX17" s="871" t="s">
        <v>2499</v>
      </c>
      <c r="AY17" s="872" t="s">
        <v>2500</v>
      </c>
      <c r="AZ17" s="872" t="s">
        <v>2501</v>
      </c>
      <c r="BA17" s="873" t="s">
        <v>2501</v>
      </c>
    </row>
    <row r="18" spans="2:53">
      <c r="D18" s="866"/>
      <c r="F18" s="844" t="s">
        <v>2509</v>
      </c>
      <c r="I18" s="862">
        <f>+SUM(I$7:I$17)</f>
        <v>29181.740155104977</v>
      </c>
      <c r="J18" s="862"/>
      <c r="K18" s="862">
        <f>+SUM(K$7:K$17)</f>
        <v>395862.50478212984</v>
      </c>
      <c r="L18" s="862"/>
      <c r="M18" s="862">
        <f>+SUM(M$7:M$17)</f>
        <v>-2846.119903648053</v>
      </c>
      <c r="O18" s="844"/>
      <c r="P18" s="862">
        <f>+SUM(P$7:P$17)</f>
        <v>29989.43430193009</v>
      </c>
      <c r="Q18" s="862"/>
      <c r="R18" s="862">
        <f>+SUM(R$7:R$17)</f>
        <v>395862.50478212984</v>
      </c>
      <c r="S18" s="862"/>
      <c r="T18" s="862">
        <f>+SUM(T$7:T$17)</f>
        <v>-3916.1778122988781</v>
      </c>
      <c r="W18" s="862">
        <f>+SUM(W$7:W$17)</f>
        <v>1022.397654209003</v>
      </c>
      <c r="X18" s="867"/>
      <c r="Y18" s="862">
        <f>+SUM(Y$7:Y$17)</f>
        <v>807.6941468251124</v>
      </c>
      <c r="Z18" s="867"/>
      <c r="AA18" s="862">
        <f>+SUM(AA$7:AA$17)</f>
        <v>0</v>
      </c>
      <c r="AB18" s="874"/>
      <c r="AC18" s="862">
        <f>+SUM(AC$7:AC$17)</f>
        <v>-1070.0579086508251</v>
      </c>
      <c r="AE18" s="847"/>
      <c r="AG18" s="848"/>
      <c r="AH18" s="871" t="s">
        <v>2499</v>
      </c>
      <c r="AI18" s="872" t="s">
        <v>2500</v>
      </c>
      <c r="AJ18" s="872" t="s">
        <v>2501</v>
      </c>
      <c r="AK18" s="873" t="s">
        <v>2501</v>
      </c>
      <c r="AX18" s="875" t="s">
        <v>2502</v>
      </c>
      <c r="AY18" s="876">
        <v>0.50900000000000001</v>
      </c>
      <c r="AZ18" s="876">
        <v>4.7446000000000002E-2</v>
      </c>
      <c r="BA18" s="877">
        <f>ROUND(AY18*AZ18,5)</f>
        <v>2.4150000000000001E-2</v>
      </c>
    </row>
    <row r="19" spans="2:53">
      <c r="D19" s="866"/>
      <c r="I19" s="867"/>
      <c r="J19" s="867"/>
      <c r="K19" s="867"/>
      <c r="L19" s="867"/>
      <c r="M19" s="867"/>
      <c r="P19" s="867"/>
      <c r="Q19" s="867"/>
      <c r="R19" s="867"/>
      <c r="S19" s="867"/>
      <c r="T19" s="867"/>
      <c r="W19" s="867"/>
      <c r="X19" s="867"/>
      <c r="Y19" s="867"/>
      <c r="Z19" s="867"/>
      <c r="AA19" s="867"/>
      <c r="AB19" s="874"/>
      <c r="AC19" s="867"/>
      <c r="AE19" s="847"/>
      <c r="AG19" s="848"/>
      <c r="AH19" s="875" t="s">
        <v>2502</v>
      </c>
      <c r="AI19" s="876">
        <v>0.496</v>
      </c>
      <c r="AJ19" s="876">
        <v>4.7446000000000002E-2</v>
      </c>
      <c r="AK19" s="877">
        <f>ROUND(AI19*AJ19,5)</f>
        <v>2.3529999999999999E-2</v>
      </c>
      <c r="AX19" s="875" t="s">
        <v>2504</v>
      </c>
      <c r="AY19" s="878">
        <f>1-AY18</f>
        <v>0.49099999999999999</v>
      </c>
      <c r="AZ19" s="876">
        <v>0.09</v>
      </c>
      <c r="BA19" s="879">
        <f>ROUND(AY19*AZ19,5)</f>
        <v>4.419E-2</v>
      </c>
    </row>
    <row r="20" spans="2:53">
      <c r="B20" s="849" t="s">
        <v>2510</v>
      </c>
      <c r="D20" s="866"/>
      <c r="I20" s="867"/>
      <c r="J20" s="867"/>
      <c r="K20" s="867"/>
      <c r="L20" s="867"/>
      <c r="M20" s="867"/>
      <c r="P20" s="867"/>
      <c r="Q20" s="867"/>
      <c r="R20" s="867"/>
      <c r="S20" s="867"/>
      <c r="T20" s="867"/>
      <c r="W20" s="867"/>
      <c r="X20" s="867"/>
      <c r="Y20" s="867"/>
      <c r="Z20" s="867"/>
      <c r="AA20" s="867"/>
      <c r="AB20" s="874"/>
      <c r="AC20" s="867"/>
      <c r="AE20" s="847"/>
      <c r="AG20" s="848"/>
      <c r="AH20" s="875" t="s">
        <v>2504</v>
      </c>
      <c r="AI20" s="878">
        <v>0.504</v>
      </c>
      <c r="AJ20" s="876">
        <v>0.10299999999999999</v>
      </c>
      <c r="AK20" s="879">
        <f>ROUND(AI20*AJ20,5)</f>
        <v>5.1909999999999998E-2</v>
      </c>
      <c r="AX20" s="871" t="s">
        <v>58</v>
      </c>
      <c r="AY20" s="878">
        <v>1</v>
      </c>
      <c r="AZ20" s="872"/>
      <c r="BA20" s="879">
        <f>+SUM(BA18:BA19)</f>
        <v>6.8339999999999998E-2</v>
      </c>
    </row>
    <row r="21" spans="2:53">
      <c r="B21" s="845">
        <f t="shared" ca="1" si="0"/>
        <v>8</v>
      </c>
      <c r="D21" s="866" t="s">
        <v>676</v>
      </c>
      <c r="F21" s="845" t="s">
        <v>2511</v>
      </c>
      <c r="I21" s="867">
        <v>-91.861358542880694</v>
      </c>
      <c r="J21" s="867"/>
      <c r="K21" s="867">
        <v>0</v>
      </c>
      <c r="L21" s="867"/>
      <c r="M21" s="867">
        <f>+($K21*$AK$12-$I21)/$AI$4</f>
        <v>121.70073733306684</v>
      </c>
      <c r="P21" s="867">
        <v>-92.1492746449062</v>
      </c>
      <c r="Q21" s="867"/>
      <c r="R21" s="867">
        <v>0</v>
      </c>
      <c r="S21" s="867"/>
      <c r="T21" s="867">
        <f t="shared" ref="T21:T24" si="7">+($R21*$AK$12-$P21)/$AI$4</f>
        <v>122.0821773908057</v>
      </c>
      <c r="W21" s="867">
        <f t="shared" ref="W21:W24" si="8">+Y21/(1-$AI$5)</f>
        <v>-0.3644507620576018</v>
      </c>
      <c r="X21" s="867"/>
      <c r="Y21" s="867">
        <f t="shared" ref="Y21:Y24" si="9">+P21-I21</f>
        <v>-0.28791610202550544</v>
      </c>
      <c r="Z21" s="867"/>
      <c r="AA21" s="867">
        <f t="shared" ref="AA21:AA24" si="10">+R21-K21</f>
        <v>0</v>
      </c>
      <c r="AB21" s="874"/>
      <c r="AC21" s="867">
        <f t="shared" ref="AC21:AC24" si="11">+T21-M21</f>
        <v>0.38144005773885681</v>
      </c>
      <c r="AE21" s="847"/>
      <c r="AG21" s="848"/>
      <c r="AH21" s="871" t="s">
        <v>58</v>
      </c>
      <c r="AI21" s="878">
        <v>1</v>
      </c>
      <c r="AJ21" s="872"/>
      <c r="AK21" s="879">
        <f>+SUM(AK19:AK20)</f>
        <v>7.5439999999999993E-2</v>
      </c>
    </row>
    <row r="22" spans="2:53">
      <c r="B22" s="845">
        <f t="shared" ca="1" si="0"/>
        <v>9</v>
      </c>
      <c r="D22" s="866" t="s">
        <v>677</v>
      </c>
      <c r="F22" s="845" t="s">
        <v>2512</v>
      </c>
      <c r="I22" s="867">
        <v>-1596.2054334327995</v>
      </c>
      <c r="J22" s="867"/>
      <c r="K22" s="867">
        <v>0</v>
      </c>
      <c r="L22" s="867"/>
      <c r="M22" s="867">
        <f>+($K22*$AK$12-$I22)/$AI$4</f>
        <v>2114.7017773870539</v>
      </c>
      <c r="P22" s="867">
        <v>-1596.4234686327998</v>
      </c>
      <c r="Q22" s="867"/>
      <c r="R22" s="867">
        <v>0</v>
      </c>
      <c r="S22" s="867"/>
      <c r="T22" s="867">
        <f t="shared" si="7"/>
        <v>2114.990637088516</v>
      </c>
      <c r="W22" s="867">
        <f t="shared" si="8"/>
        <v>-0.27599392405096018</v>
      </c>
      <c r="X22" s="867"/>
      <c r="Y22" s="867">
        <f t="shared" si="9"/>
        <v>-0.21803520000025856</v>
      </c>
      <c r="Z22" s="867"/>
      <c r="AA22" s="867">
        <f t="shared" si="10"/>
        <v>0</v>
      </c>
      <c r="AB22" s="874"/>
      <c r="AC22" s="867">
        <f t="shared" si="11"/>
        <v>0.28885970146211548</v>
      </c>
      <c r="AE22" s="847"/>
      <c r="AG22" s="848"/>
      <c r="AH22" s="845"/>
    </row>
    <row r="23" spans="2:53">
      <c r="B23" s="845">
        <f t="shared" ca="1" si="0"/>
        <v>10</v>
      </c>
      <c r="D23" s="866" t="s">
        <v>745</v>
      </c>
      <c r="F23" s="845" t="s">
        <v>721</v>
      </c>
      <c r="I23" s="867">
        <v>-2790.9968592157338</v>
      </c>
      <c r="J23" s="867"/>
      <c r="K23" s="867">
        <v>64780.798206379048</v>
      </c>
      <c r="L23" s="867"/>
      <c r="M23" s="867">
        <f>+($K23*$AK$12-$I23)/$AI$4</f>
        <v>9558.4904666121693</v>
      </c>
      <c r="P23" s="867">
        <v>-1883.5379832971937</v>
      </c>
      <c r="Q23" s="867"/>
      <c r="R23" s="867">
        <v>64722.530928127278</v>
      </c>
      <c r="S23" s="867"/>
      <c r="T23" s="867">
        <f t="shared" si="7"/>
        <v>8350.9895967464436</v>
      </c>
      <c r="W23" s="867">
        <f t="shared" si="8"/>
        <v>1148.6821214158736</v>
      </c>
      <c r="X23" s="867"/>
      <c r="Y23" s="867">
        <f t="shared" si="9"/>
        <v>907.45887591854012</v>
      </c>
      <c r="Z23" s="867"/>
      <c r="AA23" s="867">
        <f t="shared" si="10"/>
        <v>-58.267278251769312</v>
      </c>
      <c r="AB23" s="874"/>
      <c r="AC23" s="867">
        <f t="shared" si="11"/>
        <v>-1207.5008698657257</v>
      </c>
      <c r="AE23" s="847"/>
      <c r="AG23" s="848"/>
      <c r="AH23" s="845"/>
    </row>
    <row r="24" spans="2:53">
      <c r="B24" s="845">
        <f t="shared" ca="1" si="0"/>
        <v>11</v>
      </c>
      <c r="D24" s="866" t="s">
        <v>678</v>
      </c>
      <c r="F24" s="845" t="s">
        <v>737</v>
      </c>
      <c r="I24" s="867">
        <v>-731.34242977777774</v>
      </c>
      <c r="J24" s="867"/>
      <c r="K24" s="867">
        <v>0</v>
      </c>
      <c r="L24" s="867"/>
      <c r="M24" s="867">
        <f>+($K24*$AK$12-$I24)/$AI$4</f>
        <v>968.90481872598139</v>
      </c>
      <c r="P24" s="867">
        <v>-731.34242977777774</v>
      </c>
      <c r="Q24" s="867"/>
      <c r="R24" s="867">
        <v>0</v>
      </c>
      <c r="S24" s="867"/>
      <c r="T24" s="867">
        <f t="shared" si="7"/>
        <v>968.90481872598139</v>
      </c>
      <c r="W24" s="867">
        <f t="shared" si="8"/>
        <v>0</v>
      </c>
      <c r="X24" s="867"/>
      <c r="Y24" s="867">
        <f t="shared" si="9"/>
        <v>0</v>
      </c>
      <c r="Z24" s="867"/>
      <c r="AA24" s="867">
        <f t="shared" si="10"/>
        <v>0</v>
      </c>
      <c r="AB24" s="874"/>
      <c r="AC24" s="867">
        <f t="shared" si="11"/>
        <v>0</v>
      </c>
      <c r="AE24" s="847"/>
      <c r="AG24" s="848"/>
      <c r="AH24" s="845"/>
    </row>
    <row r="25" spans="2:53">
      <c r="C25" s="844"/>
      <c r="D25" s="866"/>
      <c r="E25" s="844"/>
      <c r="I25" s="862"/>
      <c r="J25" s="862"/>
      <c r="K25" s="862"/>
      <c r="L25" s="862"/>
      <c r="M25" s="862"/>
      <c r="O25" s="844"/>
      <c r="P25" s="862"/>
      <c r="Q25" s="862"/>
      <c r="R25" s="862"/>
      <c r="S25" s="862"/>
      <c r="T25" s="862"/>
      <c r="W25" s="862"/>
      <c r="X25" s="845"/>
      <c r="Y25" s="862"/>
      <c r="Z25" s="862"/>
      <c r="AA25" s="862"/>
      <c r="AB25" s="862"/>
      <c r="AC25" s="867"/>
      <c r="AE25" s="847"/>
      <c r="AG25" s="848"/>
      <c r="AH25" s="845"/>
    </row>
    <row r="26" spans="2:53">
      <c r="C26" s="844"/>
      <c r="D26" s="866"/>
      <c r="E26" s="844"/>
      <c r="I26" s="883"/>
      <c r="J26" s="862"/>
      <c r="K26" s="883"/>
      <c r="L26" s="862"/>
      <c r="M26" s="883"/>
      <c r="O26" s="844"/>
      <c r="P26" s="883"/>
      <c r="Q26" s="862"/>
      <c r="R26" s="883"/>
      <c r="S26" s="862"/>
      <c r="T26" s="883"/>
      <c r="W26" s="883"/>
      <c r="X26" s="845"/>
      <c r="Y26" s="883"/>
      <c r="Z26" s="862"/>
      <c r="AA26" s="883"/>
      <c r="AB26" s="862"/>
      <c r="AC26" s="884"/>
      <c r="AE26" s="847"/>
      <c r="AG26" s="848"/>
    </row>
    <row r="27" spans="2:53" ht="13.5" thickBot="1">
      <c r="B27" s="845">
        <f ca="1">+MAX(OFFSET($B$7,0,0,ROW($B27)-ROW($B$7),1))+1</f>
        <v>12</v>
      </c>
      <c r="D27" s="866"/>
      <c r="F27" s="844" t="s">
        <v>2513</v>
      </c>
      <c r="I27" s="885">
        <f>+SUM(I18:I26)</f>
        <v>23971.334074135786</v>
      </c>
      <c r="J27" s="867"/>
      <c r="K27" s="885">
        <f>+SUM(K18:K26)</f>
        <v>460643.30298850889</v>
      </c>
      <c r="L27" s="867"/>
      <c r="M27" s="885">
        <f>+SUM(M18:M26)</f>
        <v>9917.6778964102177</v>
      </c>
      <c r="P27" s="885">
        <f>+SUM(P18:P26)</f>
        <v>25685.981145577414</v>
      </c>
      <c r="Q27" s="867"/>
      <c r="R27" s="885">
        <f>+SUM(R18:R26)</f>
        <v>460585.03571025713</v>
      </c>
      <c r="S27" s="867"/>
      <c r="T27" s="885">
        <f>+SUM(T18:T26)</f>
        <v>7640.789417652868</v>
      </c>
      <c r="W27" s="885">
        <f>+SUM(W18:W26)</f>
        <v>2170.4393309387679</v>
      </c>
      <c r="X27" s="874"/>
      <c r="Y27" s="885">
        <f>+SUM(Y18:Y26)</f>
        <v>1714.6470714416268</v>
      </c>
      <c r="Z27" s="867"/>
      <c r="AA27" s="885">
        <f>+SUM(AA18:AA26)</f>
        <v>-58.267278251769312</v>
      </c>
      <c r="AB27" s="867"/>
      <c r="AC27" s="885">
        <f>+SUM(AC18:AC26)</f>
        <v>-2276.8884787573497</v>
      </c>
      <c r="AE27" s="847"/>
      <c r="AG27" s="848"/>
    </row>
    <row r="28" spans="2:53" ht="13.5" thickTop="1">
      <c r="D28" s="866"/>
      <c r="AG28" s="848"/>
    </row>
    <row r="29" spans="2:53" ht="13.5" thickBot="1">
      <c r="D29" s="866"/>
      <c r="K29" s="881" t="s">
        <v>2514</v>
      </c>
      <c r="M29" s="885">
        <v>14281.139401334134</v>
      </c>
      <c r="R29" s="881"/>
      <c r="T29" s="885">
        <f>12003698.9835298/1000</f>
        <v>12003.698983529801</v>
      </c>
    </row>
    <row r="30" spans="2:53" ht="13.5" thickTop="1">
      <c r="D30" s="866"/>
      <c r="T30" s="867"/>
    </row>
    <row r="31" spans="2:53">
      <c r="D31" s="866"/>
      <c r="I31" s="844" t="s">
        <v>2519</v>
      </c>
    </row>
    <row r="32" spans="2:53">
      <c r="I32" s="881" t="s">
        <v>2521</v>
      </c>
      <c r="K32" s="857">
        <f>+AU12</f>
        <v>7.0910000000000001E-2</v>
      </c>
      <c r="M32" s="867">
        <f>+($K$32-$AK$21)*K27/AI4</f>
        <v>-2764.5427436790528</v>
      </c>
      <c r="N32" s="874"/>
      <c r="O32" s="867"/>
      <c r="P32" s="867"/>
      <c r="Q32" s="867"/>
      <c r="R32" s="867"/>
      <c r="S32" s="867"/>
      <c r="T32" s="867">
        <f>+($K$32-$AK$21)*R27/AI4</f>
        <v>-2764.1930536255131</v>
      </c>
    </row>
    <row r="33" spans="1:49">
      <c r="I33" s="881" t="s">
        <v>2518</v>
      </c>
      <c r="K33" s="857">
        <f>+AP12</f>
        <v>6.989999999999999E-2</v>
      </c>
      <c r="M33" s="867">
        <f>+($K33-$K32)*$K$27/$AI$4</f>
        <v>-616.37707971652935</v>
      </c>
      <c r="N33" s="874"/>
      <c r="O33" s="867"/>
      <c r="P33" s="867"/>
      <c r="Q33" s="867"/>
      <c r="R33" s="867"/>
      <c r="S33" s="867"/>
      <c r="T33" s="867">
        <f>+($K33-$K32)*$R$27/$AI$4</f>
        <v>-616.29911350150167</v>
      </c>
    </row>
    <row r="34" spans="1:49" s="846" customFormat="1">
      <c r="A34" s="845"/>
      <c r="B34" s="844"/>
      <c r="C34" s="845"/>
      <c r="D34" s="845"/>
      <c r="E34" s="845"/>
      <c r="F34" s="845"/>
      <c r="I34" s="881" t="s">
        <v>2520</v>
      </c>
      <c r="J34" s="845"/>
      <c r="K34" s="865">
        <f>+AK12</f>
        <v>6.828999999999999E-2</v>
      </c>
      <c r="L34" s="845"/>
      <c r="M34" s="888">
        <f>+($K34-$K33)*$K$27/$AI$4</f>
        <v>-982.54168152831858</v>
      </c>
      <c r="N34" s="874"/>
      <c r="O34" s="867"/>
      <c r="P34" s="867"/>
      <c r="Q34" s="867"/>
      <c r="R34" s="867"/>
      <c r="S34" s="867"/>
      <c r="T34" s="888">
        <f>+($K34-$K33)*$K$27/$AI$4</f>
        <v>-982.54168152831858</v>
      </c>
      <c r="U34" s="845"/>
      <c r="V34" s="845"/>
      <c r="AC34" s="874"/>
      <c r="AI34" s="845"/>
      <c r="AJ34" s="845"/>
      <c r="AK34" s="845"/>
      <c r="AL34" s="845"/>
      <c r="AM34" s="845"/>
      <c r="AN34" s="845"/>
      <c r="AO34" s="845"/>
      <c r="AP34" s="845"/>
      <c r="AQ34" s="845"/>
      <c r="AR34" s="845"/>
      <c r="AS34" s="845"/>
      <c r="AT34" s="845"/>
      <c r="AU34" s="845"/>
      <c r="AV34" s="845"/>
      <c r="AW34" s="845"/>
    </row>
    <row r="35" spans="1:49" s="846" customFormat="1" ht="13.5" thickBot="1">
      <c r="A35" s="845"/>
      <c r="B35" s="845"/>
      <c r="C35" s="845"/>
      <c r="D35" s="845"/>
      <c r="E35" s="845"/>
      <c r="F35" s="845"/>
      <c r="I35" s="845"/>
      <c r="J35" s="845"/>
      <c r="K35" s="881" t="s">
        <v>2516</v>
      </c>
      <c r="L35" s="845"/>
      <c r="M35" s="1012">
        <f>+ROUND(M27-M29,4)</f>
        <v>-4363.4615000000003</v>
      </c>
      <c r="N35" s="874"/>
      <c r="O35" s="867"/>
      <c r="P35" s="867"/>
      <c r="Q35" s="867"/>
      <c r="R35" s="887"/>
      <c r="S35" s="867"/>
      <c r="T35" s="885">
        <f>+T27-T29</f>
        <v>-4362.9095658769329</v>
      </c>
      <c r="U35" s="845"/>
      <c r="V35" s="845"/>
      <c r="AC35" s="874"/>
      <c r="AI35" s="845"/>
      <c r="AJ35" s="845"/>
      <c r="AK35" s="845"/>
      <c r="AL35" s="845"/>
      <c r="AM35" s="845"/>
      <c r="AN35" s="845"/>
      <c r="AO35" s="845"/>
      <c r="AP35" s="845"/>
      <c r="AQ35" s="845"/>
      <c r="AR35" s="845"/>
      <c r="AS35" s="845"/>
      <c r="AT35" s="845"/>
      <c r="AU35" s="845"/>
      <c r="AV35" s="845"/>
      <c r="AW35" s="845"/>
    </row>
    <row r="36" spans="1:49" ht="13.5" thickTop="1"/>
    <row r="37" spans="1:49" s="846" customFormat="1">
      <c r="A37" s="845"/>
      <c r="B37" s="845"/>
      <c r="C37" s="845"/>
      <c r="D37" s="845"/>
      <c r="E37" s="845"/>
      <c r="F37" s="845"/>
      <c r="I37" s="845"/>
      <c r="J37" s="845"/>
      <c r="K37" s="845"/>
      <c r="L37" s="845"/>
      <c r="M37" s="867"/>
      <c r="O37" s="845"/>
      <c r="P37" s="845"/>
      <c r="Q37" s="845"/>
      <c r="R37" s="845"/>
      <c r="S37" s="845"/>
      <c r="T37" s="867"/>
      <c r="U37" s="845"/>
      <c r="V37" s="845"/>
      <c r="AI37" s="845"/>
      <c r="AJ37" s="845"/>
      <c r="AK37" s="845"/>
      <c r="AL37" s="845"/>
      <c r="AM37" s="845"/>
      <c r="AN37" s="845"/>
      <c r="AO37" s="845"/>
      <c r="AP37" s="845"/>
      <c r="AQ37" s="845"/>
      <c r="AR37" s="845"/>
      <c r="AS37" s="845"/>
      <c r="AT37" s="845"/>
      <c r="AU37" s="845"/>
      <c r="AV37" s="845"/>
      <c r="AW37" s="845"/>
    </row>
    <row r="38" spans="1:49" s="846" customFormat="1">
      <c r="A38" s="845"/>
      <c r="B38" s="845"/>
      <c r="C38" s="845"/>
      <c r="D38" s="845"/>
      <c r="E38" s="845"/>
      <c r="F38" s="845"/>
      <c r="I38" s="845"/>
      <c r="J38" s="845"/>
      <c r="K38" s="845"/>
      <c r="L38" s="845"/>
      <c r="M38" s="880"/>
      <c r="O38" s="845"/>
      <c r="P38" s="845"/>
      <c r="Q38" s="845"/>
      <c r="R38" s="845"/>
      <c r="S38" s="845"/>
      <c r="T38" s="845"/>
      <c r="U38" s="845"/>
      <c r="V38" s="845"/>
      <c r="AI38" s="845"/>
      <c r="AJ38" s="845"/>
      <c r="AK38" s="845"/>
      <c r="AL38" s="845"/>
      <c r="AM38" s="845"/>
      <c r="AN38" s="845"/>
      <c r="AO38" s="845"/>
      <c r="AP38" s="845"/>
      <c r="AQ38" s="845"/>
      <c r="AR38" s="845"/>
      <c r="AS38" s="845"/>
      <c r="AT38" s="845"/>
      <c r="AU38" s="845"/>
      <c r="AV38" s="845"/>
      <c r="AW38" s="845"/>
    </row>
    <row r="42" spans="1:49" s="846" customFormat="1">
      <c r="A42" s="845"/>
      <c r="B42" s="845"/>
      <c r="C42" s="845"/>
      <c r="D42" s="845"/>
      <c r="E42" s="845"/>
      <c r="F42" s="845"/>
      <c r="I42" s="845"/>
      <c r="J42" s="845"/>
      <c r="K42" s="845"/>
      <c r="L42" s="845"/>
      <c r="M42" s="867"/>
      <c r="O42" s="845"/>
      <c r="P42" s="845"/>
      <c r="Q42" s="845"/>
      <c r="R42" s="845"/>
      <c r="S42" s="845"/>
      <c r="T42" s="845"/>
      <c r="U42" s="845"/>
      <c r="V42" s="845"/>
      <c r="AI42" s="845"/>
      <c r="AJ42" s="845"/>
      <c r="AK42" s="845"/>
      <c r="AL42" s="845"/>
      <c r="AM42" s="845"/>
      <c r="AN42" s="845"/>
      <c r="AO42" s="845"/>
      <c r="AP42" s="845"/>
      <c r="AQ42" s="845"/>
      <c r="AR42" s="845"/>
      <c r="AS42" s="845"/>
      <c r="AT42" s="845"/>
      <c r="AU42" s="845"/>
      <c r="AV42" s="845"/>
      <c r="AW42" s="845"/>
    </row>
    <row r="43" spans="1:49" s="846" customFormat="1">
      <c r="A43" s="845"/>
      <c r="B43" s="845"/>
      <c r="C43" s="845"/>
      <c r="D43" s="845"/>
      <c r="E43" s="845"/>
      <c r="F43" s="845"/>
      <c r="I43" s="845"/>
      <c r="J43" s="845"/>
      <c r="K43" s="845"/>
      <c r="L43" s="845"/>
      <c r="M43" s="867"/>
      <c r="O43" s="845"/>
      <c r="P43" s="845"/>
      <c r="Q43" s="845"/>
      <c r="R43" s="845"/>
      <c r="S43" s="845"/>
      <c r="T43" s="845"/>
      <c r="U43" s="845"/>
      <c r="V43" s="845"/>
      <c r="AI43" s="845"/>
      <c r="AJ43" s="845"/>
      <c r="AK43" s="845"/>
      <c r="AL43" s="845"/>
      <c r="AM43" s="845"/>
      <c r="AN43" s="845"/>
      <c r="AO43" s="845"/>
      <c r="AP43" s="845"/>
      <c r="AQ43" s="845"/>
      <c r="AR43" s="845"/>
      <c r="AS43" s="845"/>
      <c r="AT43" s="845"/>
      <c r="AU43" s="845"/>
      <c r="AV43" s="845"/>
      <c r="AW43" s="845"/>
    </row>
    <row r="44" spans="1:49" s="846" customFormat="1">
      <c r="A44" s="845"/>
      <c r="B44" s="845"/>
      <c r="C44" s="845"/>
      <c r="D44" s="845"/>
      <c r="E44" s="845"/>
      <c r="F44" s="845"/>
      <c r="I44" s="845"/>
      <c r="J44" s="845"/>
      <c r="K44" s="845"/>
      <c r="L44" s="845"/>
      <c r="M44" s="867"/>
      <c r="O44" s="845"/>
      <c r="P44" s="845"/>
      <c r="Q44" s="845"/>
      <c r="R44" s="845"/>
      <c r="S44" s="845"/>
      <c r="T44" s="845"/>
      <c r="U44" s="845"/>
      <c r="V44" s="845"/>
      <c r="AI44" s="845"/>
      <c r="AJ44" s="845"/>
      <c r="AK44" s="845"/>
      <c r="AL44" s="845"/>
      <c r="AM44" s="845"/>
      <c r="AN44" s="845"/>
      <c r="AO44" s="845"/>
      <c r="AP44" s="845"/>
      <c r="AQ44" s="845"/>
      <c r="AR44" s="845"/>
      <c r="AS44" s="845"/>
      <c r="AT44" s="845"/>
      <c r="AU44" s="845"/>
      <c r="AV44" s="845"/>
      <c r="AW44" s="845"/>
    </row>
  </sheetData>
  <pageMargins left="0.25" right="0.25" top="1.5" bottom="0.75" header="0.8" footer="0.3"/>
  <pageSetup scale="75" orientation="portrait" r:id="rId1"/>
  <colBreaks count="1" manualBreakCount="1">
    <brk id="20" max="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DC9C9"/>
  </sheetPr>
  <dimension ref="B1:V47"/>
  <sheetViews>
    <sheetView view="pageBreakPreview" zoomScaleNormal="80" zoomScaleSheetLayoutView="100" workbookViewId="0"/>
  </sheetViews>
  <sheetFormatPr defaultColWidth="9.140625" defaultRowHeight="15.75"/>
  <cols>
    <col min="1" max="1" width="9.140625" style="3"/>
    <col min="2" max="2" width="3.42578125" style="3" bestFit="1" customWidth="1"/>
    <col min="3" max="3" width="35.140625" style="3" bestFit="1" customWidth="1"/>
    <col min="4" max="4" width="1" style="3" customWidth="1"/>
    <col min="5" max="5" width="14.7109375" style="3" bestFit="1" customWidth="1"/>
    <col min="6" max="6" width="1" style="3" customWidth="1"/>
    <col min="7" max="7" width="0.85546875" style="3" customWidth="1"/>
    <col min="8" max="8" width="13" style="3" bestFit="1" customWidth="1"/>
    <col min="9" max="10" width="1.28515625" style="3" customWidth="1"/>
    <col min="11" max="11" width="14.7109375" style="3" bestFit="1" customWidth="1"/>
    <col min="12" max="12" width="0.85546875" style="3" customWidth="1"/>
    <col min="13" max="13" width="1.42578125" style="3" customWidth="1"/>
    <col min="14" max="14" width="13" style="3" bestFit="1" customWidth="1"/>
    <col min="15" max="15" width="1" style="3" customWidth="1"/>
    <col min="16" max="16" width="0.85546875" style="3" customWidth="1"/>
    <col min="17" max="17" width="14.85546875" style="3" bestFit="1" customWidth="1"/>
    <col min="18" max="18" width="9.140625" style="3"/>
    <col min="19" max="19" width="11.7109375" style="3" bestFit="1" customWidth="1"/>
    <col min="20" max="20" width="28" style="3" bestFit="1" customWidth="1"/>
    <col min="21" max="21" width="7.42578125" style="3" customWidth="1"/>
    <col min="22" max="22" width="11.7109375" style="3" bestFit="1" customWidth="1"/>
    <col min="23" max="16384" width="9.140625" style="3"/>
  </cols>
  <sheetData>
    <row r="1" spans="2:22">
      <c r="B1" s="1021" t="s">
        <v>2522</v>
      </c>
      <c r="C1" s="1021"/>
      <c r="D1" s="1021"/>
      <c r="E1" s="1021"/>
      <c r="F1" s="1021"/>
      <c r="G1" s="1021"/>
      <c r="H1" s="1021"/>
      <c r="I1" s="1021"/>
      <c r="J1" s="1021"/>
      <c r="K1" s="1021"/>
      <c r="L1" s="1021"/>
      <c r="M1" s="1021"/>
      <c r="N1" s="1021"/>
      <c r="O1" s="1021"/>
      <c r="P1" s="1021"/>
      <c r="Q1" s="1021"/>
    </row>
    <row r="2" spans="2:22">
      <c r="B2" s="1021" t="s">
        <v>2576</v>
      </c>
      <c r="C2" s="1021"/>
      <c r="D2" s="1021"/>
      <c r="E2" s="1021"/>
      <c r="F2" s="1021"/>
      <c r="G2" s="1021"/>
      <c r="H2" s="1021"/>
      <c r="I2" s="1021"/>
      <c r="J2" s="1021"/>
      <c r="K2" s="1021"/>
      <c r="L2" s="1021"/>
      <c r="M2" s="1021"/>
      <c r="N2" s="1021"/>
      <c r="O2" s="1021"/>
      <c r="P2" s="1021"/>
      <c r="Q2" s="1021"/>
    </row>
    <row r="3" spans="2:22">
      <c r="B3" s="1022" t="s">
        <v>1853</v>
      </c>
      <c r="C3" s="1022"/>
      <c r="D3" s="1022"/>
      <c r="E3" s="1022"/>
      <c r="F3" s="1022"/>
      <c r="G3" s="1022"/>
      <c r="H3" s="1022"/>
      <c r="I3" s="1022"/>
      <c r="J3" s="1022"/>
      <c r="K3" s="1022"/>
      <c r="L3" s="1022"/>
      <c r="M3" s="1022"/>
      <c r="N3" s="1022"/>
      <c r="O3" s="1022"/>
      <c r="P3" s="1022"/>
      <c r="Q3" s="1022"/>
    </row>
    <row r="4" spans="2:22">
      <c r="B4" s="25"/>
      <c r="C4" s="25"/>
      <c r="D4" s="25"/>
      <c r="E4" s="25"/>
      <c r="F4" s="25"/>
      <c r="G4" s="25"/>
      <c r="H4" s="25"/>
      <c r="I4" s="25"/>
      <c r="J4" s="25"/>
      <c r="K4" s="25"/>
      <c r="L4" s="25"/>
      <c r="M4" s="25"/>
      <c r="N4" s="25"/>
      <c r="O4" s="25"/>
      <c r="P4" s="25"/>
      <c r="Q4" s="25"/>
    </row>
    <row r="5" spans="2:22">
      <c r="B5" s="667"/>
      <c r="C5" s="26"/>
      <c r="D5" s="27"/>
      <c r="E5" s="670">
        <v>43830</v>
      </c>
      <c r="F5" s="27"/>
      <c r="G5" s="26"/>
      <c r="H5" s="671" t="s">
        <v>77</v>
      </c>
      <c r="I5" s="27"/>
      <c r="J5" s="26"/>
      <c r="K5" s="671" t="s">
        <v>67</v>
      </c>
      <c r="L5" s="27"/>
      <c r="M5" s="26"/>
      <c r="N5" s="671" t="s">
        <v>69</v>
      </c>
      <c r="O5" s="671"/>
      <c r="P5" s="27"/>
      <c r="Q5" s="672" t="s">
        <v>2</v>
      </c>
    </row>
    <row r="6" spans="2:22">
      <c r="B6" s="668"/>
      <c r="C6" s="24"/>
      <c r="D6" s="28"/>
      <c r="E6" s="681" t="s">
        <v>0</v>
      </c>
      <c r="F6" s="28"/>
      <c r="G6" s="24"/>
      <c r="H6" s="29" t="s">
        <v>78</v>
      </c>
      <c r="I6" s="30"/>
      <c r="J6" s="31"/>
      <c r="K6" s="32" t="s">
        <v>68</v>
      </c>
      <c r="L6" s="28"/>
      <c r="M6" s="24"/>
      <c r="N6" s="29" t="s">
        <v>715</v>
      </c>
      <c r="O6" s="29"/>
      <c r="P6" s="28"/>
      <c r="Q6" s="33" t="s">
        <v>782</v>
      </c>
    </row>
    <row r="7" spans="2:22">
      <c r="B7" s="668"/>
      <c r="C7" s="24"/>
      <c r="D7" s="28"/>
      <c r="E7" s="681" t="s">
        <v>3</v>
      </c>
      <c r="F7" s="28"/>
      <c r="G7" s="24"/>
      <c r="H7" s="29" t="s">
        <v>1</v>
      </c>
      <c r="I7" s="28"/>
      <c r="J7" s="24"/>
      <c r="K7" s="29" t="s">
        <v>58</v>
      </c>
      <c r="L7" s="28"/>
      <c r="M7" s="24"/>
      <c r="N7" s="29" t="s">
        <v>70</v>
      </c>
      <c r="O7" s="29"/>
      <c r="P7" s="28"/>
      <c r="Q7" s="34" t="s">
        <v>79</v>
      </c>
    </row>
    <row r="8" spans="2:22">
      <c r="B8" s="668"/>
      <c r="C8" s="24"/>
      <c r="D8" s="28"/>
      <c r="E8" s="681" t="s">
        <v>4</v>
      </c>
      <c r="F8" s="28"/>
      <c r="G8" s="24"/>
      <c r="H8" s="29"/>
      <c r="I8" s="28"/>
      <c r="J8" s="24"/>
      <c r="K8" s="29"/>
      <c r="L8" s="28"/>
      <c r="M8" s="24"/>
      <c r="N8" s="29"/>
      <c r="O8" s="29"/>
      <c r="P8" s="28"/>
      <c r="Q8" s="34" t="s">
        <v>80</v>
      </c>
    </row>
    <row r="9" spans="2:22">
      <c r="B9" s="668"/>
      <c r="C9" s="24"/>
      <c r="D9" s="28"/>
      <c r="E9" s="681"/>
      <c r="F9" s="28"/>
      <c r="G9" s="24"/>
      <c r="H9" s="29"/>
      <c r="I9" s="28"/>
      <c r="J9" s="24"/>
      <c r="K9" s="29"/>
      <c r="L9" s="28"/>
      <c r="M9" s="24"/>
      <c r="N9" s="32"/>
      <c r="O9" s="32"/>
      <c r="P9" s="28"/>
      <c r="Q9" s="34"/>
    </row>
    <row r="10" spans="2:22">
      <c r="B10" s="668"/>
      <c r="C10" s="23" t="s">
        <v>6</v>
      </c>
      <c r="D10" s="28"/>
      <c r="E10" s="682" t="s">
        <v>5</v>
      </c>
      <c r="F10" s="28"/>
      <c r="G10" s="24"/>
      <c r="H10" s="35" t="s">
        <v>7</v>
      </c>
      <c r="I10" s="28"/>
      <c r="J10" s="24"/>
      <c r="K10" s="32" t="s">
        <v>8</v>
      </c>
      <c r="L10" s="28"/>
      <c r="M10" s="24"/>
      <c r="N10" s="35" t="s">
        <v>9</v>
      </c>
      <c r="O10" s="35"/>
      <c r="P10" s="28"/>
      <c r="Q10" s="36" t="s">
        <v>10</v>
      </c>
    </row>
    <row r="11" spans="2:22">
      <c r="B11" s="668"/>
      <c r="C11" s="24"/>
      <c r="D11" s="28"/>
      <c r="E11" s="669"/>
      <c r="F11" s="673"/>
      <c r="G11" s="674"/>
      <c r="H11" s="674"/>
      <c r="I11" s="673"/>
      <c r="J11" s="674"/>
      <c r="K11" s="674"/>
      <c r="L11" s="673"/>
      <c r="M11" s="674"/>
      <c r="N11" s="674"/>
      <c r="O11" s="674"/>
      <c r="P11" s="673"/>
      <c r="Q11" s="673"/>
    </row>
    <row r="12" spans="2:22">
      <c r="B12" s="668"/>
      <c r="C12" s="23" t="s">
        <v>11</v>
      </c>
      <c r="D12" s="28"/>
      <c r="E12" s="675"/>
      <c r="F12" s="38"/>
      <c r="G12" s="40"/>
      <c r="H12" s="544"/>
      <c r="I12" s="38"/>
      <c r="J12" s="40"/>
      <c r="K12" s="40"/>
      <c r="L12" s="28"/>
      <c r="M12" s="24"/>
      <c r="N12" s="24"/>
      <c r="O12" s="24"/>
      <c r="P12" s="28"/>
      <c r="Q12" s="28"/>
    </row>
    <row r="13" spans="2:22">
      <c r="B13" s="668">
        <v>1</v>
      </c>
      <c r="C13" s="37" t="s">
        <v>30</v>
      </c>
      <c r="D13" s="38"/>
      <c r="E13" s="983">
        <f>+'Operating Report'!G17</f>
        <v>221481599.95999998</v>
      </c>
      <c r="F13" s="984"/>
      <c r="G13" s="985"/>
      <c r="H13" s="985">
        <f>+'Summary of Adj'!S17</f>
        <v>12018591.620000001</v>
      </c>
      <c r="I13" s="984"/>
      <c r="J13" s="985"/>
      <c r="K13" s="986">
        <f>+E13+H13</f>
        <v>233500191.57999998</v>
      </c>
      <c r="L13" s="984"/>
      <c r="M13" s="985"/>
      <c r="N13" s="986">
        <f>+'Rev Req Calc'!D21-N14</f>
        <v>-4728930.0136066386</v>
      </c>
      <c r="O13" s="986"/>
      <c r="P13" s="984"/>
      <c r="Q13" s="987">
        <f>+K13+N13</f>
        <v>228771261.56639335</v>
      </c>
      <c r="S13" s="39"/>
      <c r="T13" s="39"/>
    </row>
    <row r="14" spans="2:22">
      <c r="B14" s="668">
        <v>2</v>
      </c>
      <c r="C14" s="37" t="s">
        <v>31</v>
      </c>
      <c r="D14" s="38"/>
      <c r="E14" s="988">
        <f>+'Operating Report'!G21</f>
        <v>24094627.940000001</v>
      </c>
      <c r="F14" s="984"/>
      <c r="G14" s="985"/>
      <c r="H14" s="985">
        <f>+'Summary of Adj'!S18</f>
        <v>0</v>
      </c>
      <c r="I14" s="984"/>
      <c r="J14" s="985"/>
      <c r="K14" s="986">
        <f>+E14+H14</f>
        <v>24094627.940000001</v>
      </c>
      <c r="L14" s="984"/>
      <c r="M14" s="985"/>
      <c r="N14" s="985"/>
      <c r="O14" s="985"/>
      <c r="P14" s="984"/>
      <c r="Q14" s="987">
        <f>+K14+N14</f>
        <v>24094627.940000001</v>
      </c>
      <c r="S14" s="39"/>
      <c r="T14" s="39"/>
    </row>
    <row r="15" spans="2:22">
      <c r="B15" s="668">
        <v>3</v>
      </c>
      <c r="C15" s="37" t="s">
        <v>32</v>
      </c>
      <c r="D15" s="40"/>
      <c r="E15" s="989">
        <f>+'Operating Report'!G27-'Operating Report'!G21</f>
        <v>1748761.5300000012</v>
      </c>
      <c r="F15" s="984"/>
      <c r="G15" s="985"/>
      <c r="H15" s="985">
        <f>+'Summary of Adj'!S19</f>
        <v>0</v>
      </c>
      <c r="I15" s="984"/>
      <c r="J15" s="985"/>
      <c r="K15" s="986">
        <f>+E15+H15</f>
        <v>1748761.5300000012</v>
      </c>
      <c r="L15" s="984"/>
      <c r="M15" s="985"/>
      <c r="N15" s="985"/>
      <c r="O15" s="985"/>
      <c r="P15" s="984"/>
      <c r="Q15" s="987">
        <f>+K15+N15</f>
        <v>1748761.5300000012</v>
      </c>
      <c r="S15" s="39"/>
      <c r="T15" s="39"/>
      <c r="V15" s="44"/>
    </row>
    <row r="16" spans="2:22">
      <c r="B16" s="668">
        <v>4</v>
      </c>
      <c r="C16" s="41" t="s">
        <v>755</v>
      </c>
      <c r="D16" s="38"/>
      <c r="E16" s="988">
        <f>SUM(E13:E15)</f>
        <v>247324989.42999998</v>
      </c>
      <c r="F16" s="984"/>
      <c r="G16" s="985"/>
      <c r="H16" s="990">
        <f>SUM(H13:H15)</f>
        <v>12018591.620000001</v>
      </c>
      <c r="I16" s="984"/>
      <c r="J16" s="985"/>
      <c r="K16" s="990">
        <f>SUM(K13:K15)</f>
        <v>259343581.04999998</v>
      </c>
      <c r="L16" s="984"/>
      <c r="M16" s="985"/>
      <c r="N16" s="990">
        <f>SUM(N13:N15)</f>
        <v>-4728930.0136066386</v>
      </c>
      <c r="O16" s="991"/>
      <c r="P16" s="984"/>
      <c r="Q16" s="992">
        <f>SUM(Q13:Q15)</f>
        <v>254614651.03639334</v>
      </c>
      <c r="S16" s="39"/>
      <c r="T16" s="39"/>
      <c r="V16" s="39"/>
    </row>
    <row r="17" spans="2:22">
      <c r="B17" s="668"/>
      <c r="C17" s="37"/>
      <c r="D17" s="38"/>
      <c r="E17" s="988"/>
      <c r="F17" s="984"/>
      <c r="G17" s="985"/>
      <c r="H17" s="991"/>
      <c r="I17" s="984"/>
      <c r="J17" s="985"/>
      <c r="K17" s="991"/>
      <c r="L17" s="984"/>
      <c r="M17" s="985"/>
      <c r="N17" s="991"/>
      <c r="O17" s="991"/>
      <c r="P17" s="984"/>
      <c r="Q17" s="993"/>
      <c r="S17" s="39"/>
      <c r="T17" s="39"/>
      <c r="U17" s="39"/>
      <c r="V17" s="39"/>
    </row>
    <row r="18" spans="2:22">
      <c r="B18" s="668"/>
      <c r="C18" s="37" t="s">
        <v>12</v>
      </c>
      <c r="D18" s="38"/>
      <c r="E18" s="988"/>
      <c r="F18" s="984"/>
      <c r="G18" s="985"/>
      <c r="H18" s="991"/>
      <c r="I18" s="984"/>
      <c r="J18" s="985"/>
      <c r="K18" s="991"/>
      <c r="L18" s="984"/>
      <c r="M18" s="985"/>
      <c r="N18" s="991"/>
      <c r="O18" s="991"/>
      <c r="P18" s="984"/>
      <c r="Q18" s="993"/>
      <c r="S18" s="39"/>
      <c r="T18" s="39"/>
      <c r="V18" s="39"/>
    </row>
    <row r="19" spans="2:22">
      <c r="B19" s="668">
        <v>5</v>
      </c>
      <c r="C19" s="37" t="s">
        <v>756</v>
      </c>
      <c r="D19" s="38"/>
      <c r="E19" s="988">
        <f>+'Operating Report'!G37</f>
        <v>125165839.18000001</v>
      </c>
      <c r="F19" s="984"/>
      <c r="G19" s="985"/>
      <c r="H19" s="985">
        <f>+'Summary of Adj'!S23</f>
        <v>0</v>
      </c>
      <c r="I19" s="984"/>
      <c r="J19" s="985"/>
      <c r="K19" s="986">
        <f>+E19+H19</f>
        <v>125165839.18000001</v>
      </c>
      <c r="L19" s="984"/>
      <c r="M19" s="985"/>
      <c r="N19" s="985"/>
      <c r="O19" s="985"/>
      <c r="P19" s="984"/>
      <c r="Q19" s="987">
        <f>+K19+N19</f>
        <v>125165839.18000001</v>
      </c>
      <c r="S19" s="39"/>
      <c r="T19" s="39"/>
    </row>
    <row r="20" spans="2:22">
      <c r="B20" s="668">
        <v>6</v>
      </c>
      <c r="C20" s="37" t="s">
        <v>757</v>
      </c>
      <c r="D20" s="38"/>
      <c r="E20" s="988">
        <f>+'Operating Report'!G53</f>
        <v>20632282.93</v>
      </c>
      <c r="F20" s="984"/>
      <c r="G20" s="985"/>
      <c r="H20" s="985">
        <f>+'Summary of Adj'!S24</f>
        <v>486993.33244240016</v>
      </c>
      <c r="I20" s="984"/>
      <c r="J20" s="985"/>
      <c r="K20" s="986">
        <f>+E20+H20</f>
        <v>21119276.262442399</v>
      </c>
      <c r="L20" s="984"/>
      <c r="M20" s="985"/>
      <c r="N20" s="985">
        <f>+N16*(' Conversion Factor'!C9+' Conversion Factor'!C10)</f>
        <v>-191616.244151341</v>
      </c>
      <c r="O20" s="985"/>
      <c r="P20" s="984"/>
      <c r="Q20" s="994">
        <f>+K20+N20</f>
        <v>20927660.018291056</v>
      </c>
      <c r="S20" s="39"/>
      <c r="T20" s="42"/>
      <c r="U20" s="799"/>
    </row>
    <row r="21" spans="2:22">
      <c r="B21" s="668">
        <v>7</v>
      </c>
      <c r="C21" s="43" t="s">
        <v>34</v>
      </c>
      <c r="D21" s="38"/>
      <c r="E21" s="988">
        <f>+'Operating Report'!G57</f>
        <v>320028.11</v>
      </c>
      <c r="F21" s="984"/>
      <c r="G21" s="985"/>
      <c r="H21" s="985">
        <f>+'Summary of Adj'!S25</f>
        <v>3255.585</v>
      </c>
      <c r="I21" s="984"/>
      <c r="J21" s="985"/>
      <c r="K21" s="986">
        <f t="shared" ref="K21:K30" si="0">+E21+H21</f>
        <v>323283.69500000001</v>
      </c>
      <c r="L21" s="984"/>
      <c r="M21" s="985"/>
      <c r="N21" s="985"/>
      <c r="O21" s="985"/>
      <c r="P21" s="984"/>
      <c r="Q21" s="987">
        <f t="shared" ref="Q21:Q30" si="1">+K21+N21</f>
        <v>323283.69500000001</v>
      </c>
      <c r="S21" s="39"/>
    </row>
    <row r="22" spans="2:22">
      <c r="B22" s="668">
        <v>8</v>
      </c>
      <c r="C22" s="43" t="s">
        <v>13</v>
      </c>
      <c r="D22" s="38"/>
      <c r="E22" s="988">
        <f>+'Operating Report'!G85</f>
        <v>20414279.720000003</v>
      </c>
      <c r="F22" s="984"/>
      <c r="G22" s="985"/>
      <c r="H22" s="985">
        <f>+'Summary of Adj'!S26</f>
        <v>1371726.718499111</v>
      </c>
      <c r="I22" s="984"/>
      <c r="J22" s="985"/>
      <c r="K22" s="986">
        <f t="shared" si="0"/>
        <v>21786006.438499115</v>
      </c>
      <c r="L22" s="984"/>
      <c r="M22" s="985"/>
      <c r="N22" s="985"/>
      <c r="O22" s="985"/>
      <c r="P22" s="984"/>
      <c r="Q22" s="987">
        <f t="shared" si="1"/>
        <v>21786006.438499115</v>
      </c>
      <c r="S22" s="44"/>
      <c r="U22" s="44"/>
    </row>
    <row r="23" spans="2:22">
      <c r="B23" s="668">
        <v>9</v>
      </c>
      <c r="C23" s="43" t="s">
        <v>35</v>
      </c>
      <c r="D23" s="38"/>
      <c r="E23" s="988">
        <f>+'Operating Report'!G93</f>
        <v>5854250.6700000009</v>
      </c>
      <c r="F23" s="984"/>
      <c r="G23" s="985"/>
      <c r="H23" s="985">
        <f>+'Summary of Adj'!S27</f>
        <v>115098.16292510965</v>
      </c>
      <c r="I23" s="984"/>
      <c r="J23" s="985"/>
      <c r="K23" s="986">
        <f t="shared" si="0"/>
        <v>5969348.8329251101</v>
      </c>
      <c r="L23" s="984"/>
      <c r="M23" s="985"/>
      <c r="N23" s="985">
        <f>+N16*' Conversion Factor'!C8</f>
        <v>-19009.747081444606</v>
      </c>
      <c r="O23" s="985"/>
      <c r="P23" s="984"/>
      <c r="Q23" s="987">
        <f t="shared" si="1"/>
        <v>5950339.0858436655</v>
      </c>
      <c r="S23" s="44"/>
      <c r="U23" s="44"/>
    </row>
    <row r="24" spans="2:22">
      <c r="B24" s="668">
        <v>10</v>
      </c>
      <c r="C24" s="43" t="s">
        <v>14</v>
      </c>
      <c r="D24" s="38"/>
      <c r="E24" s="988">
        <f>+'Operating Report'!G100</f>
        <v>7311469.46</v>
      </c>
      <c r="F24" s="984"/>
      <c r="G24" s="985"/>
      <c r="H24" s="985">
        <f>+'Summary of Adj'!S28</f>
        <v>13994.48</v>
      </c>
      <c r="I24" s="984"/>
      <c r="J24" s="985"/>
      <c r="K24" s="986">
        <f t="shared" si="0"/>
        <v>7325463.9400000004</v>
      </c>
      <c r="L24" s="984"/>
      <c r="M24" s="985"/>
      <c r="N24" s="985"/>
      <c r="O24" s="985"/>
      <c r="P24" s="984"/>
      <c r="Q24" s="987">
        <f t="shared" si="1"/>
        <v>7325463.9400000004</v>
      </c>
      <c r="S24" s="44"/>
      <c r="U24" s="44"/>
    </row>
    <row r="25" spans="2:22">
      <c r="B25" s="668">
        <v>11</v>
      </c>
      <c r="C25" s="43" t="s">
        <v>15</v>
      </c>
      <c r="D25" s="38"/>
      <c r="E25" s="988">
        <f>+'Operating Report'!G107</f>
        <v>5408.6900000000005</v>
      </c>
      <c r="F25" s="984"/>
      <c r="G25" s="985"/>
      <c r="H25" s="985">
        <f>+'Summary of Adj'!S29</f>
        <v>-1923.7874999999999</v>
      </c>
      <c r="I25" s="984"/>
      <c r="J25" s="985"/>
      <c r="K25" s="986">
        <f t="shared" si="0"/>
        <v>3484.9025000000006</v>
      </c>
      <c r="L25" s="984"/>
      <c r="M25" s="985"/>
      <c r="N25" s="985"/>
      <c r="O25" s="985"/>
      <c r="P25" s="984"/>
      <c r="Q25" s="987">
        <f t="shared" si="1"/>
        <v>3484.9025000000006</v>
      </c>
    </row>
    <row r="26" spans="2:22">
      <c r="B26" s="668">
        <v>12</v>
      </c>
      <c r="C26" s="43" t="s">
        <v>16</v>
      </c>
      <c r="D26" s="40"/>
      <c r="E26" s="988">
        <f>+'Operating Report'!G123</f>
        <v>18950113.18</v>
      </c>
      <c r="F26" s="984"/>
      <c r="G26" s="985"/>
      <c r="H26" s="985">
        <f>+'Summary of Adj'!S30</f>
        <v>-2574334.1728760004</v>
      </c>
      <c r="I26" s="984"/>
      <c r="J26" s="985"/>
      <c r="K26" s="986">
        <f t="shared" si="0"/>
        <v>16375779.007123999</v>
      </c>
      <c r="L26" s="984"/>
      <c r="M26" s="985"/>
      <c r="N26" s="985"/>
      <c r="O26" s="985"/>
      <c r="P26" s="984"/>
      <c r="Q26" s="987">
        <f t="shared" si="1"/>
        <v>16375779.007123999</v>
      </c>
    </row>
    <row r="27" spans="2:22">
      <c r="B27" s="668">
        <v>13</v>
      </c>
      <c r="C27" s="43" t="s">
        <v>36</v>
      </c>
      <c r="D27" s="38"/>
      <c r="E27" s="983">
        <f>+'Operating Report'!G135</f>
        <v>24915117.609999999</v>
      </c>
      <c r="F27" s="984"/>
      <c r="G27" s="985"/>
      <c r="H27" s="985">
        <f>+'Summary of Adj'!S31</f>
        <v>765667.6671565182</v>
      </c>
      <c r="I27" s="984"/>
      <c r="J27" s="985"/>
      <c r="K27" s="986">
        <f t="shared" si="0"/>
        <v>25680785.277156517</v>
      </c>
      <c r="L27" s="984"/>
      <c r="M27" s="985"/>
      <c r="N27" s="985"/>
      <c r="O27" s="985"/>
      <c r="P27" s="984"/>
      <c r="Q27" s="987">
        <f t="shared" si="1"/>
        <v>25680785.277156517</v>
      </c>
    </row>
    <row r="28" spans="2:22">
      <c r="B28" s="668">
        <v>14</v>
      </c>
      <c r="C28" s="43" t="s">
        <v>37</v>
      </c>
      <c r="D28" s="38"/>
      <c r="E28" s="995"/>
      <c r="F28" s="984"/>
      <c r="G28" s="985"/>
      <c r="H28" s="985">
        <f>+'Summary of Adj'!S32</f>
        <v>0</v>
      </c>
      <c r="I28" s="984"/>
      <c r="J28" s="985"/>
      <c r="K28" s="986">
        <f t="shared" si="0"/>
        <v>0</v>
      </c>
      <c r="L28" s="984"/>
      <c r="M28" s="985"/>
      <c r="N28" s="985"/>
      <c r="O28" s="985"/>
      <c r="P28" s="984"/>
      <c r="Q28" s="987">
        <f t="shared" si="1"/>
        <v>0</v>
      </c>
    </row>
    <row r="29" spans="2:22">
      <c r="B29" s="668">
        <v>15</v>
      </c>
      <c r="C29" s="43" t="s">
        <v>38</v>
      </c>
      <c r="D29" s="38"/>
      <c r="E29" s="988">
        <f>+'Operating Report'!G140</f>
        <v>4176014.52</v>
      </c>
      <c r="F29" s="984"/>
      <c r="G29" s="985"/>
      <c r="H29" s="985">
        <f>+'Summary of Adj'!S33</f>
        <v>127088.91276639345</v>
      </c>
      <c r="I29" s="984"/>
      <c r="J29" s="985"/>
      <c r="K29" s="986">
        <f t="shared" si="0"/>
        <v>4303103.4327663938</v>
      </c>
      <c r="L29" s="984"/>
      <c r="M29" s="985"/>
      <c r="N29" s="985"/>
      <c r="O29" s="985"/>
      <c r="P29" s="984"/>
      <c r="Q29" s="987">
        <f t="shared" si="1"/>
        <v>4303103.4327663938</v>
      </c>
    </row>
    <row r="30" spans="2:22">
      <c r="B30" s="668">
        <v>16</v>
      </c>
      <c r="C30" s="43" t="s">
        <v>39</v>
      </c>
      <c r="D30" s="38"/>
      <c r="E30" s="988">
        <f>+'Operating Report'!G149</f>
        <v>-1224199.5100000019</v>
      </c>
      <c r="F30" s="984"/>
      <c r="G30" s="985"/>
      <c r="H30" s="985">
        <f>+'Summary of Adj'!S34</f>
        <v>2903762.7642833693</v>
      </c>
      <c r="I30" s="984"/>
      <c r="J30" s="985"/>
      <c r="K30" s="986">
        <f t="shared" si="0"/>
        <v>1679563.2542833674</v>
      </c>
      <c r="L30" s="984"/>
      <c r="M30" s="985"/>
      <c r="N30" s="985">
        <f>(+N16-N20-N23)*0.21</f>
        <v>-948843.8446985092</v>
      </c>
      <c r="O30" s="985"/>
      <c r="P30" s="984"/>
      <c r="Q30" s="987">
        <f t="shared" si="1"/>
        <v>730719.40958485822</v>
      </c>
    </row>
    <row r="31" spans="2:22" ht="16.5" thickBot="1">
      <c r="B31" s="668">
        <v>17</v>
      </c>
      <c r="C31" s="46" t="s">
        <v>40</v>
      </c>
      <c r="D31" s="28"/>
      <c r="E31" s="996">
        <f>SUM(E19:E30)</f>
        <v>226520604.56000003</v>
      </c>
      <c r="F31" s="984"/>
      <c r="G31" s="985"/>
      <c r="H31" s="997">
        <f>SUM(H19:H30)</f>
        <v>3211329.6626969012</v>
      </c>
      <c r="I31" s="984"/>
      <c r="J31" s="985"/>
      <c r="K31" s="997">
        <f>SUM(K19:K30)</f>
        <v>229731934.22269693</v>
      </c>
      <c r="L31" s="984"/>
      <c r="M31" s="985"/>
      <c r="N31" s="997">
        <f>SUM(N19:N30)</f>
        <v>-1159469.8359312948</v>
      </c>
      <c r="O31" s="986"/>
      <c r="P31" s="984"/>
      <c r="Q31" s="998">
        <f>SUM(Q19:Q30)</f>
        <v>228572464.3867656</v>
      </c>
    </row>
    <row r="32" spans="2:22" ht="17.25" thickTop="1" thickBot="1">
      <c r="B32" s="668">
        <v>18</v>
      </c>
      <c r="C32" s="46" t="s">
        <v>17</v>
      </c>
      <c r="D32" s="28"/>
      <c r="E32" s="996">
        <f>+E16-E31</f>
        <v>20804384.869999945</v>
      </c>
      <c r="F32" s="984"/>
      <c r="G32" s="985"/>
      <c r="H32" s="997">
        <f>+H16-H31</f>
        <v>8807261.9573030993</v>
      </c>
      <c r="I32" s="997"/>
      <c r="J32" s="985"/>
      <c r="K32" s="997">
        <f>+K16-K31</f>
        <v>29611646.827303052</v>
      </c>
      <c r="L32" s="984"/>
      <c r="M32" s="985"/>
      <c r="N32" s="997">
        <f>+N16-N31</f>
        <v>-3569460.177675344</v>
      </c>
      <c r="O32" s="986"/>
      <c r="P32" s="984"/>
      <c r="Q32" s="998">
        <f>+Q16-Q31</f>
        <v>26042186.649627745</v>
      </c>
      <c r="S32" s="47"/>
    </row>
    <row r="33" spans="2:19" ht="16.5" thickTop="1">
      <c r="B33" s="668"/>
      <c r="C33" s="46"/>
      <c r="D33" s="28"/>
      <c r="E33" s="999"/>
      <c r="F33" s="984"/>
      <c r="G33" s="985"/>
      <c r="H33" s="986"/>
      <c r="I33" s="986"/>
      <c r="J33" s="985"/>
      <c r="K33" s="986"/>
      <c r="L33" s="984"/>
      <c r="M33" s="985"/>
      <c r="N33" s="986"/>
      <c r="O33" s="986"/>
      <c r="P33" s="984"/>
      <c r="Q33" s="987"/>
      <c r="S33" s="47"/>
    </row>
    <row r="34" spans="2:19">
      <c r="B34" s="668"/>
      <c r="C34" s="46" t="s">
        <v>41</v>
      </c>
      <c r="D34" s="38"/>
      <c r="E34" s="1000"/>
      <c r="F34" s="984"/>
      <c r="G34" s="985"/>
      <c r="H34" s="985"/>
      <c r="I34" s="984"/>
      <c r="J34" s="985"/>
      <c r="K34" s="985"/>
      <c r="L34" s="984"/>
      <c r="M34" s="985"/>
      <c r="N34" s="985"/>
      <c r="O34" s="985"/>
      <c r="P34" s="984"/>
      <c r="Q34" s="1001"/>
    </row>
    <row r="35" spans="2:19">
      <c r="B35" s="668">
        <v>19</v>
      </c>
      <c r="C35" s="37" t="s">
        <v>43</v>
      </c>
      <c r="D35" s="38"/>
      <c r="E35" s="983">
        <f>+'Rate Base'!D13</f>
        <v>835867891.49633491</v>
      </c>
      <c r="F35" s="984"/>
      <c r="G35" s="985"/>
      <c r="H35" s="985">
        <f>+'Summary of Adj'!S39</f>
        <v>7118539.0799999908</v>
      </c>
      <c r="I35" s="984"/>
      <c r="J35" s="985"/>
      <c r="K35" s="986">
        <f t="shared" ref="K35:K39" si="2">+E35+H35</f>
        <v>842986430.57633495</v>
      </c>
      <c r="L35" s="984"/>
      <c r="M35" s="985"/>
      <c r="N35" s="986"/>
      <c r="O35" s="986"/>
      <c r="P35" s="984"/>
      <c r="Q35" s="987">
        <f t="shared" ref="Q35:Q39" si="3">+K35+N35</f>
        <v>842986430.57633495</v>
      </c>
    </row>
    <row r="36" spans="2:19">
      <c r="B36" s="668">
        <v>20</v>
      </c>
      <c r="C36" s="37" t="s">
        <v>44</v>
      </c>
      <c r="D36" s="38"/>
      <c r="E36" s="983">
        <f>+'Rate Base'!D14</f>
        <v>-389781047.94520426</v>
      </c>
      <c r="F36" s="984"/>
      <c r="G36" s="985"/>
      <c r="H36" s="985">
        <f>+'Summary of Adj'!S40</f>
        <v>-47653.369690385996</v>
      </c>
      <c r="I36" s="984"/>
      <c r="J36" s="985"/>
      <c r="K36" s="986">
        <f t="shared" si="2"/>
        <v>-389828701.31489462</v>
      </c>
      <c r="L36" s="984"/>
      <c r="M36" s="985"/>
      <c r="N36" s="986"/>
      <c r="O36" s="986"/>
      <c r="P36" s="984"/>
      <c r="Q36" s="987">
        <f t="shared" si="3"/>
        <v>-389828701.31489462</v>
      </c>
    </row>
    <row r="37" spans="2:19">
      <c r="B37" s="668">
        <v>21</v>
      </c>
      <c r="C37" s="40" t="s">
        <v>18</v>
      </c>
      <c r="D37" s="40"/>
      <c r="E37" s="988">
        <f>+'Rate Base'!D16</f>
        <v>-3800412.8362500002</v>
      </c>
      <c r="F37" s="984"/>
      <c r="G37" s="985"/>
      <c r="H37" s="985">
        <f>+'Summary of Adj'!S41</f>
        <v>0</v>
      </c>
      <c r="I37" s="984"/>
      <c r="J37" s="985"/>
      <c r="K37" s="986">
        <f t="shared" si="2"/>
        <v>-3800412.8362500002</v>
      </c>
      <c r="L37" s="984"/>
      <c r="M37" s="985"/>
      <c r="N37" s="986"/>
      <c r="O37" s="986"/>
      <c r="P37" s="984"/>
      <c r="Q37" s="987">
        <f t="shared" si="3"/>
        <v>-3800412.8362500002</v>
      </c>
    </row>
    <row r="38" spans="2:19">
      <c r="B38" s="668">
        <v>22</v>
      </c>
      <c r="C38" s="40" t="s">
        <v>45</v>
      </c>
      <c r="D38" s="38"/>
      <c r="E38" s="988">
        <f>+'Rate Base'!D17</f>
        <v>-75625049.641666636</v>
      </c>
      <c r="F38" s="984"/>
      <c r="G38" s="985"/>
      <c r="H38" s="985">
        <f>+'Summary of Adj'!S42</f>
        <v>49722.916955459936</v>
      </c>
      <c r="I38" s="984"/>
      <c r="J38" s="985"/>
      <c r="K38" s="986">
        <f t="shared" si="2"/>
        <v>-75575326.72471118</v>
      </c>
      <c r="L38" s="984"/>
      <c r="M38" s="985"/>
      <c r="N38" s="986"/>
      <c r="O38" s="986"/>
      <c r="P38" s="984"/>
      <c r="Q38" s="987">
        <f t="shared" si="3"/>
        <v>-75575326.72471118</v>
      </c>
    </row>
    <row r="39" spans="2:19">
      <c r="B39" s="668">
        <v>23</v>
      </c>
      <c r="C39" s="40" t="s">
        <v>46</v>
      </c>
      <c r="D39" s="38"/>
      <c r="E39" s="988">
        <f>+' Working Capital (AMA)'!Y708</f>
        <v>7565010.5869378978</v>
      </c>
      <c r="F39" s="984"/>
      <c r="G39" s="985"/>
      <c r="H39" s="985">
        <f>+'Summary of Adj'!S43</f>
        <v>0</v>
      </c>
      <c r="I39" s="984"/>
      <c r="J39" s="985"/>
      <c r="K39" s="986">
        <f t="shared" si="2"/>
        <v>7565010.5869378978</v>
      </c>
      <c r="L39" s="984"/>
      <c r="M39" s="985"/>
      <c r="N39" s="986"/>
      <c r="O39" s="986"/>
      <c r="P39" s="984"/>
      <c r="Q39" s="987">
        <f t="shared" si="3"/>
        <v>7565010.5869378978</v>
      </c>
    </row>
    <row r="40" spans="2:19" ht="16.5" thickBot="1">
      <c r="B40" s="668">
        <v>24</v>
      </c>
      <c r="C40" s="46" t="s">
        <v>42</v>
      </c>
      <c r="D40" s="24"/>
      <c r="E40" s="1002">
        <f>SUM(E35:E39)</f>
        <v>374226391.6601519</v>
      </c>
      <c r="F40" s="984"/>
      <c r="G40" s="985"/>
      <c r="H40" s="1002">
        <f>SUM(H35:H39)</f>
        <v>7120608.627265065</v>
      </c>
      <c r="I40" s="984"/>
      <c r="J40" s="985"/>
      <c r="K40" s="1002">
        <f>SUM(K35:K39)</f>
        <v>381347000.28741705</v>
      </c>
      <c r="L40" s="984"/>
      <c r="M40" s="985"/>
      <c r="N40" s="1002">
        <f>SUM(N35:N39)</f>
        <v>0</v>
      </c>
      <c r="O40" s="999"/>
      <c r="P40" s="984"/>
      <c r="Q40" s="1002">
        <f>SUM(Q35:Q39)</f>
        <v>381347000.28741705</v>
      </c>
    </row>
    <row r="41" spans="2:19" ht="16.5" thickTop="1">
      <c r="B41" s="668">
        <v>25</v>
      </c>
      <c r="C41" s="46" t="s">
        <v>19</v>
      </c>
      <c r="D41" s="38"/>
      <c r="E41" s="1003">
        <f>+E32/E40</f>
        <v>5.5593045636645362E-2</v>
      </c>
      <c r="F41" s="984"/>
      <c r="G41" s="1004"/>
      <c r="H41" s="1004"/>
      <c r="I41" s="984"/>
      <c r="J41" s="1004"/>
      <c r="K41" s="1005">
        <f>+K32/K40</f>
        <v>7.7650137027392582E-2</v>
      </c>
      <c r="L41" s="984"/>
      <c r="M41" s="1004"/>
      <c r="N41" s="1005"/>
      <c r="O41" s="1005"/>
      <c r="P41" s="984"/>
      <c r="Q41" s="1006">
        <f>+Q32/Q40</f>
        <v>6.8290000000000087E-2</v>
      </c>
    </row>
    <row r="42" spans="2:19">
      <c r="B42" s="669"/>
      <c r="C42" s="676"/>
      <c r="D42" s="677"/>
      <c r="E42" s="678"/>
      <c r="F42" s="673"/>
      <c r="G42" s="674"/>
      <c r="H42" s="674"/>
      <c r="I42" s="673"/>
      <c r="J42" s="674"/>
      <c r="K42" s="679"/>
      <c r="L42" s="673"/>
      <c r="M42" s="674"/>
      <c r="N42" s="674"/>
      <c r="O42" s="674"/>
      <c r="P42" s="674"/>
      <c r="Q42" s="680"/>
    </row>
    <row r="43" spans="2:19">
      <c r="B43" s="25"/>
      <c r="C43" s="25"/>
      <c r="D43" s="25"/>
      <c r="E43" s="25"/>
      <c r="F43" s="25"/>
      <c r="G43" s="25"/>
      <c r="H43" s="25"/>
      <c r="I43" s="25"/>
      <c r="J43" s="25"/>
      <c r="K43" s="25"/>
      <c r="L43" s="25"/>
      <c r="M43" s="25"/>
      <c r="N43" s="25"/>
      <c r="O43" s="25"/>
      <c r="P43" s="25"/>
      <c r="Q43" s="25"/>
    </row>
    <row r="45" spans="2:19">
      <c r="N45" s="48"/>
    </row>
    <row r="47" spans="2:19">
      <c r="N47" s="45"/>
    </row>
  </sheetData>
  <mergeCells count="3">
    <mergeCell ref="B1:Q1"/>
    <mergeCell ref="B3:Q3"/>
    <mergeCell ref="B2:Q2"/>
  </mergeCells>
  <printOptions horizontalCentered="1"/>
  <pageMargins left="1" right="1" top="1" bottom="1" header="0.3" footer="0.3"/>
  <pageSetup scale="69" orientation="portrait"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DC9C9"/>
  </sheetPr>
  <dimension ref="A1:G28"/>
  <sheetViews>
    <sheetView view="pageBreakPreview" zoomScale="60" zoomScaleNormal="100" workbookViewId="0"/>
  </sheetViews>
  <sheetFormatPr defaultColWidth="14" defaultRowHeight="15.75"/>
  <cols>
    <col min="1" max="1" width="3" style="3" bestFit="1" customWidth="1"/>
    <col min="2" max="2" width="14" style="3"/>
    <col min="3" max="3" width="25.140625" style="3" customWidth="1"/>
    <col min="4" max="4" width="18" style="3" bestFit="1" customWidth="1"/>
    <col min="5" max="6" width="14" style="3"/>
    <col min="7" max="7" width="16.28515625" style="3" bestFit="1" customWidth="1"/>
    <col min="8" max="16384" width="14" style="3"/>
  </cols>
  <sheetData>
    <row r="1" spans="1:4">
      <c r="A1" s="49"/>
      <c r="B1" s="49"/>
      <c r="C1" s="49"/>
      <c r="D1" s="49"/>
    </row>
    <row r="5" spans="1:4">
      <c r="B5" s="1023" t="s">
        <v>2522</v>
      </c>
      <c r="C5" s="1024"/>
      <c r="D5" s="1025"/>
    </row>
    <row r="6" spans="1:4">
      <c r="B6" s="1026" t="s">
        <v>112</v>
      </c>
      <c r="C6" s="1027"/>
      <c r="D6" s="1028"/>
    </row>
    <row r="7" spans="1:4">
      <c r="B7" s="1026" t="s">
        <v>1976</v>
      </c>
      <c r="C7" s="1027"/>
      <c r="D7" s="1028"/>
    </row>
    <row r="8" spans="1:4">
      <c r="A8" s="4"/>
      <c r="B8" s="293"/>
      <c r="C8" s="294"/>
      <c r="D8" s="295"/>
    </row>
    <row r="9" spans="1:4">
      <c r="A9" s="50"/>
      <c r="B9" s="50"/>
      <c r="C9" s="50"/>
      <c r="D9" s="50"/>
    </row>
    <row r="10" spans="1:4">
      <c r="D10" s="16"/>
    </row>
    <row r="11" spans="1:4">
      <c r="A11" s="3">
        <v>1</v>
      </c>
      <c r="B11" s="3" t="s">
        <v>71</v>
      </c>
      <c r="D11" s="1007">
        <f>+' ROO Summary Sheet'!K40</f>
        <v>381347000.28741705</v>
      </c>
    </row>
    <row r="12" spans="1:4">
      <c r="A12" s="3">
        <v>2</v>
      </c>
      <c r="B12" s="3" t="s">
        <v>19</v>
      </c>
      <c r="D12" s="51">
        <f>+'Capital Structure Calculation'!J14</f>
        <v>6.828999999999999E-2</v>
      </c>
    </row>
    <row r="13" spans="1:4">
      <c r="D13" s="16"/>
    </row>
    <row r="14" spans="1:4">
      <c r="A14" s="3">
        <v>3</v>
      </c>
      <c r="B14" s="3" t="s">
        <v>72</v>
      </c>
      <c r="D14" s="445">
        <f>+D11*D12</f>
        <v>26042186.649627708</v>
      </c>
    </row>
    <row r="15" spans="1:4">
      <c r="A15" s="3">
        <v>4</v>
      </c>
      <c r="B15" s="3" t="s">
        <v>73</v>
      </c>
      <c r="D15" s="1008">
        <f>+' ROO Summary Sheet'!K32</f>
        <v>29611646.827303052</v>
      </c>
    </row>
    <row r="16" spans="1:4">
      <c r="D16" s="445"/>
    </row>
    <row r="17" spans="1:7">
      <c r="A17" s="3">
        <v>5</v>
      </c>
      <c r="B17" s="3" t="s">
        <v>76</v>
      </c>
      <c r="D17" s="445">
        <f>+D14-D15</f>
        <v>-3569460.177675344</v>
      </c>
    </row>
    <row r="18" spans="1:7">
      <c r="D18" s="16"/>
    </row>
    <row r="19" spans="1:7">
      <c r="A19" s="3">
        <v>6</v>
      </c>
      <c r="B19" s="3" t="s">
        <v>74</v>
      </c>
      <c r="D19" s="810">
        <f>+' Conversion Factor'!C25</f>
        <v>0.75481349214407267</v>
      </c>
    </row>
    <row r="20" spans="1:7">
      <c r="D20" s="16"/>
    </row>
    <row r="21" spans="1:7" ht="16.5" thickBot="1">
      <c r="A21" s="3">
        <v>7</v>
      </c>
      <c r="B21" s="3" t="s">
        <v>75</v>
      </c>
      <c r="D21" s="1009">
        <f>+D17/D19</f>
        <v>-4728930.0136066386</v>
      </c>
    </row>
    <row r="22" spans="1:7" ht="16.5" thickTop="1">
      <c r="D22" s="445"/>
      <c r="G22" s="217"/>
    </row>
    <row r="23" spans="1:7">
      <c r="A23" s="3">
        <v>8</v>
      </c>
      <c r="B23" s="3" t="s">
        <v>109</v>
      </c>
      <c r="D23" s="445">
        <f>+' ROO Summary Sheet'!K16</f>
        <v>259343581.04999998</v>
      </c>
      <c r="G23" s="217"/>
    </row>
    <row r="24" spans="1:7">
      <c r="D24" s="16"/>
    </row>
    <row r="25" spans="1:7">
      <c r="A25" s="3">
        <v>9</v>
      </c>
      <c r="B25" s="3" t="s">
        <v>783</v>
      </c>
      <c r="D25" s="1010">
        <f>+D21/D23</f>
        <v>-1.8234228101812661E-2</v>
      </c>
    </row>
    <row r="28" spans="1:7">
      <c r="F28" s="52"/>
    </row>
  </sheetData>
  <mergeCells count="3">
    <mergeCell ref="B5:D5"/>
    <mergeCell ref="B6:D6"/>
    <mergeCell ref="B7:D7"/>
  </mergeCells>
  <printOptions horizontalCentered="1"/>
  <pageMargins left="0.7" right="0.7" top="0.75" bottom="0.75" header="0.3" footer="0.3"/>
  <pageSetup orientation="portrait" r:id="rId1"/>
  <headerFooter scaleWithDoc="0"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44" ma:contentTypeDescription="" ma:contentTypeScope="" ma:versionID="495a5c5da9dc688e04dc96aba61080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2021-01-08T08:00:00+00:00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63679BE-F659-4C2E-81C2-C2349F154204}"/>
</file>

<file path=customXml/itemProps2.xml><?xml version="1.0" encoding="utf-8"?>
<ds:datastoreItem xmlns:ds="http://schemas.openxmlformats.org/officeDocument/2006/customXml" ds:itemID="{225870E0-A3B9-4A27-AA07-77E80F971D01}"/>
</file>

<file path=customXml/itemProps3.xml><?xml version="1.0" encoding="utf-8"?>
<ds:datastoreItem xmlns:ds="http://schemas.openxmlformats.org/officeDocument/2006/customXml" ds:itemID="{EFE6C008-1F9A-4864-83B6-98151F8C24FF}"/>
</file>

<file path=customXml/itemProps4.xml><?xml version="1.0" encoding="utf-8"?>
<ds:datastoreItem xmlns:ds="http://schemas.openxmlformats.org/officeDocument/2006/customXml" ds:itemID="{57712F3F-1461-4B09-9696-8DF4229146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26</vt:i4>
      </vt:variant>
    </vt:vector>
  </HeadingPairs>
  <TitlesOfParts>
    <vt:vector size="60" baseType="lpstr">
      <vt:lpstr>Table 1</vt:lpstr>
      <vt:lpstr>Figure 1</vt:lpstr>
      <vt:lpstr>Table 4, 5</vt:lpstr>
      <vt:lpstr>Table 6</vt:lpstr>
      <vt:lpstr>Table 7</vt:lpstr>
      <vt:lpstr>Exh. No. BGM-3 (1)</vt:lpstr>
      <vt:lpstr>Exh. No. BGM-3 (2)</vt:lpstr>
      <vt:lpstr> ROO Summary Sheet</vt:lpstr>
      <vt:lpstr>Rev Req Calc</vt:lpstr>
      <vt:lpstr>Summary of Adj</vt:lpstr>
      <vt:lpstr> Conversion Factor</vt:lpstr>
      <vt:lpstr>AWEC-20 DEPR Study</vt:lpstr>
      <vt:lpstr>Workpaper - Support Documents &gt;</vt:lpstr>
      <vt:lpstr>Index</vt:lpstr>
      <vt:lpstr>Operating Report</vt:lpstr>
      <vt:lpstr>Rate Base</vt:lpstr>
      <vt:lpstr>Plant in Serv &amp; Accum Depr</vt:lpstr>
      <vt:lpstr>Adv for Const. &amp; Def Tax</vt:lpstr>
      <vt:lpstr>Capital Structure Calculation</vt:lpstr>
      <vt:lpstr>State Allocation Formulas</vt:lpstr>
      <vt:lpstr>Adjustment Workpapers---&gt;</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MCP-6 - 2020 Plant Additions</vt:lpstr>
      <vt:lpstr>MCP-6 - Supporting Explanations</vt:lpstr>
      <vt:lpstr>MAOP UG-160787 Deferral</vt:lpstr>
      <vt:lpstr> Working Capital (AMA)</vt:lpstr>
      <vt:lpstr>' Conversion Factor'!Print_Area</vt:lpstr>
      <vt:lpstr>' ROO Summary Sheet'!Print_Area</vt:lpstr>
      <vt:lpstr>'Annualize CRM Adjustment'!Print_Area</vt:lpstr>
      <vt:lpstr>'Capital Structure Calculation'!Print_Area</vt:lpstr>
      <vt:lpstr>'EOP Revenue Adjustment'!Print_Area</vt:lpstr>
      <vt:lpstr>'Exh. No. BGM-3 (1)'!Print_Area</vt:lpstr>
      <vt:lpstr>'Exh. No. BGM-3 (2)'!Print_Area</vt:lpstr>
      <vt:lpstr>Index!Print_Area</vt:lpstr>
      <vt:lpstr>'MCP-6 - Supporting Explanations'!Print_Area</vt:lpstr>
      <vt:lpstr>'Operating Report'!Print_Area</vt:lpstr>
      <vt:lpstr>'Pro Forma Plant Additions'!Print_Area</vt:lpstr>
      <vt:lpstr>'Restate &amp; Pro Forma Wage Adjust'!Print_Area</vt:lpstr>
      <vt:lpstr>'Restate Revenues Adjustment'!Print_Area</vt:lpstr>
      <vt:lpstr>'State Allocation Formulas'!Print_Area</vt:lpstr>
      <vt:lpstr>'Summary of Adj'!Print_Area</vt:lpstr>
      <vt:lpstr>'Workpaper - Support Documents &gt;'!Print_Area</vt:lpstr>
      <vt:lpstr>' Working Capital (AMA)'!Print_Titles</vt:lpstr>
      <vt:lpstr>'Adv for Const. &amp; Def Tax'!Print_Titles</vt:lpstr>
      <vt:lpstr>'Advertising Adj'!Print_Titles</vt:lpstr>
      <vt:lpstr>'Exh. No. BGM-3 (1)'!Print_Titles</vt:lpstr>
      <vt:lpstr>'Exh. No. BGM-3 (2)'!Print_Titles</vt:lpstr>
      <vt:lpstr>'MCP-6 - 2020 Plant Additions'!Print_Titles</vt:lpstr>
      <vt:lpstr>'MCP-6 - Supporting Explanations'!Print_Titles</vt:lpstr>
      <vt:lpstr>'Operating Report'!Print_Titles</vt:lpstr>
      <vt:lpstr>'Plant in Serv &amp; Accum Depr'!Print_Titles</vt:lpstr>
      <vt:lpstr>'Restate &amp; Pro Forma Wage Adjust'!Print_Titles</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Bradley Mullins</cp:lastModifiedBy>
  <cp:lastPrinted>2020-07-22T15:29:11Z</cp:lastPrinted>
  <dcterms:created xsi:type="dcterms:W3CDTF">2014-12-11T21:48:04Z</dcterms:created>
  <dcterms:modified xsi:type="dcterms:W3CDTF">2021-01-07T14:02:27Z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