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7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6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NY\AppData\Local\Temp\Workshare\y2vp4ya3.x4u\9\"/>
    </mc:Choice>
  </mc:AlternateContent>
  <xr:revisionPtr revIDLastSave="0" documentId="13_ncr:1_{42DA8D1F-F6B2-4839-87CB-A90DACC08057}" xr6:coauthVersionLast="47" xr6:coauthVersionMax="47" xr10:uidLastSave="{00000000-0000-0000-0000-000000000000}"/>
  <bookViews>
    <workbookView xWindow="1710" yWindow="1710" windowWidth="21600" windowHeight="11100" activeTab="2" xr2:uid="{1A3D9881-21E9-4F66-ACC5-6A792FC0F810}"/>
  </bookViews>
  <sheets>
    <sheet name="Class Rates" sheetId="3" r:id="rId1"/>
    <sheet name="Revenue Distribution" sheetId="1" r:id="rId2"/>
    <sheet name="Decoupling Baseline + Rule 8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d1" hidden="1">{"annual",#N/A,FALSE,"Pro Forma";#N/A,#N/A,FALSE,"Golf Operations"}</definedName>
    <definedName name="_Dist_Values" hidden="1">#REF!</definedName>
    <definedName name="_Fill" hidden="1">#REF!</definedName>
    <definedName name="_xlnm._FilterDatabase" hidden="1">#REF!</definedName>
    <definedName name="_gr1" hidden="1">{"three",#N/A,FALSE,"Capital";"four",#N/A,FALSE,"Capital"}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[3]RENT!#REF!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2_Out" hidden="1">#REF!</definedName>
    <definedName name="_wr1" hidden="1">{"Output-3Column",#N/A,FALSE,"Output"}</definedName>
    <definedName name="_wrn1" hidden="1">{"Inflation-BaseYear",#N/A,FALSE,"Inputs"}</definedName>
    <definedName name="a" hidden="1">{"Print_Detail",#N/A,FALSE,"Redemption_Maturity Extract"}</definedName>
    <definedName name="Access_Button1" hidden="1">"Headcount_Workbook_Schedules_List"</definedName>
    <definedName name="AccessCode" hidden="1">""""</definedName>
    <definedName name="AccessDatabase" hidden="1">"C:\ncux\bud\rms_inv.mdb"</definedName>
    <definedName name="ACwvu.allocations." hidden="1">#REF!</definedName>
    <definedName name="ACwvu.annual._.hotel." hidden="1">[4]development!$C$5</definedName>
    <definedName name="ACwvu.bottom._.line." hidden="1">[4]development!#REF!</definedName>
    <definedName name="ACwvu.cash._.flow." hidden="1">#REF!</definedName>
    <definedName name="ACwvu.combo." hidden="1">[4]development!$B$89</definedName>
    <definedName name="ACwvu.full." hidden="1">#REF!</definedName>
    <definedName name="ACwvu.offsite." hidden="1">#REF!</definedName>
    <definedName name="ACwvu.onsite." hidden="1">#REF!</definedName>
    <definedName name="anscount" hidden="1">2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b" hidden="1">{"One",#N/A,FALSE,"CClub";"Two",#N/A,FALSE,"CClub";"Three",#N/A,FALSE,"CClub";"Four",#N/A,FALSE,"CClub";"Five",#N/A,FALSE,"CClub"}</definedName>
    <definedName name="bi" hidden="1">{#N/A,#N/A,FALSE,"BidCo Assumptions";#N/A,#N/A,FALSE,"Credit Stats";#N/A,#N/A,FALSE,"Bidco Summary";#N/A,#N/A,FALSE,"BIDCO Consolidated"}</definedName>
    <definedName name="BNE_MESSAGES_HIDDEN" hidden="1">#REF!</definedName>
    <definedName name="cd" hidden="1">{"annual",#N/A,FALSE,"Pro Forma";#N/A,#N/A,FALSE,"Golf Operations"}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Cwvu.annual." hidden="1">#REF!,#REF!,#REF!,#REF!,#REF!,#REF!,#REF!,#REF!,#REF!,#REF!,#REF!,#REF!,#REF!,#REF!,#REF!,#REF!,#REF!,#REF!,#REF!,#REF!,#REF!,#REF!,#REF!,#REF!</definedName>
    <definedName name="Cwvu.annual._.hotel." hidden="1">[4]development!$A$16:$IV$16,[4]development!$A$21:$IV$21,[4]development!#REF!,[4]development!#REF!,[4]development!$A$36:$IV$36,[4]development!$A$46:$IV$46,[4]development!#REF!,[4]development!#REF!,[4]development!#REF!,[4]development!#REF!,[4]development!#REF!,[4]development!#REF!,[4]development!#REF!,[4]development!#REF!,[4]development!#REF!,[4]development!$A$89:$IV$89,[4]development!#REF!,[4]development!#REF!,[4]development!#REF!</definedName>
    <definedName name="Cwvu.bottom._.line." hidden="1">[4]development!$A$16:$IV$16,[4]development!$A$21:$IV$21,[4]development!#REF!,[4]development!#REF!,[4]development!$A$36:$IV$36,[4]development!$A$46:$IV$46,[4]development!#REF!,[4]development!#REF!,[4]development!#REF!,[4]development!#REF!,[4]development!#REF!,[4]development!#REF!,[4]development!#REF!,[4]development!#REF!,[4]development!#REF!,[4]development!$A$89:$IV$89,[4]development!#REF!,[4]development!#REF!,[4]development!#REF!,[4]development!#REF!,[4]development!#REF!,[4]development!#REF!</definedName>
    <definedName name="Cwvu.cash._.flow.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ombo." hidden="1">[4]development!$A$16:$IV$16,[4]development!$A$21:$IV$21,[4]development!#REF!,[4]development!#REF!,[4]development!$A$36:$IV$36,[4]development!$A$46:$IV$46,[4]development!#REF!,[4]development!#REF!,[4]development!#REF!,[4]development!#REF!,[4]development!#REF!,[4]development!#REF!,[4]development!#REF!,[4]development!#REF!,[4]development!#REF!,[4]development!$A$85:$IV$85,[4]development!$A$89:$IV$89,[4]development!$A$91:$IV$91,[4]development!#REF!,[4]development!#REF!,[4]development!#REF!,[4]development!#REF!</definedName>
    <definedName name="Cwvu.GREY_ALL." hidden="1">#REF!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DUDE" hidden="1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V__ALLOWSTOPEXPAND__" hidden="1">1</definedName>
    <definedName name="EV__EVCOM_OPTIONS__" hidden="1">8</definedName>
    <definedName name="EV__EXPOPTIONS__" hidden="1">0</definedName>
    <definedName name="EV__LASTREFTIME__" hidden="1">40535.431400463</definedName>
    <definedName name="EV__MAXEXPCOLS__" hidden="1">100</definedName>
    <definedName name="EV__MAXEXPROWS__" hidden="1">2000</definedName>
    <definedName name="EV__MEMORYCVW__" hidden="1">0</definedName>
    <definedName name="EV__WBEVMODE__" hidden="1">0</definedName>
    <definedName name="EV__WBREFOPTIONS__" hidden="1">55</definedName>
    <definedName name="EV__WBVERSION__" hidden="1">0</definedName>
    <definedName name="EV__WSINFO__" hidden="1">"kab"</definedName>
    <definedName name="fffff" hidden="1">{"ALL",#N/A,FALSE,"A"}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dfsad" hidden="1">{"ALL",#N/A,FALSE,"A"}</definedName>
    <definedName name="gr" hidden="1">{"three",#N/A,FALSE,"Capital";"four",#N/A,FALSE,"Capital"}</definedName>
    <definedName name="help" hidden="1">{"ALL",#N/A,FALSE,"A"}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1_1" hidden="1">"'[MONET71.xls]Market Hubs by Condition'!$A$1:$F$44"</definedName>
    <definedName name="HTML1_10" hidden="1">"Dave_LeVee"</definedName>
    <definedName name="HTML1_11" hidden="1">1</definedName>
    <definedName name="HTML1_12" hidden="1">"G:\MONET\WEB\FORECAST\hub71.htm"</definedName>
    <definedName name="HTML1_2" hidden="1">1</definedName>
    <definedName name="HTML1_3" hidden="1">"MONET71"</definedName>
    <definedName name="HTML1_4" hidden="1">"Market Hubs by Condition"</definedName>
    <definedName name="HTML1_5" hidden="1">""</definedName>
    <definedName name="HTML1_6" hidden="1">1</definedName>
    <definedName name="HTML1_7" hidden="1">1</definedName>
    <definedName name="HTML1_8" hidden="1">"4/10/96"</definedName>
    <definedName name="HTML1_9" hidden="1">"Resource Forecasting Department"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5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IM" hidden="1">{#N/A,#N/A,FALSE,"Sheet5"}</definedName>
    <definedName name="June" hidden="1">{"three",#N/A,FALSE,"Capital";"four",#N/A,FALSE,"Capital"}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2_WBEVMODE" hidden="1">0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3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l_Workbook_GUID" hidden="1">"VX3CWJGNQX2CCGI81U4N2V76"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PPPPPPPPPPPPP" hidden="1">{#N/A,#N/A,FALSE,"Sheet5"}</definedName>
    <definedName name="PricingInfo" hidden="1">[5]Inputs!#REF!</definedName>
    <definedName name="_xlnm.Print_Area" localSheetId="0">'Class Rates'!$A$1:$I$50</definedName>
    <definedName name="_xlnm.Print_Area" localSheetId="2">'Decoupling Baseline + Rule 8'!$A$1:$G$42</definedName>
    <definedName name="_xlnm.Print_Area" localSheetId="1">'Revenue Distribution'!$A$1:$L$46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Rwvu.allocations." hidden="1">#REF!</definedName>
    <definedName name="Rwvu.annual._.hotel." hidden="1">[4]development!#REF!</definedName>
    <definedName name="Rwvu.bottom._.line." hidden="1">[4]development!#REF!</definedName>
    <definedName name="Rwvu.cash._.flow." hidden="1">#REF!</definedName>
    <definedName name="Rwvu.combo." hidden="1">[4]development!#REF!</definedName>
    <definedName name="Rwvu.offsite." hidden="1">#REF!</definedName>
    <definedName name="Rwvu.onsite.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"45FIHJWMI3GHFVKWLVCY66MTN"</definedName>
    <definedName name="SAPsysID" hidden="1">"708C5W7SBKP804JT78WJ0JNKI"</definedName>
    <definedName name="SAPwbID" hidden="1">"ARS"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preadsheetBuilder_2" hidden="1">[6]Sheet2!#REF!</definedName>
    <definedName name="SpreadsheetBuilder_3" hidden="1">[7]Sheet2!#REF!</definedName>
    <definedName name="standard1" hidden="1">{"YTD-Total",#N/A,FALSE,"Provision"}</definedName>
    <definedName name="Swvu.allocations." hidden="1">#REF!</definedName>
    <definedName name="Swvu.annual._.hotel." hidden="1">[4]development!$C$5</definedName>
    <definedName name="Swvu.bottom._.line." hidden="1">[4]development!#REF!</definedName>
    <definedName name="Swvu.cash._.flow." hidden="1">#REF!</definedName>
    <definedName name="Swvu.combo." hidden="1">[4]development!$B$89</definedName>
    <definedName name="Swvu.full." hidden="1">#REF!</definedName>
    <definedName name="Swvu.offsite." hidden="1">#REF!</definedName>
    <definedName name="Swvu.onsite." hidden="1">#REF!</definedName>
    <definedName name="TP_Footer_User" hidden="1">"Dylan Moser"</definedName>
    <definedName name="TP_Footer_Version" hidden="1">"v4.00"</definedName>
    <definedName name="trth" hidden="1">{"ALL",#N/A,FALSE,"A"}</definedName>
    <definedName name="vcdv" hidden="1">#REF!</definedName>
    <definedName name="w" hidden="1">[8]Inputs!#REF!</definedName>
    <definedName name="wr" hidden="1">{"Output-3Column",#N/A,FALSE,"Output"}</definedName>
    <definedName name="wrn" hidden="1">{"Inflation-BaseYear",#N/A,FALSE,"Inputs"}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{"ALL",#N/A,FALSE,"A"}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All._.Sheets." hidden="1">{"IncSt",#N/A,FALSE,"IS";"BalSht",#N/A,FALSE,"BS";"IntCash",#N/A,FALSE,"Int. Cash";"Stats",#N/A,FALSE,"Stats"}</definedName>
    <definedName name="wrn.annual." hidden="1">{"annual",#N/A,FALSE,"Pro Forma"}</definedName>
    <definedName name="wrn.Annual._.Detail." hidden="1">{"annualsum",#N/A,FALSE,"Cost Summary";"annual1",#N/A,FALSE,"Phase_1";"annual2",#N/A,FALSE,"Phase_2";"annual3",#N/A,FALSE,"Phase_3";"annual4",#N/A,FALSE,"Phase_4"}</definedName>
    <definedName name="wrn.Annual._.Golf." hidden="1">{"a_dev",#N/A,FALSE,"Golf Development";"a_memstats",#N/A,FALSE,"Golf Development";"a_opstats",#N/A,FALSE,"Golf Development";"a_rev",#N/A,FALSE,"Golf Development";"a_return",#N/A,FALSE,"Golf Development"}</definedName>
    <definedName name="wrn.Annual._.Hotel." hidden="1">{"annual hotel",#N/A,FALSE,"Hotel Development"}</definedName>
    <definedName name="wrn.Annual._.Land._.Sales." hidden="1">{"annual",#N/A,FALSE,"Land Sales"}</definedName>
    <definedName name="wrn.Annual._.Report." hidden="1">{"annual",#N/A,FALSE,"Pro Forma";#N/A,#N/A,FALSE,"Golf Operations"}</definedName>
    <definedName name="wrn.Annual._.Report._.no._.releases." hidden="1">{"a_sales",#N/A,FALSE,"Summary";"a_debt",#N/A,FALSE,"Summary";"a_cash",#N/A,FALSE,"Summary";"a_accrual",#N/A,FALSE,"Summary"}</definedName>
    <definedName name="wrn.Annual._.Report._.with._.releases." hidden="1">{"a_sales",#N/A,FALSE,"Summary";"a_debt",#N/A,FALSE,"Summary";"a_releases",#N/A,FALSE,"Summary";"a_cash",#N/A,FALSE,"Summary";"a_accrual",#N/A,FALSE,"Summary"}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ssets." hidden="1">{"ASSETS",#N/A,FALSE,"Assets"}</definedName>
    <definedName name="wrn.ASSOC_CO." hidden="1">{"ASSC_CO",#N/A,FALSE,"A"}</definedName>
    <definedName name="wrn.BidCo." hidden="1">{#N/A,#N/A,FALSE,"BidCo Assumptions";#N/A,#N/A,FALSE,"Credit Stats";#N/A,#N/A,FALSE,"Bidco Summary";#N/A,#N/A,FALSE,"BIDCO Consolidated"}</definedName>
    <definedName name="wrn.BS." hidden="1">{"BS",#N/A,FALSE,"A"}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ASH." hidden="1">{#N/A,#N/A,FALSE,"Sheet5"}</definedName>
    <definedName name="wrn.Cash._.and._.Accrual." hidden="1">{"a_cash",#N/A,FALSE,"Summary";"a_accrual",#N/A,FALSE,"Summary"}</definedName>
    <definedName name="wrn.Combined._.YTD." hidden="1">{"YTD-Total",#N/A,TRUE,"Provision";"YTD-Utility",#N/A,TRUE,"Prov Utility";"YTD-NonUtility",#N/A,TRUE,"Prov NonUtility"}</definedName>
    <definedName name="wrn.Complete._.Report.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nsolGrossGrp." hidden="1">{"Conol gross povision grouped",#N/A,FALSE,"Consol Gross";"Consol Gross Grouped",#N/A,FALSE,"Consol Gross"}</definedName>
    <definedName name="wrn.Current._.Estimate.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definedName>
    <definedName name="wrn.DCF._.Valuation." hidden="1">{"value box",#N/A,TRUE,"DPL Inc. Fin Statements";"unlevered free cash flows",#N/A,TRUE,"DPL Inc. Fin Statements"}</definedName>
    <definedName name="wrn.Detail." hidden="1">{"Print_Detail",#N/A,FALSE,"Redemption_Maturity Extract"}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CB." hidden="1">{"FCB_ALL",#N/A,FALSE,"FCB"}</definedName>
    <definedName name="wrn.fcb2" hidden="1">{"FCB_ALL",#N/A,FALSE,"FCB"}</definedName>
    <definedName name="wrn.Financials." hidden="1">{#N/A,#N/A,TRUE,"Income Statement";#N/A,#N/A,TRUE,"Balance Sheet";#N/A,#N/A,TRUE,"Cash Flow"}</definedName>
    <definedName name="wrn.Five._.Year._.Test." hidden="1">{"Five Year Plan",#N/A,TRUE,"Monthly Summary-IIIXIILP";"Five Year Plan",#N/A,TRUE,"Cash Flow"}</definedName>
    <definedName name="wrn.full._.report.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eg." hidden="1">{"three",#N/A,FALSE,"Capital";"four",#N/A,FALSE,"Capital"}</definedName>
    <definedName name="wrn.III._.X._.Co._.Five._.Year._.Plan.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definedName>
    <definedName name="wrn.IIIXCo._.Five._.Year._.Summary._.Reports." hidden="1">{#N/A,#N/A,TRUE,"Title Page-Financial Stmts IIIX";#N/A,#N/A,TRUE,"Sumry_Income IIIXCo";#N/A,#N/A,TRUE,"Sumry_Balance Sheet IIIXCo";#N/A,#N/A,TRUE,"Sumry_Cash Flow IIIXCo";#N/A,#N/A,TRUE,"Antelope Creek";#N/A,#N/A,TRUE,"QEP";#N/A,#N/A,TRUE,"Raton"}</definedName>
    <definedName name="wrn.IIIXCo._.FY._.2004._.Plan." hidden="1">{"IIIXCo FY 04 Plan",#N/A,FALSE,"Monthly Summary-IIIXIILP"}</definedName>
    <definedName name="wrn.Inputs." hidden="1">{"Inflation-BaseYear",#N/A,FALSE,"Inputs"}</definedName>
    <definedName name="wrn.Invested._.Capital." hidden="1">{#N/A,#N/A,FALSE,"Invested Capital-Total";#N/A,#N/A,FALSE,"Invested Capital-SEI";#N/A,#N/A,FALSE,"Invested Capital-Utah";#N/A,#N/A,FALSE,"Invested Capital-Raton"}</definedName>
    <definedName name="wrn.Liab." hidden="1">{"LIAB",#N/A,FALSE,"Liab"}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NetWorth." hidden="1">{"NW",#N/A,FALSE,"STMT"}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d." hidden="1">{"Pfd",#N/A,FALSE,"Pfd"}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ivot1." hidden="1">{"Pivot1",#N/A,FALSE,"Redemption_Maturity Extract"}</definedName>
    <definedName name="wrn.Pivot2." hidden="1">{"Pivot2",#N/A,FALSE,"Redemption_Maturity Extract"}</definedName>
    <definedName name="wrn.Plan._.2004.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definedName>
    <definedName name="wrn.PPMCoCodeView." hidden="1">{"PPM Co Code View",#N/A,FALSE,"Comp Codes"}</definedName>
    <definedName name="wrn.PPMreconview." hidden="1">{"PPM Recon View",#N/A,FALSE,"Hyperion Proof"}</definedName>
    <definedName name="wrn.PrintAll." hidden="1">{"PA1",#N/A,TRUE,"BORDMW";"pa2",#N/A,TRUE,"BORDMW";"PA3",#N/A,TRUE,"BORDMW";"PA4",#N/A,TRUE,"BORDMW"}</definedName>
    <definedName name="wrn.ProofElectricOnly." hidden="1">{"Electric Only",#N/A,FALSE,"Hyperion Proof"}</definedName>
    <definedName name="wrn.ProofTotal." hidden="1">{"Proof Total",#N/A,FALSE,"Hyperion Proof"}</definedName>
    <definedName name="wrn.quarterly." hidden="1">{"quarterly",#N/A,FALSE,"Pro Forma"}</definedName>
    <definedName name="wrn.Reformat._.only." hidden="1">{#N/A,#N/A,FALSE,"Dec 1999 mapping"}</definedName>
    <definedName name="wrn.Releases._.Cash._.Accrual." hidden="1">{"a_releases",#N/A,FALSE,"Summary";"a_cash",#N/A,FALSE,"Summary";"a_accrual",#N/A,FALSE,"Summary"}</definedName>
    <definedName name="wrn.rpt96." hidden="1">{"rmrev1",#N/A,FALSE,"Forecast96";"rmrev2",#N/A,FALSE,"Forecast96";"rmrev3",#N/A,FALSE,"Forecast96"}</definedName>
    <definedName name="wrn.sales." hidden="1">{"sales",#N/A,FALSE,"Sales";"sales existing",#N/A,FALSE,"Sales";"sales rd1",#N/A,FALSE,"Sales";"sales rd2",#N/A,FALSE,"Sales"}</definedName>
    <definedName name="wrn.Sales._.and._.Debt." hidden="1">{"a_sales",#N/A,FALSE,"Summary";"a_debt",#N/A,FALSE,"Summary"}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._.BC." hidden="1">{"SCHED_B&amp;C",#N/A,FALSE,"A"}</definedName>
    <definedName name="wrn.SCHED._.DE." hidden="1">{"SCHED_D&amp;E",#N/A,FALSE,"A"}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hared._.Costs." hidden="1">{"cash flow",#N/A,FALSE,"Shared Costs";"allocations",#N/A,FALSE,"Shared Costs"}</definedName>
    <definedName name="wrn.SHEDA." hidden="1">{"SCHED_A",#N/A,FALSE,"A"}</definedName>
    <definedName name="wrn.STAND_ALONE_BOTH." hidden="1">{"FCB_ALL",#N/A,FALSE,"FCB";"GREY_ALL",#N/A,FALSE,"GREY"}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Tariff99.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UK._.Conversion._.Only." hidden="1">{#N/A,#N/A,FALSE,"Dec 1999 UK Continuing Ops"}</definedName>
    <definedName name="wrn.Wacc." hidden="1">{"Area1",#N/A,FALSE,"OREWACC";"Area2",#N/A,FALSE,"OREWACC"}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rng" hidden="1">{"Output-BaseYear",#N/A,FALSE,"Output"}</definedName>
    <definedName name="wrnh" hidden="1">{"Output-All",#N/A,FALSE,"Output"}</definedName>
    <definedName name="wvu.allocations.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nnual.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_.hotel.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bottom._.line.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cash._.flow.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ombo.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full.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offsite.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nsite.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quarterly.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  <definedName name="xxx" hidden="1">#REF!</definedName>
    <definedName name="y" hidden="1">#REF!</definedName>
    <definedName name="z" hidden="1">'[1]DSM Output'!$G$21:$G$23</definedName>
    <definedName name="Z_01844156_6462_4A28_9785_1A86F4D0C834_.wvu.PrintTitl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3" l="1"/>
  <c r="G10" i="3"/>
  <c r="G12" i="2" l="1"/>
  <c r="G48" i="2" s="1"/>
  <c r="F12" i="2"/>
  <c r="F48" i="2" s="1"/>
  <c r="E12" i="2"/>
  <c r="E48" i="2" s="1"/>
  <c r="D12" i="2"/>
  <c r="D48" i="2" s="1"/>
  <c r="C12" i="2"/>
  <c r="C48" i="2" s="1"/>
  <c r="F39" i="1"/>
  <c r="F40" i="1"/>
  <c r="F41" i="1"/>
  <c r="F38" i="1"/>
  <c r="F31" i="1"/>
  <c r="F30" i="1"/>
  <c r="F25" i="1"/>
  <c r="F26" i="1"/>
  <c r="F24" i="1"/>
  <c r="F19" i="1"/>
  <c r="F20" i="1"/>
  <c r="F18" i="1"/>
  <c r="F14" i="1"/>
  <c r="F10" i="1"/>
  <c r="A49" i="3"/>
  <c r="A47" i="3"/>
  <c r="B46" i="3"/>
  <c r="F41" i="3"/>
  <c r="F40" i="3"/>
  <c r="G40" i="3" s="1"/>
  <c r="F39" i="3"/>
  <c r="K45" i="3"/>
  <c r="A37" i="3"/>
  <c r="B36" i="3"/>
  <c r="E35" i="3"/>
  <c r="E34" i="3"/>
  <c r="F33" i="3"/>
  <c r="G33" i="3"/>
  <c r="A31" i="3"/>
  <c r="B30" i="3"/>
  <c r="E29" i="3"/>
  <c r="E28" i="3"/>
  <c r="E27" i="3"/>
  <c r="F26" i="3"/>
  <c r="K29" i="3"/>
  <c r="A24" i="3"/>
  <c r="B23" i="3"/>
  <c r="K22" i="3"/>
  <c r="E22" i="3"/>
  <c r="E21" i="3"/>
  <c r="E20" i="3"/>
  <c r="L19" i="3"/>
  <c r="F19" i="3"/>
  <c r="G19" i="3" s="1"/>
  <c r="E19" i="3"/>
  <c r="A17" i="3"/>
  <c r="B16" i="3"/>
  <c r="K15" i="3"/>
  <c r="F14" i="3"/>
  <c r="A12" i="3"/>
  <c r="B11" i="3"/>
  <c r="K10" i="3"/>
  <c r="F9" i="3"/>
  <c r="E9" i="3"/>
  <c r="A8" i="3"/>
  <c r="G27" i="2"/>
  <c r="E27" i="2"/>
  <c r="A8" i="2"/>
  <c r="A9" i="2" s="1"/>
  <c r="A10" i="2" s="1"/>
  <c r="G41" i="1"/>
  <c r="E41" i="1"/>
  <c r="G40" i="1"/>
  <c r="E40" i="1"/>
  <c r="G39" i="1"/>
  <c r="E39" i="1"/>
  <c r="G38" i="1"/>
  <c r="E38" i="1"/>
  <c r="G31" i="1"/>
  <c r="E31" i="1"/>
  <c r="G30" i="1"/>
  <c r="G32" i="1" s="1"/>
  <c r="E30" i="1"/>
  <c r="G26" i="1"/>
  <c r="E26" i="1"/>
  <c r="G25" i="1"/>
  <c r="E25" i="1"/>
  <c r="G24" i="1"/>
  <c r="E24" i="1"/>
  <c r="G20" i="1"/>
  <c r="G19" i="1"/>
  <c r="E19" i="1"/>
  <c r="G18" i="1"/>
  <c r="E18" i="1"/>
  <c r="G14" i="1"/>
  <c r="G15" i="1" s="1"/>
  <c r="E14" i="1"/>
  <c r="G10" i="1"/>
  <c r="E10" i="1"/>
  <c r="A8" i="1"/>
  <c r="G42" i="1" l="1"/>
  <c r="G44" i="1" s="1"/>
  <c r="H10" i="1"/>
  <c r="H11" i="1" s="1"/>
  <c r="H18" i="1"/>
  <c r="H41" i="1"/>
  <c r="H38" i="1"/>
  <c r="H14" i="1"/>
  <c r="H15" i="1" s="1"/>
  <c r="H25" i="1"/>
  <c r="H30" i="1"/>
  <c r="G21" i="1"/>
  <c r="H40" i="1"/>
  <c r="G11" i="1"/>
  <c r="F27" i="2"/>
  <c r="H39" i="1"/>
  <c r="G27" i="1"/>
  <c r="H24" i="1"/>
  <c r="H26" i="1"/>
  <c r="H31" i="1"/>
  <c r="G10" i="2"/>
  <c r="G44" i="2"/>
  <c r="A9" i="1"/>
  <c r="A10" i="1" s="1"/>
  <c r="H19" i="1"/>
  <c r="E44" i="2"/>
  <c r="E10" i="2"/>
  <c r="E11" i="3"/>
  <c r="L14" i="3"/>
  <c r="G14" i="3"/>
  <c r="E14" i="3"/>
  <c r="G9" i="3"/>
  <c r="E23" i="3"/>
  <c r="E20" i="1"/>
  <c r="A11" i="2"/>
  <c r="A12" i="2" s="1"/>
  <c r="H19" i="3"/>
  <c r="G41" i="3"/>
  <c r="L39" i="3"/>
  <c r="G39" i="3"/>
  <c r="E39" i="3"/>
  <c r="L26" i="3"/>
  <c r="L33" i="3"/>
  <c r="E15" i="3"/>
  <c r="E40" i="3"/>
  <c r="H40" i="3" s="1"/>
  <c r="I40" i="3" s="1"/>
  <c r="E41" i="3"/>
  <c r="E42" i="3"/>
  <c r="E43" i="3"/>
  <c r="E44" i="3"/>
  <c r="E45" i="3"/>
  <c r="A9" i="3"/>
  <c r="L9" i="3"/>
  <c r="E26" i="3"/>
  <c r="E30" i="3" s="1"/>
  <c r="E33" i="3"/>
  <c r="E36" i="3" s="1"/>
  <c r="K35" i="3"/>
  <c r="C27" i="2"/>
  <c r="G26" i="3"/>
  <c r="D27" i="2"/>
  <c r="A13" i="2" l="1"/>
  <c r="A14" i="2" s="1"/>
  <c r="G34" i="1"/>
  <c r="G46" i="1" s="1"/>
  <c r="L48" i="3"/>
  <c r="H14" i="3"/>
  <c r="H26" i="3"/>
  <c r="I19" i="3"/>
  <c r="F10" i="2"/>
  <c r="F44" i="2"/>
  <c r="H32" i="1"/>
  <c r="A10" i="3"/>
  <c r="A11" i="1"/>
  <c r="H27" i="1"/>
  <c r="C44" i="2"/>
  <c r="C10" i="2"/>
  <c r="E46" i="3"/>
  <c r="H9" i="3"/>
  <c r="H42" i="1"/>
  <c r="D44" i="2"/>
  <c r="D10" i="2"/>
  <c r="H39" i="3"/>
  <c r="I39" i="3" s="1"/>
  <c r="H33" i="3"/>
  <c r="I33" i="3" s="1"/>
  <c r="H41" i="3"/>
  <c r="I41" i="3" s="1"/>
  <c r="H20" i="1"/>
  <c r="E16" i="3"/>
  <c r="H21" i="1" l="1"/>
  <c r="H34" i="1" s="1"/>
  <c r="E48" i="3"/>
  <c r="H44" i="1"/>
  <c r="A12" i="1"/>
  <c r="A13" i="1" s="1"/>
  <c r="A14" i="1" s="1"/>
  <c r="I26" i="3"/>
  <c r="A15" i="2"/>
  <c r="I9" i="3"/>
  <c r="I10" i="2"/>
  <c r="A11" i="3"/>
  <c r="A13" i="3" s="1"/>
  <c r="I14" i="3"/>
  <c r="H46" i="1" l="1"/>
  <c r="J11" i="1" s="1"/>
  <c r="A16" i="2"/>
  <c r="A14" i="3"/>
  <c r="A15" i="1"/>
  <c r="A16" i="1"/>
  <c r="A17" i="1" s="1"/>
  <c r="J34" i="1" l="1"/>
  <c r="J44" i="1"/>
  <c r="J25" i="1"/>
  <c r="J38" i="1"/>
  <c r="J40" i="1"/>
  <c r="J15" i="1"/>
  <c r="J30" i="1"/>
  <c r="J41" i="1"/>
  <c r="J18" i="1"/>
  <c r="J31" i="1"/>
  <c r="J19" i="1"/>
  <c r="J26" i="1"/>
  <c r="J24" i="1"/>
  <c r="J39" i="1"/>
  <c r="J42" i="1"/>
  <c r="J27" i="1"/>
  <c r="J32" i="1"/>
  <c r="J20" i="1"/>
  <c r="J21" i="1"/>
  <c r="A15" i="3"/>
  <c r="J46" i="1"/>
  <c r="A18" i="1"/>
  <c r="A17" i="2"/>
  <c r="A18" i="2" s="1"/>
  <c r="A16" i="3" l="1"/>
  <c r="A19" i="2"/>
  <c r="A20" i="2" s="1"/>
  <c r="A18" i="3"/>
  <c r="A19" i="3" s="1"/>
  <c r="A19" i="1"/>
  <c r="G43" i="3" l="1"/>
  <c r="H43" i="3" s="1"/>
  <c r="I43" i="3" s="1"/>
  <c r="I39" i="1"/>
  <c r="K39" i="1" s="1"/>
  <c r="L39" i="1" s="1"/>
  <c r="I18" i="1"/>
  <c r="K18" i="1" s="1"/>
  <c r="L18" i="1" s="1"/>
  <c r="I31" i="1"/>
  <c r="K31" i="1" s="1"/>
  <c r="L31" i="1" s="1"/>
  <c r="A21" i="2"/>
  <c r="I19" i="1"/>
  <c r="K19" i="1" s="1"/>
  <c r="L19" i="1" s="1"/>
  <c r="A20" i="1"/>
  <c r="A21" i="1" s="1"/>
  <c r="G44" i="3"/>
  <c r="H44" i="3" s="1"/>
  <c r="I44" i="3" s="1"/>
  <c r="I40" i="1"/>
  <c r="K40" i="1" s="1"/>
  <c r="L40" i="1" s="1"/>
  <c r="I26" i="1"/>
  <c r="K26" i="1" s="1"/>
  <c r="L26" i="1" s="1"/>
  <c r="I30" i="1"/>
  <c r="K30" i="1" s="1"/>
  <c r="L30" i="1" s="1"/>
  <c r="I14" i="1"/>
  <c r="I15" i="1" s="1"/>
  <c r="K15" i="1" s="1"/>
  <c r="L15" i="1" s="1"/>
  <c r="G42" i="3"/>
  <c r="I38" i="1"/>
  <c r="K38" i="1" s="1"/>
  <c r="L38" i="1" s="1"/>
  <c r="I20" i="1"/>
  <c r="K20" i="1" s="1"/>
  <c r="L20" i="1" s="1"/>
  <c r="A20" i="3"/>
  <c r="I24" i="1"/>
  <c r="K24" i="1" s="1"/>
  <c r="L24" i="1" s="1"/>
  <c r="G45" i="3"/>
  <c r="H45" i="3" s="1"/>
  <c r="I45" i="3" s="1"/>
  <c r="I41" i="1"/>
  <c r="K41" i="1" s="1"/>
  <c r="L41" i="1" s="1"/>
  <c r="I25" i="1"/>
  <c r="K25" i="1" s="1"/>
  <c r="L25" i="1" s="1"/>
  <c r="I32" i="1" l="1"/>
  <c r="K32" i="1" s="1"/>
  <c r="L32" i="1" s="1"/>
  <c r="G35" i="3"/>
  <c r="H35" i="3" s="1"/>
  <c r="I35" i="3" s="1"/>
  <c r="G15" i="3"/>
  <c r="A22" i="2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G22" i="3"/>
  <c r="H22" i="3" s="1"/>
  <c r="I22" i="3" s="1"/>
  <c r="G29" i="3"/>
  <c r="H29" i="3" s="1"/>
  <c r="I29" i="3" s="1"/>
  <c r="G28" i="3"/>
  <c r="H28" i="3" s="1"/>
  <c r="I28" i="3" s="1"/>
  <c r="I27" i="1"/>
  <c r="K27" i="1" s="1"/>
  <c r="L27" i="1" s="1"/>
  <c r="I42" i="1"/>
  <c r="K42" i="1" s="1"/>
  <c r="L42" i="1" s="1"/>
  <c r="G21" i="3"/>
  <c r="H21" i="3" s="1"/>
  <c r="I21" i="3" s="1"/>
  <c r="I21" i="1"/>
  <c r="K21" i="1" s="1"/>
  <c r="L21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G27" i="3"/>
  <c r="H42" i="3"/>
  <c r="I42" i="3" s="1"/>
  <c r="G46" i="3"/>
  <c r="H46" i="3" s="1"/>
  <c r="I46" i="3" s="1"/>
  <c r="G20" i="3"/>
  <c r="G9" i="2"/>
  <c r="G11" i="2" s="1"/>
  <c r="A21" i="3"/>
  <c r="A22" i="3"/>
  <c r="A23" i="3" s="1"/>
  <c r="A25" i="3" s="1"/>
  <c r="A26" i="3" s="1"/>
  <c r="A27" i="3" s="1"/>
  <c r="A28" i="3" s="1"/>
  <c r="A29" i="3" s="1"/>
  <c r="A30" i="3" s="1"/>
  <c r="A32" i="3" s="1"/>
  <c r="A33" i="3" s="1"/>
  <c r="A34" i="3" s="1"/>
  <c r="A35" i="3" s="1"/>
  <c r="A36" i="3" s="1"/>
  <c r="A38" i="3" s="1"/>
  <c r="A39" i="3" s="1"/>
  <c r="A40" i="3" s="1"/>
  <c r="D9" i="2"/>
  <c r="D11" i="2" s="1"/>
  <c r="G34" i="3"/>
  <c r="D49" i="2" l="1"/>
  <c r="H27" i="3"/>
  <c r="G30" i="3"/>
  <c r="H15" i="3"/>
  <c r="G16" i="3"/>
  <c r="F9" i="2"/>
  <c r="F11" i="2" s="1"/>
  <c r="A41" i="3"/>
  <c r="A42" i="3" s="1"/>
  <c r="A43" i="3" s="1"/>
  <c r="A44" i="3" s="1"/>
  <c r="A45" i="3" s="1"/>
  <c r="A46" i="3" s="1"/>
  <c r="A48" i="3" s="1"/>
  <c r="A50" i="3" s="1"/>
  <c r="E9" i="2"/>
  <c r="E11" i="2" s="1"/>
  <c r="D39" i="2"/>
  <c r="D38" i="2"/>
  <c r="D40" i="2"/>
  <c r="D32" i="2"/>
  <c r="D33" i="2"/>
  <c r="D30" i="2"/>
  <c r="D37" i="2"/>
  <c r="D36" i="2"/>
  <c r="D31" i="2"/>
  <c r="D34" i="2"/>
  <c r="D41" i="2"/>
  <c r="D35" i="2"/>
  <c r="H34" i="3"/>
  <c r="I34" i="3" s="1"/>
  <c r="G36" i="3"/>
  <c r="H20" i="3"/>
  <c r="G23" i="3"/>
  <c r="G31" i="2"/>
  <c r="G34" i="2"/>
  <c r="G38" i="2"/>
  <c r="G30" i="2"/>
  <c r="G32" i="2"/>
  <c r="G33" i="2"/>
  <c r="G39" i="2"/>
  <c r="G36" i="2"/>
  <c r="G40" i="2"/>
  <c r="G41" i="2"/>
  <c r="G37" i="2"/>
  <c r="G35" i="2"/>
  <c r="I44" i="1"/>
  <c r="K44" i="1" s="1"/>
  <c r="L44" i="1" s="1"/>
  <c r="G42" i="2" l="1"/>
  <c r="H36" i="3"/>
  <c r="F34" i="2"/>
  <c r="F37" i="2"/>
  <c r="F35" i="2"/>
  <c r="F40" i="2"/>
  <c r="F38" i="2"/>
  <c r="F41" i="2"/>
  <c r="F31" i="2"/>
  <c r="F32" i="2"/>
  <c r="F30" i="2"/>
  <c r="F39" i="2"/>
  <c r="F33" i="2"/>
  <c r="F36" i="2"/>
  <c r="D42" i="2"/>
  <c r="I15" i="3"/>
  <c r="H16" i="3"/>
  <c r="I16" i="3" s="1"/>
  <c r="I20" i="3"/>
  <c r="H23" i="3"/>
  <c r="I23" i="3" s="1"/>
  <c r="E37" i="2"/>
  <c r="E34" i="2"/>
  <c r="E32" i="2"/>
  <c r="E30" i="2"/>
  <c r="E38" i="2"/>
  <c r="E35" i="2"/>
  <c r="E33" i="2"/>
  <c r="E41" i="2"/>
  <c r="E36" i="2"/>
  <c r="E39" i="2"/>
  <c r="E40" i="2"/>
  <c r="E31" i="2"/>
  <c r="I27" i="3"/>
  <c r="H30" i="3"/>
  <c r="I30" i="3" s="1"/>
  <c r="E42" i="2" l="1"/>
  <c r="F42" i="2"/>
  <c r="I36" i="3"/>
  <c r="G11" i="3" l="1"/>
  <c r="G48" i="3" s="1"/>
  <c r="H10" i="3" l="1"/>
  <c r="I10" i="3" l="1"/>
  <c r="H11" i="3"/>
  <c r="I11" i="3" l="1"/>
  <c r="H48" i="3"/>
  <c r="I48" i="3" s="1"/>
  <c r="I10" i="1"/>
  <c r="I11" i="1" s="1"/>
  <c r="C9" i="2" l="1"/>
  <c r="K11" i="1"/>
  <c r="I34" i="1"/>
  <c r="K34" i="1" s="1"/>
  <c r="I46" i="1" l="1"/>
  <c r="K46" i="1" s="1"/>
  <c r="N46" i="1" s="1"/>
  <c r="L11" i="1"/>
  <c r="I9" i="2"/>
  <c r="C11" i="2"/>
  <c r="C49" i="2" l="1"/>
  <c r="N11" i="1"/>
  <c r="L46" i="1"/>
  <c r="N42" i="1"/>
  <c r="N21" i="1"/>
  <c r="O21" i="1" s="1"/>
  <c r="N32" i="1"/>
  <c r="O32" i="1" s="1"/>
  <c r="N27" i="1"/>
  <c r="O27" i="1" s="1"/>
  <c r="N15" i="1"/>
  <c r="O15" i="1" s="1"/>
  <c r="C31" i="2"/>
  <c r="C36" i="2"/>
  <c r="C37" i="2"/>
  <c r="C35" i="2"/>
  <c r="C39" i="2"/>
  <c r="C41" i="2"/>
  <c r="C33" i="2"/>
  <c r="C32" i="2"/>
  <c r="C34" i="2"/>
  <c r="C30" i="2"/>
  <c r="C40" i="2"/>
  <c r="C38" i="2"/>
  <c r="L34" i="1"/>
  <c r="N44" i="1" l="1"/>
  <c r="O44" i="1" s="1"/>
  <c r="O42" i="1"/>
  <c r="N34" i="1"/>
  <c r="O34" i="1" s="1"/>
  <c r="O11" i="1"/>
  <c r="C42" i="2"/>
</calcChain>
</file>

<file path=xl/sharedStrings.xml><?xml version="1.0" encoding="utf-8"?>
<sst xmlns="http://schemas.openxmlformats.org/spreadsheetml/2006/main" count="178" uniqueCount="116">
  <si>
    <t>Revenue Distribution</t>
  </si>
  <si>
    <t>Line No.</t>
  </si>
  <si>
    <t>Description</t>
  </si>
  <si>
    <t>Rate Schedule</t>
  </si>
  <si>
    <t>Block Descriptions (therms per month)</t>
  </si>
  <si>
    <t>Current Rate</t>
  </si>
  <si>
    <t>Proposed Rate</t>
  </si>
  <si>
    <t>Test Year Adjusted Sales</t>
  </si>
  <si>
    <t>Margin Revenue at Current Rates</t>
  </si>
  <si>
    <t>Margin Revenue at Proposed Rates</t>
  </si>
  <si>
    <t>Revenue Percentage by Class</t>
  </si>
  <si>
    <t>Proposed Revenue Change</t>
  </si>
  <si>
    <t>Total Revenue Percentage Change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</si>
  <si>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</si>
  <si>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</si>
  <si>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</si>
  <si>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</si>
  <si>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</si>
  <si>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</si>
  <si>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</si>
  <si>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</si>
  <si>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</si>
  <si>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</si>
  <si>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</si>
  <si>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Core</t>
  </si>
  <si>
    <t>Residential</t>
  </si>
  <si>
    <t>General Service</t>
  </si>
  <si>
    <t xml:space="preserve"> </t>
  </si>
  <si>
    <t>Total</t>
  </si>
  <si>
    <t>Commercial</t>
  </si>
  <si>
    <t>Industrial Firm</t>
  </si>
  <si>
    <t>First 500</t>
  </si>
  <si>
    <t>Next 3,500</t>
  </si>
  <si>
    <t>Over 4,000</t>
  </si>
  <si>
    <t>C&amp;I Dual Service</t>
  </si>
  <si>
    <t>Large Volume</t>
  </si>
  <si>
    <t>First 20,000</t>
  </si>
  <si>
    <t>Next 80,000</t>
  </si>
  <si>
    <t>Over 100,000</t>
  </si>
  <si>
    <t>Interruptible</t>
  </si>
  <si>
    <t>First 30,000</t>
  </si>
  <si>
    <t>Over 30,000</t>
  </si>
  <si>
    <t>Total Core</t>
  </si>
  <si>
    <t>Non-Core</t>
  </si>
  <si>
    <t>Transport</t>
  </si>
  <si>
    <t>Distribution Service</t>
  </si>
  <si>
    <t>First 100,000</t>
  </si>
  <si>
    <t>Next 200,000</t>
  </si>
  <si>
    <t>Over 500,000</t>
  </si>
  <si>
    <t>Total Non-Core</t>
  </si>
  <si>
    <t>ck</t>
  </si>
  <si>
    <t>Decoupling Mechanism Baseline / Authorized Revenue Per Customer (RPC)</t>
  </si>
  <si>
    <t>Line No</t>
  </si>
  <si>
    <t>Sch. 503</t>
  </si>
  <si>
    <t>Sch. 504</t>
  </si>
  <si>
    <t>Sch. 505</t>
  </si>
  <si>
    <t>Sch. 511</t>
  </si>
  <si>
    <t>Sch. 570</t>
  </si>
  <si>
    <t>Decoupling Baseline Data</t>
  </si>
  <si>
    <t>Margin Revenue</t>
  </si>
  <si>
    <t>Annual Therms</t>
  </si>
  <si>
    <t>Rate</t>
  </si>
  <si>
    <t>Customer Count</t>
  </si>
  <si>
    <t>Monthly Therms</t>
  </si>
  <si>
    <t>January</t>
  </si>
  <si>
    <t>February</t>
  </si>
  <si>
    <t>March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</si>
  <si>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</si>
  <si>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</si>
  <si>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</si>
  <si>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</si>
  <si>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</si>
  <si>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</si>
  <si>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>October</t>
  </si>
  <si>
    <t xml:space="preserve">November </t>
  </si>
  <si>
    <t>December</t>
  </si>
  <si>
    <t>Authorized Revenue Per Customer</t>
  </si>
  <si>
    <t>AVG</t>
  </si>
  <si>
    <t>Rule 8 Allowance</t>
  </si>
  <si>
    <t>Analysis of Revenue by Detailed Rate Schedule</t>
  </si>
  <si>
    <t>Present Adjusted Test Year Revenues</t>
  </si>
  <si>
    <t>Proposed Revenues</t>
  </si>
  <si>
    <t>Difference</t>
  </si>
  <si>
    <t>Customer Class</t>
  </si>
  <si>
    <t>Adjusted Billing Units*</t>
  </si>
  <si>
    <t>Adjusted Current Rate</t>
  </si>
  <si>
    <t>Revenue</t>
  </si>
  <si>
    <t>Proposed Rates</t>
  </si>
  <si>
    <t>$ Amount</t>
  </si>
  <si>
    <t>% Amount</t>
  </si>
  <si>
    <t>Average Monthly Therms</t>
  </si>
  <si>
    <t>Residential - 503</t>
  </si>
  <si>
    <t>Basic Service Charge</t>
  </si>
  <si>
    <t>Delivery Charge</t>
  </si>
  <si>
    <t>General Commercial - 504</t>
  </si>
  <si>
    <t>General Industrial - 505</t>
  </si>
  <si>
    <t>Delivery Charge First 500 Therms</t>
  </si>
  <si>
    <t>Delivery Charge Next 3,500 Therms</t>
  </si>
  <si>
    <t>Delivery Charge &gt; 4,000 Therms</t>
  </si>
  <si>
    <t>Large Volume General Service - 511</t>
  </si>
  <si>
    <t>Margin First 20,000 Therms</t>
  </si>
  <si>
    <t>Margin Next 80,000 Therms</t>
  </si>
  <si>
    <t>Margin&gt; 100,000 Therms</t>
  </si>
  <si>
    <t>Interruptible Service - 570</t>
  </si>
  <si>
    <t>Margin First 30,000 Therms</t>
  </si>
  <si>
    <t>Margin &gt; 30,000 Therms</t>
  </si>
  <si>
    <t>Non-Core Industrial 663</t>
  </si>
  <si>
    <t>Contract Demand Charge</t>
  </si>
  <si>
    <t>System Balancing Charge</t>
  </si>
  <si>
    <t>Delivery Charge First 100,000 Therms</t>
  </si>
  <si>
    <t>Delivery Charge Next 200,000 Therms</t>
  </si>
  <si>
    <t>Delivery Charge &gt; 500,000 therms</t>
  </si>
  <si>
    <t>* Delivery Charge units are in therms</t>
  </si>
  <si>
    <t>Cascade Natural Gas Corp.</t>
  </si>
  <si>
    <t>Washington Jurisdiction</t>
  </si>
  <si>
    <t>Twelve-Months ended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</si>
</sst>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_(* #,##0_);_(* \(#,##0\);_(* &quot;-&quot;??_);_(@_)"/>
    <numFmt numFmtId="166" formatCode="#,##0.00000"/>
    <numFmt numFmtId="167" formatCode="_(&quot;$&quot;* #,##0.000_);_(&quot;$&quot;* \(#,##0.000\);_(&quot;$&quot;* &quot;-&quot;??_);_(@_)"/>
    <numFmt numFmtId="168" formatCode="_(* #,##0.00000_);_(* \(#,##0.00000\);_(* &quot;-&quot;??_);_(@_)"/>
    <numFmt numFmtId="169" formatCode="_(&quot;$&quot;* #,##0_);_(&quot;$&quot;* \(#,##0\);_(&quot;$&quot;* &quot;-&quot;??_);_(@_)"/>
    <numFmt numFmtId="170" formatCode="&quot;$&quot;#,##0.00"/>
    <numFmt numFmtId="171" formatCode="0.0%"/>
    <numFmt numFmtId="172" formatCode="&quot;$&quot;#,##0.00000"/>
    <numFmt numFmtId="173" formatCode="0.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i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10" fontId="1" fillId="0" borderId="1" xfId="0" applyNumberFormat="1" applyFont="1" applyBorder="1" applyAlignment="1">
      <alignment horizontal="center"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3" fontId="1" fillId="0" borderId="0" xfId="0" applyNumberFormat="1" applyFont="1"/>
    <xf numFmtId="10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left" indent="1"/>
    </xf>
    <xf numFmtId="10" fontId="1" fillId="0" borderId="0" xfId="3" applyNumberFormat="1" applyFont="1" applyFill="1" applyBorder="1"/>
    <xf numFmtId="0" fontId="2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/>
    <xf numFmtId="3" fontId="2" fillId="0" borderId="2" xfId="0" applyNumberFormat="1" applyFont="1" applyBorder="1"/>
    <xf numFmtId="10" fontId="2" fillId="0" borderId="2" xfId="3" applyNumberFormat="1" applyFont="1" applyFill="1" applyBorder="1"/>
    <xf numFmtId="10" fontId="2" fillId="0" borderId="2" xfId="0" applyNumberFormat="1" applyFont="1" applyBorder="1"/>
    <xf numFmtId="0" fontId="2" fillId="0" borderId="0" xfId="0" applyFont="1" applyAlignment="1">
      <alignment horizontal="left" indent="1"/>
    </xf>
    <xf numFmtId="3" fontId="2" fillId="0" borderId="0" xfId="0" applyNumberFormat="1" applyFont="1"/>
    <xf numFmtId="10" fontId="2" fillId="0" borderId="0" xfId="3" applyNumberFormat="1" applyFont="1" applyFill="1" applyBorder="1"/>
    <xf numFmtId="10" fontId="2" fillId="0" borderId="0" xfId="0" applyNumberFormat="1" applyFont="1"/>
    <xf numFmtId="165" fontId="4" fillId="0" borderId="0" xfId="1" applyNumberFormat="1" applyFont="1" applyFill="1" applyBorder="1"/>
    <xf numFmtId="3" fontId="1" fillId="0" borderId="0" xfId="0" applyNumberFormat="1" applyFont="1" applyAlignment="1">
      <alignment horizontal="center"/>
    </xf>
    <xf numFmtId="166" fontId="1" fillId="0" borderId="0" xfId="0" applyNumberFormat="1" applyFont="1"/>
    <xf numFmtId="0" fontId="2" fillId="0" borderId="3" xfId="0" applyFont="1" applyBorder="1" applyAlignment="1">
      <alignment horizontal="left" indent="1"/>
    </xf>
    <xf numFmtId="0" fontId="1" fillId="0" borderId="3" xfId="0" applyFont="1" applyBorder="1"/>
    <xf numFmtId="3" fontId="2" fillId="0" borderId="3" xfId="0" applyNumberFormat="1" applyFont="1" applyBorder="1"/>
    <xf numFmtId="10" fontId="2" fillId="0" borderId="3" xfId="3" applyNumberFormat="1" applyFont="1" applyFill="1" applyBorder="1"/>
    <xf numFmtId="3" fontId="5" fillId="0" borderId="3" xfId="0" applyNumberFormat="1" applyFont="1" applyBorder="1"/>
    <xf numFmtId="10" fontId="2" fillId="0" borderId="3" xfId="0" applyNumberFormat="1" applyFont="1" applyBorder="1"/>
    <xf numFmtId="167" fontId="1" fillId="0" borderId="0" xfId="2" applyNumberFormat="1" applyFont="1"/>
    <xf numFmtId="9" fontId="1" fillId="0" borderId="0" xfId="3" applyFont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left"/>
    </xf>
    <xf numFmtId="165" fontId="1" fillId="0" borderId="0" xfId="1" applyNumberFormat="1" applyFont="1" applyFill="1" applyBorder="1" applyAlignment="1">
      <alignment horizontal="right"/>
    </xf>
    <xf numFmtId="165" fontId="1" fillId="0" borderId="0" xfId="0" applyNumberFormat="1" applyFont="1"/>
    <xf numFmtId="168" fontId="1" fillId="0" borderId="0" xfId="1" applyNumberFormat="1" applyFont="1" applyFill="1" applyBorder="1" applyAlignment="1">
      <alignment horizontal="right"/>
    </xf>
    <xf numFmtId="37" fontId="1" fillId="0" borderId="0" xfId="0" applyNumberFormat="1" applyFont="1"/>
    <xf numFmtId="165" fontId="1" fillId="0" borderId="0" xfId="1" applyNumberFormat="1" applyFont="1" applyFill="1" applyBorder="1"/>
    <xf numFmtId="3" fontId="4" fillId="0" borderId="0" xfId="0" applyNumberFormat="1" applyFont="1"/>
    <xf numFmtId="165" fontId="1" fillId="0" borderId="2" xfId="0" applyNumberFormat="1" applyFont="1" applyBorder="1"/>
    <xf numFmtId="43" fontId="1" fillId="0" borderId="0" xfId="0" applyNumberFormat="1" applyFont="1"/>
    <xf numFmtId="43" fontId="1" fillId="0" borderId="2" xfId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43" fontId="1" fillId="0" borderId="0" xfId="1" applyFont="1" applyFill="1" applyBorder="1" applyAlignment="1">
      <alignment horizontal="right"/>
    </xf>
    <xf numFmtId="6" fontId="1" fillId="0" borderId="0" xfId="1" applyNumberFormat="1" applyFont="1" applyFill="1" applyBorder="1" applyAlignment="1">
      <alignment horizontal="right"/>
    </xf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169" fontId="4" fillId="0" borderId="0" xfId="0" applyNumberFormat="1" applyFont="1"/>
    <xf numFmtId="165" fontId="4" fillId="0" borderId="0" xfId="1" applyNumberFormat="1" applyFont="1" applyBorder="1"/>
    <xf numFmtId="10" fontId="4" fillId="0" borderId="0" xfId="3" applyNumberFormat="1" applyFont="1" applyBorder="1"/>
    <xf numFmtId="43" fontId="4" fillId="0" borderId="0" xfId="0" applyNumberFormat="1" applyFont="1"/>
    <xf numFmtId="0" fontId="4" fillId="0" borderId="0" xfId="0" applyFont="1" applyAlignment="1">
      <alignment horizontal="centerContinuous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wrapText="1"/>
    </xf>
    <xf numFmtId="43" fontId="4" fillId="0" borderId="0" xfId="1" applyFont="1" applyBorder="1"/>
    <xf numFmtId="0" fontId="4" fillId="0" borderId="1" xfId="0" applyFont="1" applyBorder="1" applyAlignment="1">
      <alignment horizontal="center"/>
    </xf>
    <xf numFmtId="0" fontId="8" fillId="0" borderId="0" xfId="0" applyFont="1"/>
    <xf numFmtId="165" fontId="4" fillId="0" borderId="0" xfId="0" applyNumberFormat="1" applyFont="1"/>
    <xf numFmtId="170" fontId="4" fillId="0" borderId="0" xfId="0" applyNumberFormat="1" applyFont="1"/>
    <xf numFmtId="0" fontId="4" fillId="0" borderId="0" xfId="0" applyFont="1" applyAlignment="1">
      <alignment horizontal="left"/>
    </xf>
    <xf numFmtId="170" fontId="4" fillId="0" borderId="0" xfId="1" applyNumberFormat="1" applyFont="1" applyBorder="1"/>
    <xf numFmtId="169" fontId="4" fillId="0" borderId="0" xfId="2" applyNumberFormat="1" applyFont="1" applyBorder="1"/>
    <xf numFmtId="170" fontId="9" fillId="2" borderId="0" xfId="1" applyNumberFormat="1" applyFont="1" applyFill="1" applyBorder="1"/>
    <xf numFmtId="10" fontId="4" fillId="0" borderId="0" xfId="3" applyNumberFormat="1" applyFont="1" applyBorder="1" applyAlignment="1">
      <alignment horizontal="center"/>
    </xf>
    <xf numFmtId="171" fontId="4" fillId="0" borderId="0" xfId="3" applyNumberFormat="1" applyFont="1" applyBorder="1" applyAlignment="1">
      <alignment horizontal="center"/>
    </xf>
    <xf numFmtId="172" fontId="4" fillId="0" borderId="0" xfId="1" applyNumberFormat="1" applyFont="1" applyBorder="1"/>
    <xf numFmtId="172" fontId="9" fillId="2" borderId="0" xfId="1" applyNumberFormat="1" applyFont="1" applyFill="1" applyBorder="1"/>
    <xf numFmtId="43" fontId="10" fillId="0" borderId="0" xfId="1" applyFont="1" applyBorder="1"/>
    <xf numFmtId="0" fontId="4" fillId="0" borderId="2" xfId="0" applyFont="1" applyBorder="1" applyAlignment="1">
      <alignment horizontal="left" indent="1"/>
    </xf>
    <xf numFmtId="169" fontId="4" fillId="0" borderId="2" xfId="2" applyNumberFormat="1" applyFont="1" applyBorder="1"/>
    <xf numFmtId="10" fontId="4" fillId="0" borderId="2" xfId="3" applyNumberFormat="1" applyFont="1" applyBorder="1" applyAlignment="1">
      <alignment horizontal="center"/>
    </xf>
    <xf numFmtId="10" fontId="4" fillId="0" borderId="0" xfId="0" applyNumberFormat="1" applyFont="1" applyAlignment="1">
      <alignment horizontal="center"/>
    </xf>
    <xf numFmtId="17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indent="2"/>
    </xf>
    <xf numFmtId="170" fontId="4" fillId="0" borderId="0" xfId="2" applyNumberFormat="1" applyFont="1" applyBorder="1"/>
    <xf numFmtId="172" fontId="4" fillId="0" borderId="0" xfId="2" applyNumberFormat="1" applyFont="1" applyBorder="1"/>
    <xf numFmtId="171" fontId="4" fillId="0" borderId="0" xfId="3" applyNumberFormat="1" applyFont="1" applyBorder="1"/>
    <xf numFmtId="43" fontId="4" fillId="0" borderId="2" xfId="1" applyFont="1" applyBorder="1"/>
    <xf numFmtId="0" fontId="4" fillId="0" borderId="3" xfId="0" applyFont="1" applyBorder="1"/>
    <xf numFmtId="169" fontId="4" fillId="0" borderId="3" xfId="0" applyNumberFormat="1" applyFont="1" applyBorder="1"/>
    <xf numFmtId="169" fontId="7" fillId="0" borderId="3" xfId="0" applyNumberFormat="1" applyFont="1" applyBorder="1"/>
    <xf numFmtId="10" fontId="4" fillId="0" borderId="3" xfId="3" applyNumberFormat="1" applyFont="1" applyBorder="1" applyAlignment="1">
      <alignment horizontal="center"/>
    </xf>
    <xf numFmtId="9" fontId="4" fillId="0" borderId="0" xfId="3" applyFont="1" applyBorder="1" applyAlignment="1">
      <alignment horizontal="center"/>
    </xf>
    <xf numFmtId="173" fontId="4" fillId="0" borderId="0" xfId="3" applyNumberFormat="1" applyFont="1" applyBorder="1"/>
    <xf numFmtId="0" fontId="1" fillId="0" borderId="0" xfId="0" applyFont="1" applyAlignment="1">
      <alignment horizontal="center"/>
    </xf>
    <xf numFmtId="7" fontId="11" fillId="0" borderId="0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10 2 2 4" xfId="4" xr:uid="{50852397-20FC-4DA2-B723-9558F36F2FB2}"/>
    <cellStyle name="Percent" xfId="3" builtinId="5"/>
  </cellStyles>
  <dxfs count="0"/>
  <tableStyles count="1" defaultTableStyle="TableStyleMedium2" defaultPivotStyle="PivotStyleLight16">
    <tableStyle name="Invisible" pivot="0" table="0" count="0" xr9:uid="{6E210DC7-1490-4458-B91D-520654FAB8E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8" Type="http://schemas.openxmlformats.org/officeDocument/2006/relationships/externalLink" Target="externalLinks/externalLink5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4.xml"/><Relationship Id="rId14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s://mduresources-my.sharepoint.com/REGULATN/PA&amp;D/DSMRecov/2001/RECOV01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s://mduresources-my.sharepoint.com/Documents%20and%20Settings/p70596/Local%20Settings/Temporary%20Internet%20Files/OLK3B/ORA%20Workpapers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leweb/office/FINANCIALS/WHITE%20SWAN/2000/JAN_ELECTRONIC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Admin\Data-Departmental\1active\PROJECTS\STOWE\stowhotel.xls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s://mduresources-my.sharepoint.com/REGULATN/PA&amp;D/CASES/Wy0902/EAST%20Blocking%20902.xls" TargetMode="External" />
</Relationships>
</file>

<file path=xl/externalLinks/_rels/externalLink6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P:\Utility\Energy%20Rates%20Finance%20and%20Audit\Moya's%20files\Pacificorp%20LT%20debt\PAC%20LT%20Debt%20-%20working.xlsx" TargetMode="External" />
</Relationships>
</file>

<file path=xl/externalLinks/_rels/externalLink7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OPUC-FILEPRINT\Agency\Utility\Energy%20Rates%20Finance%20and%20Audit\Moya's%20files\Pacificorp%20LT%20debt\PAC%20LT%20Debt%20-%20working.xlsx" TargetMode="External" />
</Relationships>
</file>

<file path=xl/externalLinks/_rels/externalLink8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Slcshrn102\SHR02\Documents%20and%20Settings\p04092.000\Local%20Settings\Temporary%20Internet%20Files\OLK1AC\RECOV04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G22">
            <v>1931963666</v>
          </cell>
        </row>
        <row r="23"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"/>
      <sheetName val="AR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ment"/>
      <sheetName val="#REF"/>
    </sheetNames>
    <sheetDataSet>
      <sheetData sheetId="0" refreshError="1">
        <row r="3">
          <cell r="C3" t="str">
            <v>Base Assumptions</v>
          </cell>
        </row>
        <row r="16">
          <cell r="B16" t="str">
            <v>Other Consultants</v>
          </cell>
          <cell r="E16">
            <v>40296.682871109319</v>
          </cell>
          <cell r="F16">
            <v>0</v>
          </cell>
          <cell r="G16">
            <v>0</v>
          </cell>
          <cell r="H16">
            <v>40296.682871109319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>
            <v>0</v>
          </cell>
          <cell r="S16">
            <v>40296.682871109319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40296.682871109319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</row>
        <row r="21">
          <cell r="B21" t="str">
            <v>Insurance (% direct construction)</v>
          </cell>
          <cell r="D21">
            <v>8.9999999999999993E-3</v>
          </cell>
          <cell r="E21">
            <v>85383.376030864485</v>
          </cell>
          <cell r="F21">
            <v>0</v>
          </cell>
          <cell r="G21">
            <v>16506</v>
          </cell>
          <cell r="H21">
            <v>68877.376030864485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S21">
            <v>85383.376030864485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8253</v>
          </cell>
          <cell r="AB21">
            <v>8253</v>
          </cell>
          <cell r="AC21">
            <v>18248.426186763256</v>
          </cell>
          <cell r="AD21">
            <v>16751.760417341211</v>
          </cell>
          <cell r="AE21">
            <v>16876.009426760018</v>
          </cell>
          <cell r="AF21">
            <v>17001.179999999989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</row>
        <row r="36">
          <cell r="B36" t="str">
            <v>Other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46">
          <cell r="B46" t="str">
            <v>Spa and Fitness</v>
          </cell>
          <cell r="C46">
            <v>5100</v>
          </cell>
          <cell r="D46">
            <v>45</v>
          </cell>
          <cell r="E46">
            <v>238138.28451217926</v>
          </cell>
          <cell r="F46">
            <v>0</v>
          </cell>
          <cell r="G46">
            <v>0</v>
          </cell>
          <cell r="H46">
            <v>0</v>
          </cell>
          <cell r="I46">
            <v>238138.28451217926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R46">
            <v>0</v>
          </cell>
          <cell r="S46">
            <v>238138.28451217926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238138.28451217926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85">
          <cell r="B85" t="str">
            <v>Hotel Development Cost</v>
          </cell>
          <cell r="E85">
            <v>-16878685.151613597</v>
          </cell>
          <cell r="F85">
            <v>-179400</v>
          </cell>
          <cell r="G85">
            <v>-3680748.3397686705</v>
          </cell>
          <cell r="H85">
            <v>-10268133.01329181</v>
          </cell>
          <cell r="I85">
            <v>-2750403.7985531162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R85">
            <v>0</v>
          </cell>
          <cell r="S85">
            <v>-16878685.151613597</v>
          </cell>
          <cell r="U85">
            <v>0</v>
          </cell>
          <cell r="V85">
            <v>-35880</v>
          </cell>
          <cell r="W85">
            <v>-71760</v>
          </cell>
          <cell r="X85">
            <v>-71760</v>
          </cell>
          <cell r="Y85">
            <v>-71760</v>
          </cell>
          <cell r="Z85">
            <v>-71760</v>
          </cell>
          <cell r="AA85">
            <v>-1211264.6078000001</v>
          </cell>
          <cell r="AB85">
            <v>-2325963.7319686706</v>
          </cell>
          <cell r="AC85">
            <v>-3277714.7933725528</v>
          </cell>
          <cell r="AD85">
            <v>-2312941.7387162838</v>
          </cell>
          <cell r="AE85">
            <v>-2330096.9927229751</v>
          </cell>
          <cell r="AF85">
            <v>-2347379.4884799989</v>
          </cell>
          <cell r="AG85">
            <v>-2750403.7985531162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</row>
        <row r="89">
          <cell r="B89" t="str">
            <v>Selling Costs</v>
          </cell>
          <cell r="C89">
            <v>2.5000000000000001E-2</v>
          </cell>
          <cell r="E89">
            <v>-376100.18403468747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-376100.18403468747</v>
          </cell>
          <cell r="R89">
            <v>0</v>
          </cell>
          <cell r="S89">
            <v>-376100.18403468747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-376100.18403468747</v>
          </cell>
        </row>
        <row r="91">
          <cell r="A91" t="str">
            <v>Cumulative Cash Flow</v>
          </cell>
          <cell r="F91">
            <v>-179400</v>
          </cell>
          <cell r="G91">
            <v>-3860148.3397686705</v>
          </cell>
          <cell r="H91">
            <v>-14128281.35306048</v>
          </cell>
          <cell r="I91">
            <v>-16523543.829363404</v>
          </cell>
          <cell r="J91">
            <v>-15468369.525907626</v>
          </cell>
          <cell r="K91">
            <v>-14241253.574376589</v>
          </cell>
          <cell r="L91">
            <v>-12930255.245524464</v>
          </cell>
          <cell r="M91">
            <v>-11573371.975162519</v>
          </cell>
          <cell r="N91">
            <v>-10158300.642819315</v>
          </cell>
          <cell r="O91">
            <v>-8704773.3615258411</v>
          </cell>
          <cell r="P91">
            <v>7467534.55196572</v>
          </cell>
          <cell r="U91">
            <v>0</v>
          </cell>
          <cell r="V91">
            <v>-35880</v>
          </cell>
          <cell r="W91">
            <v>-107640</v>
          </cell>
          <cell r="X91">
            <v>-179400</v>
          </cell>
          <cell r="Y91">
            <v>-251160</v>
          </cell>
          <cell r="Z91">
            <v>-322920</v>
          </cell>
          <cell r="AA91">
            <v>-1534184.6078000001</v>
          </cell>
          <cell r="AB91">
            <v>-3860148.3397686705</v>
          </cell>
          <cell r="AC91">
            <v>-7137863.1331412233</v>
          </cell>
          <cell r="AD91">
            <v>-9450804.8718575072</v>
          </cell>
          <cell r="AE91">
            <v>-11780901.864580482</v>
          </cell>
          <cell r="AF91">
            <v>-14128281.35306048</v>
          </cell>
          <cell r="AG91">
            <v>-16789899.82105105</v>
          </cell>
          <cell r="AH91">
            <v>-16701114.490488501</v>
          </cell>
          <cell r="AI91">
            <v>-16612329.159925953</v>
          </cell>
          <cell r="AJ91">
            <v>-16523543.829363404</v>
          </cell>
          <cell r="AK91">
            <v>-16259750.253499459</v>
          </cell>
          <cell r="AL91">
            <v>-15995956.677635515</v>
          </cell>
          <cell r="AM91">
            <v>-15732163.101771571</v>
          </cell>
          <cell r="AN91">
            <v>-15468369.525907626</v>
          </cell>
          <cell r="AO91">
            <v>-15161590.538024867</v>
          </cell>
          <cell r="AP91">
            <v>-14854811.550142108</v>
          </cell>
          <cell r="AQ91">
            <v>-14548032.562259348</v>
          </cell>
          <cell r="AR91">
            <v>-14241253.574376589</v>
          </cell>
          <cell r="AS91">
            <v>-13913503.992163558</v>
          </cell>
          <cell r="AT91">
            <v>-13585754.409950526</v>
          </cell>
          <cell r="AU91">
            <v>-13258004.827737495</v>
          </cell>
          <cell r="AV91">
            <v>-12930255.245524464</v>
          </cell>
          <cell r="AW91">
            <v>-12591034.427933978</v>
          </cell>
          <cell r="AX91">
            <v>-12251813.610343492</v>
          </cell>
          <cell r="AY91">
            <v>-11912592.792753005</v>
          </cell>
          <cell r="AZ91">
            <v>-11573371.975162519</v>
          </cell>
          <cell r="BA91">
            <v>-11219604.14207672</v>
          </cell>
          <cell r="BB91">
            <v>-10865836.308990918</v>
          </cell>
          <cell r="BC91">
            <v>-10512068.475905117</v>
          </cell>
          <cell r="BD91">
            <v>-10158300.642819315</v>
          </cell>
          <cell r="BE91">
            <v>-9794918.8224959467</v>
          </cell>
          <cell r="BF91">
            <v>-9431537.0021725781</v>
          </cell>
          <cell r="BG91">
            <v>-9068155.1818492096</v>
          </cell>
          <cell r="BH91">
            <v>-8704773.3615258411</v>
          </cell>
          <cell r="BI91">
            <v>-8328673.1774911536</v>
          </cell>
          <cell r="BJ91">
            <v>-7952572.9934564661</v>
          </cell>
          <cell r="BK91">
            <v>-7576472.8094217787</v>
          </cell>
          <cell r="BL91">
            <v>7467534.55196572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C42FF-6B0F-42D0-8079-7E78F141ACE0}">
  <sheetPr codeName="Sheet80">
    <pageSetUpPr fitToPage="1"/>
  </sheetPr>
  <dimension ref="A1:U53"/>
  <sheetViews>
    <sheetView topLeftCell="A10" zoomScale="80" zoomScaleNormal="80" workbookViewId="0">
      <selection activeCell="F42" sqref="F42:F45"/>
    </sheetView>
  </sheetViews>
  <sheetFormatPr defaultColWidth="8.85546875" defaultRowHeight="15" x14ac:dyDescent="0.25"/>
  <cols>
    <col min="1" max="1" width="5.42578125" style="54" customWidth="1"/>
    <col min="2" max="2" width="33.5703125" style="54" bestFit="1" customWidth="1"/>
    <col min="3" max="4" width="13.28515625" style="54" customWidth="1"/>
    <col min="5" max="5" width="14.140625" style="54" bestFit="1" customWidth="1"/>
    <col min="6" max="6" width="13.28515625" style="54" customWidth="1"/>
    <col min="7" max="7" width="14.140625" style="54" bestFit="1" customWidth="1"/>
    <col min="8" max="9" width="13.28515625" style="54" customWidth="1"/>
    <col min="10" max="10" width="2.85546875" style="54" customWidth="1"/>
    <col min="11" max="11" width="9.5703125" style="54" bestFit="1" customWidth="1"/>
    <col min="12" max="12" width="16.5703125" style="54" bestFit="1" customWidth="1"/>
    <col min="13" max="13" width="12.85546875" style="54" bestFit="1" customWidth="1"/>
    <col min="14" max="14" width="14.5703125" style="54" bestFit="1" customWidth="1"/>
    <col min="15" max="15" width="13.42578125" style="54" bestFit="1" customWidth="1"/>
    <col min="16" max="17" width="11.85546875" style="54" bestFit="1" customWidth="1"/>
    <col min="18" max="18" width="13.28515625" style="54" bestFit="1" customWidth="1"/>
    <col min="19" max="19" width="11.85546875" style="54" bestFit="1" customWidth="1"/>
    <col min="20" max="20" width="14.5703125" style="54" bestFit="1" customWidth="1"/>
    <col min="21" max="21" width="12.85546875" style="54" bestFit="1" customWidth="1"/>
    <col min="22" max="16384" width="8.85546875" style="54"/>
  </cols>
  <sheetData>
    <row r="1" spans="1:21" x14ac:dyDescent="0.25">
      <c r="A1" s="53" t="s">
        <v>113</v>
      </c>
      <c r="G1" s="54" t="s">
        <v>27</v>
      </c>
      <c r="I1" s="55"/>
      <c r="J1" s="55"/>
    </row>
    <row r="2" spans="1:21" x14ac:dyDescent="0.25">
      <c r="A2" s="53" t="s">
        <v>114</v>
      </c>
      <c r="I2" s="55"/>
      <c r="J2" s="55"/>
      <c r="M2" s="56"/>
    </row>
    <row r="3" spans="1:21" x14ac:dyDescent="0.25">
      <c r="A3" s="53" t="s">
        <v>115</v>
      </c>
      <c r="I3" s="55" t="s">
        <v>79</v>
      </c>
      <c r="J3" s="55"/>
      <c r="M3" s="56"/>
    </row>
    <row r="4" spans="1:21" x14ac:dyDescent="0.25">
      <c r="L4" s="57"/>
      <c r="M4" s="58"/>
      <c r="N4" s="59"/>
      <c r="O4" s="59"/>
      <c r="P4" s="59"/>
      <c r="Q4" s="59"/>
      <c r="R4" s="59"/>
      <c r="S4" s="59"/>
      <c r="T4" s="59"/>
    </row>
    <row r="5" spans="1:21" x14ac:dyDescent="0.25">
      <c r="C5" s="97" t="s">
        <v>80</v>
      </c>
      <c r="D5" s="97"/>
      <c r="E5" s="98"/>
      <c r="F5" s="97" t="s">
        <v>81</v>
      </c>
      <c r="G5" s="98"/>
      <c r="H5" s="99" t="s">
        <v>82</v>
      </c>
      <c r="I5" s="97"/>
      <c r="J5" s="60"/>
      <c r="M5" s="56"/>
      <c r="N5" s="56"/>
      <c r="O5" s="56"/>
      <c r="P5" s="56"/>
      <c r="Q5" s="56"/>
      <c r="R5" s="56"/>
      <c r="S5" s="56"/>
      <c r="T5" s="56"/>
      <c r="U5" s="56"/>
    </row>
    <row r="6" spans="1:21" ht="45" x14ac:dyDescent="0.25">
      <c r="A6" s="61" t="s">
        <v>52</v>
      </c>
      <c r="B6" s="61" t="s">
        <v>83</v>
      </c>
      <c r="C6" s="61" t="s">
        <v>84</v>
      </c>
      <c r="D6" s="61" t="s">
        <v>85</v>
      </c>
      <c r="E6" s="61" t="s">
        <v>86</v>
      </c>
      <c r="F6" s="61" t="s">
        <v>87</v>
      </c>
      <c r="G6" s="61" t="s">
        <v>86</v>
      </c>
      <c r="H6" s="62" t="s">
        <v>88</v>
      </c>
      <c r="I6" s="61" t="s">
        <v>89</v>
      </c>
      <c r="J6" s="63"/>
      <c r="K6" s="64" t="s">
        <v>90</v>
      </c>
      <c r="L6" s="54" t="s">
        <v>62</v>
      </c>
      <c r="N6" s="65"/>
      <c r="O6" s="65"/>
      <c r="P6" s="65"/>
      <c r="Q6" s="65"/>
      <c r="R6" s="65"/>
      <c r="S6" s="65"/>
      <c r="T6" s="65"/>
    </row>
    <row r="7" spans="1:21" s="63" customFormat="1" x14ac:dyDescent="0.25">
      <c r="A7" s="66"/>
      <c r="B7" s="66" t="s">
        <v>13</v>
      </c>
      <c r="C7" s="66" t="s">
        <v>14</v>
      </c>
      <c r="D7" s="66" t="s">
        <v>15</v>
      </c>
      <c r="E7" s="66" t="s">
        <v>16</v>
      </c>
      <c r="F7" s="66" t="s">
        <v>17</v>
      </c>
      <c r="G7" s="66" t="s">
        <v>18</v>
      </c>
      <c r="H7" s="66" t="s">
        <v>19</v>
      </c>
      <c r="I7" s="66" t="s">
        <v>20</v>
      </c>
    </row>
    <row r="8" spans="1:21" x14ac:dyDescent="0.25">
      <c r="A8" s="63">
        <f>IF(ISBLANK(B8),"",MAX($A$7:A7)+1)</f>
        <v>1</v>
      </c>
      <c r="B8" s="67" t="s">
        <v>91</v>
      </c>
      <c r="C8" s="68"/>
      <c r="I8" s="63"/>
      <c r="J8" s="63"/>
      <c r="L8" s="69"/>
    </row>
    <row r="9" spans="1:21" x14ac:dyDescent="0.25">
      <c r="A9" s="63">
        <f>IF(ISBLANK(B9),"",MAX($A$7:A8)+1)</f>
        <v>2</v>
      </c>
      <c r="B9" s="70" t="s">
        <v>92</v>
      </c>
      <c r="C9" s="57">
        <v>2386620</v>
      </c>
      <c r="D9" s="71">
        <v>5</v>
      </c>
      <c r="E9" s="72">
        <f>ROUND(C9*D9,2)</f>
        <v>11933100</v>
      </c>
      <c r="F9" s="73">
        <f>D9</f>
        <v>5</v>
      </c>
      <c r="G9" s="72">
        <f>ROUND(C9*F9,2)</f>
        <v>11933100</v>
      </c>
      <c r="H9" s="72">
        <f>G9-E9</f>
        <v>0</v>
      </c>
      <c r="I9" s="74">
        <f>H9/E9</f>
        <v>0</v>
      </c>
      <c r="J9" s="75"/>
      <c r="L9" s="68">
        <f>C9/12</f>
        <v>198885</v>
      </c>
    </row>
    <row r="10" spans="1:21" x14ac:dyDescent="0.25">
      <c r="A10" s="8">
        <f>IF(ISBLANK(B10),"",MAX($A$7:A9)+1)</f>
        <v>3</v>
      </c>
      <c r="B10" s="70" t="s">
        <v>93</v>
      </c>
      <c r="C10" s="57">
        <v>128672934.97655511</v>
      </c>
      <c r="D10" s="76">
        <v>0.34623999999999999</v>
      </c>
      <c r="E10" s="72">
        <f>ROUND(C10*D10,2)</f>
        <v>44551717.009999998</v>
      </c>
      <c r="F10" s="77">
        <v>0.33951367056516041</v>
      </c>
      <c r="G10" s="72">
        <f>ROUND(C10*F10,2)</f>
        <v>43686220.460000001</v>
      </c>
      <c r="H10" s="72">
        <f>G10-E10</f>
        <v>-865496.54999999702</v>
      </c>
      <c r="I10" s="74">
        <f>H10/E10</f>
        <v>-1.9426783255193716E-2</v>
      </c>
      <c r="J10" s="75"/>
      <c r="K10" s="68">
        <f>+C10/C9</f>
        <v>53.914295102092126</v>
      </c>
      <c r="L10" s="78"/>
    </row>
    <row r="11" spans="1:21" x14ac:dyDescent="0.25">
      <c r="A11" s="63">
        <f>IF(ISBLANK(B11),"",MAX($A$7:A10)+1)</f>
        <v>4</v>
      </c>
      <c r="B11" s="79" t="str">
        <f>"Total "&amp;RIGHT(B8,3)&amp;" Revenue"</f>
        <v>Total 503 Revenue</v>
      </c>
      <c r="C11" s="80"/>
      <c r="D11" s="80"/>
      <c r="E11" s="80">
        <f>SUM(E9:E10)</f>
        <v>56484817.009999998</v>
      </c>
      <c r="F11" s="80"/>
      <c r="G11" s="80">
        <f>SUM(G9:G10)</f>
        <v>55619320.460000001</v>
      </c>
      <c r="H11" s="80">
        <f>SUM(H9:H10)</f>
        <v>-865496.54999999702</v>
      </c>
      <c r="I11" s="81">
        <f>H11/E11</f>
        <v>-1.5322640592900755E-2</v>
      </c>
      <c r="J11" s="75"/>
      <c r="K11" s="68"/>
      <c r="L11" s="72"/>
    </row>
    <row r="12" spans="1:21" x14ac:dyDescent="0.25">
      <c r="A12" s="63" t="str">
        <f>IF(ISBLANK(B12),"",MAX($A$7:A11)+1)</f>
        <v/>
      </c>
      <c r="I12" s="82"/>
      <c r="J12" s="83"/>
      <c r="K12" s="68"/>
    </row>
    <row r="13" spans="1:21" x14ac:dyDescent="0.25">
      <c r="A13" s="63">
        <f>IF(ISBLANK(B13),"",MAX($A$7:A12)+1)</f>
        <v>5</v>
      </c>
      <c r="B13" s="67" t="s">
        <v>94</v>
      </c>
      <c r="C13" s="68"/>
      <c r="I13" s="82"/>
      <c r="J13" s="83"/>
      <c r="K13" s="68"/>
    </row>
    <row r="14" spans="1:21" x14ac:dyDescent="0.25">
      <c r="A14" s="63">
        <f>IF(ISBLANK(B14),"",MAX($A$7:A13)+1)</f>
        <v>6</v>
      </c>
      <c r="B14" s="70" t="s">
        <v>92</v>
      </c>
      <c r="C14" s="57">
        <v>324372</v>
      </c>
      <c r="D14" s="71">
        <v>13</v>
      </c>
      <c r="E14" s="72">
        <f>ROUND(C14*D14,2)</f>
        <v>4216836</v>
      </c>
      <c r="F14" s="73">
        <f>D14</f>
        <v>13</v>
      </c>
      <c r="G14" s="72">
        <f>ROUND(C14*F14,2)</f>
        <v>4216836</v>
      </c>
      <c r="H14" s="72">
        <f>G14-E14</f>
        <v>0</v>
      </c>
      <c r="I14" s="74">
        <f>H14/E14</f>
        <v>0</v>
      </c>
      <c r="J14" s="75"/>
      <c r="K14" s="68"/>
      <c r="L14" s="68">
        <f>C14/12</f>
        <v>27031</v>
      </c>
    </row>
    <row r="15" spans="1:21" x14ac:dyDescent="0.25">
      <c r="A15" s="63">
        <f>IF(ISBLANK(B15),"",MAX($A$7:A14)+1)</f>
        <v>7</v>
      </c>
      <c r="B15" s="70" t="s">
        <v>93</v>
      </c>
      <c r="C15" s="57">
        <v>88038975.020009622</v>
      </c>
      <c r="D15" s="76">
        <v>0.28994999999999999</v>
      </c>
      <c r="E15" s="72">
        <f>ROUND(C15*D15,2)</f>
        <v>25526900.809999999</v>
      </c>
      <c r="F15" s="77">
        <v>0.28431720418556339</v>
      </c>
      <c r="G15" s="72">
        <f>ROUND(C15*F15,2)</f>
        <v>25030995.239999998</v>
      </c>
      <c r="H15" s="72">
        <f>G15-E15</f>
        <v>-495905.5700000003</v>
      </c>
      <c r="I15" s="74">
        <f>H15/E15</f>
        <v>-1.9426783286035747E-2</v>
      </c>
      <c r="J15" s="75"/>
      <c r="K15" s="68">
        <f>+C15/C14</f>
        <v>271.41360851124517</v>
      </c>
      <c r="L15" s="78"/>
    </row>
    <row r="16" spans="1:21" x14ac:dyDescent="0.25">
      <c r="A16" s="63">
        <f>IF(ISBLANK(B16),"",MAX($A$7:A15)+1)</f>
        <v>8</v>
      </c>
      <c r="B16" s="79" t="str">
        <f>"Total "&amp;RIGHT(B13,3)&amp;" Revenue"</f>
        <v>Total 504 Revenue</v>
      </c>
      <c r="C16" s="80"/>
      <c r="D16" s="80"/>
      <c r="E16" s="80">
        <f>SUM(E14:E15)</f>
        <v>29743736.809999999</v>
      </c>
      <c r="F16" s="80"/>
      <c r="G16" s="80">
        <f>SUM(G14:G15)</f>
        <v>29247831.239999998</v>
      </c>
      <c r="H16" s="80">
        <f>SUM(H14:H15)</f>
        <v>-495905.5700000003</v>
      </c>
      <c r="I16" s="81">
        <f>H16/E16</f>
        <v>-1.6672604829977997E-2</v>
      </c>
      <c r="J16" s="75"/>
      <c r="L16" s="72"/>
    </row>
    <row r="17" spans="1:12" x14ac:dyDescent="0.25">
      <c r="A17" s="63" t="str">
        <f>IF(ISBLANK(B17),"",MAX($A$7:A16)+1)</f>
        <v/>
      </c>
      <c r="B17" s="84"/>
      <c r="C17" s="72"/>
      <c r="D17" s="72"/>
      <c r="E17" s="72"/>
      <c r="F17" s="72"/>
      <c r="G17" s="72"/>
      <c r="H17" s="72"/>
      <c r="I17" s="74"/>
      <c r="J17" s="75"/>
    </row>
    <row r="18" spans="1:12" x14ac:dyDescent="0.25">
      <c r="A18" s="63">
        <f>IF(ISBLANK(B18),"",MAX($A$7:A17)+1)</f>
        <v>9</v>
      </c>
      <c r="B18" s="67" t="s">
        <v>95</v>
      </c>
      <c r="C18" s="68"/>
      <c r="I18" s="82"/>
      <c r="J18" s="83"/>
    </row>
    <row r="19" spans="1:12" x14ac:dyDescent="0.25">
      <c r="A19" s="63">
        <f>IF(ISBLANK(B19),"",MAX($A$7:A18)+1)</f>
        <v>10</v>
      </c>
      <c r="B19" s="70" t="s">
        <v>92</v>
      </c>
      <c r="C19" s="57">
        <v>5868</v>
      </c>
      <c r="D19" s="71">
        <v>60</v>
      </c>
      <c r="E19" s="72">
        <f>ROUND(C19*D19,2)</f>
        <v>352080</v>
      </c>
      <c r="F19" s="73">
        <f>D19</f>
        <v>60</v>
      </c>
      <c r="G19" s="72">
        <f>ROUND(C19*F19,2)</f>
        <v>352080</v>
      </c>
      <c r="H19" s="72">
        <f>G19-E19</f>
        <v>0</v>
      </c>
      <c r="I19" s="74">
        <f>H19/E19</f>
        <v>0</v>
      </c>
      <c r="J19" s="75"/>
      <c r="L19" s="68">
        <f>C19/12</f>
        <v>489</v>
      </c>
    </row>
    <row r="20" spans="1:12" x14ac:dyDescent="0.25">
      <c r="A20" s="63">
        <f>IF(ISBLANK(B20),"",MAX($A$7:A19)+1)</f>
        <v>11</v>
      </c>
      <c r="B20" s="70" t="s">
        <v>96</v>
      </c>
      <c r="C20" s="57">
        <v>1719909.200436648</v>
      </c>
      <c r="D20" s="76">
        <v>0.22363</v>
      </c>
      <c r="E20" s="72">
        <f>ROUND(C20*D20,2)</f>
        <v>384623.29</v>
      </c>
      <c r="F20" s="77">
        <v>0.21928559042413226</v>
      </c>
      <c r="G20" s="72">
        <f>ROUND(C20*F20,2)</f>
        <v>377151.3</v>
      </c>
      <c r="H20" s="72">
        <f>G20-E20</f>
        <v>-7471.9899999999907</v>
      </c>
      <c r="I20" s="74">
        <f>H20/E20</f>
        <v>-1.9426774702072751E-2</v>
      </c>
      <c r="J20" s="75"/>
      <c r="L20" s="78"/>
    </row>
    <row r="21" spans="1:12" x14ac:dyDescent="0.25">
      <c r="A21" s="63">
        <f>IF(ISBLANK(B21),"",MAX($A$7:A20)+1)</f>
        <v>12</v>
      </c>
      <c r="B21" s="70" t="s">
        <v>97</v>
      </c>
      <c r="C21" s="57">
        <v>5465602.2251104452</v>
      </c>
      <c r="D21" s="76">
        <v>0.18354999999999999</v>
      </c>
      <c r="E21" s="72">
        <f>ROUND(C21*D21,2)</f>
        <v>1003211.29</v>
      </c>
      <c r="F21" s="77">
        <v>0.17998421361502279</v>
      </c>
      <c r="G21" s="72">
        <f>ROUND(C21*F21,2)</f>
        <v>983722.12</v>
      </c>
      <c r="H21" s="72">
        <f>G21-E21</f>
        <v>-19489.170000000042</v>
      </c>
      <c r="I21" s="74">
        <f>H21/E21</f>
        <v>-1.9426784959726721E-2</v>
      </c>
      <c r="J21" s="75"/>
      <c r="L21" s="78"/>
    </row>
    <row r="22" spans="1:12" x14ac:dyDescent="0.25">
      <c r="A22" s="63">
        <f>IF(ISBLANK(B22),"",MAX($A$7:A21)+1)</f>
        <v>13</v>
      </c>
      <c r="B22" s="70" t="s">
        <v>98</v>
      </c>
      <c r="C22" s="57">
        <v>4506461.8271522531</v>
      </c>
      <c r="D22" s="76">
        <v>0.17749000000000001</v>
      </c>
      <c r="E22" s="72">
        <f>ROUND(C22*D22,2)</f>
        <v>799851.91</v>
      </c>
      <c r="F22" s="77">
        <v>0.17404194017036217</v>
      </c>
      <c r="G22" s="72">
        <f>ROUND(C22*F22,2)</f>
        <v>784313.36</v>
      </c>
      <c r="H22" s="72">
        <f>G22-E22</f>
        <v>-15538.550000000047</v>
      </c>
      <c r="I22" s="74">
        <f>H22/E22</f>
        <v>-1.9426783640486708E-2</v>
      </c>
      <c r="J22" s="75"/>
      <c r="K22" s="68">
        <f>SUM(C20:C22)/C19</f>
        <v>1992.4971459951169</v>
      </c>
      <c r="L22" s="78"/>
    </row>
    <row r="23" spans="1:12" x14ac:dyDescent="0.25">
      <c r="A23" s="63">
        <f>IF(ISBLANK(B23),"",MAX($A$7:A22)+1)</f>
        <v>14</v>
      </c>
      <c r="B23" s="79" t="str">
        <f>"Total "&amp;RIGHT(B18,3)&amp;" Revenue"</f>
        <v>Total 505 Revenue</v>
      </c>
      <c r="C23" s="80"/>
      <c r="D23" s="80"/>
      <c r="E23" s="80">
        <f>SUM(E19:E22)</f>
        <v>2539766.4900000002</v>
      </c>
      <c r="F23" s="80"/>
      <c r="G23" s="80">
        <f>SUM(G19:G22)</f>
        <v>2497266.7799999998</v>
      </c>
      <c r="H23" s="80">
        <f>SUM(H19:H22)</f>
        <v>-42499.710000000079</v>
      </c>
      <c r="I23" s="81">
        <f>H23/E23</f>
        <v>-1.6733707672471919E-2</v>
      </c>
      <c r="J23" s="75"/>
      <c r="L23" s="72"/>
    </row>
    <row r="24" spans="1:12" x14ac:dyDescent="0.25">
      <c r="A24" s="63" t="str">
        <f>IF(ISBLANK(B24),"",MAX($A$7:A23)+1)</f>
        <v/>
      </c>
      <c r="I24" s="82"/>
      <c r="J24" s="83"/>
    </row>
    <row r="25" spans="1:12" x14ac:dyDescent="0.25">
      <c r="A25" s="63">
        <f>IF(ISBLANK(B25),"",MAX($A$7:A24)+1)</f>
        <v>15</v>
      </c>
      <c r="B25" s="67" t="s">
        <v>99</v>
      </c>
      <c r="C25" s="59"/>
      <c r="I25" s="82"/>
      <c r="J25" s="83"/>
    </row>
    <row r="26" spans="1:12" x14ac:dyDescent="0.25">
      <c r="A26" s="63">
        <f>IF(ISBLANK(B26),"",MAX($A$7:A25)+1)</f>
        <v>16</v>
      </c>
      <c r="B26" s="70" t="s">
        <v>92</v>
      </c>
      <c r="C26" s="57">
        <v>1116</v>
      </c>
      <c r="D26" s="71">
        <v>125</v>
      </c>
      <c r="E26" s="72">
        <f>ROUND(C26*D26,2)</f>
        <v>139500</v>
      </c>
      <c r="F26" s="73">
        <f>D26</f>
        <v>125</v>
      </c>
      <c r="G26" s="72">
        <f>ROUND(C26*F26,2)</f>
        <v>139500</v>
      </c>
      <c r="H26" s="72">
        <f>G26-E26</f>
        <v>0</v>
      </c>
      <c r="I26" s="74">
        <f>IFERROR(H26/E26,"")</f>
        <v>0</v>
      </c>
      <c r="J26" s="75"/>
      <c r="L26" s="68">
        <f>C26/12</f>
        <v>93</v>
      </c>
    </row>
    <row r="27" spans="1:12" x14ac:dyDescent="0.25">
      <c r="A27" s="63">
        <f>IF(ISBLANK(B27),"",MAX($A$7:A26)+1)</f>
        <v>17</v>
      </c>
      <c r="B27" s="70" t="s">
        <v>100</v>
      </c>
      <c r="C27" s="57">
        <v>9263106.6283577029</v>
      </c>
      <c r="D27" s="76">
        <v>0.17768999999999999</v>
      </c>
      <c r="E27" s="72">
        <f>ROUND(C27*D27,2)</f>
        <v>1645961.42</v>
      </c>
      <c r="F27" s="77">
        <v>0.17423805441814619</v>
      </c>
      <c r="G27" s="72">
        <f>ROUND(C27*F27,2)</f>
        <v>1613985.68</v>
      </c>
      <c r="H27" s="72">
        <f>G27-E27</f>
        <v>-31975.739999999991</v>
      </c>
      <c r="I27" s="74">
        <f>H27/E27</f>
        <v>-1.9426785835599956E-2</v>
      </c>
      <c r="J27" s="75"/>
      <c r="L27" s="78"/>
    </row>
    <row r="28" spans="1:12" x14ac:dyDescent="0.25">
      <c r="A28" s="63">
        <f>IF(ISBLANK(B28),"",MAX($A$7:A27)+1)</f>
        <v>18</v>
      </c>
      <c r="B28" s="70" t="s">
        <v>101</v>
      </c>
      <c r="C28" s="57">
        <v>6400516.3315191241</v>
      </c>
      <c r="D28" s="76">
        <v>0.13819000000000001</v>
      </c>
      <c r="E28" s="72">
        <f>ROUND(C28*D28,2)</f>
        <v>884487.35</v>
      </c>
      <c r="F28" s="77">
        <v>0.13550541345885111</v>
      </c>
      <c r="G28" s="72">
        <f>ROUND(C28*F28,2)</f>
        <v>867304.61</v>
      </c>
      <c r="H28" s="72">
        <f>G28-E28</f>
        <v>-17182.739999999991</v>
      </c>
      <c r="I28" s="74">
        <f>H28/E28</f>
        <v>-1.9426778687111797E-2</v>
      </c>
      <c r="J28" s="75"/>
      <c r="L28" s="78"/>
    </row>
    <row r="29" spans="1:12" x14ac:dyDescent="0.25">
      <c r="A29" s="63">
        <f>IF(ISBLANK(B29),"",MAX($A$7:A28)+1)</f>
        <v>19</v>
      </c>
      <c r="B29" s="70" t="s">
        <v>102</v>
      </c>
      <c r="C29" s="57">
        <v>2905143.6487386376</v>
      </c>
      <c r="D29" s="76">
        <v>4.0489999999999998E-2</v>
      </c>
      <c r="E29" s="72">
        <f>ROUND(C29*D29,2)</f>
        <v>117629.27</v>
      </c>
      <c r="F29" s="77">
        <v>3.9703408947611873E-2</v>
      </c>
      <c r="G29" s="72">
        <f>ROUND(C29*F29,2)</f>
        <v>115344.11</v>
      </c>
      <c r="H29" s="72">
        <f>G29-E29</f>
        <v>-2285.1600000000035</v>
      </c>
      <c r="I29" s="74">
        <f>H29/E29</f>
        <v>-1.9426797428905268E-2</v>
      </c>
      <c r="J29" s="75"/>
      <c r="K29" s="68">
        <f>SUM(C27:C29)/C26</f>
        <v>16638.679756823894</v>
      </c>
      <c r="L29" s="78"/>
    </row>
    <row r="30" spans="1:12" x14ac:dyDescent="0.25">
      <c r="A30" s="63">
        <f>IF(ISBLANK(B30),"",MAX($A$7:A29)+1)</f>
        <v>20</v>
      </c>
      <c r="B30" s="79" t="str">
        <f>"Total "&amp;RIGHT(B25,3)&amp;" Revenue"</f>
        <v>Total 511 Revenue</v>
      </c>
      <c r="C30" s="80"/>
      <c r="D30" s="80"/>
      <c r="E30" s="80">
        <f>SUM(E26:E29)</f>
        <v>2787578.04</v>
      </c>
      <c r="F30" s="80"/>
      <c r="G30" s="80">
        <f>SUM(G26:G29)</f>
        <v>2736134.4</v>
      </c>
      <c r="H30" s="80">
        <f>SUM(H26:H29)</f>
        <v>-51443.639999999985</v>
      </c>
      <c r="I30" s="81">
        <f>H30/E30</f>
        <v>-1.8454600826170946E-2</v>
      </c>
      <c r="J30" s="75"/>
      <c r="L30" s="72"/>
    </row>
    <row r="31" spans="1:12" x14ac:dyDescent="0.25">
      <c r="A31" s="63" t="str">
        <f>IF(ISBLANK(B31),"",MAX($A$7:A30)+1)</f>
        <v/>
      </c>
      <c r="B31" s="84"/>
      <c r="C31" s="72"/>
      <c r="D31" s="72"/>
      <c r="E31" s="72"/>
      <c r="F31" s="72"/>
      <c r="G31" s="72"/>
      <c r="H31" s="72"/>
      <c r="I31" s="74"/>
      <c r="J31" s="75"/>
    </row>
    <row r="32" spans="1:12" x14ac:dyDescent="0.25">
      <c r="A32" s="63">
        <f>IF(ISBLANK(B32),"",MAX($A$7:A31)+1)</f>
        <v>21</v>
      </c>
      <c r="B32" s="67" t="s">
        <v>103</v>
      </c>
      <c r="C32" s="68"/>
      <c r="I32" s="82"/>
      <c r="J32" s="83"/>
    </row>
    <row r="33" spans="1:13" x14ac:dyDescent="0.25">
      <c r="A33" s="63">
        <f>IF(ISBLANK(B33),"",MAX($A$7:A32)+1)</f>
        <v>22</v>
      </c>
      <c r="B33" s="70" t="s">
        <v>92</v>
      </c>
      <c r="C33" s="57">
        <v>84</v>
      </c>
      <c r="D33" s="71">
        <v>163</v>
      </c>
      <c r="E33" s="72">
        <f>ROUND(C33*D33,2)</f>
        <v>13692</v>
      </c>
      <c r="F33" s="73">
        <f>D33</f>
        <v>163</v>
      </c>
      <c r="G33" s="72">
        <f>ROUND(C33*F33,2)</f>
        <v>13692</v>
      </c>
      <c r="H33" s="72">
        <f>G33-E33</f>
        <v>0</v>
      </c>
      <c r="I33" s="74">
        <f>H33/E33</f>
        <v>0</v>
      </c>
      <c r="J33" s="75"/>
      <c r="L33" s="68">
        <f>C33/12</f>
        <v>7</v>
      </c>
    </row>
    <row r="34" spans="1:13" x14ac:dyDescent="0.25">
      <c r="A34" s="63">
        <f>IF(ISBLANK(B34),"",MAX($A$7:A33)+1)</f>
        <v>23</v>
      </c>
      <c r="B34" s="70" t="s">
        <v>104</v>
      </c>
      <c r="C34" s="57">
        <v>1088197.0819555386</v>
      </c>
      <c r="D34" s="76">
        <v>0.10033</v>
      </c>
      <c r="E34" s="72">
        <f>ROUND(C34*D34,2)</f>
        <v>109178.81</v>
      </c>
      <c r="F34" s="77">
        <v>9.8380913722183036E-2</v>
      </c>
      <c r="G34" s="72">
        <f>ROUND(C34*F34,2)</f>
        <v>107057.82</v>
      </c>
      <c r="H34" s="72">
        <f>G34-E34</f>
        <v>-2120.9899999999907</v>
      </c>
      <c r="I34" s="74">
        <f>H34/E34</f>
        <v>-1.9426755063551168E-2</v>
      </c>
      <c r="J34" s="75"/>
      <c r="L34" s="58"/>
    </row>
    <row r="35" spans="1:13" x14ac:dyDescent="0.25">
      <c r="A35" s="63">
        <f>IF(ISBLANK(B35),"",MAX($A$7:A34)+1)</f>
        <v>24</v>
      </c>
      <c r="B35" s="70" t="s">
        <v>105</v>
      </c>
      <c r="C35" s="57">
        <v>863404.25424245116</v>
      </c>
      <c r="D35" s="76">
        <v>3.3660000000000002E-2</v>
      </c>
      <c r="E35" s="72">
        <f>ROUND(C35*D35,2)</f>
        <v>29062.19</v>
      </c>
      <c r="F35" s="77">
        <v>3.3006100048469926E-2</v>
      </c>
      <c r="G35" s="72">
        <f>ROUND(C35*F35,2)</f>
        <v>28497.61</v>
      </c>
      <c r="H35" s="72">
        <f>G35-E35</f>
        <v>-564.57999999999811</v>
      </c>
      <c r="I35" s="74">
        <f>H35/E35</f>
        <v>-1.942661581938588E-2</v>
      </c>
      <c r="J35" s="75"/>
      <c r="K35" s="68">
        <f>SUM(C34:C35)/C33</f>
        <v>23233.349240452259</v>
      </c>
      <c r="L35" s="78"/>
    </row>
    <row r="36" spans="1:13" x14ac:dyDescent="0.25">
      <c r="A36" s="63">
        <f>IF(ISBLANK(B36),"",MAX($A$7:A35)+1)</f>
        <v>25</v>
      </c>
      <c r="B36" s="79" t="str">
        <f>"Total "&amp;RIGHT(B32,3)&amp;" Revenue"</f>
        <v>Total 570 Revenue</v>
      </c>
      <c r="C36" s="80"/>
      <c r="D36" s="80"/>
      <c r="E36" s="80">
        <f>SUM(E33:E35)</f>
        <v>151933</v>
      </c>
      <c r="F36" s="80"/>
      <c r="G36" s="80">
        <f>SUM(G33:G35)</f>
        <v>149247.43</v>
      </c>
      <c r="H36" s="80">
        <f>G36-E36</f>
        <v>-2685.570000000007</v>
      </c>
      <c r="I36" s="81">
        <f>H36/E36</f>
        <v>-1.7676015085596988E-2</v>
      </c>
      <c r="J36" s="75"/>
      <c r="L36" s="72"/>
    </row>
    <row r="37" spans="1:13" x14ac:dyDescent="0.25">
      <c r="A37" s="63" t="str">
        <f>IF(ISBLANK(B37),"",MAX($A$7:A36)+1)</f>
        <v/>
      </c>
      <c r="I37" s="82"/>
      <c r="J37" s="83"/>
    </row>
    <row r="38" spans="1:13" x14ac:dyDescent="0.25">
      <c r="A38" s="63">
        <f>IF(ISBLANK(B38),"",MAX($A$7:A37)+1)</f>
        <v>26</v>
      </c>
      <c r="B38" s="67" t="s">
        <v>106</v>
      </c>
      <c r="C38" s="68"/>
      <c r="I38" s="82"/>
      <c r="J38" s="83"/>
    </row>
    <row r="39" spans="1:13" x14ac:dyDescent="0.25">
      <c r="A39" s="63">
        <f>IF(ISBLANK(B39),"",MAX($A$7:A38)+1)</f>
        <v>27</v>
      </c>
      <c r="B39" s="54" t="s">
        <v>92</v>
      </c>
      <c r="C39" s="57">
        <v>2376</v>
      </c>
      <c r="D39" s="85">
        <v>625</v>
      </c>
      <c r="E39" s="72">
        <f t="shared" ref="E39:E44" si="0">ROUND(C39*D39,2)</f>
        <v>1485000</v>
      </c>
      <c r="F39" s="73">
        <f>D39</f>
        <v>625</v>
      </c>
      <c r="G39" s="72">
        <f t="shared" ref="G39:G45" si="1">ROUND(C39*F39,2)</f>
        <v>1485000</v>
      </c>
      <c r="H39" s="72">
        <f t="shared" ref="H39:H46" si="2">G39-E39</f>
        <v>0</v>
      </c>
      <c r="I39" s="74">
        <f>H39/E39</f>
        <v>0</v>
      </c>
      <c r="J39" s="75"/>
      <c r="L39" s="68">
        <f>C39/12</f>
        <v>198</v>
      </c>
    </row>
    <row r="40" spans="1:13" x14ac:dyDescent="0.25">
      <c r="A40" s="63">
        <f>IF(ISBLANK(B40),"",MAX($A$7:A39)+1)</f>
        <v>28</v>
      </c>
      <c r="B40" s="54" t="s">
        <v>107</v>
      </c>
      <c r="C40" s="57">
        <v>30556760.449999999</v>
      </c>
      <c r="D40" s="86">
        <v>0.2</v>
      </c>
      <c r="E40" s="72">
        <f t="shared" si="0"/>
        <v>6111352.0899999999</v>
      </c>
      <c r="F40" s="77">
        <f>D40</f>
        <v>0.2</v>
      </c>
      <c r="G40" s="72">
        <f t="shared" si="1"/>
        <v>6111352.0899999999</v>
      </c>
      <c r="H40" s="72">
        <f t="shared" si="2"/>
        <v>0</v>
      </c>
      <c r="I40" s="74">
        <f>H40/E40</f>
        <v>0</v>
      </c>
      <c r="J40" s="75"/>
      <c r="L40" s="58"/>
    </row>
    <row r="41" spans="1:13" x14ac:dyDescent="0.25">
      <c r="A41" s="63">
        <f>IF(ISBLANK(B41),"",MAX($A$7:A40)+1)</f>
        <v>29</v>
      </c>
      <c r="B41" s="54" t="s">
        <v>108</v>
      </c>
      <c r="C41" s="57">
        <v>679252242.35660779</v>
      </c>
      <c r="D41" s="86">
        <v>4.0000000000000002E-4</v>
      </c>
      <c r="E41" s="72">
        <f t="shared" si="0"/>
        <v>271700.90000000002</v>
      </c>
      <c r="F41" s="77">
        <f>D41</f>
        <v>4.0000000000000002E-4</v>
      </c>
      <c r="G41" s="72">
        <f t="shared" si="1"/>
        <v>271700.90000000002</v>
      </c>
      <c r="H41" s="72">
        <f t="shared" si="2"/>
        <v>0</v>
      </c>
      <c r="I41" s="74">
        <f t="shared" ref="I41:I46" si="3">H41/E41</f>
        <v>0</v>
      </c>
      <c r="J41" s="75"/>
      <c r="L41" s="58"/>
    </row>
    <row r="42" spans="1:13" x14ac:dyDescent="0.25">
      <c r="A42" s="63">
        <f>IF(ISBLANK(B42),"",MAX($A$7:A41)+1)</f>
        <v>30</v>
      </c>
      <c r="B42" s="70" t="s">
        <v>109</v>
      </c>
      <c r="C42" s="57">
        <v>98870371.993092954</v>
      </c>
      <c r="D42" s="86">
        <v>6.591000000000001E-2</v>
      </c>
      <c r="E42" s="72">
        <f t="shared" si="0"/>
        <v>6516546.2199999997</v>
      </c>
      <c r="F42" s="77">
        <v>6.4629580725266783E-2</v>
      </c>
      <c r="G42" s="72">
        <f t="shared" si="1"/>
        <v>6389950.6900000004</v>
      </c>
      <c r="H42" s="72">
        <f>G42-E42</f>
        <v>-126595.52999999933</v>
      </c>
      <c r="I42" s="74">
        <f>H42/E42</f>
        <v>-1.9426783103519418E-2</v>
      </c>
      <c r="J42" s="75"/>
      <c r="L42" s="58"/>
      <c r="M42" s="87"/>
    </row>
    <row r="43" spans="1:13" x14ac:dyDescent="0.25">
      <c r="A43" s="63">
        <f>IF(ISBLANK(B43),"",MAX($A$7:A42)+1)</f>
        <v>31</v>
      </c>
      <c r="B43" s="70" t="s">
        <v>110</v>
      </c>
      <c r="C43" s="57">
        <v>74558946.611349955</v>
      </c>
      <c r="D43" s="86">
        <v>2.5919999999999999E-2</v>
      </c>
      <c r="E43" s="72">
        <f t="shared" si="0"/>
        <v>1932567.9</v>
      </c>
      <c r="F43" s="77">
        <v>2.5416457746436496E-2</v>
      </c>
      <c r="G43" s="72">
        <f t="shared" si="1"/>
        <v>1895024.32</v>
      </c>
      <c r="H43" s="72">
        <f t="shared" si="2"/>
        <v>-37543.579999999842</v>
      </c>
      <c r="I43" s="74">
        <f t="shared" si="3"/>
        <v>-1.9426784435361801E-2</v>
      </c>
      <c r="J43" s="75"/>
      <c r="L43" s="58"/>
      <c r="M43" s="87"/>
    </row>
    <row r="44" spans="1:13" x14ac:dyDescent="0.25">
      <c r="A44" s="63">
        <f>IF(ISBLANK(B44),"",MAX($A$7:A43)+1)</f>
        <v>32</v>
      </c>
      <c r="B44" s="70" t="s">
        <v>110</v>
      </c>
      <c r="C44" s="57">
        <v>40341807.040468045</v>
      </c>
      <c r="D44" s="86">
        <v>1.6920000000000001E-2</v>
      </c>
      <c r="E44" s="72">
        <f t="shared" si="0"/>
        <v>682583.38</v>
      </c>
      <c r="F44" s="77">
        <v>1.6591298809527841E-2</v>
      </c>
      <c r="G44" s="72">
        <f t="shared" si="1"/>
        <v>669322.98</v>
      </c>
      <c r="H44" s="72">
        <f t="shared" si="2"/>
        <v>-13260.400000000023</v>
      </c>
      <c r="I44" s="74">
        <f t="shared" si="3"/>
        <v>-1.9426784168111482E-2</v>
      </c>
      <c r="J44" s="75"/>
      <c r="L44" s="58"/>
      <c r="M44" s="87"/>
    </row>
    <row r="45" spans="1:13" x14ac:dyDescent="0.25">
      <c r="A45" s="63">
        <f>IF(ISBLANK(B45),"",MAX($A$7:A44)+1)</f>
        <v>33</v>
      </c>
      <c r="B45" s="70" t="s">
        <v>111</v>
      </c>
      <c r="C45" s="57">
        <v>465481116.71169686</v>
      </c>
      <c r="D45" s="86">
        <v>9.5999999999999992E-3</v>
      </c>
      <c r="E45" s="72">
        <f>ROUND(C45*D45,2)</f>
        <v>4468618.72</v>
      </c>
      <c r="F45" s="77">
        <v>9.413502875018305E-3</v>
      </c>
      <c r="G45" s="72">
        <f t="shared" si="1"/>
        <v>4381807.83</v>
      </c>
      <c r="H45" s="72">
        <f t="shared" si="2"/>
        <v>-86810.889999999665</v>
      </c>
      <c r="I45" s="74">
        <f t="shared" si="3"/>
        <v>-1.9426783854139085E-2</v>
      </c>
      <c r="J45" s="75"/>
      <c r="K45" s="68">
        <f>SUM(C42:C45)/C39</f>
        <v>285880.57338241069</v>
      </c>
      <c r="L45" s="58"/>
      <c r="M45" s="87"/>
    </row>
    <row r="46" spans="1:13" x14ac:dyDescent="0.25">
      <c r="A46" s="63">
        <f>IF(ISBLANK(B46),"",MAX($A$7:A45)+1)</f>
        <v>34</v>
      </c>
      <c r="B46" s="79" t="str">
        <f>"Total "&amp;RIGHT(B38,3)&amp;" Revenue"</f>
        <v>Total 663 Revenue</v>
      </c>
      <c r="C46" s="88"/>
      <c r="D46" s="80"/>
      <c r="E46" s="80">
        <f>SUM(E39:E45)</f>
        <v>21468369.210000001</v>
      </c>
      <c r="F46" s="80"/>
      <c r="G46" s="80">
        <f>SUM(G39:G45)</f>
        <v>21204158.810000002</v>
      </c>
      <c r="H46" s="80">
        <f t="shared" si="2"/>
        <v>-264210.39999999851</v>
      </c>
      <c r="I46" s="81">
        <f t="shared" si="3"/>
        <v>-1.2306961810444777E-2</v>
      </c>
      <c r="J46" s="75"/>
      <c r="L46" s="72"/>
    </row>
    <row r="47" spans="1:13" x14ac:dyDescent="0.25">
      <c r="A47" s="63" t="str">
        <f>IF(ISBLANK(B47),"",MAX($A$7:A46)+1)</f>
        <v/>
      </c>
      <c r="I47" s="83"/>
      <c r="J47" s="83"/>
    </row>
    <row r="48" spans="1:13" ht="15.75" thickBot="1" x14ac:dyDescent="0.3">
      <c r="A48" s="63">
        <f>IF(ISBLANK(B48),"",MAX($A$7:A47)+1)</f>
        <v>35</v>
      </c>
      <c r="B48" s="89" t="s">
        <v>28</v>
      </c>
      <c r="C48" s="89"/>
      <c r="D48" s="89"/>
      <c r="E48" s="90">
        <f>E36+E46+E30+E23+E16+E11</f>
        <v>113176200.56</v>
      </c>
      <c r="F48" s="89"/>
      <c r="G48" s="90">
        <f>G36+G46+G30+G23+G16+G11</f>
        <v>111453959.12</v>
      </c>
      <c r="H48" s="91">
        <f>H36+H46+H30+H23+H16+H11</f>
        <v>-1722241.4399999958</v>
      </c>
      <c r="I48" s="92">
        <f>H48/E48</f>
        <v>-1.5217346327923023E-2</v>
      </c>
      <c r="J48" s="83"/>
      <c r="L48" s="68">
        <f>SUM(L9:L46)</f>
        <v>226703</v>
      </c>
    </row>
    <row r="49" spans="1:12" ht="15.75" thickTop="1" x14ac:dyDescent="0.25">
      <c r="A49" s="63" t="str">
        <f>IF(ISBLANK(B49),"",MAX($A$7:A48)+1)</f>
        <v/>
      </c>
      <c r="I49" s="83"/>
      <c r="J49" s="83"/>
    </row>
    <row r="50" spans="1:12" x14ac:dyDescent="0.25">
      <c r="A50" s="63">
        <f>IF(ISBLANK(B50),"",MAX($A$7:A49)+1)</f>
        <v>36</v>
      </c>
      <c r="B50" s="70" t="s">
        <v>112</v>
      </c>
      <c r="C50" s="72"/>
      <c r="D50" s="72"/>
      <c r="E50" s="72"/>
      <c r="F50" s="72"/>
      <c r="G50" s="72"/>
      <c r="H50" s="72"/>
      <c r="I50" s="93"/>
      <c r="J50" s="93"/>
      <c r="L50" s="72"/>
    </row>
    <row r="51" spans="1:12" x14ac:dyDescent="0.25">
      <c r="B51" s="84"/>
      <c r="C51" s="72"/>
      <c r="D51" s="72"/>
      <c r="E51" s="72"/>
      <c r="F51" s="72"/>
      <c r="G51" s="72"/>
      <c r="H51" s="72"/>
      <c r="I51" s="93"/>
      <c r="J51" s="93"/>
      <c r="L51" s="72"/>
    </row>
    <row r="53" spans="1:12" x14ac:dyDescent="0.25">
      <c r="J53" s="94"/>
    </row>
  </sheetData>
  <mergeCells count="3">
    <mergeCell ref="C5:E5"/>
    <mergeCell ref="F5:G5"/>
    <mergeCell ref="H5:I5"/>
  </mergeCells>
  <printOptions horizontalCentered="1"/>
  <pageMargins left="0.45" right="0.45" top="0.5" bottom="0.5" header="0.3" footer="0.3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2DF15-8369-4816-8032-12F49E751C9F}">
  <sheetPr codeName="Sheet48">
    <pageSetUpPr fitToPage="1"/>
  </sheetPr>
  <dimension ref="A1:R48"/>
  <sheetViews>
    <sheetView topLeftCell="A7" zoomScale="80" zoomScaleNormal="80" workbookViewId="0">
      <selection activeCell="F10" sqref="F10"/>
    </sheetView>
  </sheetViews>
  <sheetFormatPr defaultColWidth="8.85546875" defaultRowHeight="15" x14ac:dyDescent="0.25"/>
  <cols>
    <col min="1" max="1" width="5" style="1" customWidth="1"/>
    <col min="2" max="2" width="20.140625" style="1" bestFit="1" customWidth="1"/>
    <col min="3" max="3" width="9.85546875" style="1" bestFit="1" customWidth="1"/>
    <col min="4" max="4" width="16.7109375" style="1" bestFit="1" customWidth="1"/>
    <col min="5" max="5" width="7.85546875" style="1" bestFit="1" customWidth="1"/>
    <col min="6" max="6" width="10.28515625" style="1" bestFit="1" customWidth="1"/>
    <col min="7" max="7" width="13.42578125" style="1" bestFit="1" customWidth="1"/>
    <col min="8" max="9" width="12.140625" style="11" bestFit="1" customWidth="1"/>
    <col min="10" max="10" width="11.5703125" style="11" customWidth="1"/>
    <col min="11" max="11" width="10.28515625" style="11" bestFit="1" customWidth="1"/>
    <col min="12" max="12" width="12" style="12" bestFit="1" customWidth="1"/>
    <col min="13" max="13" width="2.42578125" style="1" customWidth="1"/>
    <col min="14" max="14" width="10.85546875" style="1" bestFit="1" customWidth="1"/>
    <col min="15" max="15" width="8.85546875" style="1"/>
    <col min="16" max="16" width="9.140625" style="1" customWidth="1"/>
    <col min="17" max="17" width="8.85546875" style="1"/>
    <col min="18" max="18" width="10.85546875" style="1" bestFit="1" customWidth="1"/>
    <col min="19" max="16384" width="8.85546875" style="1"/>
  </cols>
  <sheetData>
    <row r="1" spans="1:15" x14ac:dyDescent="0.25">
      <c r="A1" s="100" t="s">
        <v>113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5" x14ac:dyDescent="0.25">
      <c r="A2" s="100" t="s">
        <v>114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5" x14ac:dyDescent="0.25">
      <c r="A3" s="100" t="s">
        <v>115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15" x14ac:dyDescent="0.25">
      <c r="A4" s="100" t="s">
        <v>0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5" ht="60" x14ac:dyDescent="0.2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4" t="s">
        <v>8</v>
      </c>
      <c r="I6" s="5" t="s">
        <v>9</v>
      </c>
      <c r="J6" s="4" t="s">
        <v>10</v>
      </c>
      <c r="K6" s="4" t="s">
        <v>11</v>
      </c>
      <c r="L6" s="5" t="s">
        <v>12</v>
      </c>
    </row>
    <row r="7" spans="1:15" x14ac:dyDescent="0.25">
      <c r="A7" s="6"/>
      <c r="B7" s="7" t="s">
        <v>13</v>
      </c>
      <c r="C7" s="7" t="s">
        <v>14</v>
      </c>
      <c r="D7" s="7" t="s">
        <v>15</v>
      </c>
      <c r="E7" s="7" t="s">
        <v>16</v>
      </c>
      <c r="F7" s="7" t="s">
        <v>17</v>
      </c>
      <c r="G7" s="7" t="s">
        <v>18</v>
      </c>
      <c r="H7" s="7" t="s">
        <v>19</v>
      </c>
      <c r="I7" s="7" t="s">
        <v>20</v>
      </c>
      <c r="J7" s="7" t="s">
        <v>21</v>
      </c>
      <c r="K7" s="7" t="s">
        <v>22</v>
      </c>
      <c r="L7" s="7" t="s">
        <v>23</v>
      </c>
    </row>
    <row r="8" spans="1:15" x14ac:dyDescent="0.25">
      <c r="A8" s="8">
        <f>MAX($A$7:A7)+1</f>
        <v>1</v>
      </c>
      <c r="B8" s="9" t="s">
        <v>24</v>
      </c>
      <c r="C8" s="8"/>
      <c r="D8" s="8"/>
      <c r="E8" s="8"/>
      <c r="F8" s="8"/>
      <c r="G8" s="8"/>
      <c r="H8" s="8"/>
      <c r="I8" s="8"/>
      <c r="J8" s="8"/>
      <c r="K8" s="8"/>
      <c r="L8" s="8"/>
    </row>
    <row r="9" spans="1:15" x14ac:dyDescent="0.25">
      <c r="A9" s="8">
        <f>MAX($A$7:A8)+1</f>
        <v>2</v>
      </c>
      <c r="B9" s="10" t="s">
        <v>25</v>
      </c>
    </row>
    <row r="10" spans="1:15" x14ac:dyDescent="0.25">
      <c r="A10" s="8">
        <f>MAX($A$7:A9)+1</f>
        <v>3</v>
      </c>
      <c r="B10" s="1" t="s">
        <v>26</v>
      </c>
      <c r="C10" s="8">
        <v>503</v>
      </c>
      <c r="D10" s="8"/>
      <c r="E10" s="13">
        <f>'Class Rates'!D10</f>
        <v>0.34623999999999999</v>
      </c>
      <c r="F10" s="13">
        <f>'Class Rates'!F10</f>
        <v>0.33951367056516041</v>
      </c>
      <c r="G10" s="11">
        <f>'Class Rates'!C10</f>
        <v>128672934.97655511</v>
      </c>
      <c r="H10" s="11">
        <f>ROUND(G10*E10, 2)</f>
        <v>44551717.009999998</v>
      </c>
      <c r="I10" s="11">
        <f>ROUND(F10*G10, 2)</f>
        <v>43686220.460000001</v>
      </c>
      <c r="K10" s="11" t="s">
        <v>27</v>
      </c>
      <c r="L10" s="12" t="s">
        <v>27</v>
      </c>
      <c r="M10" s="13"/>
    </row>
    <row r="11" spans="1:15" x14ac:dyDescent="0.25">
      <c r="A11" s="8">
        <f>MAX($A$7:A10)+1</f>
        <v>4</v>
      </c>
      <c r="B11" s="14" t="s">
        <v>28</v>
      </c>
      <c r="C11" s="8"/>
      <c r="D11" s="8"/>
      <c r="E11" s="13"/>
      <c r="F11" s="13"/>
      <c r="G11" s="11">
        <f>SUM(G10)</f>
        <v>128672934.97655511</v>
      </c>
      <c r="H11" s="11">
        <f>SUM(H10)</f>
        <v>44551717.009999998</v>
      </c>
      <c r="I11" s="11">
        <f>SUM(I10)</f>
        <v>43686220.460000001</v>
      </c>
      <c r="J11" s="15">
        <f>H11/$H$46</f>
        <v>0.50254077559179122</v>
      </c>
      <c r="K11" s="11">
        <f>I11-H11</f>
        <v>-865496.54999999702</v>
      </c>
      <c r="L11" s="12">
        <f>K11/H11</f>
        <v>-1.9426783255193716E-2</v>
      </c>
      <c r="M11" s="13"/>
      <c r="N11" s="11">
        <f>ROUND(J11*$K$46, 2)</f>
        <v>-865496.55</v>
      </c>
      <c r="O11" s="11">
        <f>N11-K11</f>
        <v>-3.0267983675003052E-9</v>
      </c>
    </row>
    <row r="12" spans="1:15" x14ac:dyDescent="0.25">
      <c r="A12" s="8">
        <f>MAX($A$7:A11)+1</f>
        <v>5</v>
      </c>
      <c r="C12" s="8"/>
      <c r="D12" s="8"/>
      <c r="E12" s="13"/>
      <c r="F12" s="13"/>
      <c r="G12" s="11"/>
      <c r="J12" s="15"/>
      <c r="M12" s="13"/>
    </row>
    <row r="13" spans="1:15" x14ac:dyDescent="0.25">
      <c r="A13" s="8">
        <f>MAX($A$7:A12)+1</f>
        <v>6</v>
      </c>
      <c r="B13" s="10" t="s">
        <v>29</v>
      </c>
      <c r="C13" s="8"/>
      <c r="D13" s="8"/>
      <c r="E13" s="13"/>
      <c r="F13" s="13"/>
      <c r="G13" s="11"/>
      <c r="J13" s="15"/>
      <c r="M13" s="13"/>
    </row>
    <row r="14" spans="1:15" x14ac:dyDescent="0.25">
      <c r="A14" s="8">
        <f>MAX($A$7:A13)+1</f>
        <v>7</v>
      </c>
      <c r="B14" s="1" t="s">
        <v>26</v>
      </c>
      <c r="C14" s="8">
        <v>504</v>
      </c>
      <c r="D14" s="8"/>
      <c r="E14" s="13">
        <f>'Class Rates'!D15</f>
        <v>0.28994999999999999</v>
      </c>
      <c r="F14" s="13">
        <f>'Class Rates'!F15</f>
        <v>0.28431720418556339</v>
      </c>
      <c r="G14" s="11">
        <f>'Class Rates'!C15</f>
        <v>88038975.020009622</v>
      </c>
      <c r="H14" s="11">
        <f>ROUND(G14*E14, 2)</f>
        <v>25526900.809999999</v>
      </c>
      <c r="I14" s="11">
        <f>ROUND(F14*G14, 2)</f>
        <v>25030995.239999998</v>
      </c>
      <c r="J14" s="15"/>
      <c r="L14" s="12" t="s">
        <v>27</v>
      </c>
      <c r="M14" s="13"/>
    </row>
    <row r="15" spans="1:15" x14ac:dyDescent="0.25">
      <c r="A15" s="8">
        <f>MAX($A$7:A14)+1</f>
        <v>8</v>
      </c>
      <c r="B15" s="14" t="s">
        <v>28</v>
      </c>
      <c r="C15" s="8"/>
      <c r="D15" s="8"/>
      <c r="E15" s="13"/>
      <c r="F15" s="13"/>
      <c r="G15" s="11">
        <f>SUM(G14)</f>
        <v>88038975.020009622</v>
      </c>
      <c r="H15" s="11">
        <f>SUM(H14)</f>
        <v>25526900.809999999</v>
      </c>
      <c r="I15" s="11">
        <f>SUM(I14)</f>
        <v>25030995.239999998</v>
      </c>
      <c r="J15" s="15">
        <f>H15/$H$46</f>
        <v>0.28794195583152732</v>
      </c>
      <c r="K15" s="11">
        <f>I15-H15</f>
        <v>-495905.5700000003</v>
      </c>
      <c r="L15" s="12">
        <f>K15/H15</f>
        <v>-1.9426783286035747E-2</v>
      </c>
      <c r="M15" s="13"/>
      <c r="N15" s="11">
        <f>ROUND(J15*$K$46, 2)</f>
        <v>-495905.57</v>
      </c>
      <c r="O15" s="11">
        <f>N15-K15</f>
        <v>0</v>
      </c>
    </row>
    <row r="16" spans="1:15" x14ac:dyDescent="0.25">
      <c r="A16" s="8">
        <f>MAX($A$7:A15)+1</f>
        <v>9</v>
      </c>
      <c r="C16" s="8"/>
      <c r="D16" s="8"/>
      <c r="E16" s="13"/>
      <c r="F16" s="13"/>
      <c r="G16" s="11"/>
      <c r="J16" s="15"/>
      <c r="M16" s="13"/>
    </row>
    <row r="17" spans="1:15" x14ac:dyDescent="0.25">
      <c r="A17" s="8">
        <f>MAX($A$7:A16)+1</f>
        <v>10</v>
      </c>
      <c r="B17" s="10" t="s">
        <v>30</v>
      </c>
      <c r="C17" s="8"/>
      <c r="D17" s="8"/>
      <c r="E17" s="13"/>
      <c r="F17" s="13"/>
      <c r="G17" s="11"/>
      <c r="J17" s="15"/>
      <c r="M17" s="13"/>
    </row>
    <row r="18" spans="1:15" x14ac:dyDescent="0.25">
      <c r="A18" s="8">
        <f>MAX($A$7:A17)+1</f>
        <v>11</v>
      </c>
      <c r="B18" s="1" t="s">
        <v>26</v>
      </c>
      <c r="C18" s="8">
        <v>505</v>
      </c>
      <c r="D18" s="8" t="s">
        <v>31</v>
      </c>
      <c r="E18" s="13">
        <f>'Class Rates'!D20</f>
        <v>0.22363</v>
      </c>
      <c r="F18" s="13">
        <f>'Class Rates'!F20</f>
        <v>0.21928559042413226</v>
      </c>
      <c r="G18" s="11">
        <f>'Class Rates'!C20</f>
        <v>1719909.200436648</v>
      </c>
      <c r="H18" s="11">
        <f>ROUND(G18*E18, 2)</f>
        <v>384623.29</v>
      </c>
      <c r="I18" s="11">
        <f>ROUND(F18*G18, 2)</f>
        <v>377151.3</v>
      </c>
      <c r="J18" s="15">
        <f>H18/$H$46</f>
        <v>4.3385283315541161E-3</v>
      </c>
      <c r="K18" s="11">
        <f t="shared" ref="K18:K21" si="0">I18-H18</f>
        <v>-7471.9899999999907</v>
      </c>
      <c r="L18" s="12">
        <f>K18/H18</f>
        <v>-1.9426774702072751E-2</v>
      </c>
      <c r="M18" s="13"/>
    </row>
    <row r="19" spans="1:15" x14ac:dyDescent="0.25">
      <c r="A19" s="8">
        <f>MAX($A$7:A18)+1</f>
        <v>12</v>
      </c>
      <c r="C19" s="8"/>
      <c r="D19" s="8" t="s">
        <v>32</v>
      </c>
      <c r="E19" s="13">
        <f>'Class Rates'!D21</f>
        <v>0.18354999999999999</v>
      </c>
      <c r="F19" s="13">
        <f>'Class Rates'!F21</f>
        <v>0.17998421361502279</v>
      </c>
      <c r="G19" s="11">
        <f>'Class Rates'!C21</f>
        <v>5465602.2251104452</v>
      </c>
      <c r="H19" s="11">
        <f>ROUND(G19*E19, 2)</f>
        <v>1003211.29</v>
      </c>
      <c r="I19" s="11">
        <f>ROUND(F19*G19, 2)</f>
        <v>983722.12</v>
      </c>
      <c r="J19" s="15">
        <f>H19/$H$46</f>
        <v>1.1316164978464912E-2</v>
      </c>
      <c r="K19" s="11">
        <f t="shared" si="0"/>
        <v>-19489.170000000042</v>
      </c>
      <c r="L19" s="12">
        <f>K19/H19</f>
        <v>-1.9426784959726721E-2</v>
      </c>
      <c r="M19" s="13"/>
    </row>
    <row r="20" spans="1:15" x14ac:dyDescent="0.25">
      <c r="A20" s="8">
        <f>MAX($A$7:A19)+1</f>
        <v>13</v>
      </c>
      <c r="C20" s="8"/>
      <c r="D20" s="8" t="s">
        <v>33</v>
      </c>
      <c r="E20" s="13">
        <f>'Class Rates'!D22</f>
        <v>0.17749000000000001</v>
      </c>
      <c r="F20" s="13">
        <f>'Class Rates'!F22</f>
        <v>0.17404194017036217</v>
      </c>
      <c r="G20" s="11">
        <f>'Class Rates'!C22</f>
        <v>4506461.8271522531</v>
      </c>
      <c r="H20" s="11">
        <f>ROUND(G20*E20, 2)</f>
        <v>799851.91</v>
      </c>
      <c r="I20" s="11">
        <f>ROUND(F20*G20, 2)</f>
        <v>784313.36</v>
      </c>
      <c r="J20" s="15">
        <f>H20/$H$46</f>
        <v>9.0222830047100733E-3</v>
      </c>
      <c r="K20" s="11">
        <f t="shared" si="0"/>
        <v>-15538.550000000047</v>
      </c>
      <c r="L20" s="12">
        <f>K20/H20</f>
        <v>-1.9426783640486708E-2</v>
      </c>
      <c r="M20" s="13"/>
    </row>
    <row r="21" spans="1:15" x14ac:dyDescent="0.25">
      <c r="A21" s="8">
        <f>MAX($A$7:A20)+1</f>
        <v>14</v>
      </c>
      <c r="B21" s="14" t="s">
        <v>28</v>
      </c>
      <c r="C21" s="8"/>
      <c r="D21" s="8"/>
      <c r="E21" s="13"/>
      <c r="F21" s="13"/>
      <c r="G21" s="11">
        <f>SUM(G18:G20)</f>
        <v>11691973.252699345</v>
      </c>
      <c r="H21" s="11">
        <f>SUM(H18:H20)</f>
        <v>2187686.4900000002</v>
      </c>
      <c r="I21" s="11">
        <f>SUM(I18:I20)</f>
        <v>2145186.7799999998</v>
      </c>
      <c r="J21" s="15">
        <f>H21/$H$46</f>
        <v>2.4676976314729104E-2</v>
      </c>
      <c r="K21" s="11">
        <f t="shared" si="0"/>
        <v>-42499.710000000428</v>
      </c>
      <c r="L21" s="12">
        <f>K21/H21</f>
        <v>-1.9426782673965512E-2</v>
      </c>
      <c r="M21" s="13"/>
      <c r="N21" s="11">
        <f>ROUND(J21*$K$46, 2)</f>
        <v>-42499.71</v>
      </c>
      <c r="O21" s="11">
        <f>N21-K21</f>
        <v>4.2928149923682213E-10</v>
      </c>
    </row>
    <row r="22" spans="1:15" x14ac:dyDescent="0.25">
      <c r="A22" s="8">
        <f>MAX($A$7:A21)+1</f>
        <v>15</v>
      </c>
      <c r="C22" s="8"/>
      <c r="D22" s="8"/>
      <c r="E22" s="13"/>
      <c r="F22" s="13"/>
      <c r="G22" s="11"/>
      <c r="J22" s="15"/>
      <c r="M22" s="13"/>
    </row>
    <row r="23" spans="1:15" x14ac:dyDescent="0.25">
      <c r="A23" s="8">
        <f>MAX($A$7:A22)+1</f>
        <v>16</v>
      </c>
      <c r="B23" s="10" t="s">
        <v>34</v>
      </c>
      <c r="C23" s="8"/>
      <c r="D23" s="8"/>
      <c r="E23" s="13"/>
      <c r="F23" s="13"/>
      <c r="G23" s="11"/>
      <c r="J23" s="15"/>
      <c r="M23" s="13"/>
    </row>
    <row r="24" spans="1:15" x14ac:dyDescent="0.25">
      <c r="A24" s="8">
        <f>MAX($A$7:A23)+1</f>
        <v>17</v>
      </c>
      <c r="B24" s="1" t="s">
        <v>35</v>
      </c>
      <c r="C24" s="8">
        <v>511</v>
      </c>
      <c r="D24" s="8" t="s">
        <v>36</v>
      </c>
      <c r="E24" s="13">
        <f>'Class Rates'!D27</f>
        <v>0.17768999999999999</v>
      </c>
      <c r="F24" s="13">
        <f>'Class Rates'!F27</f>
        <v>0.17423805441814619</v>
      </c>
      <c r="G24" s="11">
        <f>'Class Rates'!C27</f>
        <v>9263106.6283577029</v>
      </c>
      <c r="H24" s="11">
        <f>ROUND(G24*E24, 2)</f>
        <v>1645961.42</v>
      </c>
      <c r="I24" s="11">
        <f>ROUND(F24*G24, 2)</f>
        <v>1613985.68</v>
      </c>
      <c r="J24" s="15">
        <f>H24/$H$46</f>
        <v>1.8566349045880826E-2</v>
      </c>
      <c r="K24" s="11">
        <f t="shared" ref="K24:K27" si="1">I24-H24</f>
        <v>-31975.739999999991</v>
      </c>
      <c r="L24" s="12">
        <f>K24/H24</f>
        <v>-1.9426785835599956E-2</v>
      </c>
      <c r="M24" s="13"/>
    </row>
    <row r="25" spans="1:15" x14ac:dyDescent="0.25">
      <c r="A25" s="8">
        <f>MAX($A$7:A24)+1</f>
        <v>18</v>
      </c>
      <c r="C25" s="8"/>
      <c r="D25" s="8" t="s">
        <v>37</v>
      </c>
      <c r="E25" s="13">
        <f>'Class Rates'!D28</f>
        <v>0.13819000000000001</v>
      </c>
      <c r="F25" s="13">
        <f>'Class Rates'!F28</f>
        <v>0.13550541345885111</v>
      </c>
      <c r="G25" s="11">
        <f>'Class Rates'!C28</f>
        <v>6400516.3315191241</v>
      </c>
      <c r="H25" s="11">
        <f>ROUND(G25*E25, 2)</f>
        <v>884487.35</v>
      </c>
      <c r="I25" s="11">
        <f>ROUND(F25*G25, 2)</f>
        <v>867304.61</v>
      </c>
      <c r="J25" s="15">
        <f>H25/$H$46</f>
        <v>9.9769658433222341E-3</v>
      </c>
      <c r="K25" s="11">
        <f t="shared" si="1"/>
        <v>-17182.739999999991</v>
      </c>
      <c r="L25" s="12">
        <f>K25/H25</f>
        <v>-1.9426778687111797E-2</v>
      </c>
      <c r="M25" s="13"/>
    </row>
    <row r="26" spans="1:15" x14ac:dyDescent="0.25">
      <c r="A26" s="8">
        <f>MAX($A$7:A25)+1</f>
        <v>19</v>
      </c>
      <c r="C26" s="8"/>
      <c r="D26" s="8" t="s">
        <v>38</v>
      </c>
      <c r="E26" s="13">
        <f>'Class Rates'!D29</f>
        <v>4.0489999999999998E-2</v>
      </c>
      <c r="F26" s="13">
        <f>'Class Rates'!F29</f>
        <v>3.9703408947611873E-2</v>
      </c>
      <c r="G26" s="11">
        <f>'Class Rates'!C29</f>
        <v>2905143.6487386376</v>
      </c>
      <c r="H26" s="11">
        <f>ROUND(G26*E26, 2)</f>
        <v>117629.27</v>
      </c>
      <c r="I26" s="11">
        <f>ROUND(F26*G26, 2)</f>
        <v>115344.11</v>
      </c>
      <c r="J26" s="15">
        <f>H26/$H$46</f>
        <v>1.3268513212370181E-3</v>
      </c>
      <c r="K26" s="11">
        <f t="shared" si="1"/>
        <v>-2285.1600000000035</v>
      </c>
      <c r="L26" s="12">
        <f>K26/H26</f>
        <v>-1.9426797428905268E-2</v>
      </c>
      <c r="M26" s="13"/>
    </row>
    <row r="27" spans="1:15" x14ac:dyDescent="0.25">
      <c r="A27" s="8">
        <f>MAX($A$7:A26)+1</f>
        <v>20</v>
      </c>
      <c r="B27" s="14" t="s">
        <v>28</v>
      </c>
      <c r="C27" s="8"/>
      <c r="D27" s="8"/>
      <c r="E27" s="13"/>
      <c r="F27" s="13"/>
      <c r="G27" s="11">
        <f>SUM(G24:G26)</f>
        <v>18568766.608615465</v>
      </c>
      <c r="H27" s="11">
        <f>SUM(H24:H26)</f>
        <v>2648078.04</v>
      </c>
      <c r="I27" s="11">
        <f>SUM(I24:I26)</f>
        <v>2596634.4</v>
      </c>
      <c r="J27" s="15">
        <f>H27/$H$46</f>
        <v>2.9870166210440079E-2</v>
      </c>
      <c r="K27" s="11">
        <f t="shared" si="1"/>
        <v>-51443.64000000013</v>
      </c>
      <c r="L27" s="12">
        <f>K27/H27</f>
        <v>-1.9426783962907729E-2</v>
      </c>
      <c r="M27" s="13"/>
      <c r="N27" s="11">
        <f>ROUND(J27*$K$46, 2)</f>
        <v>-51443.64</v>
      </c>
      <c r="O27" s="11">
        <f>N27-K27</f>
        <v>1.3096723705530167E-10</v>
      </c>
    </row>
    <row r="28" spans="1:15" x14ac:dyDescent="0.25">
      <c r="A28" s="8">
        <f>MAX($A$7:A27)+1</f>
        <v>21</v>
      </c>
      <c r="C28" s="8"/>
      <c r="D28" s="8"/>
      <c r="E28" s="13"/>
      <c r="F28" s="13"/>
      <c r="G28" s="11"/>
      <c r="J28" s="15"/>
      <c r="M28" s="13"/>
    </row>
    <row r="29" spans="1:15" x14ac:dyDescent="0.25">
      <c r="A29" s="8">
        <f>MAX($A$7:A28)+1</f>
        <v>22</v>
      </c>
      <c r="B29" s="10" t="s">
        <v>39</v>
      </c>
      <c r="C29" s="8"/>
      <c r="D29" s="8"/>
      <c r="E29" s="13"/>
      <c r="F29" s="13"/>
      <c r="G29" s="11"/>
      <c r="J29" s="15"/>
      <c r="M29" s="13"/>
    </row>
    <row r="30" spans="1:15" x14ac:dyDescent="0.25">
      <c r="A30" s="8">
        <f>MAX($A$7:A29)+1</f>
        <v>23</v>
      </c>
      <c r="B30" s="1" t="s">
        <v>26</v>
      </c>
      <c r="C30" s="8">
        <v>570</v>
      </c>
      <c r="D30" s="8" t="s">
        <v>40</v>
      </c>
      <c r="E30" s="13">
        <f>'Class Rates'!D34</f>
        <v>0.10033</v>
      </c>
      <c r="F30" s="13">
        <f>'Class Rates'!F34</f>
        <v>9.8380913722183036E-2</v>
      </c>
      <c r="G30" s="11">
        <f>'Class Rates'!C34</f>
        <v>1088197.0819555386</v>
      </c>
      <c r="H30" s="11">
        <f>ROUND(G30*E30, 2)</f>
        <v>109178.81</v>
      </c>
      <c r="I30" s="11">
        <f>ROUND(F30*G30, 2)</f>
        <v>107057.82</v>
      </c>
      <c r="J30" s="15">
        <f>H30/$H$46</f>
        <v>1.2315306241344978E-3</v>
      </c>
      <c r="K30" s="11">
        <f t="shared" ref="K30:K34" si="2">I30-H30</f>
        <v>-2120.9899999999907</v>
      </c>
      <c r="L30" s="12">
        <f>K30/H30</f>
        <v>-1.9426755063551168E-2</v>
      </c>
      <c r="M30" s="13"/>
    </row>
    <row r="31" spans="1:15" x14ac:dyDescent="0.25">
      <c r="A31" s="8">
        <f>MAX($A$7:A30)+1</f>
        <v>24</v>
      </c>
      <c r="C31" s="8"/>
      <c r="D31" s="8" t="s">
        <v>41</v>
      </c>
      <c r="E31" s="13">
        <f>'Class Rates'!D35</f>
        <v>3.3660000000000002E-2</v>
      </c>
      <c r="F31" s="13">
        <f>'Class Rates'!F35</f>
        <v>3.3006100048469926E-2</v>
      </c>
      <c r="G31" s="11">
        <f>'Class Rates'!C35</f>
        <v>863404.25424245116</v>
      </c>
      <c r="H31" s="11">
        <f>ROUND(G31*E31, 2)</f>
        <v>29062.19</v>
      </c>
      <c r="I31" s="11">
        <f>ROUND(F31*G31, 2)</f>
        <v>28497.61</v>
      </c>
      <c r="J31" s="15">
        <f>H31/$H$46</f>
        <v>3.2781981219080292E-4</v>
      </c>
      <c r="K31" s="11">
        <f t="shared" si="2"/>
        <v>-564.57999999999811</v>
      </c>
      <c r="L31" s="12">
        <f>K31/H31</f>
        <v>-1.942661581938588E-2</v>
      </c>
      <c r="M31" s="13"/>
    </row>
    <row r="32" spans="1:15" x14ac:dyDescent="0.25">
      <c r="A32" s="8">
        <f>MAX($A$7:A31)+1</f>
        <v>25</v>
      </c>
      <c r="B32" s="14" t="s">
        <v>28</v>
      </c>
      <c r="C32" s="8"/>
      <c r="D32" s="8"/>
      <c r="F32" s="13"/>
      <c r="G32" s="11">
        <f>SUM(G30:G31)</f>
        <v>1951601.3361979898</v>
      </c>
      <c r="H32" s="11">
        <f>SUM(H30:H31)</f>
        <v>138241</v>
      </c>
      <c r="I32" s="11">
        <f>SUM(I30:I31)</f>
        <v>135555.43</v>
      </c>
      <c r="J32" s="15">
        <f>H32/$H$46</f>
        <v>1.5593504363253007E-3</v>
      </c>
      <c r="K32" s="11">
        <f t="shared" si="2"/>
        <v>-2685.570000000007</v>
      </c>
      <c r="L32" s="12">
        <f>K32/H32</f>
        <v>-1.9426725790467423E-2</v>
      </c>
      <c r="M32" s="13"/>
      <c r="N32" s="11">
        <f>ROUND(J32*$K$46, 2)</f>
        <v>-2685.58</v>
      </c>
      <c r="O32" s="11">
        <f>N32-K32</f>
        <v>-9.9999999929423211E-3</v>
      </c>
    </row>
    <row r="33" spans="1:18" x14ac:dyDescent="0.25">
      <c r="A33" s="8">
        <f>MAX($A$7:A32)+1</f>
        <v>26</v>
      </c>
      <c r="C33" s="8"/>
      <c r="D33" s="8"/>
      <c r="F33" s="13"/>
      <c r="G33" s="11"/>
      <c r="J33" s="15"/>
      <c r="M33" s="13"/>
    </row>
    <row r="34" spans="1:18" x14ac:dyDescent="0.25">
      <c r="A34" s="8">
        <f>MAX($A$7:A33)+1</f>
        <v>27</v>
      </c>
      <c r="B34" s="16" t="s">
        <v>42</v>
      </c>
      <c r="C34" s="17"/>
      <c r="D34" s="17"/>
      <c r="E34" s="18"/>
      <c r="F34" s="19"/>
      <c r="G34" s="20">
        <f>G11+G15+G27+G21+G32</f>
        <v>248924251.19407755</v>
      </c>
      <c r="H34" s="20">
        <f>H11+H15+H27+H21+H32</f>
        <v>75052623.349999994</v>
      </c>
      <c r="I34" s="20">
        <f>I11+I15+I27+I21+I32</f>
        <v>73594592.310000017</v>
      </c>
      <c r="J34" s="21">
        <f>H34/$H$46</f>
        <v>0.84658922438481299</v>
      </c>
      <c r="K34" s="20">
        <f t="shared" si="2"/>
        <v>-1458031.0399999768</v>
      </c>
      <c r="L34" s="22">
        <f>K34/H34</f>
        <v>-1.9426783167866134E-2</v>
      </c>
      <c r="M34" s="13"/>
      <c r="N34" s="11">
        <f>SUM(N11:N32)</f>
        <v>-1458031.05</v>
      </c>
      <c r="O34" s="11">
        <f>N34-K34</f>
        <v>-1.0000023292377591E-2</v>
      </c>
    </row>
    <row r="35" spans="1:18" x14ac:dyDescent="0.25">
      <c r="A35" s="8">
        <f>MAX($A$7:A34)+1</f>
        <v>28</v>
      </c>
      <c r="B35" s="23"/>
      <c r="C35" s="8"/>
      <c r="D35" s="8"/>
      <c r="F35" s="13"/>
      <c r="G35" s="24"/>
      <c r="H35" s="24"/>
      <c r="I35" s="24"/>
      <c r="J35" s="25"/>
      <c r="K35" s="24"/>
      <c r="L35" s="26"/>
      <c r="M35" s="13"/>
    </row>
    <row r="36" spans="1:18" x14ac:dyDescent="0.25">
      <c r="A36" s="8">
        <f>MAX($A$7:A35)+1</f>
        <v>29</v>
      </c>
      <c r="B36" s="2" t="s">
        <v>43</v>
      </c>
      <c r="C36" s="8"/>
      <c r="D36" s="8"/>
      <c r="F36" s="13"/>
      <c r="J36" s="15"/>
      <c r="M36" s="13"/>
    </row>
    <row r="37" spans="1:18" x14ac:dyDescent="0.25">
      <c r="A37" s="8">
        <f>MAX($A$7:A36)+1</f>
        <v>30</v>
      </c>
      <c r="B37" s="10" t="s">
        <v>44</v>
      </c>
      <c r="C37" s="8"/>
      <c r="D37" s="8"/>
      <c r="F37" s="13"/>
      <c r="J37" s="15"/>
      <c r="M37" s="13"/>
    </row>
    <row r="38" spans="1:18" x14ac:dyDescent="0.25">
      <c r="A38" s="8">
        <f>MAX($A$7:A37)+1</f>
        <v>31</v>
      </c>
      <c r="B38" s="1" t="s">
        <v>45</v>
      </c>
      <c r="C38" s="8">
        <v>663</v>
      </c>
      <c r="D38" s="8" t="s">
        <v>46</v>
      </c>
      <c r="E38" s="13">
        <f>'Class Rates'!D42</f>
        <v>6.591000000000001E-2</v>
      </c>
      <c r="F38" s="13">
        <f>'Class Rates'!F42</f>
        <v>6.4629580725266783E-2</v>
      </c>
      <c r="G38" s="27">
        <f>'Class Rates'!C42</f>
        <v>98870371.993092954</v>
      </c>
      <c r="H38" s="11">
        <f>ROUND(G38*E38, 2)</f>
        <v>6516546.2199999997</v>
      </c>
      <c r="I38" s="11">
        <f>ROUND(F38*G38, 2)</f>
        <v>6389950.6900000004</v>
      </c>
      <c r="J38" s="15">
        <f>H38/$H$46</f>
        <v>7.3506262190601829E-2</v>
      </c>
      <c r="K38" s="11">
        <f t="shared" ref="K38:K46" si="3">I38-H38</f>
        <v>-126595.52999999933</v>
      </c>
      <c r="L38" s="12">
        <f>K38/H38</f>
        <v>-1.9426783103519418E-2</v>
      </c>
      <c r="M38" s="13"/>
    </row>
    <row r="39" spans="1:18" x14ac:dyDescent="0.25">
      <c r="A39" s="8">
        <f>MAX($A$7:A38)+1</f>
        <v>32</v>
      </c>
      <c r="C39" s="8"/>
      <c r="D39" s="8" t="s">
        <v>47</v>
      </c>
      <c r="E39" s="13">
        <f>'Class Rates'!D43</f>
        <v>2.5919999999999999E-2</v>
      </c>
      <c r="F39" s="13">
        <f>'Class Rates'!F43</f>
        <v>2.5416457746436496E-2</v>
      </c>
      <c r="G39" s="27">
        <f>'Class Rates'!C43</f>
        <v>74558946.611349955</v>
      </c>
      <c r="H39" s="11">
        <f>ROUND(G39*E39, 2)</f>
        <v>1932567.9</v>
      </c>
      <c r="I39" s="11">
        <f>ROUND(F39*G39, 2)</f>
        <v>1895024.32</v>
      </c>
      <c r="J39" s="15">
        <f>H39/$H$46</f>
        <v>2.1799253463829615E-2</v>
      </c>
      <c r="K39" s="11">
        <f t="shared" si="3"/>
        <v>-37543.579999999842</v>
      </c>
      <c r="L39" s="12">
        <f>K39/H39</f>
        <v>-1.9426784435361801E-2</v>
      </c>
      <c r="M39" s="13"/>
    </row>
    <row r="40" spans="1:18" x14ac:dyDescent="0.25">
      <c r="A40" s="8">
        <f>MAX($A$7:A39)+1</f>
        <v>33</v>
      </c>
      <c r="C40" s="8"/>
      <c r="D40" s="8" t="s">
        <v>47</v>
      </c>
      <c r="E40" s="13">
        <f>'Class Rates'!D44</f>
        <v>1.6920000000000001E-2</v>
      </c>
      <c r="F40" s="13">
        <f>'Class Rates'!F44</f>
        <v>1.6591298809527841E-2</v>
      </c>
      <c r="G40" s="27">
        <f>'Class Rates'!C44</f>
        <v>40341807.040468045</v>
      </c>
      <c r="H40" s="11">
        <f>ROUND(G40*E40, 2)</f>
        <v>682583.38</v>
      </c>
      <c r="I40" s="11">
        <f>ROUND(F40*G40, 2)</f>
        <v>669322.98</v>
      </c>
      <c r="J40" s="15">
        <f>H40/$H$46</f>
        <v>7.699500809683079E-3</v>
      </c>
      <c r="K40" s="11">
        <f t="shared" si="3"/>
        <v>-13260.400000000023</v>
      </c>
      <c r="L40" s="12">
        <f>K40/H40</f>
        <v>-1.9426784168111482E-2</v>
      </c>
      <c r="M40" s="13"/>
    </row>
    <row r="41" spans="1:18" x14ac:dyDescent="0.25">
      <c r="A41" s="8">
        <f>MAX($A$7:A40)+1</f>
        <v>34</v>
      </c>
      <c r="C41" s="8"/>
      <c r="D41" s="8" t="s">
        <v>48</v>
      </c>
      <c r="E41" s="13">
        <f>'Class Rates'!D45</f>
        <v>9.5999999999999992E-3</v>
      </c>
      <c r="F41" s="13">
        <f>'Class Rates'!F45</f>
        <v>9.413502875018305E-3</v>
      </c>
      <c r="G41" s="27">
        <f>'Class Rates'!C45</f>
        <v>465481116.71169686</v>
      </c>
      <c r="H41" s="11">
        <f>ROUND(G41*E41, 2)</f>
        <v>4468618.72</v>
      </c>
      <c r="I41" s="11">
        <f>ROUND(F41*G41, 2)</f>
        <v>4381807.83</v>
      </c>
      <c r="J41" s="15">
        <f>H41/$H$46</f>
        <v>5.0405759151072448E-2</v>
      </c>
      <c r="K41" s="11">
        <f t="shared" si="3"/>
        <v>-86810.889999999665</v>
      </c>
      <c r="L41" s="12">
        <f>K41/H41</f>
        <v>-1.9426783854139085E-2</v>
      </c>
      <c r="M41" s="13"/>
    </row>
    <row r="42" spans="1:18" x14ac:dyDescent="0.25">
      <c r="A42" s="8">
        <f>MAX($A$7:A41)+1</f>
        <v>35</v>
      </c>
      <c r="B42" s="14" t="s">
        <v>28</v>
      </c>
      <c r="C42" s="8"/>
      <c r="D42" s="8"/>
      <c r="F42" s="13"/>
      <c r="G42" s="11">
        <f>SUM(G38:G41)</f>
        <v>679252242.35660779</v>
      </c>
      <c r="H42" s="11">
        <f>SUM(H38:H41)</f>
        <v>13600316.219999999</v>
      </c>
      <c r="I42" s="11">
        <f>SUM(I38:I41)</f>
        <v>13336105.82</v>
      </c>
      <c r="J42" s="15">
        <f>H42/$H$46</f>
        <v>0.15341077561518696</v>
      </c>
      <c r="K42" s="11">
        <f t="shared" si="3"/>
        <v>-264210.39999999851</v>
      </c>
      <c r="L42" s="12">
        <f>K42/H42</f>
        <v>-1.9426783592830208E-2</v>
      </c>
      <c r="M42" s="13"/>
      <c r="N42" s="11">
        <f>ROUND(J42*$K$46, 2)</f>
        <v>-264210.40000000002</v>
      </c>
      <c r="O42" s="11">
        <f>N42-K42</f>
        <v>-1.5133991837501526E-9</v>
      </c>
    </row>
    <row r="43" spans="1:18" x14ac:dyDescent="0.25">
      <c r="A43" s="8">
        <f>MAX($A$7:A42)+1</f>
        <v>36</v>
      </c>
      <c r="C43" s="28"/>
      <c r="H43" s="1"/>
      <c r="J43" s="15"/>
      <c r="M43" s="13"/>
      <c r="R43" s="11"/>
    </row>
    <row r="44" spans="1:18" x14ac:dyDescent="0.25">
      <c r="A44" s="8">
        <f>MAX($A$7:A43)+1</f>
        <v>37</v>
      </c>
      <c r="B44" s="16" t="s">
        <v>49</v>
      </c>
      <c r="C44" s="18"/>
      <c r="D44" s="18"/>
      <c r="E44" s="18"/>
      <c r="F44" s="18"/>
      <c r="G44" s="20">
        <f>SUM(G42:G42)</f>
        <v>679252242.35660779</v>
      </c>
      <c r="H44" s="20">
        <f>SUM(H42:H42)</f>
        <v>13600316.219999999</v>
      </c>
      <c r="I44" s="20">
        <f>+I42</f>
        <v>13336105.82</v>
      </c>
      <c r="J44" s="21">
        <f>H44/$H$46</f>
        <v>0.15341077561518696</v>
      </c>
      <c r="K44" s="20">
        <f t="shared" si="3"/>
        <v>-264210.39999999851</v>
      </c>
      <c r="L44" s="22">
        <f>K44/H44</f>
        <v>-1.9426783592830208E-2</v>
      </c>
      <c r="M44" s="13"/>
      <c r="N44" s="11">
        <f>SUM(N38:N42)</f>
        <v>-264210.40000000002</v>
      </c>
      <c r="O44" s="11">
        <f>N44-K44</f>
        <v>-1.5133991837501526E-9</v>
      </c>
    </row>
    <row r="45" spans="1:18" x14ac:dyDescent="0.25">
      <c r="A45" s="8">
        <f>MAX($A$7:A44)+1</f>
        <v>38</v>
      </c>
      <c r="B45" s="2"/>
      <c r="G45" s="11"/>
      <c r="J45" s="15"/>
      <c r="K45" s="29"/>
      <c r="M45" s="13"/>
    </row>
    <row r="46" spans="1:18" ht="15.75" thickBot="1" x14ac:dyDescent="0.3">
      <c r="A46" s="8">
        <f>MAX($A$7:A45)+1</f>
        <v>39</v>
      </c>
      <c r="B46" s="30" t="s">
        <v>28</v>
      </c>
      <c r="C46" s="31"/>
      <c r="D46" s="31"/>
      <c r="E46" s="31"/>
      <c r="F46" s="31"/>
      <c r="G46" s="32">
        <f>G34+G44</f>
        <v>928176493.55068541</v>
      </c>
      <c r="H46" s="32">
        <f>H34+H44</f>
        <v>88652939.569999993</v>
      </c>
      <c r="I46" s="32">
        <f>I34+I44</f>
        <v>86930698.130000025</v>
      </c>
      <c r="J46" s="33">
        <f>J34+J44</f>
        <v>1</v>
      </c>
      <c r="K46" s="34">
        <f t="shared" si="3"/>
        <v>-1722241.4399999678</v>
      </c>
      <c r="L46" s="35">
        <f>K46/H46</f>
        <v>-1.9426783233060119E-2</v>
      </c>
      <c r="N46" s="11">
        <f>K34+K44-K46</f>
        <v>-7.4505805969238281E-9</v>
      </c>
      <c r="O46" s="1" t="s">
        <v>50</v>
      </c>
      <c r="P46" s="11"/>
    </row>
    <row r="47" spans="1:18" ht="15.75" thickTop="1" x14ac:dyDescent="0.25">
      <c r="A47" s="8"/>
      <c r="K47" s="28"/>
    </row>
    <row r="48" spans="1:18" x14ac:dyDescent="0.25">
      <c r="I48" s="36"/>
      <c r="K48" s="37"/>
    </row>
  </sheetData>
  <mergeCells count="4">
    <mergeCell ref="A1:L1"/>
    <mergeCell ref="A2:L2"/>
    <mergeCell ref="A3:L3"/>
    <mergeCell ref="A4:L4"/>
  </mergeCells>
  <printOptions horizontalCentered="1" verticalCentered="1"/>
  <pageMargins left="0.75" right="0.75" top="1" bottom="0.75" header="0.3" footer="0.3"/>
  <pageSetup orientation="portrait" r:id="rId1"/>
  <headerFooter scaleWithDoc="0">
    <oddHeader>&amp;RDocket No. UG-21____
Exhibit No. ___ (IDM-3)
Page 1 of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BDA81-FE4E-40C9-889B-9FD7A59119EB}">
  <sheetPr codeName="Sheet49">
    <pageSetUpPr fitToPage="1"/>
  </sheetPr>
  <dimension ref="A1:J49"/>
  <sheetViews>
    <sheetView tabSelected="1" zoomScale="80" zoomScaleNormal="80" workbookViewId="0">
      <selection activeCell="C30" sqref="C30:G41"/>
    </sheetView>
  </sheetViews>
  <sheetFormatPr defaultColWidth="12.28515625" defaultRowHeight="15" x14ac:dyDescent="0.25"/>
  <cols>
    <col min="1" max="1" width="5.140625" style="8" bestFit="1" customWidth="1"/>
    <col min="2" max="2" width="31" style="8" bestFit="1" customWidth="1"/>
    <col min="3" max="3" width="13.42578125" style="1" bestFit="1" customWidth="1"/>
    <col min="4" max="7" width="12.85546875" style="1" customWidth="1"/>
    <col min="8" max="8" width="3.42578125" style="1" customWidth="1"/>
    <col min="9" max="9" width="5.5703125" style="1" bestFit="1" customWidth="1"/>
    <col min="10" max="10" width="2.7109375" style="1" bestFit="1" customWidth="1"/>
    <col min="11" max="16384" width="12.28515625" style="1"/>
  </cols>
  <sheetData>
    <row r="1" spans="1:9" x14ac:dyDescent="0.25">
      <c r="A1" s="101" t="s">
        <v>113</v>
      </c>
      <c r="B1" s="101"/>
      <c r="C1" s="101"/>
      <c r="D1" s="101"/>
      <c r="E1" s="101"/>
      <c r="F1" s="101"/>
      <c r="G1" s="101"/>
    </row>
    <row r="2" spans="1:9" x14ac:dyDescent="0.25">
      <c r="A2" s="101" t="s">
        <v>114</v>
      </c>
      <c r="B2" s="101"/>
      <c r="C2" s="101"/>
      <c r="D2" s="101"/>
      <c r="E2" s="101"/>
      <c r="F2" s="101"/>
      <c r="G2" s="101"/>
    </row>
    <row r="3" spans="1:9" x14ac:dyDescent="0.25">
      <c r="A3" s="101" t="s">
        <v>115</v>
      </c>
      <c r="B3" s="101"/>
      <c r="C3" s="101"/>
      <c r="D3" s="101"/>
      <c r="E3" s="101"/>
      <c r="F3" s="101"/>
      <c r="G3" s="101"/>
    </row>
    <row r="4" spans="1:9" x14ac:dyDescent="0.25">
      <c r="A4" s="101" t="s">
        <v>51</v>
      </c>
      <c r="B4" s="101"/>
      <c r="C4" s="101"/>
      <c r="D4" s="101"/>
      <c r="E4" s="101"/>
      <c r="F4" s="101"/>
      <c r="G4" s="101"/>
    </row>
    <row r="5" spans="1:9" x14ac:dyDescent="0.25">
      <c r="A5" s="101"/>
      <c r="B5" s="101"/>
      <c r="C5" s="101"/>
      <c r="D5" s="101"/>
      <c r="E5" s="101"/>
      <c r="F5" s="101"/>
      <c r="G5" s="101"/>
    </row>
    <row r="6" spans="1:9" ht="30" x14ac:dyDescent="0.25">
      <c r="A6" s="3" t="s">
        <v>52</v>
      </c>
      <c r="B6" s="38" t="s">
        <v>2</v>
      </c>
      <c r="C6" s="38" t="s">
        <v>53</v>
      </c>
      <c r="D6" s="38" t="s">
        <v>54</v>
      </c>
      <c r="E6" s="38" t="s">
        <v>55</v>
      </c>
      <c r="F6" s="38" t="s">
        <v>56</v>
      </c>
      <c r="G6" s="38" t="s">
        <v>57</v>
      </c>
    </row>
    <row r="7" spans="1:9" x14ac:dyDescent="0.25">
      <c r="A7" s="38"/>
      <c r="B7" s="7" t="s">
        <v>13</v>
      </c>
      <c r="C7" s="7" t="s">
        <v>14</v>
      </c>
      <c r="D7" s="7" t="s">
        <v>15</v>
      </c>
      <c r="E7" s="7" t="s">
        <v>16</v>
      </c>
      <c r="F7" s="7" t="s">
        <v>17</v>
      </c>
      <c r="G7" s="7" t="s">
        <v>18</v>
      </c>
      <c r="I7" s="8" t="s">
        <v>50</v>
      </c>
    </row>
    <row r="8" spans="1:9" x14ac:dyDescent="0.25">
      <c r="A8" s="8">
        <f>MAX($A$7:A7)+1</f>
        <v>1</v>
      </c>
      <c r="B8" s="39" t="s">
        <v>58</v>
      </c>
      <c r="C8" s="39"/>
      <c r="D8" s="39"/>
      <c r="E8" s="39"/>
      <c r="F8" s="39"/>
      <c r="G8" s="39"/>
    </row>
    <row r="9" spans="1:9" x14ac:dyDescent="0.25">
      <c r="A9" s="8">
        <f>MAX($A$7:A8)+1</f>
        <v>2</v>
      </c>
      <c r="B9" s="40" t="s">
        <v>59</v>
      </c>
      <c r="C9" s="41">
        <f>'Revenue Distribution'!I11</f>
        <v>43686220.460000001</v>
      </c>
      <c r="D9" s="41">
        <f>'Revenue Distribution'!I15</f>
        <v>25030995.239999998</v>
      </c>
      <c r="E9" s="41">
        <f>'Revenue Distribution'!I21</f>
        <v>2145186.7799999998</v>
      </c>
      <c r="F9" s="41">
        <f>'Revenue Distribution'!I27</f>
        <v>2596634.4</v>
      </c>
      <c r="G9" s="41">
        <f>'Revenue Distribution'!I32</f>
        <v>135555.43</v>
      </c>
      <c r="I9" s="42">
        <f>SUM(C9:G9)-'Revenue Distribution'!I34</f>
        <v>0</v>
      </c>
    </row>
    <row r="10" spans="1:9" x14ac:dyDescent="0.25">
      <c r="A10" s="8">
        <f>MAX($A$7:A9)+1</f>
        <v>3</v>
      </c>
      <c r="B10" s="40" t="s">
        <v>60</v>
      </c>
      <c r="C10" s="41">
        <f>C27</f>
        <v>128672934.97655511</v>
      </c>
      <c r="D10" s="41">
        <f>D27</f>
        <v>88038975.020009622</v>
      </c>
      <c r="E10" s="41">
        <f>E27</f>
        <v>11691973.252699345</v>
      </c>
      <c r="F10" s="41">
        <f>F27</f>
        <v>18568766.608615469</v>
      </c>
      <c r="G10" s="41">
        <f>G27</f>
        <v>1951601.3361979898</v>
      </c>
      <c r="I10" s="42">
        <f>SUM(C10:G10)-'Revenue Distribution'!G34</f>
        <v>0</v>
      </c>
    </row>
    <row r="11" spans="1:9" x14ac:dyDescent="0.25">
      <c r="A11" s="8">
        <f>MAX($A$7:A10)+1</f>
        <v>4</v>
      </c>
      <c r="B11" s="40" t="s">
        <v>61</v>
      </c>
      <c r="C11" s="43">
        <f>ROUND(C9/C10, 5)</f>
        <v>0.33950999999999998</v>
      </c>
      <c r="D11" s="43">
        <f>ROUND(D9/D10, 5)</f>
        <v>0.28432000000000002</v>
      </c>
      <c r="E11" s="43">
        <f>ROUND(E9/E10, 5)</f>
        <v>0.18348</v>
      </c>
      <c r="F11" s="43">
        <f>ROUND(F9/F10, 5)</f>
        <v>0.13983999999999999</v>
      </c>
      <c r="G11" s="43">
        <f>ROUND(G9/G10, 5)</f>
        <v>6.9459999999999994E-2</v>
      </c>
    </row>
    <row r="12" spans="1:9" x14ac:dyDescent="0.25">
      <c r="A12" s="8">
        <f>MAX($A$7:A11)+1</f>
        <v>5</v>
      </c>
      <c r="B12" s="40" t="s">
        <v>62</v>
      </c>
      <c r="C12" s="41">
        <f>'Class Rates'!L9</f>
        <v>198885</v>
      </c>
      <c r="D12" s="41">
        <f>'Class Rates'!L14</f>
        <v>27031</v>
      </c>
      <c r="E12" s="41">
        <f>'Class Rates'!L19</f>
        <v>489</v>
      </c>
      <c r="F12" s="41">
        <f>'Class Rates'!L26</f>
        <v>93</v>
      </c>
      <c r="G12" s="41">
        <f>'Class Rates'!L33</f>
        <v>7</v>
      </c>
    </row>
    <row r="13" spans="1:9" x14ac:dyDescent="0.25">
      <c r="A13" s="8">
        <f>MAX($A$7:A12)+1</f>
        <v>6</v>
      </c>
      <c r="C13" s="44"/>
      <c r="D13" s="44"/>
      <c r="E13" s="44"/>
      <c r="F13" s="44"/>
      <c r="G13" s="44"/>
      <c r="H13" s="44"/>
      <c r="I13" s="44"/>
    </row>
    <row r="14" spans="1:9" s="8" customFormat="1" ht="15.75" customHeight="1" x14ac:dyDescent="0.25">
      <c r="A14" s="8">
        <f>MAX($A$7:A13)+1</f>
        <v>7</v>
      </c>
      <c r="B14" s="39" t="s">
        <v>63</v>
      </c>
      <c r="C14" s="39"/>
      <c r="D14" s="39"/>
      <c r="E14" s="39"/>
      <c r="F14" s="39"/>
      <c r="G14" s="39"/>
    </row>
    <row r="15" spans="1:9" x14ac:dyDescent="0.25">
      <c r="A15" s="8">
        <f>MAX($A$7:A14)+1</f>
        <v>8</v>
      </c>
      <c r="B15" s="1" t="s">
        <v>64</v>
      </c>
      <c r="C15" s="45">
        <v>20949779.125481114</v>
      </c>
      <c r="D15" s="45">
        <v>14089859.628245069</v>
      </c>
      <c r="E15" s="45">
        <v>1541937.1506612073</v>
      </c>
      <c r="F15" s="45">
        <v>2501430.745498755</v>
      </c>
      <c r="G15" s="45">
        <v>222262.9629757448</v>
      </c>
      <c r="H15" s="45"/>
      <c r="I15" s="42"/>
    </row>
    <row r="16" spans="1:9" x14ac:dyDescent="0.25">
      <c r="A16" s="8">
        <f>MAX($A$7:A15)+1</f>
        <v>9</v>
      </c>
      <c r="B16" s="1" t="s">
        <v>65</v>
      </c>
      <c r="C16" s="45">
        <v>17042296.781877652</v>
      </c>
      <c r="D16" s="45">
        <v>11605782.506156357</v>
      </c>
      <c r="E16" s="45">
        <v>1341787.1492526121</v>
      </c>
      <c r="F16" s="45">
        <v>2289464.4294068427</v>
      </c>
      <c r="G16" s="45">
        <v>224177.34329748317</v>
      </c>
      <c r="H16" s="45"/>
      <c r="I16" s="42"/>
    </row>
    <row r="17" spans="1:10" x14ac:dyDescent="0.25">
      <c r="A17" s="8">
        <f>MAX($A$7:A16)+1</f>
        <v>10</v>
      </c>
      <c r="B17" s="1" t="s">
        <v>66</v>
      </c>
      <c r="C17" s="45">
        <v>14454420.283188764</v>
      </c>
      <c r="D17" s="45">
        <v>9203147.878691528</v>
      </c>
      <c r="E17" s="45">
        <v>1340078.2314049588</v>
      </c>
      <c r="F17" s="45">
        <v>2225469.5421517864</v>
      </c>
      <c r="G17" s="45">
        <v>200367.24636239884</v>
      </c>
      <c r="H17" s="45"/>
      <c r="I17" s="42"/>
    </row>
    <row r="18" spans="1:10" x14ac:dyDescent="0.25">
      <c r="A18" s="8">
        <f>MAX($A$7:A17)+1</f>
        <v>11</v>
      </c>
      <c r="B18" s="1" t="s">
        <v>67</v>
      </c>
      <c r="C18" s="45">
        <v>9423692.6078356951</v>
      </c>
      <c r="D18" s="45">
        <v>5881317.456387273</v>
      </c>
      <c r="E18" s="45">
        <v>1154571.9665271966</v>
      </c>
      <c r="F18" s="45">
        <v>2123776.4665627768</v>
      </c>
      <c r="G18" s="45">
        <v>200606.88467394604</v>
      </c>
      <c r="H18" s="45"/>
      <c r="I18" s="42"/>
    </row>
    <row r="19" spans="1:10" x14ac:dyDescent="0.25">
      <c r="A19" s="8">
        <f>MAX($A$7:A18)+1</f>
        <v>12</v>
      </c>
      <c r="B19" s="1" t="s">
        <v>68</v>
      </c>
      <c r="C19" s="45">
        <v>6041098.2725353083</v>
      </c>
      <c r="D19" s="45">
        <v>4091419.8955173828</v>
      </c>
      <c r="E19" s="45">
        <v>725268.12214802275</v>
      </c>
      <c r="F19" s="45">
        <v>1270025.9505399207</v>
      </c>
      <c r="G19" s="45">
        <v>165831.00118792529</v>
      </c>
      <c r="H19" s="45"/>
      <c r="I19" s="42"/>
    </row>
    <row r="20" spans="1:10" x14ac:dyDescent="0.25">
      <c r="A20" s="8">
        <f>MAX($A$7:A19)+1</f>
        <v>13</v>
      </c>
      <c r="B20" s="1" t="s">
        <v>69</v>
      </c>
      <c r="C20" s="45">
        <v>3865257.005920711</v>
      </c>
      <c r="D20" s="45">
        <v>2807353.9362233491</v>
      </c>
      <c r="E20" s="45">
        <v>647828.79665816494</v>
      </c>
      <c r="F20" s="45">
        <v>1233884.4034042198</v>
      </c>
      <c r="G20" s="45">
        <v>128366.53057633294</v>
      </c>
      <c r="H20" s="45"/>
      <c r="I20" s="42"/>
      <c r="J20" s="11"/>
    </row>
    <row r="21" spans="1:10" x14ac:dyDescent="0.25">
      <c r="A21" s="8">
        <f>MAX($A$7:A20)+1</f>
        <v>14</v>
      </c>
      <c r="B21" s="1" t="s">
        <v>70</v>
      </c>
      <c r="C21" s="45">
        <v>3164860.8704397986</v>
      </c>
      <c r="D21" s="45">
        <v>2904248.8850334291</v>
      </c>
      <c r="E21" s="45">
        <v>571820.21515095583</v>
      </c>
      <c r="F21" s="45">
        <v>1063770.4296622376</v>
      </c>
      <c r="G21" s="45">
        <v>109389.76530901741</v>
      </c>
      <c r="H21" s="45"/>
      <c r="I21" s="42"/>
      <c r="J21" s="46"/>
    </row>
    <row r="22" spans="1:10" x14ac:dyDescent="0.25">
      <c r="A22" s="8">
        <f>MAX($A$7:A21)+1</f>
        <v>15</v>
      </c>
      <c r="B22" s="1" t="s">
        <v>71</v>
      </c>
      <c r="C22" s="45">
        <v>3169488.2621706687</v>
      </c>
      <c r="D22" s="45">
        <v>2909783.4181579934</v>
      </c>
      <c r="E22" s="45">
        <v>504565.78084028035</v>
      </c>
      <c r="F22" s="45">
        <v>862713.34461691428</v>
      </c>
      <c r="G22" s="45">
        <v>106383.17487201201</v>
      </c>
      <c r="H22" s="45"/>
      <c r="I22" s="42"/>
      <c r="J22" s="11"/>
    </row>
    <row r="23" spans="1:10" x14ac:dyDescent="0.25">
      <c r="A23" s="8">
        <f>MAX($A$7:A22)+1</f>
        <v>16</v>
      </c>
      <c r="B23" s="1" t="s">
        <v>72</v>
      </c>
      <c r="C23" s="45">
        <v>3838515.8868167466</v>
      </c>
      <c r="D23" s="45">
        <v>3771130.2209946825</v>
      </c>
      <c r="E23" s="45">
        <v>628510.13532405952</v>
      </c>
      <c r="F23" s="45">
        <v>861853.98544861504</v>
      </c>
      <c r="G23" s="45">
        <v>100499.85957318803</v>
      </c>
      <c r="H23" s="45"/>
      <c r="I23" s="42"/>
      <c r="J23" s="44"/>
    </row>
    <row r="24" spans="1:10" x14ac:dyDescent="0.25">
      <c r="A24" s="8">
        <f>MAX($A$7:A23)+1</f>
        <v>17</v>
      </c>
      <c r="B24" s="1" t="s">
        <v>73</v>
      </c>
      <c r="C24" s="45">
        <v>8764598.5748998914</v>
      </c>
      <c r="D24" s="45">
        <v>6895935.9567411952</v>
      </c>
      <c r="E24" s="45">
        <v>1008994.2571327828</v>
      </c>
      <c r="F24" s="45">
        <v>1030610.1078957713</v>
      </c>
      <c r="G24" s="45">
        <v>94558.840259868026</v>
      </c>
      <c r="H24" s="45"/>
      <c r="I24" s="42"/>
    </row>
    <row r="25" spans="1:10" x14ac:dyDescent="0.25">
      <c r="A25" s="8">
        <f>MAX($A$7:A24)+1</f>
        <v>18</v>
      </c>
      <c r="B25" s="1" t="s">
        <v>74</v>
      </c>
      <c r="C25" s="45">
        <v>16528146.305388767</v>
      </c>
      <c r="D25" s="45">
        <v>10454193.237861369</v>
      </c>
      <c r="E25" s="45">
        <v>870287.41586793866</v>
      </c>
      <c r="F25" s="45">
        <v>1199044.2028720228</v>
      </c>
      <c r="G25" s="45">
        <v>178840.08308705181</v>
      </c>
      <c r="H25" s="45"/>
      <c r="I25" s="42"/>
      <c r="J25" s="11"/>
    </row>
    <row r="26" spans="1:10" x14ac:dyDescent="0.25">
      <c r="A26" s="8">
        <f>MAX($A$7:A25)+1</f>
        <v>19</v>
      </c>
      <c r="B26" s="1" t="s">
        <v>75</v>
      </c>
      <c r="C26" s="45">
        <v>21430781</v>
      </c>
      <c r="D26" s="45">
        <v>13424802</v>
      </c>
      <c r="E26" s="45">
        <v>1356324.0317311657</v>
      </c>
      <c r="F26" s="45">
        <v>1906723.0005556054</v>
      </c>
      <c r="G26" s="45">
        <v>220317.64402302145</v>
      </c>
      <c r="H26" s="45"/>
      <c r="I26" s="42"/>
    </row>
    <row r="27" spans="1:10" x14ac:dyDescent="0.25">
      <c r="A27" s="8">
        <f>MAX($A$7:A26)+1</f>
        <v>20</v>
      </c>
      <c r="B27" s="14" t="s">
        <v>28</v>
      </c>
      <c r="C27" s="47">
        <f>SUM(C15:C26)</f>
        <v>128672934.97655511</v>
      </c>
      <c r="D27" s="47">
        <f>SUM(D15:D26)</f>
        <v>88038975.020009622</v>
      </c>
      <c r="E27" s="47">
        <f>SUM(E15:E26)</f>
        <v>11691973.252699345</v>
      </c>
      <c r="F27" s="47">
        <f>SUM(F15:F26)</f>
        <v>18568766.608615469</v>
      </c>
      <c r="G27" s="47">
        <f>SUM(G15:G26)</f>
        <v>1951601.3361979898</v>
      </c>
      <c r="H27" s="42"/>
      <c r="I27" s="42"/>
    </row>
    <row r="28" spans="1:10" x14ac:dyDescent="0.25">
      <c r="A28" s="8">
        <f>MAX($A$7:A27)+1</f>
        <v>21</v>
      </c>
      <c r="C28" s="8"/>
      <c r="D28" s="8"/>
      <c r="E28" s="8"/>
      <c r="F28" s="8"/>
      <c r="G28" s="8"/>
    </row>
    <row r="29" spans="1:10" ht="14.45" customHeight="1" x14ac:dyDescent="0.25">
      <c r="A29" s="8">
        <f>MAX($A$7:A28)+1</f>
        <v>22</v>
      </c>
      <c r="B29" s="39" t="s">
        <v>76</v>
      </c>
      <c r="C29" s="39"/>
      <c r="D29" s="39"/>
      <c r="E29" s="39"/>
      <c r="F29" s="39"/>
      <c r="G29" s="39"/>
    </row>
    <row r="30" spans="1:10" x14ac:dyDescent="0.25">
      <c r="A30" s="8">
        <f>MAX($A$7:A29)+1</f>
        <v>23</v>
      </c>
      <c r="B30" s="1" t="s">
        <v>64</v>
      </c>
      <c r="C30" s="96">
        <f>(C15*C$11)/C$12</f>
        <v>35.762674464600607</v>
      </c>
      <c r="D30" s="96">
        <f t="shared" ref="C30:G41" si="0">(D15*D$11)/D$12</f>
        <v>148.20128332294914</v>
      </c>
      <c r="E30" s="96">
        <f t="shared" si="0"/>
        <v>578.55752229717439</v>
      </c>
      <c r="F30" s="96">
        <f t="shared" si="0"/>
        <v>3761.2911338768372</v>
      </c>
      <c r="G30" s="96">
        <f t="shared" si="0"/>
        <v>2205.4836297564621</v>
      </c>
    </row>
    <row r="31" spans="1:10" x14ac:dyDescent="0.25">
      <c r="A31" s="8">
        <f>MAX($A$7:A30)+1</f>
        <v>24</v>
      </c>
      <c r="B31" s="1" t="s">
        <v>65</v>
      </c>
      <c r="C31" s="96">
        <f t="shared" si="0"/>
        <v>29.092340701487196</v>
      </c>
      <c r="D31" s="96">
        <f t="shared" si="0"/>
        <v>122.07303030410918</v>
      </c>
      <c r="E31" s="96">
        <f t="shared" si="0"/>
        <v>503.45829477478384</v>
      </c>
      <c r="F31" s="96">
        <f t="shared" si="0"/>
        <v>3442.5667291209984</v>
      </c>
      <c r="G31" s="96">
        <f t="shared" si="0"/>
        <v>2224.4797522061685</v>
      </c>
    </row>
    <row r="32" spans="1:10" x14ac:dyDescent="0.25">
      <c r="A32" s="8">
        <f>MAX($A$7:A31)+1</f>
        <v>25</v>
      </c>
      <c r="B32" s="1" t="s">
        <v>66</v>
      </c>
      <c r="C32" s="96">
        <f t="shared" si="0"/>
        <v>24.674662394576849</v>
      </c>
      <c r="D32" s="96">
        <f t="shared" si="0"/>
        <v>96.801413372408547</v>
      </c>
      <c r="E32" s="96">
        <f t="shared" si="0"/>
        <v>502.81708363636363</v>
      </c>
      <c r="F32" s="96">
        <f t="shared" si="0"/>
        <v>3346.3404384355463</v>
      </c>
      <c r="G32" s="96">
        <f t="shared" si="0"/>
        <v>1988.2155617617461</v>
      </c>
    </row>
    <row r="33" spans="1:8" x14ac:dyDescent="0.25">
      <c r="A33" s="8">
        <f>MAX($A$7:A32)+1</f>
        <v>26</v>
      </c>
      <c r="B33" s="1" t="s">
        <v>67</v>
      </c>
      <c r="C33" s="96">
        <f t="shared" si="0"/>
        <v>16.086873707349959</v>
      </c>
      <c r="D33" s="96">
        <f t="shared" si="0"/>
        <v>61.861425000925955</v>
      </c>
      <c r="E33" s="96">
        <f t="shared" si="0"/>
        <v>433.21240167364016</v>
      </c>
      <c r="F33" s="96">
        <f t="shared" si="0"/>
        <v>3193.4290439154702</v>
      </c>
      <c r="G33" s="96">
        <f t="shared" si="0"/>
        <v>1990.5934584931842</v>
      </c>
    </row>
    <row r="34" spans="1:8" x14ac:dyDescent="0.25">
      <c r="A34" s="8">
        <f>MAX($A$7:A33)+1</f>
        <v>27</v>
      </c>
      <c r="B34" s="1" t="s">
        <v>68</v>
      </c>
      <c r="C34" s="96">
        <f t="shared" si="0"/>
        <v>10.312558888344833</v>
      </c>
      <c r="D34" s="96">
        <f t="shared" si="0"/>
        <v>43.034756564444614</v>
      </c>
      <c r="E34" s="96">
        <f t="shared" si="0"/>
        <v>272.13127822437468</v>
      </c>
      <c r="F34" s="96">
        <f t="shared" si="0"/>
        <v>1909.6820314355109</v>
      </c>
      <c r="G34" s="96">
        <f t="shared" si="0"/>
        <v>1645.5173346447557</v>
      </c>
    </row>
    <row r="35" spans="1:8" x14ac:dyDescent="0.25">
      <c r="A35" s="8">
        <f>MAX($A$7:A34)+1</f>
        <v>28</v>
      </c>
      <c r="B35" s="1" t="s">
        <v>69</v>
      </c>
      <c r="C35" s="96">
        <f t="shared" si="0"/>
        <v>6.5982522869001707</v>
      </c>
      <c r="D35" s="96">
        <f t="shared" si="0"/>
        <v>29.528573532130618</v>
      </c>
      <c r="E35" s="96">
        <f t="shared" si="0"/>
        <v>243.07490308965257</v>
      </c>
      <c r="F35" s="96">
        <f t="shared" si="0"/>
        <v>1855.3375803445815</v>
      </c>
      <c r="G35" s="96">
        <f t="shared" si="0"/>
        <v>1273.762744833155</v>
      </c>
    </row>
    <row r="36" spans="1:8" x14ac:dyDescent="0.25">
      <c r="A36" s="8">
        <f>MAX($A$7:A35)+1</f>
        <v>29</v>
      </c>
      <c r="B36" s="1" t="s">
        <v>70</v>
      </c>
      <c r="C36" s="96">
        <f t="shared" si="0"/>
        <v>5.4026292285643258</v>
      </c>
      <c r="D36" s="96">
        <f t="shared" si="0"/>
        <v>30.547743072498417</v>
      </c>
      <c r="E36" s="96">
        <f t="shared" si="0"/>
        <v>214.55536416338933</v>
      </c>
      <c r="F36" s="96">
        <f t="shared" si="0"/>
        <v>1599.5446976770679</v>
      </c>
      <c r="G36" s="96">
        <f t="shared" si="0"/>
        <v>1085.45901405205</v>
      </c>
    </row>
    <row r="37" spans="1:8" x14ac:dyDescent="0.25">
      <c r="A37" s="8">
        <f>MAX($A$7:A36)+1</f>
        <v>30</v>
      </c>
      <c r="B37" s="1" t="s">
        <v>71</v>
      </c>
      <c r="C37" s="96">
        <f t="shared" si="0"/>
        <v>5.4105284958119704</v>
      </c>
      <c r="D37" s="96">
        <f t="shared" si="0"/>
        <v>30.605956918008243</v>
      </c>
      <c r="E37" s="96">
        <f t="shared" si="0"/>
        <v>189.32051016068434</v>
      </c>
      <c r="F37" s="96">
        <f t="shared" si="0"/>
        <v>1297.2240227013901</v>
      </c>
      <c r="G37" s="96">
        <f t="shared" si="0"/>
        <v>1055.6250466585648</v>
      </c>
    </row>
    <row r="38" spans="1:8" x14ac:dyDescent="0.25">
      <c r="A38" s="8">
        <f>MAX($A$7:A37)+1</f>
        <v>31</v>
      </c>
      <c r="B38" s="1" t="s">
        <v>72</v>
      </c>
      <c r="C38" s="96">
        <f t="shared" si="0"/>
        <v>6.5526034076634918</v>
      </c>
      <c r="D38" s="96">
        <f t="shared" si="0"/>
        <v>39.665855663246205</v>
      </c>
      <c r="E38" s="96">
        <f t="shared" si="0"/>
        <v>235.82625691054898</v>
      </c>
      <c r="F38" s="96">
        <f t="shared" si="0"/>
        <v>1295.9318422057454</v>
      </c>
      <c r="G38" s="96">
        <f t="shared" si="0"/>
        <v>997.24574942194863</v>
      </c>
    </row>
    <row r="39" spans="1:8" x14ac:dyDescent="0.25">
      <c r="A39" s="8">
        <f>MAX($A$7:A38)+1</f>
        <v>32</v>
      </c>
      <c r="B39" s="1" t="s">
        <v>73</v>
      </c>
      <c r="C39" s="96">
        <f t="shared" si="0"/>
        <v>14.961756101084857</v>
      </c>
      <c r="D39" s="96">
        <f t="shared" si="0"/>
        <v>72.533480493531755</v>
      </c>
      <c r="E39" s="96">
        <f t="shared" si="0"/>
        <v>378.58950163338039</v>
      </c>
      <c r="F39" s="96">
        <f t="shared" si="0"/>
        <v>1549.6829837434909</v>
      </c>
      <c r="G39" s="96">
        <f t="shared" si="0"/>
        <v>938.29386349291894</v>
      </c>
    </row>
    <row r="40" spans="1:8" x14ac:dyDescent="0.25">
      <c r="A40" s="8">
        <f>MAX($A$7:A39)+1</f>
        <v>33</v>
      </c>
      <c r="B40" s="1" t="s">
        <v>74</v>
      </c>
      <c r="C40" s="96">
        <f t="shared" si="0"/>
        <v>28.214651442504664</v>
      </c>
      <c r="D40" s="96">
        <f t="shared" si="0"/>
        <v>109.96027603080702</v>
      </c>
      <c r="E40" s="96">
        <f t="shared" si="0"/>
        <v>326.5446524814916</v>
      </c>
      <c r="F40" s="96">
        <f t="shared" si="0"/>
        <v>1802.9499067701468</v>
      </c>
      <c r="G40" s="96">
        <f t="shared" si="0"/>
        <v>1774.604595889517</v>
      </c>
    </row>
    <row r="41" spans="1:8" x14ac:dyDescent="0.25">
      <c r="A41" s="8">
        <f>MAX($A$7:A40)+1</f>
        <v>34</v>
      </c>
      <c r="B41" s="1" t="s">
        <v>75</v>
      </c>
      <c r="C41" s="96">
        <f t="shared" si="0"/>
        <v>36.583776842446639</v>
      </c>
      <c r="D41" s="96">
        <f t="shared" si="0"/>
        <v>141.20601178794718</v>
      </c>
      <c r="E41" s="96">
        <f t="shared" si="0"/>
        <v>508.91274712072453</v>
      </c>
      <c r="F41" s="96">
        <f t="shared" si="0"/>
        <v>2867.0553161042562</v>
      </c>
      <c r="G41" s="96">
        <f t="shared" si="0"/>
        <v>2186.1805076912956</v>
      </c>
    </row>
    <row r="42" spans="1:8" x14ac:dyDescent="0.25">
      <c r="A42" s="8">
        <f>MAX($A$7:A41)+1</f>
        <v>35</v>
      </c>
      <c r="B42" s="14" t="s">
        <v>77</v>
      </c>
      <c r="C42" s="49">
        <f>AVERAGE(C30:C41)</f>
        <v>18.304442330111296</v>
      </c>
      <c r="D42" s="49">
        <f>AVERAGE(D30:D41)</f>
        <v>77.168317171917252</v>
      </c>
      <c r="E42" s="49">
        <f>AVERAGE(E30:E41)</f>
        <v>365.58337634718401</v>
      </c>
      <c r="F42" s="49">
        <f>AVERAGE(F30:F41)</f>
        <v>2326.7529771942536</v>
      </c>
      <c r="G42" s="49">
        <f>AVERAGE(G30:G41)</f>
        <v>1613.788438241814</v>
      </c>
    </row>
    <row r="43" spans="1:8" x14ac:dyDescent="0.25">
      <c r="A43" s="8">
        <f>MAX($A$7:A42)+1</f>
        <v>36</v>
      </c>
    </row>
    <row r="44" spans="1:8" x14ac:dyDescent="0.25">
      <c r="A44" s="8">
        <f>MAX($A$7:A43)+1</f>
        <v>37</v>
      </c>
      <c r="B44" s="50"/>
      <c r="C44" s="42">
        <f>C27-'Revenue Distribution'!G11</f>
        <v>0</v>
      </c>
      <c r="D44" s="42">
        <f>D27-'Revenue Distribution'!G15</f>
        <v>0</v>
      </c>
      <c r="E44" s="42">
        <f>E27-'Revenue Distribution'!G21</f>
        <v>0</v>
      </c>
      <c r="F44" s="42">
        <f>F27-'Revenue Distribution'!G27</f>
        <v>0</v>
      </c>
      <c r="G44" s="42">
        <f>G27-'Revenue Distribution'!G32</f>
        <v>0</v>
      </c>
      <c r="H44" s="1" t="s">
        <v>50</v>
      </c>
    </row>
    <row r="45" spans="1:8" x14ac:dyDescent="0.25">
      <c r="A45" s="8">
        <f>MAX($A$7:A44)+1</f>
        <v>38</v>
      </c>
      <c r="B45" s="50"/>
      <c r="C45" s="51"/>
      <c r="D45" s="51"/>
      <c r="E45" s="42"/>
      <c r="F45" s="42"/>
      <c r="G45" s="42"/>
    </row>
    <row r="46" spans="1:8" x14ac:dyDescent="0.25">
      <c r="A46" s="8">
        <f>MAX($A$7:A45)+1</f>
        <v>39</v>
      </c>
      <c r="B46" s="50" t="s">
        <v>78</v>
      </c>
      <c r="C46" s="52">
        <v>1520</v>
      </c>
      <c r="D46" s="52">
        <v>5899</v>
      </c>
      <c r="E46" s="42"/>
      <c r="F46" s="42"/>
      <c r="G46" s="42"/>
    </row>
    <row r="47" spans="1:8" x14ac:dyDescent="0.25">
      <c r="A47" s="8">
        <f>MAX($A$7:A46)+1</f>
        <v>40</v>
      </c>
      <c r="B47" s="50"/>
      <c r="C47" s="48"/>
      <c r="D47" s="42"/>
      <c r="E47" s="42"/>
      <c r="F47" s="42"/>
      <c r="G47" s="42"/>
    </row>
    <row r="48" spans="1:8" x14ac:dyDescent="0.25">
      <c r="A48" s="95">
        <f>MAX($A$7:A47)+1</f>
        <v>41</v>
      </c>
      <c r="C48" s="42">
        <f>198885-C12</f>
        <v>0</v>
      </c>
      <c r="D48" s="42">
        <f>27031-D12</f>
        <v>0</v>
      </c>
      <c r="E48" s="42">
        <f>489-E12</f>
        <v>0</v>
      </c>
      <c r="F48" s="42">
        <f>93-F12</f>
        <v>0</v>
      </c>
      <c r="G48" s="42">
        <f>7-G12</f>
        <v>0</v>
      </c>
      <c r="H48" s="1" t="s">
        <v>50</v>
      </c>
    </row>
    <row r="49" spans="1:8" x14ac:dyDescent="0.25">
      <c r="A49" s="95">
        <f>MAX($A$7:A48)+1</f>
        <v>42</v>
      </c>
      <c r="B49" s="1"/>
      <c r="C49" s="48">
        <f>C11-'Class Rates'!F10</f>
        <v>-3.6705651604296285E-6</v>
      </c>
      <c r="D49" s="48">
        <f>D11-'Class Rates'!F15</f>
        <v>2.7958144366291293E-6</v>
      </c>
      <c r="H49" s="1" t="s">
        <v>50</v>
      </c>
    </row>
  </sheetData>
  <mergeCells count="5">
    <mergeCell ref="A1:G1"/>
    <mergeCell ref="A2:G2"/>
    <mergeCell ref="A3:G3"/>
    <mergeCell ref="A4:G4"/>
    <mergeCell ref="A5:G5"/>
  </mergeCells>
  <pageMargins left="1" right="1" top="1" bottom="1" header="0.3" footer="0.3"/>
  <pageSetup fitToHeight="0" orientation="portrait" r:id="rId1"/>
  <headerFooter scaleWithDoc="0">
    <oddHeader xml:space="preserve">&amp;RDocket No. UG-21_____
Exhibit No. ___ (IDM-4)
Page 1 of 1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E4F6BCA26D4124898A947854461FAE8" ma:contentTypeVersion="44" ma:contentTypeDescription="" ma:contentTypeScope="" ma:versionID="04d8f703f5bd88e2dedb0ceddeacae8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2021-09-30T07:00:00+00:00</OpenedDate>
    <SignificantOrder xmlns="dc463f71-b30c-4ab2-9473-d307f9d35888">false</SignificantOrder>
    <Date1 xmlns="dc463f71-b30c-4ab2-9473-d307f9d35888">2022-10-21T07:00:00+00:00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210755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B17459E-25D5-4BF2-851E-76B72B8AC746}"/>
</file>

<file path=customXml/itemProps2.xml><?xml version="1.0" encoding="utf-8"?>
<ds:datastoreItem xmlns:ds="http://schemas.openxmlformats.org/officeDocument/2006/customXml" ds:itemID="{84A241E5-817D-496A-A7DD-005BD516DF54}"/>
</file>

<file path=customXml/itemProps3.xml><?xml version="1.0" encoding="utf-8"?>
<ds:datastoreItem xmlns:ds="http://schemas.openxmlformats.org/officeDocument/2006/customXml" ds:itemID="{140544FC-E7BF-4F9A-9ED6-A39D0FAE1E03}"/>
</file>

<file path=customXml/itemProps4.xml><?xml version="1.0" encoding="utf-8"?>
<ds:datastoreItem xmlns:ds="http://schemas.openxmlformats.org/officeDocument/2006/customXml" ds:itemID="{7B5BEBBF-0D47-4350-B7C4-1A9E85419D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Class Rates</vt:lpstr>
      <vt:lpstr>Revenue Distribution</vt:lpstr>
      <vt:lpstr>Decoupling Baseline + Rule 8</vt:lpstr>
      <vt:lpstr>'Class Rates'!Print_Area</vt:lpstr>
      <vt:lpstr>'Decoupling Baseline + Rule 8'!Print_Area</vt:lpstr>
      <vt:lpstr>'Revenue Distribution'!Print_Area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0x0101006E56B4D1795A2E4DB2F0B01679ED314A003E4F6BCA26D4124898A947854461FAE8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